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Work Elements" sheetId="3" r:id="rId3"/>
    <sheet name="Dashboard" sheetId="4" r:id="rId4"/>
    <sheet name="Method" sheetId="5" r:id="rId5"/>
    <sheet name="Verify" sheetId="6" r:id="rId6"/>
  </sheets>
  <definedNames>
    <definedName name="Currency">Setup!$C$20</definedName>
    <definedName name="Demand">Setup!$C$9</definedName>
    <definedName name="KpiCost">Dashboard!$J$29</definedName>
    <definedName name="KpiCurBn">Dashboard!$D$5</definedName>
    <definedName name="KpiCurEff">Dashboard!$B$29</definedName>
    <definedName name="KpiOps">Dashboard!$D$29</definedName>
    <definedName name="KpiOutput">Dashboard!$G$29</definedName>
    <definedName name="KpiPropBn">Dashboard!$G$5</definedName>
    <definedName name="KpiPropEff">Dashboard!$J$5</definedName>
    <definedName name="KpiTakt">Dashboard!$B$5</definedName>
    <definedName name="LabourRate">Setup!$C$21</definedName>
    <definedName name="LineName">Setup!$C$6</definedName>
    <definedName name="NearAt">Setup!$C$15</definedName>
    <definedName name="NetMin">Setup!$C$8</definedName>
    <definedName name="OverAt">Setup!$C$16</definedName>
    <definedName name="_xlnm.Print_Area" localSheetId="3">Dashboard!$A$1:$L$75</definedName>
    <definedName name="_xlnm.Print_Area" localSheetId="4">Method!$A$1:$D$65</definedName>
    <definedName name="_xlnm.Print_Area" localSheetId="1">Setup!$A$1:$E$34</definedName>
    <definedName name="_xlnm.Print_Area" localSheetId="0">'Start Here'!$A$1:$F$56</definedName>
    <definedName name="_xlnm.Print_Area" localSheetId="5">Verify!$A$1:$P$123</definedName>
    <definedName name="_xlnm.Print_Area" localSheetId="2">'Work Elements'!$A$1:$P$46</definedName>
    <definedName name="_xlnm.Print_Titles" localSheetId="4">Method!$1:$2</definedName>
    <definedName name="_xlnm.Print_Titles" localSheetId="2">'Work Elements'!$1:$5</definedName>
    <definedName name="SelfCheck">Verify!$D$4</definedName>
    <definedName name="SelfCheckSummary">Verify!$F$4</definedName>
    <definedName name="Stations">tblStations[Station]</definedName>
    <definedName name="Takt">Setup!$C$10</definedName>
    <definedName name="TargetEff">Setup!$C$14</definedName>
  </definedNames>
  <calcPr calcId="124519" fullCalcOnLoad="1"/>
</workbook>
</file>

<file path=xl/sharedStrings.xml><?xml version="1.0" encoding="utf-8"?>
<sst xmlns="http://schemas.openxmlformats.org/spreadsheetml/2006/main" count="789" uniqueCount="366">
  <si>
    <t>Line Balance</t>
  </si>
  <si>
    <t>Read this first: what the workbook does and how to use it.</t>
  </si>
  <si>
    <t>mfgcalcs.com</t>
  </si>
  <si>
    <t>Assign work elements to stations, see each station's load against takt in a Yamazumi chart, and compare today's balance with a proposed one.</t>
  </si>
  <si>
    <t>For: Industrial and manufacturing engineers, lean and continuous-improvement leads, and line supervisors balancing assembly lines and cells.</t>
  </si>
  <si>
    <t>Version 1.0.0  ·  updated 15 October 2026</t>
  </si>
  <si>
    <t>Quick start</t>
  </si>
  <si>
    <t>1.</t>
  </si>
  <si>
    <t>On Setup, type the net available time and demand per shift (takt time calculates), your efficiency target and labour rate, and list the stations in line order.</t>
  </si>
  <si>
    <t>2.</t>
  </si>
  <si>
    <t>On Work Elements, add one row per element: number, task, seconds, type and the element that must come before it.</t>
  </si>
  <si>
    <t>3.</t>
  </si>
  <si>
    <t>Give each element its current station, and its station in the balance you propose (leave Proposed blank for an element you remove).</t>
  </si>
  <si>
    <t>4.</t>
  </si>
  <si>
    <t>Fix anything the Check column flags, especially an element placed before its predecessor.</t>
  </si>
  <si>
    <t>5.</t>
  </si>
  <si>
    <t>Open the Dashboard: the two Yamazumi charts, the before-and-after table and the stations over takt.</t>
  </si>
  <si>
    <t>What is in this workbook</t>
  </si>
  <si>
    <t>Start Here</t>
  </si>
  <si>
    <t>Setup</t>
  </si>
  <si>
    <t>Takt time from the shift and demand, the targets, the labour rate and the stations in line order.</t>
  </si>
  <si>
    <t>Work Elements</t>
  </si>
  <si>
    <t>One row per work element: seconds, type, predecessor, and its station now and in the proposed balance.</t>
  </si>
  <si>
    <t>Dashboard</t>
  </si>
  <si>
    <t>Today's balance against the proposed one: Yamazumi charts, the bottleneck against takt and the balance figures.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</si>
  <si>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</si>
  <si>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</si>
  <si>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</si>
  <si>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</si>
  <si>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</si>
  <si>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</si>
  <si>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</si>
  <si>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</si>
  <si>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</si>
  <si>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</si>
  <si>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</si>
  <si>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</si>
  <si>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</si>
  <si>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</si>
  <si>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</si>
  <si>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</si>
  <si>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</si>
  <si>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</si>
  <si>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</si>
  <si>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</si>
  <si>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Line Balance Calculator on mfgcalcs.com</t>
  </si>
  <si>
    <t>Latest version</t>
  </si>
  <si>
    <t>mfgcalcs.com/templates/line-balance</t>
  </si>
  <si>
    <t>More free templates</t>
  </si>
  <si>
    <t>mfgcalcs.com/templates</t>
  </si>
  <si>
    <t>Version</t>
  </si>
  <si>
    <t>1.0.0 (updated 15 October 2026)</t>
  </si>
  <si>
    <t>About the example data</t>
  </si>
  <si>
    <t>Every number already in this workbook is example data for Crestline Seating, a fictional business invented for this template, so the dashboard and charts show something meaningful on day one. It balances 41 work elements of an office-chair final assembly line: seven stations today, and a proposal with six stations and one waiting element removed.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</si>
  <si>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</si>
  <si>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</si>
  <si>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</si>
  <si>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</si>
  <si>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</si>
  <si>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</si>
  <si>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</si>
  <si>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</si>
  <si>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Station</t>
  </si>
  <si>
    <t>Equipment</t>
  </si>
  <si>
    <t>Description</t>
  </si>
  <si>
    <t>Line and takt time</t>
  </si>
  <si>
    <t>Line or cell name</t>
  </si>
  <si>
    <t>Crestline Seating - chair final assembly (example)</t>
  </si>
  <si>
    <t>Net available time</t>
  </si>
  <si>
    <t>min per shift</t>
  </si>
  <si>
    <t>Customer demand</t>
  </si>
  <si>
    <t>units per shift</t>
  </si>
  <si>
    <t>Takt time</t>
  </si>
  <si>
    <t>s per unit</t>
  </si>
  <si>
    <t>Targets and thresholds</t>
  </si>
  <si>
    <t>Balance efficiency target</t>
  </si>
  <si>
    <t>Near capacity from</t>
  </si>
  <si>
    <t>of takt</t>
  </si>
  <si>
    <t>Over capacity above</t>
  </si>
  <si>
    <t>Labour cost (an estimate)</t>
  </si>
  <si>
    <t>Currency label</t>
  </si>
  <si>
    <t>USD</t>
  </si>
  <si>
    <t>Labour cost per operator hour</t>
  </si>
  <si>
    <t>Stations (in line order)</t>
  </si>
  <si>
    <t>List every station once, first to last. The order is the line order: the Check column uses it to catch an element placed before the element that must precede it. One operator per station.</t>
  </si>
  <si>
    <t>Stations (example)</t>
  </si>
  <si>
    <t>ST1</t>
  </si>
  <si>
    <t>Base fixture</t>
  </si>
  <si>
    <t>Base, castors and gas lift; seat unpack</t>
  </si>
  <si>
    <t>ST2</t>
  </si>
  <si>
    <t>Torque tool</t>
  </si>
  <si>
    <t>Mechanism to seat; seat onto base</t>
  </si>
  <si>
    <t>ST3</t>
  </si>
  <si>
    <t>Shares ST2 tool</t>
  </si>
  <si>
    <t>Backrest, lumbar support and headrest</t>
  </si>
  <si>
    <t>ST4</t>
  </si>
  <si>
    <t>Trim cover and armrests</t>
  </si>
  <si>
    <t>ST5</t>
  </si>
  <si>
    <t>Test rig</t>
  </si>
  <si>
    <t>Adjust, function test and inspect</t>
  </si>
  <si>
    <t>ST6</t>
  </si>
  <si>
    <t>Carton erector</t>
  </si>
  <si>
    <t>Bag, box and label</t>
  </si>
  <si>
    <t>ST7</t>
  </si>
  <si>
    <t>Stretch wrapper</t>
  </si>
  <si>
    <t>Palletise</t>
  </si>
  <si>
    <t>No.</t>
  </si>
  <si>
    <t>Work element</t>
  </si>
  <si>
    <t>Time (s)</t>
  </si>
  <si>
    <t>Type</t>
  </si>
  <si>
    <t>Predecessor</t>
  </si>
  <si>
    <t>Current station</t>
  </si>
  <si>
    <t>Proposed station</t>
  </si>
  <si>
    <t>Current pos.</t>
  </si>
  <si>
    <t>Proposed pos.</t>
  </si>
  <si>
    <t>Current station time (s)</t>
  </si>
  <si>
    <t>Proposed station time (s)</t>
  </si>
  <si>
    <t>Proposed load (% of takt)</t>
  </si>
  <si>
    <t>Proposed status</t>
  </si>
  <si>
    <t>Check</t>
  </si>
  <si>
    <t>Notes</t>
  </si>
  <si>
    <t>Example data for Crestline Seating (fictional). Replace it with your own: select the example rows, right-click, Delete &gt; Table Rows. Yellow = you type; blue = calculated. Station times repeat on every element of the station.</t>
  </si>
  <si>
    <t>Load base into fixture</t>
  </si>
  <si>
    <t>Necessary non-value</t>
  </si>
  <si>
    <t/>
  </si>
  <si>
    <t>Fit five castors</t>
  </si>
  <si>
    <t>Value-adding</t>
  </si>
  <si>
    <t>Press gas lift into base</t>
  </si>
  <si>
    <t>Fit gas lift cover</t>
  </si>
  <si>
    <t>Walk to castor rack and refill</t>
  </si>
  <si>
    <t>Waste</t>
  </si>
  <si>
    <t>Rack to be moved to the line (next step)</t>
  </si>
  <si>
    <t>Unpack seat from carton</t>
  </si>
  <si>
    <t>Mount mechanism to seat (4 screws)</t>
  </si>
  <si>
    <t>Torque mechanism screws</t>
  </si>
  <si>
    <t>Fit seat onto gas lift</t>
  </si>
  <si>
    <t>Scan seat label to traveller</t>
  </si>
  <si>
    <t>Moved to ST1</t>
  </si>
  <si>
    <t>Unpack backrest</t>
  </si>
  <si>
    <t>Fit seat height lever</t>
  </si>
  <si>
    <t>Attach back bracket to mechanism</t>
  </si>
  <si>
    <t>Moved to ST2</t>
  </si>
  <si>
    <t>Fit backrest to bracket (2 bolts)</t>
  </si>
  <si>
    <t>Wait for shared torque tool</t>
  </si>
  <si>
    <t>Removed: second torque tool for ST3</t>
  </si>
  <si>
    <t>Torque backrest bolts</t>
  </si>
  <si>
    <t>Fit lumbar support</t>
  </si>
  <si>
    <t>Fetch lumbar kits from rack</t>
  </si>
  <si>
    <t>Fit headrest</t>
  </si>
  <si>
    <t>Fit seat trim cover</t>
  </si>
  <si>
    <t>Moved to ST3</t>
  </si>
  <si>
    <t>Fit left armrest</t>
  </si>
  <si>
    <t>Fit right armrest</t>
  </si>
  <si>
    <t>Torque armrest screws</t>
  </si>
  <si>
    <t>Turn chair upright</t>
  </si>
  <si>
    <t>Walk to fetch headrests</t>
  </si>
  <si>
    <t>Set tension and seat height</t>
  </si>
  <si>
    <t>Moved to ST4</t>
  </si>
  <si>
    <t>Function test: tilt, lift, castors</t>
  </si>
  <si>
    <t>Clean and inspect</t>
  </si>
  <si>
    <t>Fit care label and warranty card</t>
  </si>
  <si>
    <t>Touch up minor marks</t>
  </si>
  <si>
    <t>Bag chair</t>
  </si>
  <si>
    <t>Moved to ST5</t>
  </si>
  <si>
    <t>Box and seal carton</t>
  </si>
  <si>
    <t>Print and apply carton label</t>
  </si>
  <si>
    <t>Wait for carton erector</t>
  </si>
  <si>
    <t>Fold and stage cartons</t>
  </si>
  <si>
    <t>Walk carton to pallet</t>
  </si>
  <si>
    <t>Moved to ST6</t>
  </si>
  <si>
    <t>Stack and wrap pallet layer</t>
  </si>
  <si>
    <t>Label and scan pallet</t>
  </si>
  <si>
    <t>Replenish wrap and labels</t>
  </si>
  <si>
    <t>Record count on shift board</t>
  </si>
  <si>
    <t>Wait for forklift</t>
  </si>
  <si>
    <t>TAKT TIME  (s)</t>
  </si>
  <si>
    <t>PROPOSED BALANCE EFFICIENCY</t>
  </si>
  <si>
    <t>Net available time x 60 / demand</t>
  </si>
  <si>
    <t>Helper: station</t>
  </si>
  <si>
    <t>Helper: chart scale (s)</t>
  </si>
  <si>
    <t>CURRENT BALANCE EFFICIENCY</t>
  </si>
  <si>
    <t>OPERATORS, CURRENT TO PROPOSED</t>
  </si>
  <si>
    <t>PROPOSED OUTPUT PER SHIFT  (units)</t>
  </si>
  <si>
    <t>One operator per station used</t>
  </si>
  <si>
    <t>Before and after</t>
  </si>
  <si>
    <t>Reading the balance</t>
  </si>
  <si>
    <t>Balance</t>
  </si>
  <si>
    <t>Unit</t>
  </si>
  <si>
    <t>Current</t>
  </si>
  <si>
    <t>Proposed</t>
  </si>
  <si>
    <t>Each Yamazumi column is one station: blue is value-adding work, green is necessary non-value work (handling, testing, packing), orange is waste (walking, waiting, rework). The dashed red line is takt time.
A column above the line is the bottleneck holding the line back: move elements off it, or remove its waste first. Columns well below the line are idle time you pay for: combine them.
Aim for every station just under takt (below the Near-capacity threshold if the work varies) and balance efficiency at your target. Check the Check column on Work Elements after every move: an element can never sit at an earlier station than its predecessor.</t>
  </si>
  <si>
    <t>Stations used (operators)</t>
  </si>
  <si>
    <t>stations</t>
  </si>
  <si>
    <t>Work content</t>
  </si>
  <si>
    <t>s</t>
  </si>
  <si>
    <t xml:space="preserve">  of which value-adding</t>
  </si>
  <si>
    <t xml:space="preserve">  of which necessary non-value</t>
  </si>
  <si>
    <t xml:space="preserve">  of which waste</t>
  </si>
  <si>
    <t>Bottleneck station</t>
  </si>
  <si>
    <t>Bottleneck time</t>
  </si>
  <si>
    <t>Balance efficiency</t>
  </si>
  <si>
    <t>%</t>
  </si>
  <si>
    <t>Balance delay</t>
  </si>
  <si>
    <t>Idle time per cycle</t>
  </si>
  <si>
    <t>Takt gap</t>
  </si>
  <si>
    <t>Output per shift</t>
  </si>
  <si>
    <t>units</t>
  </si>
  <si>
    <t>Labour cost per unit (est.)</t>
  </si>
  <si>
    <t>Minimum stations (theory)</t>
  </si>
  <si>
    <t>Bottleneck vs takt</t>
  </si>
  <si>
    <t>Current balance by station</t>
  </si>
  <si>
    <t>Elements</t>
  </si>
  <si>
    <t>Value-adding (s)</t>
  </si>
  <si>
    <t>Necessary non-value (s)</t>
  </si>
  <si>
    <t>Waste (s)</t>
  </si>
  <si>
    <t>Station time (s)</t>
  </si>
  <si>
    <t>Takt (s)</t>
  </si>
  <si>
    <t>Load (% of takt)</t>
  </si>
  <si>
    <t>Idle vs takt (s)</t>
  </si>
  <si>
    <t>Status</t>
  </si>
  <si>
    <t>elements</t>
  </si>
  <si>
    <t>Proposed balance by station</t>
  </si>
  <si>
    <t>The Dashboard shows the 7 stations of the Setup list. If you add stations, extend the two by-station blocks (see Method) or they will not appear here.</t>
  </si>
  <si>
    <t>What this workbook calculates</t>
  </si>
  <si>
    <t>Line balancing shares the work of making one unit among the stations of a line so that every station finishes within takt time and as little time as possible is spent waiting. This workbook keeps the work as a list of elements with their seconds, type and predecessor, adds up each station's time for today's assignment and for a proposed one, and compares the two: the station with the most time is the bottleneck and sets the pace; balance efficiency says how much of the paid station time is work.</t>
  </si>
  <si>
    <t>Calculations</t>
  </si>
  <si>
    <t>Quantity</t>
  </si>
  <si>
    <t>How it is calculated</t>
  </si>
  <si>
    <t>Units</t>
  </si>
  <si>
    <t>Net available time x 60 / customer demand per shift (Setup).</t>
  </si>
  <si>
    <t>Station position</t>
  </si>
  <si>
    <t>The station's row in the Setup station list (MATCH): the line order.</t>
  </si>
  <si>
    <t>-</t>
  </si>
  <si>
    <t>Station time</t>
  </si>
  <si>
    <t>SUMIFS of element seconds assigned to the station (current or proposed). An element with no proposed station is removed in the proposal.</t>
  </si>
  <si>
    <t>Time by type</t>
  </si>
  <si>
    <t>Station time split by element type: value-adding, necessary non-value, waste (SUMIFS by station and type). The Yamazumi charts stack these.</t>
  </si>
  <si>
    <t>Load</t>
  </si>
  <si>
    <t>Station time / takt time.</t>
  </si>
  <si>
    <t>% of takt</t>
  </si>
  <si>
    <t>Idle vs takt</t>
  </si>
  <si>
    <t>Takt time - station time (negative = the station is over takt).</t>
  </si>
  <si>
    <t>Under capacity below the Near-capacity threshold, Near capacity from it up to the Over-capacity threshold, Over capacity above it (Setup); Not used for a station with no elements.</t>
  </si>
  <si>
    <t>Stations used</t>
  </si>
  <si>
    <t>Stations with time above zero: one operator each.</t>
  </si>
  <si>
    <t>Sum of the station times.</t>
  </si>
  <si>
    <t>Bottleneck</t>
  </si>
  <si>
    <t>The station with the longest time, and its time.</t>
  </si>
  <si>
    <t>Work content / (stations used x bottleneck time).</t>
  </si>
  <si>
    <t>1 - balance efficiency.</t>
  </si>
  <si>
    <t>Stations used x bottleneck time - work content.</t>
  </si>
  <si>
    <t>Takt time - bottleneck time (negative = the line cannot make demand).</t>
  </si>
  <si>
    <t>Net available time x 60 / bottleneck time.</t>
  </si>
  <si>
    <t>Stations used x labour cost per hour x bottleneck time / 3600: every operator is paid for the bottleneck's cycle. An estimate in your currency; no exchange rate is applied.</t>
  </si>
  <si>
    <t>currency</t>
  </si>
  <si>
    <t>Theoretical minimum stations</t>
  </si>
  <si>
    <t>CEILING(work content / takt time, 1).</t>
  </si>
  <si>
    <t>Chart scale (helper)</t>
  </si>
  <si>
    <t>Hidden Dashboard columns AN:AO: 1.1 x the largest of every station time and takt, plotted as an invisible series so both Yamazumi charts share one scale.</t>
  </si>
  <si>
    <t>Assumptions</t>
  </si>
  <si>
    <t>One operator per station, and every operator works the whole bottleneck cycle (paced line).</t>
  </si>
  <si>
    <t>Element times are averages from a time study and the same at any station.</t>
  </si>
  <si>
    <t>Each element has at most one predecessor; where an element depends on two, give it the later one.</t>
  </si>
  <si>
    <t>The station list order on Setup is the line order.</t>
  </si>
  <si>
    <t>Limitations</t>
  </si>
  <si>
    <t>Balance efficiency uses average times. Variation at a station near takt still causes waiting; leave margin, and use the Cycle Time Tracker to see the spread.</t>
  </si>
  <si>
    <t>Precedence is checked for one predecessor per element; zoning rules (an element that must stay at a station with a fixture or a tool) are not checked.</t>
  </si>
  <si>
    <t>Labour cost per unit counts direct labour on the line only.</t>
  </si>
  <si>
    <t>The Dashboard has fixed blocks for the 7 stations in the example list (a warning appears when the list is longer).</t>
  </si>
  <si>
    <t>Agreement with the live calculator</t>
  </si>
  <si>
    <t>The live Line Balance calculator takes up to four station times and a target takt and returns the bottleneck, balance efficiency = total station time / (active stations x bottleneck), idle time per cycle = active stations x bottleneck - total and the takt gap = takt - bottleneck. The before-and-after table uses the same formulas for any number of stations, from station times built up from work elements. The build checks the reference against the calculator's engine for its default example (42, 55, 48 and 39 s against a 60 s takt: 83.6%, 55 s, 36 s, 5 s) and the Verify sheet's proposed balance. Output, labour cost and minimum stations are this workbook's additions.</t>
  </si>
  <si>
    <t>Open the Line Balance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</si>
  <si>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</si>
  <si>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</si>
  <si>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Groover, Automation, Production Systems, and Computer-Integrated Manufacturing (manual assembly line balancing: balance efficiency, balance delay, minimum stations).</t>
  </si>
  <si>
    <t>Rother and Harris, Creating Continuous Flow (Lean Enterprise Institute): operator balance charts and takt.</t>
  </si>
  <si>
    <t>MFG Calcs Line Balance calculator (line-balance): bottleneck, balance efficiency, idle time and takt gap for up to four stations.</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</si>
  <si>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</si>
  <si>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</si>
  <si>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</si>
  <si>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</si>
  <si>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</si>
  <si>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</si>
  <si>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</si>
  <si>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</si>
  <si>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</si>
  <si>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</si>
  <si>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Expected (reference)</t>
  </si>
  <si>
    <t>Workbook result</t>
  </si>
  <si>
    <t>Difference</t>
  </si>
  <si>
    <t>Tolerance</t>
  </si>
  <si>
    <t>Result</t>
  </si>
  <si>
    <t>Takt time (480 min x 60 / 480 units)</t>
  </si>
  <si>
    <t>Element 1: current station time (station A)</t>
  </si>
  <si>
    <t>Element 6: proposed station time (moved to B)</t>
  </si>
  <si>
    <t>Element 6: proposed load</t>
  </si>
  <si>
    <t>Element 6: proposed status</t>
  </si>
  <si>
    <t>Under capacity</t>
  </si>
  <si>
    <t>exact</t>
  </si>
  <si>
    <t>Element 4: removed in the proposal</t>
  </si>
  <si>
    <t>Removed</t>
  </si>
  <si>
    <t>Element 6: Check flags a predecessor that is not on the list</t>
  </si>
  <si>
    <t>Predecessor not found</t>
  </si>
  <si>
    <t>Element 8: Check flags a proposed station before its predecessor</t>
  </si>
  <si>
    <t>Proposed: predecessor later</t>
  </si>
  <si>
    <t>Element 2: Check reads OK</t>
  </si>
  <si>
    <t>OK</t>
  </si>
  <si>
    <t>Current station A: time</t>
  </si>
  <si>
    <t>Current station B: time</t>
  </si>
  <si>
    <t>Current station C: time</t>
  </si>
  <si>
    <t>Current station D: time</t>
  </si>
  <si>
    <t>Current station B: waste seconds</t>
  </si>
  <si>
    <t>Current station C: necessary non-value seconds</t>
  </si>
  <si>
    <t>Current station B: idle vs takt</t>
  </si>
  <si>
    <t>Current station B: status</t>
  </si>
  <si>
    <t>Near capacity</t>
  </si>
  <si>
    <t>Proposed station B: time</t>
  </si>
  <si>
    <t>Proposed station D: load</t>
  </si>
  <si>
    <t>Current: stations used</t>
  </si>
  <si>
    <t>Current: work content</t>
  </si>
  <si>
    <t>Current: bottleneck station</t>
  </si>
  <si>
    <t>B</t>
  </si>
  <si>
    <t>Current: bottleneck time</t>
  </si>
  <si>
    <t>Current: balance efficiency</t>
  </si>
  <si>
    <t>Current: idle time per cycle</t>
  </si>
  <si>
    <t>Current: takt gap</t>
  </si>
  <si>
    <t>Current: labour cost per unit</t>
  </si>
  <si>
    <t>Proposed: stations used</t>
  </si>
  <si>
    <t>Proposed: work content</t>
  </si>
  <si>
    <t>Proposed: bottleneck station</t>
  </si>
  <si>
    <t>Proposed: bottleneck time</t>
  </si>
  <si>
    <t>Proposed: balance efficiency</t>
  </si>
  <si>
    <t>Proposed: idle time per cycle</t>
  </si>
  <si>
    <t>Proposed: takt gap</t>
  </si>
  <si>
    <t>Proposed: labour cost per unit</t>
  </si>
  <si>
    <t>Current: waste seconds (element 4)</t>
  </si>
  <si>
    <t>Proposed: waste seconds (element 4 removed)</t>
  </si>
  <si>
    <t>Proposed: value-adding seconds</t>
  </si>
  <si>
    <t>Current: balance delay</t>
  </si>
  <si>
    <t>Current: output per shift</t>
  </si>
  <si>
    <t>Current: theoretical minimum stations</t>
  </si>
  <si>
    <t>Current: bottleneck against takt</t>
  </si>
  <si>
    <t>Fixed test inputs</t>
  </si>
  <si>
    <t>White cells are fixed test inputs; blue cells are the workbook's formulas evaluated on them.</t>
  </si>
  <si>
    <t>Parameters</t>
  </si>
  <si>
    <t>Test takt inputs (480 min, 480 units: takt 60 s)</t>
  </si>
  <si>
    <t>Test table: Stations</t>
  </si>
  <si>
    <t>A</t>
  </si>
  <si>
    <t>Test station A</t>
  </si>
  <si>
    <t>Test station B</t>
  </si>
  <si>
    <t>C</t>
  </si>
  <si>
    <t>Test station C</t>
  </si>
  <si>
    <t>D</t>
  </si>
  <si>
    <t>Test station D</t>
  </si>
  <si>
    <t>Test table: Elements</t>
  </si>
  <si>
    <t>e1</t>
  </si>
  <si>
    <t>e2</t>
  </si>
  <si>
    <t>e3</t>
  </si>
  <si>
    <t>e4 (waiting)</t>
  </si>
  <si>
    <t>e5</t>
  </si>
  <si>
    <t>e6</t>
  </si>
  <si>
    <t>e7</t>
  </si>
  <si>
    <t>e8</t>
  </si>
  <si>
    <t>Test grid: current balance by station</t>
  </si>
  <si>
    <t>Test grid: proposed balance by station</t>
  </si>
  <si>
    <t>Test grid: before and after</t>
  </si>
</sst>
</file>

<file path=xl/styles.xml><?xml version="1.0" encoding="utf-8"?>
<styleSheet xmlns="http://schemas.openxmlformats.org/spreadsheetml/2006/main">
  <numFmts count="14">
    <numFmt numFmtId="164" formatCode="#,##0"/>
    <numFmt numFmtId="165" formatCode="#,##0.00"/>
    <numFmt numFmtId="166" formatCode="0%"/>
    <numFmt numFmtId="167" formatCode="#,##0.0"/>
    <numFmt numFmtId="168" formatCode="0.0%"/>
    <numFmt numFmtId="169" formatCode="&quot;Takt &quot;#,##0.0"/>
    <numFmt numFmtId="170" formatCode="&quot;Target &quot;0.0%"/>
    <numFmt numFmtId="171" formatCode="&quot;Demand &quot;#,##0"/>
    <numFmt numFmtId="172" formatCode="&quot;Current &quot;#,##0.00"/>
    <numFmt numFmtId="173" formatCode="+#,##0.0;-#,##0.0;0.0"/>
    <numFmt numFmtId="174" formatCode="0.0000"/>
    <numFmt numFmtId="175" formatCode="0.0E+00"/>
    <numFmt numFmtId="176" formatCode="0.00%"/>
    <numFmt numFmtId="177" formatCode="#,##0.0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i/>
      <sz val="9"/>
      <color rgb="FF6B7280"/>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9" fillId="4" borderId="3" xfId="0" applyNumberFormat="1" applyFont="1" applyFill="1" applyBorder="1" applyAlignment="1">
      <alignment vertical="center"/>
    </xf>
    <xf numFmtId="166"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167"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0" fillId="4" borderId="3" xfId="0" applyFont="1" applyFill="1" applyBorder="1" applyAlignment="1">
      <alignment vertical="center"/>
    </xf>
    <xf numFmtId="0" fontId="21" fillId="9" borderId="6" xfId="0" applyFont="1" applyFill="1" applyBorder="1" applyAlignment="1">
      <alignment vertical="center" wrapText="1"/>
    </xf>
    <xf numFmtId="167"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0" fontId="22" fillId="9" borderId="7" xfId="0" applyFont="1" applyFill="1" applyBorder="1" applyAlignment="1">
      <alignment vertical="center"/>
    </xf>
    <xf numFmtId="169" fontId="22" fillId="9" borderId="7" xfId="0" applyNumberFormat="1" applyFont="1" applyFill="1" applyBorder="1" applyAlignment="1">
      <alignment horizontal="left" vertical="center"/>
    </xf>
    <xf numFmtId="170" fontId="22" fillId="9" borderId="7" xfId="0" applyNumberFormat="1" applyFont="1" applyFill="1" applyBorder="1" applyAlignment="1">
      <alignment horizontal="left" vertical="center"/>
    </xf>
    <xf numFmtId="0" fontId="21"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7" fontId="10" fillId="0" borderId="9" xfId="0" applyNumberFormat="1" applyFont="1" applyBorder="1" applyAlignment="1">
      <alignment vertical="center"/>
    </xf>
    <xf numFmtId="0" fontId="4" fillId="9" borderId="7" xfId="0" applyFont="1" applyFill="1" applyBorder="1" applyAlignment="1">
      <alignment horizontal="left" vertical="center"/>
    </xf>
    <xf numFmtId="164"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171" fontId="22" fillId="9" borderId="7" xfId="0" applyNumberFormat="1" applyFont="1" applyFill="1" applyBorder="1" applyAlignment="1">
      <alignment horizontal="left" vertical="center"/>
    </xf>
    <xf numFmtId="172" fontId="22" fillId="9" borderId="7" xfId="0" applyNumberFormat="1" applyFont="1" applyFill="1" applyBorder="1" applyAlignment="1">
      <alignment horizontal="left" vertical="center"/>
    </xf>
    <xf numFmtId="0" fontId="9" fillId="0" borderId="9" xfId="0" applyFont="1" applyBorder="1" applyAlignment="1">
      <alignment horizontal="center" vertical="center"/>
    </xf>
    <xf numFmtId="168" fontId="10" fillId="4" borderId="3" xfId="0" applyNumberFormat="1" applyFont="1" applyFill="1" applyBorder="1" applyAlignment="1">
      <alignment vertical="center"/>
    </xf>
    <xf numFmtId="173"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23" fillId="0" borderId="0" xfId="0" applyFont="1" applyAlignment="1">
      <alignment horizontal="center" vertical="center"/>
    </xf>
    <xf numFmtId="167" fontId="9"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9" fillId="0" borderId="9" xfId="0" applyNumberFormat="1" applyFont="1" applyBorder="1" applyAlignment="1">
      <alignment horizontal="center" vertical="center"/>
    </xf>
    <xf numFmtId="174" fontId="10" fillId="0" borderId="9" xfId="0" applyNumberFormat="1" applyFont="1" applyBorder="1" applyAlignment="1">
      <alignment vertical="center"/>
    </xf>
    <xf numFmtId="174" fontId="10" fillId="4" borderId="3" xfId="0" applyNumberFormat="1" applyFont="1" applyFill="1" applyBorder="1" applyAlignment="1">
      <alignment vertical="center"/>
    </xf>
    <xf numFmtId="175" fontId="10" fillId="4" borderId="3" xfId="0" applyNumberFormat="1" applyFont="1" applyFill="1" applyBorder="1" applyAlignment="1">
      <alignment vertical="center"/>
    </xf>
    <xf numFmtId="175" fontId="10" fillId="0" borderId="9" xfId="0" applyNumberFormat="1" applyFont="1" applyBorder="1" applyAlignment="1">
      <alignment vertical="center"/>
    </xf>
    <xf numFmtId="165" fontId="10" fillId="0" borderId="9" xfId="0" applyNumberFormat="1" applyFont="1" applyBorder="1" applyAlignment="1">
      <alignment vertical="center"/>
    </xf>
    <xf numFmtId="176" fontId="10" fillId="0" borderId="9" xfId="0" applyNumberFormat="1" applyFont="1" applyBorder="1" applyAlignment="1">
      <alignment vertical="center"/>
    </xf>
    <xf numFmtId="176" fontId="10" fillId="4" borderId="3" xfId="0" applyNumberFormat="1" applyFont="1" applyFill="1" applyBorder="1" applyAlignment="1">
      <alignment vertical="center"/>
    </xf>
    <xf numFmtId="0" fontId="10" fillId="4" borderId="3" xfId="0" applyFont="1" applyFill="1" applyBorder="1" applyAlignment="1">
      <alignment vertical="center"/>
    </xf>
    <xf numFmtId="164" fontId="10" fillId="0" borderId="9" xfId="0" applyNumberFormat="1" applyFont="1" applyBorder="1" applyAlignment="1">
      <alignment vertical="center"/>
    </xf>
    <xf numFmtId="177" fontId="10" fillId="0" borderId="9" xfId="0" applyNumberFormat="1" applyFont="1" applyBorder="1" applyAlignment="1">
      <alignment vertical="center"/>
    </xf>
    <xf numFmtId="177" fontId="10" fillId="4" borderId="3" xfId="0" applyNumberFormat="1" applyFont="1" applyFill="1" applyBorder="1" applyAlignment="1">
      <alignment vertical="center"/>
    </xf>
    <xf numFmtId="166"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Current balance (Yamazumi, s)</a:t>
            </a:r>
          </a:p>
        </c:rich>
      </c:tx>
      <c:layout/>
    </c:title>
    <c:plotArea>
      <c:layout/>
      <c:barChart>
        <c:barDir val="col"/>
        <c:grouping val="stacked"/>
        <c:ser>
          <c:idx val="0"/>
          <c:order val="0"/>
          <c:tx>
            <c:v>Value-adding</c:v>
          </c:tx>
          <c:spPr>
            <a:solidFill>
              <a:srgbClr val="3B64D8"/>
            </a:solidFill>
            <a:ln w="9525">
              <a:solidFill>
                <a:srgbClr val="FFFFFF"/>
              </a:solidFill>
            </a:ln>
          </c:spPr>
          <c:cat>
            <c:strRef>
              <c:f>Dashboard!$B$55:$B$61</c:f>
              <c:strCache>
                <c:ptCount val="7"/>
                <c:pt idx="0">
                  <c:v>ST1</c:v>
                </c:pt>
                <c:pt idx="1">
                  <c:v>ST2</c:v>
                </c:pt>
                <c:pt idx="2">
                  <c:v>ST3</c:v>
                </c:pt>
                <c:pt idx="3">
                  <c:v>ST4</c:v>
                </c:pt>
                <c:pt idx="4">
                  <c:v>ST5</c:v>
                </c:pt>
                <c:pt idx="5">
                  <c:v>ST6</c:v>
                </c:pt>
                <c:pt idx="6">
                  <c:v>ST7</c:v>
                </c:pt>
              </c:strCache>
            </c:strRef>
          </c:cat>
          <c:val>
            <c:numRef>
              <c:f>Dashboard!$D$55:$D$61</c:f>
              <c:numCache>
                <c:formatCode>General</c:formatCode>
                <c:ptCount val="7"/>
                <c:pt idx="0">
                  <c:v>24</c:v>
                </c:pt>
                <c:pt idx="1">
                  <c:v>37</c:v>
                </c:pt>
                <c:pt idx="2">
                  <c:v>46</c:v>
                </c:pt>
                <c:pt idx="3">
                  <c:v>37</c:v>
                </c:pt>
                <c:pt idx="4">
                  <c:v>9</c:v>
                </c:pt>
                <c:pt idx="5">
                  <c:v>0</c:v>
                </c:pt>
                <c:pt idx="6">
                  <c:v>0</c:v>
                </c:pt>
              </c:numCache>
            </c:numRef>
          </c:val>
        </c:ser>
        <c:ser>
          <c:idx val="1"/>
          <c:order val="1"/>
          <c:tx>
            <c:v>Necessary non-value</c:v>
          </c:tx>
          <c:spPr>
            <a:solidFill>
              <a:srgbClr val="1BA37A"/>
            </a:solidFill>
            <a:ln w="9525">
              <a:solidFill>
                <a:srgbClr val="FFFFFF"/>
              </a:solidFill>
            </a:ln>
          </c:spPr>
          <c:cat>
            <c:strRef>
              <c:f>Dashboard!$B$55:$B$61</c:f>
              <c:strCache>
                <c:ptCount val="7"/>
                <c:pt idx="0">
                  <c:v>ST1</c:v>
                </c:pt>
                <c:pt idx="1">
                  <c:v>ST2</c:v>
                </c:pt>
                <c:pt idx="2">
                  <c:v>ST3</c:v>
                </c:pt>
                <c:pt idx="3">
                  <c:v>ST4</c:v>
                </c:pt>
                <c:pt idx="4">
                  <c:v>ST5</c:v>
                </c:pt>
                <c:pt idx="5">
                  <c:v>ST6</c:v>
                </c:pt>
                <c:pt idx="6">
                  <c:v>ST7</c:v>
                </c:pt>
              </c:strCache>
            </c:strRef>
          </c:cat>
          <c:val>
            <c:numRef>
              <c:f>Dashboard!$E$55:$E$61</c:f>
              <c:numCache>
                <c:formatCode>General</c:formatCode>
                <c:ptCount val="7"/>
                <c:pt idx="0">
                  <c:v>11</c:v>
                </c:pt>
                <c:pt idx="1">
                  <c:v>10</c:v>
                </c:pt>
                <c:pt idx="2">
                  <c:v>0</c:v>
                </c:pt>
                <c:pt idx="3">
                  <c:v>4</c:v>
                </c:pt>
                <c:pt idx="4">
                  <c:v>29</c:v>
                </c:pt>
                <c:pt idx="5">
                  <c:v>32</c:v>
                </c:pt>
                <c:pt idx="6">
                  <c:v>22</c:v>
                </c:pt>
              </c:numCache>
            </c:numRef>
          </c:val>
        </c:ser>
        <c:ser>
          <c:idx val="2"/>
          <c:order val="2"/>
          <c:tx>
            <c:v>Waste</c:v>
          </c:tx>
          <c:spPr>
            <a:solidFill>
              <a:srgbClr val="E8702A"/>
            </a:solidFill>
            <a:ln w="9525">
              <a:solidFill>
                <a:srgbClr val="FFFFFF"/>
              </a:solidFill>
            </a:ln>
          </c:spPr>
          <c:cat>
            <c:strRef>
              <c:f>Dashboard!$B$55:$B$61</c:f>
              <c:strCache>
                <c:ptCount val="7"/>
                <c:pt idx="0">
                  <c:v>ST1</c:v>
                </c:pt>
                <c:pt idx="1">
                  <c:v>ST2</c:v>
                </c:pt>
                <c:pt idx="2">
                  <c:v>ST3</c:v>
                </c:pt>
                <c:pt idx="3">
                  <c:v>ST4</c:v>
                </c:pt>
                <c:pt idx="4">
                  <c:v>ST5</c:v>
                </c:pt>
                <c:pt idx="5">
                  <c:v>ST6</c:v>
                </c:pt>
                <c:pt idx="6">
                  <c:v>ST7</c:v>
                </c:pt>
              </c:strCache>
            </c:strRef>
          </c:cat>
          <c:val>
            <c:numRef>
              <c:f>Dashboard!$F$55:$F$61</c:f>
              <c:numCache>
                <c:formatCode>General</c:formatCode>
                <c:ptCount val="7"/>
                <c:pt idx="0">
                  <c:v>5</c:v>
                </c:pt>
                <c:pt idx="1">
                  <c:v>0</c:v>
                </c:pt>
                <c:pt idx="2">
                  <c:v>14</c:v>
                </c:pt>
                <c:pt idx="3">
                  <c:v>0</c:v>
                </c:pt>
                <c:pt idx="4">
                  <c:v>4</c:v>
                </c:pt>
                <c:pt idx="5">
                  <c:v>6</c:v>
                </c:pt>
                <c:pt idx="6">
                  <c:v>10</c:v>
                </c:pt>
              </c:numCache>
            </c:numRef>
          </c:val>
        </c:ser>
        <c:gapWidth val="55"/>
        <c:overlap val="100"/>
        <c:axId val="50010001"/>
        <c:axId val="50010002"/>
      </c:barChart>
      <c:lineChart>
        <c:grouping val="standard"/>
        <c:ser>
          <c:idx val="3"/>
          <c:order val="3"/>
          <c:tx>
            <c:v>Takt</c:v>
          </c:tx>
          <c:spPr>
            <a:ln w="19050">
              <a:solidFill>
                <a:srgbClr val="B3000C"/>
              </a:solidFill>
              <a:prstDash val="dash"/>
            </a:ln>
          </c:spPr>
          <c:marker>
            <c:symbol val="none"/>
          </c:marker>
          <c:cat>
            <c:strRef>
              <c:f>Dashboard!$B$55:$B$61</c:f>
              <c:strCache>
                <c:ptCount val="7"/>
                <c:pt idx="0">
                  <c:v>ST1</c:v>
                </c:pt>
                <c:pt idx="1">
                  <c:v>ST2</c:v>
                </c:pt>
                <c:pt idx="2">
                  <c:v>ST3</c:v>
                </c:pt>
                <c:pt idx="3">
                  <c:v>ST4</c:v>
                </c:pt>
                <c:pt idx="4">
                  <c:v>ST5</c:v>
                </c:pt>
                <c:pt idx="5">
                  <c:v>ST6</c:v>
                </c:pt>
                <c:pt idx="6">
                  <c:v>ST7</c:v>
                </c:pt>
              </c:strCache>
            </c:strRef>
          </c:cat>
          <c:val>
            <c:numRef>
              <c:f>Dashboard!$H$55:$H$61</c:f>
              <c:numCache>
                <c:formatCode>General</c:formatCode>
                <c:ptCount val="7"/>
                <c:pt idx="0">
                  <c:v>56.25</c:v>
                </c:pt>
                <c:pt idx="1">
                  <c:v>56.25</c:v>
                </c:pt>
                <c:pt idx="2">
                  <c:v>56.25</c:v>
                </c:pt>
                <c:pt idx="3">
                  <c:v>56.25</c:v>
                </c:pt>
                <c:pt idx="4">
                  <c:v>56.25</c:v>
                </c:pt>
                <c:pt idx="5">
                  <c:v>56.25</c:v>
                </c:pt>
                <c:pt idx="6">
                  <c:v>56.25</c:v>
                </c:pt>
              </c:numCache>
            </c:numRef>
          </c:val>
        </c:ser>
        <c:ser>
          <c:idx val="4"/>
          <c:order val="4"/>
          <c:tx>
            <c:v>Scale</c:v>
          </c:tx>
          <c:spPr>
            <a:ln>
              <a:noFill/>
            </a:ln>
          </c:spPr>
          <c:marker>
            <c:symbol val="none"/>
          </c:marker>
          <c:cat>
            <c:strRef>
              <c:f>Dashboard!$B$55:$B$61</c:f>
              <c:strCache>
                <c:ptCount val="7"/>
                <c:pt idx="0">
                  <c:v>ST1</c:v>
                </c:pt>
                <c:pt idx="1">
                  <c:v>ST2</c:v>
                </c:pt>
                <c:pt idx="2">
                  <c:v>ST3</c:v>
                </c:pt>
                <c:pt idx="3">
                  <c:v>ST4</c:v>
                </c:pt>
                <c:pt idx="4">
                  <c:v>ST5</c:v>
                </c:pt>
                <c:pt idx="5">
                  <c:v>ST6</c:v>
                </c:pt>
                <c:pt idx="6">
                  <c:v>ST7</c:v>
                </c:pt>
              </c:strCache>
            </c:strRef>
          </c:cat>
          <c:val>
            <c:numRef>
              <c:f>Dashboard!$AP$11:$AP$17</c:f>
              <c:numCache>
                <c:formatCode>General</c:formatCode>
                <c:ptCount val="7"/>
                <c:pt idx="0">
                  <c:v>66</c:v>
                </c:pt>
                <c:pt idx="1">
                  <c:v>66</c:v>
                </c:pt>
                <c:pt idx="2">
                  <c:v>66</c:v>
                </c:pt>
                <c:pt idx="3">
                  <c:v>66</c:v>
                </c:pt>
                <c:pt idx="4">
                  <c:v>66</c:v>
                </c:pt>
                <c:pt idx="5">
                  <c:v>66</c:v>
                </c:pt>
                <c:pt idx="6">
                  <c:v>66</c:v>
                </c:pt>
              </c:numCache>
            </c:numRef>
          </c:val>
        </c:ser>
        <c:marker val="1"/>
        <c:axId val="50010001"/>
        <c:axId val="50010002"/>
      </c:line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egendEntry>
        <c:idx val="4"/>
        <c:delete val="1"/>
      </c:legendEntry>
      <c:layout/>
      <c:txPr>
        <a:bodyPr/>
        <a:lstStyle/>
        <a:p>
          <a:pPr>
            <a:defRPr sz="900" baseline="0">
              <a:solidFill>
                <a:srgbClr val="4A5361"/>
              </a:solidFill>
              <a:latin typeface="Calibri"/>
            </a:defRPr>
          </a:pPr>
          <a:endParaRPr lang="en-US"/>
        </a:p>
      </c:txPr>
    </c:legend>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Proposed balance (Yamazumi, s)</a:t>
            </a:r>
          </a:p>
        </c:rich>
      </c:tx>
      <c:layout/>
    </c:title>
    <c:plotArea>
      <c:layout/>
      <c:barChart>
        <c:barDir val="col"/>
        <c:grouping val="stacked"/>
        <c:ser>
          <c:idx val="0"/>
          <c:order val="0"/>
          <c:tx>
            <c:v>Value-adding</c:v>
          </c:tx>
          <c:spPr>
            <a:solidFill>
              <a:srgbClr val="3B64D8"/>
            </a:solidFill>
            <a:ln w="9525">
              <a:solidFill>
                <a:srgbClr val="FFFFFF"/>
              </a:solidFill>
            </a:ln>
          </c:spPr>
          <c:cat>
            <c:strRef>
              <c:f>Dashboard!$B$66:$B$72</c:f>
              <c:strCache>
                <c:ptCount val="7"/>
                <c:pt idx="0">
                  <c:v>ST1</c:v>
                </c:pt>
                <c:pt idx="1">
                  <c:v>ST2</c:v>
                </c:pt>
                <c:pt idx="2">
                  <c:v>ST3</c:v>
                </c:pt>
                <c:pt idx="3">
                  <c:v>ST4</c:v>
                </c:pt>
                <c:pt idx="4">
                  <c:v>ST5</c:v>
                </c:pt>
                <c:pt idx="5">
                  <c:v>ST6</c:v>
                </c:pt>
                <c:pt idx="6">
                  <c:v>ST7</c:v>
                </c:pt>
              </c:strCache>
            </c:strRef>
          </c:cat>
          <c:val>
            <c:numRef>
              <c:f>Dashboard!$D$66:$D$72</c:f>
              <c:numCache>
                <c:formatCode>General</c:formatCode>
                <c:ptCount val="7"/>
                <c:pt idx="0">
                  <c:v>24</c:v>
                </c:pt>
                <c:pt idx="1">
                  <c:v>49</c:v>
                </c:pt>
                <c:pt idx="2">
                  <c:v>42</c:v>
                </c:pt>
                <c:pt idx="3">
                  <c:v>38</c:v>
                </c:pt>
                <c:pt idx="4">
                  <c:v>0</c:v>
                </c:pt>
                <c:pt idx="5">
                  <c:v>0</c:v>
                </c:pt>
                <c:pt idx="6">
                  <c:v>0</c:v>
                </c:pt>
              </c:numCache>
            </c:numRef>
          </c:val>
        </c:ser>
        <c:ser>
          <c:idx val="1"/>
          <c:order val="1"/>
          <c:tx>
            <c:v>Necessary non-value</c:v>
          </c:tx>
          <c:spPr>
            <a:solidFill>
              <a:srgbClr val="1BA37A"/>
            </a:solidFill>
            <a:ln w="9525">
              <a:solidFill>
                <a:srgbClr val="FFFFFF"/>
              </a:solidFill>
            </a:ln>
          </c:spPr>
          <c:cat>
            <c:strRef>
              <c:f>Dashboard!$B$66:$B$72</c:f>
              <c:strCache>
                <c:ptCount val="7"/>
                <c:pt idx="0">
                  <c:v>ST1</c:v>
                </c:pt>
                <c:pt idx="1">
                  <c:v>ST2</c:v>
                </c:pt>
                <c:pt idx="2">
                  <c:v>ST3</c:v>
                </c:pt>
                <c:pt idx="3">
                  <c:v>ST4</c:v>
                </c:pt>
                <c:pt idx="4">
                  <c:v>ST5</c:v>
                </c:pt>
                <c:pt idx="5">
                  <c:v>ST6</c:v>
                </c:pt>
                <c:pt idx="6">
                  <c:v>ST7</c:v>
                </c:pt>
              </c:strCache>
            </c:strRef>
          </c:cat>
          <c:val>
            <c:numRef>
              <c:f>Dashboard!$E$66:$E$72</c:f>
              <c:numCache>
                <c:formatCode>General</c:formatCode>
                <c:ptCount val="7"/>
                <c:pt idx="0">
                  <c:v>21</c:v>
                </c:pt>
                <c:pt idx="1">
                  <c:v>0</c:v>
                </c:pt>
                <c:pt idx="2">
                  <c:v>0</c:v>
                </c:pt>
                <c:pt idx="3">
                  <c:v>4</c:v>
                </c:pt>
                <c:pt idx="4">
                  <c:v>49</c:v>
                </c:pt>
                <c:pt idx="5">
                  <c:v>34</c:v>
                </c:pt>
                <c:pt idx="6">
                  <c:v>0</c:v>
                </c:pt>
              </c:numCache>
            </c:numRef>
          </c:val>
        </c:ser>
        <c:ser>
          <c:idx val="2"/>
          <c:order val="2"/>
          <c:tx>
            <c:v>Waste</c:v>
          </c:tx>
          <c:spPr>
            <a:solidFill>
              <a:srgbClr val="E8702A"/>
            </a:solidFill>
            <a:ln w="9525">
              <a:solidFill>
                <a:srgbClr val="FFFFFF"/>
              </a:solidFill>
            </a:ln>
          </c:spPr>
          <c:cat>
            <c:strRef>
              <c:f>Dashboard!$B$66:$B$72</c:f>
              <c:strCache>
                <c:ptCount val="7"/>
                <c:pt idx="0">
                  <c:v>ST1</c:v>
                </c:pt>
                <c:pt idx="1">
                  <c:v>ST2</c:v>
                </c:pt>
                <c:pt idx="2">
                  <c:v>ST3</c:v>
                </c:pt>
                <c:pt idx="3">
                  <c:v>ST4</c:v>
                </c:pt>
                <c:pt idx="4">
                  <c:v>ST5</c:v>
                </c:pt>
                <c:pt idx="5">
                  <c:v>ST6</c:v>
                </c:pt>
                <c:pt idx="6">
                  <c:v>ST7</c:v>
                </c:pt>
              </c:strCache>
            </c:strRef>
          </c:cat>
          <c:val>
            <c:numRef>
              <c:f>Dashboard!$F$66:$F$72</c:f>
              <c:numCache>
                <c:formatCode>General</c:formatCode>
                <c:ptCount val="7"/>
                <c:pt idx="0">
                  <c:v>5</c:v>
                </c:pt>
                <c:pt idx="1">
                  <c:v>0</c:v>
                </c:pt>
                <c:pt idx="2">
                  <c:v>7</c:v>
                </c:pt>
                <c:pt idx="3">
                  <c:v>0</c:v>
                </c:pt>
                <c:pt idx="4">
                  <c:v>4</c:v>
                </c:pt>
                <c:pt idx="5">
                  <c:v>16</c:v>
                </c:pt>
                <c:pt idx="6">
                  <c:v>0</c:v>
                </c:pt>
              </c:numCache>
            </c:numRef>
          </c:val>
        </c:ser>
        <c:gapWidth val="55"/>
        <c:overlap val="100"/>
        <c:axId val="50020001"/>
        <c:axId val="50020002"/>
      </c:barChart>
      <c:lineChart>
        <c:grouping val="standard"/>
        <c:ser>
          <c:idx val="3"/>
          <c:order val="3"/>
          <c:tx>
            <c:v>Takt</c:v>
          </c:tx>
          <c:spPr>
            <a:ln w="19050">
              <a:solidFill>
                <a:srgbClr val="B3000C"/>
              </a:solidFill>
              <a:prstDash val="dash"/>
            </a:ln>
          </c:spPr>
          <c:marker>
            <c:symbol val="none"/>
          </c:marker>
          <c:cat>
            <c:strRef>
              <c:f>Dashboard!$B$66:$B$72</c:f>
              <c:strCache>
                <c:ptCount val="7"/>
                <c:pt idx="0">
                  <c:v>ST1</c:v>
                </c:pt>
                <c:pt idx="1">
                  <c:v>ST2</c:v>
                </c:pt>
                <c:pt idx="2">
                  <c:v>ST3</c:v>
                </c:pt>
                <c:pt idx="3">
                  <c:v>ST4</c:v>
                </c:pt>
                <c:pt idx="4">
                  <c:v>ST5</c:v>
                </c:pt>
                <c:pt idx="5">
                  <c:v>ST6</c:v>
                </c:pt>
                <c:pt idx="6">
                  <c:v>ST7</c:v>
                </c:pt>
              </c:strCache>
            </c:strRef>
          </c:cat>
          <c:val>
            <c:numRef>
              <c:f>Dashboard!$H$66:$H$72</c:f>
              <c:numCache>
                <c:formatCode>General</c:formatCode>
                <c:ptCount val="7"/>
                <c:pt idx="0">
                  <c:v>56.25</c:v>
                </c:pt>
                <c:pt idx="1">
                  <c:v>56.25</c:v>
                </c:pt>
                <c:pt idx="2">
                  <c:v>56.25</c:v>
                </c:pt>
                <c:pt idx="3">
                  <c:v>56.25</c:v>
                </c:pt>
                <c:pt idx="4">
                  <c:v>56.25</c:v>
                </c:pt>
                <c:pt idx="5">
                  <c:v>56.25</c:v>
                </c:pt>
                <c:pt idx="6">
                  <c:v>56.25</c:v>
                </c:pt>
              </c:numCache>
            </c:numRef>
          </c:val>
        </c:ser>
        <c:ser>
          <c:idx val="4"/>
          <c:order val="4"/>
          <c:tx>
            <c:v>Scale</c:v>
          </c:tx>
          <c:spPr>
            <a:ln>
              <a:noFill/>
            </a:ln>
          </c:spPr>
          <c:marker>
            <c:symbol val="none"/>
          </c:marker>
          <c:cat>
            <c:strRef>
              <c:f>Dashboard!$B$66:$B$72</c:f>
              <c:strCache>
                <c:ptCount val="7"/>
                <c:pt idx="0">
                  <c:v>ST1</c:v>
                </c:pt>
                <c:pt idx="1">
                  <c:v>ST2</c:v>
                </c:pt>
                <c:pt idx="2">
                  <c:v>ST3</c:v>
                </c:pt>
                <c:pt idx="3">
                  <c:v>ST4</c:v>
                </c:pt>
                <c:pt idx="4">
                  <c:v>ST5</c:v>
                </c:pt>
                <c:pt idx="5">
                  <c:v>ST6</c:v>
                </c:pt>
                <c:pt idx="6">
                  <c:v>ST7</c:v>
                </c:pt>
              </c:strCache>
            </c:strRef>
          </c:cat>
          <c:val>
            <c:numRef>
              <c:f>Dashboard!$AP$11:$AP$17</c:f>
              <c:numCache>
                <c:formatCode>General</c:formatCode>
                <c:ptCount val="7"/>
                <c:pt idx="0">
                  <c:v>66</c:v>
                </c:pt>
                <c:pt idx="1">
                  <c:v>66</c:v>
                </c:pt>
                <c:pt idx="2">
                  <c:v>66</c:v>
                </c:pt>
                <c:pt idx="3">
                  <c:v>66</c:v>
                </c:pt>
                <c:pt idx="4">
                  <c:v>66</c:v>
                </c:pt>
                <c:pt idx="5">
                  <c:v>66</c:v>
                </c:pt>
                <c:pt idx="6">
                  <c:v>66</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egendEntry>
        <c:idx val="4"/>
        <c:delete val="1"/>
      </c:legendEntry>
      <c:layout/>
      <c:txPr>
        <a:bodyPr/>
        <a:lstStyle/>
        <a:p>
          <a:pPr>
            <a:defRPr sz="900" baseline="0">
              <a:solidFill>
                <a:srgbClr val="4A5361"/>
              </a:solidFill>
              <a:latin typeface="Calibri"/>
            </a:defRPr>
          </a:pPr>
          <a:endParaRPr lang="en-US"/>
        </a:p>
      </c:txPr>
    </c:legend>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9</xdr:row>
      <xdr:rowOff>38100</xdr:rowOff>
    </xdr:from>
    <xdr:to>
      <xdr:col>5</xdr:col>
      <xdr:colOff>676275</xdr:colOff>
      <xdr:row>25</xdr:row>
      <xdr:rowOff>161925</xdr:rowOff>
    </xdr:to>
    <xdr:graphicFrame macro="">
      <xdr:nvGraphicFramePr>
        <xdr:cNvPr id="2" name="Chart 1" descr="Stacked column chart of each station's time today, split into value-adding, necessary non-value and waste seconds, with takt time as a dashed r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9</xdr:row>
      <xdr:rowOff>38100</xdr:rowOff>
    </xdr:from>
    <xdr:to>
      <xdr:col>11</xdr:col>
      <xdr:colOff>676275</xdr:colOff>
      <xdr:row>25</xdr:row>
      <xdr:rowOff>161925</xdr:rowOff>
    </xdr:to>
    <xdr:graphicFrame macro="">
      <xdr:nvGraphicFramePr>
        <xdr:cNvPr id="3" name="Chart 2" descr="Stacked column chart of each station's time in the proposed balance, split into value-adding, necessary non-value and waste seconds, with takt time as a dashed r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Stations" displayName="tblStations" ref="B27:D34" totalsRowShown="0">
  <autoFilter ref="B27:D34"/>
  <tableColumns count="3">
    <tableColumn id="1" name="Station"/>
    <tableColumn id="2" name="Equipment"/>
    <tableColumn id="3" name="Description"/>
  </tableColumns>
  <tableStyleInfo name="TableStyleLight1" showFirstColumn="0" showLastColumn="0" showRowStripes="0" showColumnStripes="0"/>
</table>
</file>

<file path=xl/tables/table2.xml><?xml version="1.0" encoding="utf-8"?>
<table xmlns="http://schemas.openxmlformats.org/spreadsheetml/2006/main" id="2" name="tblElements" displayName="tblElements" ref="B5:P46" totalsRowShown="0">
  <autoFilter ref="B5:P46"/>
  <tableColumns count="15">
    <tableColumn id="1" name="No."/>
    <tableColumn id="2" name="Work element"/>
    <tableColumn id="3" name="Time (s)"/>
    <tableColumn id="4" name="Type"/>
    <tableColumn id="5" name="Predecessor"/>
    <tableColumn id="6" name="Current station"/>
    <tableColumn id="7" name="Proposed station"/>
    <tableColumn id="8" name="Current pos.">
      <calculatedColumnFormula>IF(tblElements[[#This Row],[No.]]="","",IFERROR(MATCH(tblElements[[#This Row],[Current station]],tblStations[Station],0),""))</calculatedColumnFormula>
    </tableColumn>
    <tableColumn id="9" name="Proposed pos.">
      <calculatedColumnFormula>IF(tblElements[[#This Row],[No.]]="","",IF(tblElements[[#This Row],[Proposed station]]="","",IFERROR(MATCH(tblElements[[#This Row],[Proposed station]],tblStations[Station],0),"")))</calculatedColumnFormula>
    </tableColumn>
    <tableColumn id="10" name="Current station time (s)">
      <calculatedColumnFormula>IF(tblElements[[#This Row],[No.]]="","",IF(tblElements[[#This Row],[Current station]]="","",SUMIFS(tblElements[Time (s)],tblElements[Current station],tblElements[[#This Row],[Current station]])))</calculatedColumnFormula>
    </tableColumn>
    <tableColumn id="11" name="Proposed station time (s)">
      <calculatedColumnFormula>IF(tblElements[[#This Row],[No.]]="","",IF(tblElements[[#This Row],[Proposed station]]="","",SUMIFS(tblElements[Time (s)],tblElements[Proposed station],tblElements[[#This Row],[Proposed station]])))</calculatedColumnFormula>
    </tableColumn>
    <tableColumn id="12" name="Proposed load (% of takt)">
      <calculatedColumnFormula>IF(tblElements[[#This Row],[No.]]="","",IF(AND(ISNUMBER(tblElements[[#This Row],[Proposed station time (s)]]),ISNUMBER(Takt)),tblElements[[#This Row],[Proposed station time (s)]]/Takt,""))</calculatedColumnFormula>
    </tableColumn>
    <tableColumn id="13" name="Proposed status">
      <calculatedColumnFormula>IF(tblElements[[#This Row],[No.]]="","",IF(tblElements[[#This Row],[Proposed station]]="","Removed",IF(NOT(ISNUMBER(tblElements[[#This Row],[Proposed load (% of takt)]])),"",IF(tblElements[[#This Row],[Proposed load (% of takt)]]&gt;OverAt,"Over capacity",IF(tblElements[[#This Row],[Proposed load (% of takt)]]&gt;=NearAt,"Near capacity","Under capacity")))))</calculatedColumnFormula>
    </tableColumn>
    <tableColumn id="14" name="Check">
      <calculatedColumnFormula>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calculatedColumnFormula>
    </tableColumn>
    <tableColumn id="15" name="Notes"/>
  </tableColumns>
  <tableStyleInfo name="TableStyleLight1" showFirstColumn="0" showLastColumn="0" showRowStripes="0" showColumnStripes="0"/>
</table>
</file>

<file path=xl/tables/table3.xml><?xml version="1.0" encoding="utf-8"?>
<table xmlns="http://schemas.openxmlformats.org/spreadsheetml/2006/main" id="3" name="tblVerifyStations" displayName="tblVerifyStations" ref="B68:D72" totalsRowShown="0">
  <tableColumns count="3">
    <tableColumn id="1" name="Station"/>
    <tableColumn id="2" name="Equipment"/>
    <tableColumn id="3" name="Description"/>
  </tableColumns>
  <tableStyleInfo name="TableStyleLight1" showFirstColumn="0" showLastColumn="0" showRowStripes="0" showColumnStripes="0"/>
</table>
</file>

<file path=xl/tables/table4.xml><?xml version="1.0" encoding="utf-8"?>
<table xmlns="http://schemas.openxmlformats.org/spreadsheetml/2006/main" id="4" name="tblVerifyElements" displayName="tblVerifyElements" ref="B75:P83" totalsRowShown="0">
  <tableColumns count="15">
    <tableColumn id="1" name="No."/>
    <tableColumn id="2" name="Work element"/>
    <tableColumn id="3" name="Time (s)"/>
    <tableColumn id="4" name="Type"/>
    <tableColumn id="5" name="Predecessor"/>
    <tableColumn id="6" name="Current station"/>
    <tableColumn id="7" name="Proposed station"/>
    <tableColumn id="8" name="Current pos.">
      <calculatedColumnFormula>IF(tblVerifyElements[[#This Row],[No.]]="","",IFERROR(MATCH(tblVerifyElements[[#This Row],[Current station]],tblVerifyStations[Station],0),""))</calculatedColumnFormula>
    </tableColumn>
    <tableColumn id="9" name="Proposed pos.">
      <calculatedColumnFormula>IF(tblVerifyElements[[#This Row],[No.]]="","",IF(tblVerifyElements[[#This Row],[Proposed station]]="","",IFERROR(MATCH(tblVerifyElements[[#This Row],[Proposed station]],tblVerifyStations[Station],0),"")))</calculatedColumnFormula>
    </tableColumn>
    <tableColumn id="10" name="Current station time (s)">
      <calculatedColumnFormula>IF(tblVerifyElements[[#This Row],[No.]]="","",IF(tblVerifyElements[[#This Row],[Current station]]="","",SUMIFS(tblVerifyElements[Time (s)],tblVerifyElements[Current station],tblVerifyElements[[#This Row],[Current station]])))</calculatedColumnFormula>
    </tableColumn>
    <tableColumn id="11" name="Proposed station time (s)">
      <calculatedColumnFormula>IF(tblVerifyElements[[#This Row],[No.]]="","",IF(tblVerifyElements[[#This Row],[Proposed station]]="","",SUMIFS(tblVerifyElements[Time (s)],tblVerifyElements[Proposed station],tblVerifyElements[[#This Row],[Proposed station]])))</calculatedColumnFormula>
    </tableColumn>
    <tableColumn id="12" name="Proposed load (% of takt)">
      <calculatedColumnFormula>IF(tblVerifyElements[[#This Row],[No.]]="","",IF(AND(ISNUMBER(tblVerifyElements[[#This Row],[Proposed station time (s)]]),ISNUMBER($E$65)),tblVerifyElements[[#This Row],[Proposed station time (s)]]/$E$65,""))</calculatedColumnFormula>
    </tableColumn>
    <tableColumn id="13" name="Proposed status">
      <calculatedColumnFormula>IF(tblVerifyElements[[#This Row],[No.]]="","",IF(tblVerifyElements[[#This Row],[Proposed station]]="","Removed",IF(NOT(ISNUMBER(tblVerifyElements[[#This Row],[Proposed load (% of takt)]])),"",IF(tblVerifyElements[[#This Row],[Proposed load (% of takt)]]&gt;$E$59,"Over capacity",IF(tblVerifyElements[[#This Row],[Proposed load (% of takt)]]&gt;=$E$58,"Near capacity","Under capacity")))))</calculatedColumnFormula>
    </tableColumn>
    <tableColumn id="14" name="Check">
      <calculatedColumnFormula>IF(tblVerifyElements[[#This Row],[No.]]="","",IF(tblVerifyElements[[#This Row],[Work element]]="","Missing work element",IF(tblVerifyElements[[#This Row],[Time (s)]]="","Missing time",IF(tblVerifyElements[[#This Row],[Type]]="","Missing type",IF(tblVerifyElements[[#This Row],[Current station]]="","Missing current station",IF(COUNTIF(tblVerifyElements[No.],tblVerifyElements[[#This Row],[No.]])&gt;1,"Duplicate No.",IF(AND(ISNUMBER(tblVerifyElements[[#This Row],[Predecessor]]),COUNTIF(tblVerifyElements[No.],tblVerifyElements[[#This Row],[Predecessor]])=0),"Predecessor not found",IF(tblVerifyElements[[#This Row],[Current pos.]]="","Current station not on Setup",IF(AND(tblVerifyElements[[#This Row],[Proposed station]]&lt;&gt;"",tblVerifyElements[[#This Row],[Proposed pos.]]=""),"Proposed station not on Setup",IF(AND(ISNUMBER(IFERROR(INDEX(tblVerifyElements[Current pos.],MATCH(tblVerifyElements[[#This Row],[Predecessor]],tblVerifyElements[No.],0)),"")),ISNUMBER(tblVerifyElements[[#This Row],[Current pos.]]),IFERROR(INDEX(tblVerifyElements[Current pos.],MATCH(tblVerifyElements[[#This Row],[Predecessor]],tblVerifyElements[No.],0)),"")&gt;tblVerifyElements[[#This Row],[Current pos.]]),"Current: predecessor later",IF(AND(ISNUMBER(IFERROR(INDEX(tblVerifyElements[Proposed pos.],MATCH(tblVerifyElements[[#This Row],[Predecessor]],tblVerifyElements[No.],0)),"")),ISNUMBER(tblVerifyElements[[#This Row],[Proposed pos.]]),IFERROR(INDEX(tblVerifyElements[Proposed pos.],MATCH(tblVerifyElements[[#This Row],[Predecessor]],tblVerifyElements[No.],0)),"")&gt;tblVerifyElements[[#This Row],[Proposed pos.]]),"Proposed: predecessor later","OK")))))))))))</calculatedColumnFormula>
    </tableColumn>
    <tableColumn id="15"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ine-balance" TargetMode="External"/><Relationship Id="rId2" Type="http://schemas.openxmlformats.org/officeDocument/2006/relationships/hyperlink" Target="https://www.mfgcalcs.com/calculators/conveyors-production-lines/line-balance?utm_source=mfgcalcs-template&amp;utm_medium=xlsx&amp;utm_campaign=line-balance" TargetMode="External"/><Relationship Id="rId3" Type="http://schemas.openxmlformats.org/officeDocument/2006/relationships/hyperlink" Target="https://www.mfgcalcs.com/templates/line-balance?utm_source=mfgcalcs-template&amp;utm_medium=xlsx&amp;utm_campaign=line-balance" TargetMode="External"/><Relationship Id="rId4" Type="http://schemas.openxmlformats.org/officeDocument/2006/relationships/hyperlink" Target="https://www.mfgcalcs.com/templates?utm_source=mfgcalcs-template&amp;utm_medium=xlsx&amp;utm_campaign=line-balance"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ine-balance"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ine-balance"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ine-balance"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ine-balance" TargetMode="External"/><Relationship Id="rId2" Type="http://schemas.openxmlformats.org/officeDocument/2006/relationships/hyperlink" Target="https://www.mfgcalcs.com/calculators/conveyors-production-lines/line-balance?utm_source=mfgcalcs-template&amp;utm_medium=xlsx&amp;utm_campaign=line-balanc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ine-balance"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42 of 42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Work Elements'!A1" tooltip="Go to Work Elements" display="Work Elements"/>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Line Balance&amp;R&amp;8&amp;A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4"/>
  <sheetViews>
    <sheetView showGridLines="0" workbookViewId="0"/>
  </sheetViews>
  <sheetFormatPr defaultRowHeight="15"/>
  <cols>
    <col min="1" max="1" width="2.7109375" customWidth="1"/>
    <col min="2" max="2" width="32.7109375" customWidth="1"/>
    <col min="3" max="3" width="16.7109375" customWidth="1"/>
    <col min="4" max="4" width="50.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65</v>
      </c>
      <c r="C4" s="8"/>
      <c r="D4" s="8"/>
    </row>
    <row r="5" spans="1:5" ht="5" customHeight="1"/>
    <row r="6" spans="1:5">
      <c r="B6" s="27" t="s">
        <v>66</v>
      </c>
      <c r="C6" s="28" t="s">
        <v>67</v>
      </c>
      <c r="D6" s="28"/>
    </row>
    <row r="8" spans="1:5">
      <c r="B8" s="27" t="s">
        <v>68</v>
      </c>
      <c r="C8" s="29">
        <v>450</v>
      </c>
      <c r="D8" s="7" t="s">
        <v>69</v>
      </c>
    </row>
    <row r="9" spans="1:5">
      <c r="B9" s="27" t="s">
        <v>70</v>
      </c>
      <c r="C9" s="29">
        <v>480</v>
      </c>
      <c r="D9" s="7" t="s">
        <v>71</v>
      </c>
    </row>
    <row r="10" spans="1:5">
      <c r="B10" s="17" t="s">
        <v>72</v>
      </c>
      <c r="C10" s="30">
        <f>IF(AND(NetMin&gt;0,Demand&gt;0),NetMin*60/Demand,"")</f>
        <v>56.25</v>
      </c>
      <c r="D10" s="7" t="s">
        <v>73</v>
      </c>
    </row>
    <row r="12" spans="1:5" ht="21" customHeight="1">
      <c r="B12" s="8" t="s">
        <v>74</v>
      </c>
      <c r="C12" s="8"/>
      <c r="D12" s="8"/>
    </row>
    <row r="13" spans="1:5" ht="5" customHeight="1"/>
    <row r="14" spans="1:5">
      <c r="B14" s="27" t="s">
        <v>75</v>
      </c>
      <c r="C14" s="31">
        <v>0.85</v>
      </c>
      <c r="D14" s="7"/>
    </row>
    <row r="15" spans="1:5">
      <c r="B15" s="27" t="s">
        <v>76</v>
      </c>
      <c r="C15" s="31">
        <v>0.9</v>
      </c>
      <c r="D15" s="7" t="s">
        <v>77</v>
      </c>
    </row>
    <row r="16" spans="1:5">
      <c r="B16" s="27" t="s">
        <v>78</v>
      </c>
      <c r="C16" s="31">
        <v>1</v>
      </c>
      <c r="D16" s="7" t="s">
        <v>77</v>
      </c>
    </row>
    <row r="18" spans="2:4" ht="21" customHeight="1">
      <c r="B18" s="8" t="s">
        <v>79</v>
      </c>
      <c r="C18" s="8"/>
      <c r="D18" s="8"/>
    </row>
    <row r="19" spans="2:4" ht="5" customHeight="1"/>
    <row r="20" spans="2:4">
      <c r="B20" s="27" t="s">
        <v>80</v>
      </c>
      <c r="C20" s="28" t="s">
        <v>81</v>
      </c>
      <c r="D20" s="28"/>
    </row>
    <row r="21" spans="2:4">
      <c r="B21" s="27" t="s">
        <v>82</v>
      </c>
      <c r="C21" s="32">
        <v>28</v>
      </c>
      <c r="D21" s="7" t="str">
        <f>Currency&amp;" per hour"</f>
        <v>USD per hour</v>
      </c>
    </row>
    <row r="23" spans="2:4" ht="21" customHeight="1">
      <c r="B23" s="8" t="s">
        <v>83</v>
      </c>
      <c r="C23" s="8"/>
      <c r="D23" s="8"/>
    </row>
    <row r="24" spans="2:4" ht="5" customHeight="1"/>
    <row r="25" spans="2:4" ht="26.76" customHeight="1">
      <c r="B25" s="21" t="s">
        <v>84</v>
      </c>
      <c r="C25" s="21"/>
      <c r="D25" s="21"/>
    </row>
    <row r="26" spans="2:4">
      <c r="B26" s="33" t="s">
        <v>85</v>
      </c>
      <c r="C26" s="33"/>
      <c r="D26" s="33"/>
    </row>
    <row r="27" spans="2:4" ht="20" customHeight="1">
      <c r="B27" s="34" t="s">
        <v>62</v>
      </c>
      <c r="C27" s="34" t="s">
        <v>63</v>
      </c>
      <c r="D27" s="34" t="s">
        <v>64</v>
      </c>
    </row>
    <row r="28" spans="2:4">
      <c r="B28" s="28" t="s">
        <v>86</v>
      </c>
      <c r="C28" s="28" t="s">
        <v>87</v>
      </c>
      <c r="D28" s="28" t="s">
        <v>88</v>
      </c>
    </row>
    <row r="29" spans="2:4">
      <c r="B29" s="28" t="s">
        <v>89</v>
      </c>
      <c r="C29" s="28" t="s">
        <v>90</v>
      </c>
      <c r="D29" s="28" t="s">
        <v>91</v>
      </c>
    </row>
    <row r="30" spans="2:4">
      <c r="B30" s="28" t="s">
        <v>92</v>
      </c>
      <c r="C30" s="28" t="s">
        <v>93</v>
      </c>
      <c r="D30" s="28" t="s">
        <v>94</v>
      </c>
    </row>
    <row r="31" spans="2:4">
      <c r="B31" s="28" t="s">
        <v>95</v>
      </c>
      <c r="C31" s="28" t="s">
        <v>90</v>
      </c>
      <c r="D31" s="28" t="s">
        <v>96</v>
      </c>
    </row>
    <row r="32" spans="2:4">
      <c r="B32" s="28" t="s">
        <v>97</v>
      </c>
      <c r="C32" s="28" t="s">
        <v>98</v>
      </c>
      <c r="D32" s="28" t="s">
        <v>99</v>
      </c>
    </row>
    <row r="33" spans="2:4">
      <c r="B33" s="28" t="s">
        <v>100</v>
      </c>
      <c r="C33" s="28" t="s">
        <v>101</v>
      </c>
      <c r="D33" s="28" t="s">
        <v>102</v>
      </c>
    </row>
    <row r="34" spans="2:4">
      <c r="B34" s="28" t="s">
        <v>103</v>
      </c>
      <c r="C34" s="28" t="s">
        <v>104</v>
      </c>
      <c r="D34" s="28" t="s">
        <v>105</v>
      </c>
    </row>
  </sheetData>
  <mergeCells count="11">
    <mergeCell ref="A1:E1"/>
    <mergeCell ref="B2:C2"/>
    <mergeCell ref="D2:E2"/>
    <mergeCell ref="B4:D4"/>
    <mergeCell ref="C6:D6"/>
    <mergeCell ref="B12:D12"/>
    <mergeCell ref="B18:D18"/>
    <mergeCell ref="C20:D20"/>
    <mergeCell ref="B23:D23"/>
    <mergeCell ref="B25:D25"/>
    <mergeCell ref="B26:D26"/>
  </mergeCells>
  <dataValidations count="11">
    <dataValidation type="textLength" allowBlank="1" showInputMessage="1" showErrorMessage="1" errorTitle="Check this entry" error="Text up to 80 characters." promptTitle="Line or cell name" prompt="Shown on the Dashboard. Text up to 80 characters." sqref="C6">
      <formula1>0</formula1>
      <formula2>80</formula2>
    </dataValidation>
    <dataValidation type="whole" allowBlank="1" showInputMessage="1" showErrorMessage="1" errorTitle="Check this entry" error="Enter a whole number from 1 to 1,440." promptTitle="Net available time" prompt="Shift length minus breaks, meetings and planned stops (the Takt Time template works this out). Enter a whole number from 1 to 1,440." sqref="C8">
      <formula1>1</formula1>
      <formula2>1440</formula2>
    </dataValidation>
    <dataValidation type="whole" allowBlank="1" showInputMessage="1" showErrorMessage="1" errorTitle="Check this entry" error="Enter a whole number from 1 to 10,000,000." promptTitle="Customer demand" prompt="Good units the line must make per shift. Enter a whole number from 1 to 10,000,000." sqref="C9">
      <formula1>1</formula1>
      <formula2>10000000</formula2>
    </dataValidation>
    <dataValidation type="decimal" allowBlank="1" showInputMessage="1" showErrorMessage="1" errorTitle="Check this entry" error="Enter a percentage from 0% to 100% (type 85% or 0.85)." promptTitle="Balance efficiency target" prompt="Your own target for total work content / (stations x bottleneck time). 85% is the example's choice, not a published benchmark. Enter a percentage from 0% to 100% (type 85% or 0.85)." sqref="C14">
      <formula1>0</formula1>
      <formula2>1</formula2>
    </dataValidation>
    <dataValidation type="decimal" allowBlank="1" showInputMessage="1" showErrorMessage="1" errorTitle="Check this entry" error="Enter a percentage from 0% to 200% (type 85% or 0.85)." promptTitle="Near capacity from" prompt="A station loaded to this share of takt has little room for variation. Enter a percentage from 0% to 200% (type 85% or 0.85)." sqref="C15">
      <formula1>0</formula1>
      <formula2>2</formula2>
    </dataValidation>
    <dataValidation type="decimal" allowBlank="1" showInputMessage="1" showErrorMessage="1" errorTitle="Check this entry" error="Enter a percentage from 0% to 300% (type 85% or 0.85)." promptTitle="Over capacity above" prompt="Above this share of takt the station cannot keep pace: it holds the whole line back. Enter a percentage from 0% to 300% (type 85% or 0.85)." sqref="C16">
      <formula1>0</formula1>
      <formula2>3</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20">
      <formula1>0</formula1>
      <formula2>12</formula2>
    </dataValidation>
    <dataValidation type="decimal" allowBlank="1" showInputMessage="1" showErrorMessage="1" errorTitle="Check this entry" error="Enter a number from 0 to 1,000,000." promptTitle="Labour cost per operator hour" prompt="Loaded cost of one operator hour. An example value: use your own. Enter a number from 0 to 1,000,000." sqref="C21">
      <formula1>0</formula1>
      <formula2>1000000.0</formula2>
    </dataValidation>
    <dataValidation type="textLength" allowBlank="1" showInputMessage="1" showErrorMessage="1" errorTitle="Check this entry" error="Text up to 20 characters." promptTitle="Station" prompt="Text up to 20 characters." sqref="B28:B134">
      <formula1>0</formula1>
      <formula2>20</formula2>
    </dataValidation>
    <dataValidation type="textLength" allowBlank="1" showInputMessage="1" showErrorMessage="1" errorTitle="Check this entry" error="Text up to 40 characters." promptTitle="Equipment" prompt="Fixture, tool or machine the station needs: work that needs it cannot move to another station. Text up to 40 characters." sqref="C28:C134">
      <formula1>0</formula1>
      <formula2>40</formula2>
    </dataValidation>
    <dataValidation type="textLength" allowBlank="1" showInputMessage="1" showErrorMessage="1" errorTitle="Check this entry" error="Text up to 120 characters." promptTitle="Description" prompt="Text up to 120 characters." sqref="D28:D134">
      <formula1>0</formula1>
      <formula2>120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Line Balance&amp;R&amp;8&amp;A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P46"/>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2.7109375" customWidth="1"/>
    <col min="2" max="2" width="6.7109375" customWidth="1"/>
    <col min="3" max="3" width="30.7109375" customWidth="1"/>
    <col min="4" max="4" width="8.28515625" customWidth="1"/>
    <col min="5" max="5" width="17.7109375" customWidth="1"/>
    <col min="6" max="6" width="10.7109375" customWidth="1"/>
    <col min="7" max="8" width="10.28515625" customWidth="1"/>
    <col min="9" max="9" width="8.7109375" customWidth="1"/>
    <col min="10" max="10" width="9.28515625" customWidth="1"/>
    <col min="11" max="13" width="10.7109375" customWidth="1"/>
    <col min="14" max="14" width="13.7109375" customWidth="1"/>
    <col min="15" max="15" width="24.7109375" customWidth="1"/>
    <col min="16" max="16" width="30.7109375" customWidth="1"/>
  </cols>
  <sheetData>
    <row r="1" spans="1:16" ht="30" customHeight="1" x14ac:dyDescent="0.25">
      <c r="A1" s="1" t="s">
        <v>0</v>
      </c>
      <c r="B1" s="1"/>
      <c r="C1" s="1"/>
      <c r="D1" s="1"/>
      <c r="E1" s="1"/>
      <c r="F1" s="1"/>
      <c r="G1" s="1"/>
      <c r="H1" s="1"/>
      <c r="I1" s="1"/>
      <c r="J1" s="1"/>
      <c r="K1" s="1"/>
      <c r="L1" s="1"/>
      <c r="M1" s="1"/>
      <c r="N1" s="1"/>
      <c r="O1" s="1"/>
      <c r="P1" s="1"/>
    </row>
    <row r="2" spans="1:16" ht="21" customHeight="1" x14ac:dyDescent="0.25">
      <c r="B2" s="2" t="s">
        <v>22</v>
      </c>
      <c r="C2" s="2"/>
      <c r="D2" s="2"/>
      <c r="E2" s="2"/>
      <c r="F2" s="2"/>
      <c r="G2" s="2"/>
      <c r="H2" s="2"/>
      <c r="I2" s="2"/>
      <c r="J2" s="2"/>
      <c r="K2" s="2"/>
      <c r="L2" s="2"/>
      <c r="M2" s="2"/>
      <c r="N2" s="2"/>
      <c r="O2" s="2"/>
      <c r="P2" s="3" t="s">
        <v>2</v>
      </c>
    </row>
    <row r="3" spans="1:16" ht="6" customHeight="1" x14ac:dyDescent="0.25"/>
    <row r="4" spans="1:16" ht="29.76" customHeight="1" x14ac:dyDescent="0.25">
      <c r="B4" s="35" t="s">
        <v>121</v>
      </c>
      <c r="C4" s="35"/>
      <c r="D4" s="35"/>
      <c r="E4" s="35"/>
      <c r="F4" s="35"/>
      <c r="G4" s="35"/>
      <c r="H4" s="35"/>
      <c r="I4" s="35"/>
      <c r="J4" s="35"/>
      <c r="K4" s="35"/>
      <c r="L4" s="35"/>
      <c r="M4" s="35"/>
      <c r="N4" s="35"/>
      <c r="O4" s="35"/>
      <c r="P4" s="35"/>
    </row>
    <row r="5" spans="1:16" ht="45.5" customHeight="1" x14ac:dyDescent="0.25">
      <c r="B5" s="34" t="s">
        <v>106</v>
      </c>
      <c r="C5" s="34" t="s">
        <v>107</v>
      </c>
      <c r="D5" s="34" t="s">
        <v>108</v>
      </c>
      <c r="E5" s="34" t="s">
        <v>109</v>
      </c>
      <c r="F5" s="34" t="s">
        <v>110</v>
      </c>
      <c r="G5" s="34" t="s">
        <v>111</v>
      </c>
      <c r="H5" s="34" t="s">
        <v>112</v>
      </c>
      <c r="I5" s="34" t="s">
        <v>113</v>
      </c>
      <c r="J5" s="34" t="s">
        <v>114</v>
      </c>
      <c r="K5" s="34" t="s">
        <v>115</v>
      </c>
      <c r="L5" s="34" t="s">
        <v>116</v>
      </c>
      <c r="M5" s="34" t="s">
        <v>117</v>
      </c>
      <c r="N5" s="34" t="s">
        <v>118</v>
      </c>
      <c r="O5" s="34" t="s">
        <v>119</v>
      </c>
      <c r="P5" s="34" t="s">
        <v>120</v>
      </c>
    </row>
    <row r="6" spans="1:16" x14ac:dyDescent="0.25">
      <c r="B6" s="29">
        <v>1</v>
      </c>
      <c r="C6" s="36" t="s">
        <v>122</v>
      </c>
      <c r="D6" s="37">
        <v>5</v>
      </c>
      <c r="E6" s="28" t="s">
        <v>123</v>
      </c>
      <c r="F6" s="29"/>
      <c r="G6" s="28" t="s">
        <v>86</v>
      </c>
      <c r="H6" s="28" t="s">
        <v>86</v>
      </c>
      <c r="I6" s="38">
        <f>IF(tblElements[[#This Row],[No.]]="","",IFERROR(MATCH(tblElements[[#This Row],[Current station]],tblStations[Station],0),""))</f>
        <v>1</v>
      </c>
      <c r="J6" s="38">
        <f>IF(tblElements[[#This Row],[No.]]="","",IF(tblElements[[#This Row],[Proposed station]]="","",IFERROR(MATCH(tblElements[[#This Row],[Proposed station]],tblStations[Station],0),"")))</f>
        <v>1</v>
      </c>
      <c r="K6" s="39">
        <f>IF(tblElements[[#This Row],[No.]]="","",IF(tblElements[[#This Row],[Current station]]="","",SUMIFS(tblElements[Time (s)],tblElements[Current station],tblElements[[#This Row],[Current station]])))</f>
        <v>40</v>
      </c>
      <c r="L6" s="39">
        <f>IF(tblElements[[#This Row],[No.]]="","",IF(tblElements[[#This Row],[Proposed station]]="","",SUMIFS(tblElements[Time (s)],tblElements[Proposed station],tblElements[[#This Row],[Proposed station]])))</f>
        <v>50</v>
      </c>
      <c r="M6" s="40">
        <f>IF(tblElements[[#This Row],[No.]]="","",IF(AND(ISNUMBER(tblElements[[#This Row],[Proposed station time (s)]]),ISNUMBER(Takt)),tblElements[[#This Row],[Proposed station time (s)]]/Takt,""))</f>
        <v>0.888888888888889</v>
      </c>
      <c r="N6"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6"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6" s="36" t="s">
        <v>124</v>
      </c>
    </row>
    <row r="7" spans="1:16" x14ac:dyDescent="0.25">
      <c r="B7" s="29">
        <v>2</v>
      </c>
      <c r="C7" s="36" t="s">
        <v>125</v>
      </c>
      <c r="D7" s="37">
        <v>13</v>
      </c>
      <c r="E7" s="28" t="s">
        <v>126</v>
      </c>
      <c r="F7" s="29">
        <v>1</v>
      </c>
      <c r="G7" s="28" t="s">
        <v>86</v>
      </c>
      <c r="H7" s="28" t="s">
        <v>86</v>
      </c>
      <c r="I7" s="38">
        <f>IF(tblElements[[#This Row],[No.]]="","",IFERROR(MATCH(tblElements[[#This Row],[Current station]],tblStations[Station],0),""))</f>
        <v>1</v>
      </c>
      <c r="J7" s="38">
        <f>IF(tblElements[[#This Row],[No.]]="","",IF(tblElements[[#This Row],[Proposed station]]="","",IFERROR(MATCH(tblElements[[#This Row],[Proposed station]],tblStations[Station],0),"")))</f>
        <v>1</v>
      </c>
      <c r="K7" s="39">
        <f>IF(tblElements[[#This Row],[No.]]="","",IF(tblElements[[#This Row],[Current station]]="","",SUMIFS(tblElements[Time (s)],tblElements[Current station],tblElements[[#This Row],[Current station]])))</f>
        <v>40</v>
      </c>
      <c r="L7" s="39">
        <f>IF(tblElements[[#This Row],[No.]]="","",IF(tblElements[[#This Row],[Proposed station]]="","",SUMIFS(tblElements[Time (s)],tblElements[Proposed station],tblElements[[#This Row],[Proposed station]])))</f>
        <v>50</v>
      </c>
      <c r="M7" s="40">
        <f>IF(tblElements[[#This Row],[No.]]="","",IF(AND(ISNUMBER(tblElements[[#This Row],[Proposed station time (s)]]),ISNUMBER(Takt)),tblElements[[#This Row],[Proposed station time (s)]]/Takt,""))</f>
        <v>0.888888888888889</v>
      </c>
      <c r="N7"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7"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7" s="36" t="s">
        <v>124</v>
      </c>
    </row>
    <row r="8" spans="1:16" x14ac:dyDescent="0.25">
      <c r="B8" s="29">
        <v>3</v>
      </c>
      <c r="C8" s="36" t="s">
        <v>127</v>
      </c>
      <c r="D8" s="37">
        <v>7</v>
      </c>
      <c r="E8" s="28" t="s">
        <v>126</v>
      </c>
      <c r="F8" s="29">
        <v>1</v>
      </c>
      <c r="G8" s="28" t="s">
        <v>86</v>
      </c>
      <c r="H8" s="28" t="s">
        <v>86</v>
      </c>
      <c r="I8" s="38">
        <f>IF(tblElements[[#This Row],[No.]]="","",IFERROR(MATCH(tblElements[[#This Row],[Current station]],tblStations[Station],0),""))</f>
        <v>1</v>
      </c>
      <c r="J8" s="38">
        <f>IF(tblElements[[#This Row],[No.]]="","",IF(tblElements[[#This Row],[Proposed station]]="","",IFERROR(MATCH(tblElements[[#This Row],[Proposed station]],tblStations[Station],0),"")))</f>
        <v>1</v>
      </c>
      <c r="K8" s="39">
        <f>IF(tblElements[[#This Row],[No.]]="","",IF(tblElements[[#This Row],[Current station]]="","",SUMIFS(tblElements[Time (s)],tblElements[Current station],tblElements[[#This Row],[Current station]])))</f>
        <v>40</v>
      </c>
      <c r="L8" s="39">
        <f>IF(tblElements[[#This Row],[No.]]="","",IF(tblElements[[#This Row],[Proposed station]]="","",SUMIFS(tblElements[Time (s)],tblElements[Proposed station],tblElements[[#This Row],[Proposed station]])))</f>
        <v>50</v>
      </c>
      <c r="M8" s="40">
        <f>IF(tblElements[[#This Row],[No.]]="","",IF(AND(ISNUMBER(tblElements[[#This Row],[Proposed station time (s)]]),ISNUMBER(Takt)),tblElements[[#This Row],[Proposed station time (s)]]/Takt,""))</f>
        <v>0.888888888888889</v>
      </c>
      <c r="N8"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8"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8" s="36" t="s">
        <v>124</v>
      </c>
    </row>
    <row r="9" spans="1:16" x14ac:dyDescent="0.25">
      <c r="B9" s="29">
        <v>4</v>
      </c>
      <c r="C9" s="36" t="s">
        <v>128</v>
      </c>
      <c r="D9" s="37">
        <v>4</v>
      </c>
      <c r="E9" s="28" t="s">
        <v>126</v>
      </c>
      <c r="F9" s="29">
        <v>3</v>
      </c>
      <c r="G9" s="28" t="s">
        <v>86</v>
      </c>
      <c r="H9" s="28" t="s">
        <v>86</v>
      </c>
      <c r="I9" s="38">
        <f>IF(tblElements[[#This Row],[No.]]="","",IFERROR(MATCH(tblElements[[#This Row],[Current station]],tblStations[Station],0),""))</f>
        <v>1</v>
      </c>
      <c r="J9" s="38">
        <f>IF(tblElements[[#This Row],[No.]]="","",IF(tblElements[[#This Row],[Proposed station]]="","",IFERROR(MATCH(tblElements[[#This Row],[Proposed station]],tblStations[Station],0),"")))</f>
        <v>1</v>
      </c>
      <c r="K9" s="39">
        <f>IF(tblElements[[#This Row],[No.]]="","",IF(tblElements[[#This Row],[Current station]]="","",SUMIFS(tblElements[Time (s)],tblElements[Current station],tblElements[[#This Row],[Current station]])))</f>
        <v>40</v>
      </c>
      <c r="L9" s="39">
        <f>IF(tblElements[[#This Row],[No.]]="","",IF(tblElements[[#This Row],[Proposed station]]="","",SUMIFS(tblElements[Time (s)],tblElements[Proposed station],tblElements[[#This Row],[Proposed station]])))</f>
        <v>50</v>
      </c>
      <c r="M9" s="40">
        <f>IF(tblElements[[#This Row],[No.]]="","",IF(AND(ISNUMBER(tblElements[[#This Row],[Proposed station time (s)]]),ISNUMBER(Takt)),tblElements[[#This Row],[Proposed station time (s)]]/Takt,""))</f>
        <v>0.888888888888889</v>
      </c>
      <c r="N9"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9"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9" s="36" t="s">
        <v>124</v>
      </c>
    </row>
    <row r="10" spans="1:16" x14ac:dyDescent="0.25">
      <c r="B10" s="29">
        <v>5</v>
      </c>
      <c r="C10" s="36" t="s">
        <v>129</v>
      </c>
      <c r="D10" s="37">
        <v>5</v>
      </c>
      <c r="E10" s="28" t="s">
        <v>130</v>
      </c>
      <c r="F10" s="29"/>
      <c r="G10" s="28" t="s">
        <v>86</v>
      </c>
      <c r="H10" s="28" t="s">
        <v>86</v>
      </c>
      <c r="I10" s="38">
        <f>IF(tblElements[[#This Row],[No.]]="","",IFERROR(MATCH(tblElements[[#This Row],[Current station]],tblStations[Station],0),""))</f>
        <v>1</v>
      </c>
      <c r="J10" s="38">
        <f>IF(tblElements[[#This Row],[No.]]="","",IF(tblElements[[#This Row],[Proposed station]]="","",IFERROR(MATCH(tblElements[[#This Row],[Proposed station]],tblStations[Station],0),"")))</f>
        <v>1</v>
      </c>
      <c r="K10" s="39">
        <f>IF(tblElements[[#This Row],[No.]]="","",IF(tblElements[[#This Row],[Current station]]="","",SUMIFS(tblElements[Time (s)],tblElements[Current station],tblElements[[#This Row],[Current station]])))</f>
        <v>40</v>
      </c>
      <c r="L10" s="39">
        <f>IF(tblElements[[#This Row],[No.]]="","",IF(tblElements[[#This Row],[Proposed station]]="","",SUMIFS(tblElements[Time (s)],tblElements[Proposed station],tblElements[[#This Row],[Proposed station]])))</f>
        <v>50</v>
      </c>
      <c r="M10" s="40">
        <f>IF(tblElements[[#This Row],[No.]]="","",IF(AND(ISNUMBER(tblElements[[#This Row],[Proposed station time (s)]]),ISNUMBER(Takt)),tblElements[[#This Row],[Proposed station time (s)]]/Takt,""))</f>
        <v>0.888888888888889</v>
      </c>
      <c r="N10"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10"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10" s="36" t="s">
        <v>131</v>
      </c>
    </row>
    <row r="11" spans="1:16" x14ac:dyDescent="0.25">
      <c r="B11" s="29">
        <v>6</v>
      </c>
      <c r="C11" s="36" t="s">
        <v>132</v>
      </c>
      <c r="D11" s="37">
        <v>6</v>
      </c>
      <c r="E11" s="28" t="s">
        <v>123</v>
      </c>
      <c r="F11" s="29"/>
      <c r="G11" s="28" t="s">
        <v>86</v>
      </c>
      <c r="H11" s="28" t="s">
        <v>86</v>
      </c>
      <c r="I11" s="38">
        <f>IF(tblElements[[#This Row],[No.]]="","",IFERROR(MATCH(tblElements[[#This Row],[Current station]],tblStations[Station],0),""))</f>
        <v>1</v>
      </c>
      <c r="J11" s="38">
        <f>IF(tblElements[[#This Row],[No.]]="","",IF(tblElements[[#This Row],[Proposed station]]="","",IFERROR(MATCH(tblElements[[#This Row],[Proposed station]],tblStations[Station],0),"")))</f>
        <v>1</v>
      </c>
      <c r="K11" s="39">
        <f>IF(tblElements[[#This Row],[No.]]="","",IF(tblElements[[#This Row],[Current station]]="","",SUMIFS(tblElements[Time (s)],tblElements[Current station],tblElements[[#This Row],[Current station]])))</f>
        <v>40</v>
      </c>
      <c r="L11" s="39">
        <f>IF(tblElements[[#This Row],[No.]]="","",IF(tblElements[[#This Row],[Proposed station]]="","",SUMIFS(tblElements[Time (s)],tblElements[Proposed station],tblElements[[#This Row],[Proposed station]])))</f>
        <v>50</v>
      </c>
      <c r="M11" s="40">
        <f>IF(tblElements[[#This Row],[No.]]="","",IF(AND(ISNUMBER(tblElements[[#This Row],[Proposed station time (s)]]),ISNUMBER(Takt)),tblElements[[#This Row],[Proposed station time (s)]]/Takt,""))</f>
        <v>0.888888888888889</v>
      </c>
      <c r="N11"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11"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11" s="36" t="s">
        <v>124</v>
      </c>
    </row>
    <row r="12" spans="1:16" x14ac:dyDescent="0.25">
      <c r="B12" s="29">
        <v>7</v>
      </c>
      <c r="C12" s="36" t="s">
        <v>133</v>
      </c>
      <c r="D12" s="37">
        <v>16</v>
      </c>
      <c r="E12" s="28" t="s">
        <v>126</v>
      </c>
      <c r="F12" s="29">
        <v>6</v>
      </c>
      <c r="G12" s="28" t="s">
        <v>89</v>
      </c>
      <c r="H12" s="28" t="s">
        <v>89</v>
      </c>
      <c r="I12" s="38">
        <f>IF(tblElements[[#This Row],[No.]]="","",IFERROR(MATCH(tblElements[[#This Row],[Current station]],tblStations[Station],0),""))</f>
        <v>2</v>
      </c>
      <c r="J12" s="38">
        <f>IF(tblElements[[#This Row],[No.]]="","",IF(tblElements[[#This Row],[Proposed station]]="","",IFERROR(MATCH(tblElements[[#This Row],[Proposed station]],tblStations[Station],0),"")))</f>
        <v>2</v>
      </c>
      <c r="K12" s="39">
        <f>IF(tblElements[[#This Row],[No.]]="","",IF(tblElements[[#This Row],[Current station]]="","",SUMIFS(tblElements[Time (s)],tblElements[Current station],tblElements[[#This Row],[Current station]])))</f>
        <v>47</v>
      </c>
      <c r="L12" s="39">
        <f>IF(tblElements[[#This Row],[No.]]="","",IF(tblElements[[#This Row],[Proposed station]]="","",SUMIFS(tblElements[Time (s)],tblElements[Proposed station],tblElements[[#This Row],[Proposed station]])))</f>
        <v>49</v>
      </c>
      <c r="M12" s="40">
        <f>IF(tblElements[[#This Row],[No.]]="","",IF(AND(ISNUMBER(tblElements[[#This Row],[Proposed station time (s)]]),ISNUMBER(Takt)),tblElements[[#This Row],[Proposed station time (s)]]/Takt,""))</f>
        <v>0.871111111111111</v>
      </c>
      <c r="N12"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12"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12" s="36" t="s">
        <v>124</v>
      </c>
    </row>
    <row r="13" spans="1:16" x14ac:dyDescent="0.25">
      <c r="B13" s="29">
        <v>8</v>
      </c>
      <c r="C13" s="36" t="s">
        <v>134</v>
      </c>
      <c r="D13" s="37">
        <v>8</v>
      </c>
      <c r="E13" s="28" t="s">
        <v>126</v>
      </c>
      <c r="F13" s="29">
        <v>7</v>
      </c>
      <c r="G13" s="28" t="s">
        <v>89</v>
      </c>
      <c r="H13" s="28" t="s">
        <v>89</v>
      </c>
      <c r="I13" s="38">
        <f>IF(tblElements[[#This Row],[No.]]="","",IFERROR(MATCH(tblElements[[#This Row],[Current station]],tblStations[Station],0),""))</f>
        <v>2</v>
      </c>
      <c r="J13" s="38">
        <f>IF(tblElements[[#This Row],[No.]]="","",IF(tblElements[[#This Row],[Proposed station]]="","",IFERROR(MATCH(tblElements[[#This Row],[Proposed station]],tblStations[Station],0),"")))</f>
        <v>2</v>
      </c>
      <c r="K13" s="39">
        <f>IF(tblElements[[#This Row],[No.]]="","",IF(tblElements[[#This Row],[Current station]]="","",SUMIFS(tblElements[Time (s)],tblElements[Current station],tblElements[[#This Row],[Current station]])))</f>
        <v>47</v>
      </c>
      <c r="L13" s="39">
        <f>IF(tblElements[[#This Row],[No.]]="","",IF(tblElements[[#This Row],[Proposed station]]="","",SUMIFS(tblElements[Time (s)],tblElements[Proposed station],tblElements[[#This Row],[Proposed station]])))</f>
        <v>49</v>
      </c>
      <c r="M13" s="40">
        <f>IF(tblElements[[#This Row],[No.]]="","",IF(AND(ISNUMBER(tblElements[[#This Row],[Proposed station time (s)]]),ISNUMBER(Takt)),tblElements[[#This Row],[Proposed station time (s)]]/Takt,""))</f>
        <v>0.871111111111111</v>
      </c>
      <c r="N13"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13"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13" s="36" t="s">
        <v>124</v>
      </c>
    </row>
    <row r="14" spans="1:16" x14ac:dyDescent="0.25">
      <c r="B14" s="29">
        <v>9</v>
      </c>
      <c r="C14" s="36" t="s">
        <v>135</v>
      </c>
      <c r="D14" s="37">
        <v>9</v>
      </c>
      <c r="E14" s="28" t="s">
        <v>126</v>
      </c>
      <c r="F14" s="29">
        <v>8</v>
      </c>
      <c r="G14" s="28" t="s">
        <v>89</v>
      </c>
      <c r="H14" s="28" t="s">
        <v>89</v>
      </c>
      <c r="I14" s="38">
        <f>IF(tblElements[[#This Row],[No.]]="","",IFERROR(MATCH(tblElements[[#This Row],[Current station]],tblStations[Station],0),""))</f>
        <v>2</v>
      </c>
      <c r="J14" s="38">
        <f>IF(tblElements[[#This Row],[No.]]="","",IF(tblElements[[#This Row],[Proposed station]]="","",IFERROR(MATCH(tblElements[[#This Row],[Proposed station]],tblStations[Station],0),"")))</f>
        <v>2</v>
      </c>
      <c r="K14" s="39">
        <f>IF(tblElements[[#This Row],[No.]]="","",IF(tblElements[[#This Row],[Current station]]="","",SUMIFS(tblElements[Time (s)],tblElements[Current station],tblElements[[#This Row],[Current station]])))</f>
        <v>47</v>
      </c>
      <c r="L14" s="39">
        <f>IF(tblElements[[#This Row],[No.]]="","",IF(tblElements[[#This Row],[Proposed station]]="","",SUMIFS(tblElements[Time (s)],tblElements[Proposed station],tblElements[[#This Row],[Proposed station]])))</f>
        <v>49</v>
      </c>
      <c r="M14" s="40">
        <f>IF(tblElements[[#This Row],[No.]]="","",IF(AND(ISNUMBER(tblElements[[#This Row],[Proposed station time (s)]]),ISNUMBER(Takt)),tblElements[[#This Row],[Proposed station time (s)]]/Takt,""))</f>
        <v>0.871111111111111</v>
      </c>
      <c r="N14"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14"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14" s="36" t="s">
        <v>124</v>
      </c>
    </row>
    <row r="15" spans="1:16" x14ac:dyDescent="0.25">
      <c r="B15" s="29">
        <v>10</v>
      </c>
      <c r="C15" s="36" t="s">
        <v>136</v>
      </c>
      <c r="D15" s="37">
        <v>4</v>
      </c>
      <c r="E15" s="28" t="s">
        <v>123</v>
      </c>
      <c r="F15" s="29">
        <v>6</v>
      </c>
      <c r="G15" s="28" t="s">
        <v>89</v>
      </c>
      <c r="H15" s="28" t="s">
        <v>86</v>
      </c>
      <c r="I15" s="38">
        <f>IF(tblElements[[#This Row],[No.]]="","",IFERROR(MATCH(tblElements[[#This Row],[Current station]],tblStations[Station],0),""))</f>
        <v>2</v>
      </c>
      <c r="J15" s="38">
        <f>IF(tblElements[[#This Row],[No.]]="","",IF(tblElements[[#This Row],[Proposed station]]="","",IFERROR(MATCH(tblElements[[#This Row],[Proposed station]],tblStations[Station],0),"")))</f>
        <v>1</v>
      </c>
      <c r="K15" s="39">
        <f>IF(tblElements[[#This Row],[No.]]="","",IF(tblElements[[#This Row],[Current station]]="","",SUMIFS(tblElements[Time (s)],tblElements[Current station],tblElements[[#This Row],[Current station]])))</f>
        <v>47</v>
      </c>
      <c r="L15" s="39">
        <f>IF(tblElements[[#This Row],[No.]]="","",IF(tblElements[[#This Row],[Proposed station]]="","",SUMIFS(tblElements[Time (s)],tblElements[Proposed station],tblElements[[#This Row],[Proposed station]])))</f>
        <v>50</v>
      </c>
      <c r="M15" s="40">
        <f>IF(tblElements[[#This Row],[No.]]="","",IF(AND(ISNUMBER(tblElements[[#This Row],[Proposed station time (s)]]),ISNUMBER(Takt)),tblElements[[#This Row],[Proposed station time (s)]]/Takt,""))</f>
        <v>0.888888888888889</v>
      </c>
      <c r="N15"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15"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15" s="36" t="s">
        <v>137</v>
      </c>
    </row>
    <row r="16" spans="1:16" x14ac:dyDescent="0.25">
      <c r="B16" s="29">
        <v>11</v>
      </c>
      <c r="C16" s="36" t="s">
        <v>138</v>
      </c>
      <c r="D16" s="37">
        <v>6</v>
      </c>
      <c r="E16" s="28" t="s">
        <v>123</v>
      </c>
      <c r="F16" s="29"/>
      <c r="G16" s="28" t="s">
        <v>89</v>
      </c>
      <c r="H16" s="28" t="s">
        <v>86</v>
      </c>
      <c r="I16" s="38">
        <f>IF(tblElements[[#This Row],[No.]]="","",IFERROR(MATCH(tblElements[[#This Row],[Current station]],tblStations[Station],0),""))</f>
        <v>2</v>
      </c>
      <c r="J16" s="38">
        <f>IF(tblElements[[#This Row],[No.]]="","",IF(tblElements[[#This Row],[Proposed station]]="","",IFERROR(MATCH(tblElements[[#This Row],[Proposed station]],tblStations[Station],0),"")))</f>
        <v>1</v>
      </c>
      <c r="K16" s="39">
        <f>IF(tblElements[[#This Row],[No.]]="","",IF(tblElements[[#This Row],[Current station]]="","",SUMIFS(tblElements[Time (s)],tblElements[Current station],tblElements[[#This Row],[Current station]])))</f>
        <v>47</v>
      </c>
      <c r="L16" s="39">
        <f>IF(tblElements[[#This Row],[No.]]="","",IF(tblElements[[#This Row],[Proposed station]]="","",SUMIFS(tblElements[Time (s)],tblElements[Proposed station],tblElements[[#This Row],[Proposed station]])))</f>
        <v>50</v>
      </c>
      <c r="M16" s="40">
        <f>IF(tblElements[[#This Row],[No.]]="","",IF(AND(ISNUMBER(tblElements[[#This Row],[Proposed station time (s)]]),ISNUMBER(Takt)),tblElements[[#This Row],[Proposed station time (s)]]/Takt,""))</f>
        <v>0.888888888888889</v>
      </c>
      <c r="N16"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16"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16" s="36" t="s">
        <v>137</v>
      </c>
    </row>
    <row r="17" spans="2:16" x14ac:dyDescent="0.25">
      <c r="B17" s="29">
        <v>12</v>
      </c>
      <c r="C17" s="36" t="s">
        <v>139</v>
      </c>
      <c r="D17" s="37">
        <v>4</v>
      </c>
      <c r="E17" s="28" t="s">
        <v>126</v>
      </c>
      <c r="F17" s="29">
        <v>7</v>
      </c>
      <c r="G17" s="28" t="s">
        <v>89</v>
      </c>
      <c r="H17" s="28" t="s">
        <v>89</v>
      </c>
      <c r="I17" s="38">
        <f>IF(tblElements[[#This Row],[No.]]="","",IFERROR(MATCH(tblElements[[#This Row],[Current station]],tblStations[Station],0),""))</f>
        <v>2</v>
      </c>
      <c r="J17" s="38">
        <f>IF(tblElements[[#This Row],[No.]]="","",IF(tblElements[[#This Row],[Proposed station]]="","",IFERROR(MATCH(tblElements[[#This Row],[Proposed station]],tblStations[Station],0),"")))</f>
        <v>2</v>
      </c>
      <c r="K17" s="39">
        <f>IF(tblElements[[#This Row],[No.]]="","",IF(tblElements[[#This Row],[Current station]]="","",SUMIFS(tblElements[Time (s)],tblElements[Current station],tblElements[[#This Row],[Current station]])))</f>
        <v>47</v>
      </c>
      <c r="L17" s="39">
        <f>IF(tblElements[[#This Row],[No.]]="","",IF(tblElements[[#This Row],[Proposed station]]="","",SUMIFS(tblElements[Time (s)],tblElements[Proposed station],tblElements[[#This Row],[Proposed station]])))</f>
        <v>49</v>
      </c>
      <c r="M17" s="40">
        <f>IF(tblElements[[#This Row],[No.]]="","",IF(AND(ISNUMBER(tblElements[[#This Row],[Proposed station time (s)]]),ISNUMBER(Takt)),tblElements[[#This Row],[Proposed station time (s)]]/Takt,""))</f>
        <v>0.871111111111111</v>
      </c>
      <c r="N17"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17"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17" s="36" t="s">
        <v>124</v>
      </c>
    </row>
    <row r="18" spans="2:16" x14ac:dyDescent="0.25">
      <c r="B18" s="29">
        <v>13</v>
      </c>
      <c r="C18" s="36" t="s">
        <v>140</v>
      </c>
      <c r="D18" s="37">
        <v>12</v>
      </c>
      <c r="E18" s="28" t="s">
        <v>126</v>
      </c>
      <c r="F18" s="29">
        <v>9</v>
      </c>
      <c r="G18" s="28" t="s">
        <v>92</v>
      </c>
      <c r="H18" s="28" t="s">
        <v>89</v>
      </c>
      <c r="I18" s="38">
        <f>IF(tblElements[[#This Row],[No.]]="","",IFERROR(MATCH(tblElements[[#This Row],[Current station]],tblStations[Station],0),""))</f>
        <v>3</v>
      </c>
      <c r="J18" s="38">
        <f>IF(tblElements[[#This Row],[No.]]="","",IF(tblElements[[#This Row],[Proposed station]]="","",IFERROR(MATCH(tblElements[[#This Row],[Proposed station]],tblStations[Station],0),"")))</f>
        <v>2</v>
      </c>
      <c r="K18" s="39">
        <f>IF(tblElements[[#This Row],[No.]]="","",IF(tblElements[[#This Row],[Current station]]="","",SUMIFS(tblElements[Time (s)],tblElements[Current station],tblElements[[#This Row],[Current station]])))</f>
        <v>60</v>
      </c>
      <c r="L18" s="39">
        <f>IF(tblElements[[#This Row],[No.]]="","",IF(tblElements[[#This Row],[Proposed station]]="","",SUMIFS(tblElements[Time (s)],tblElements[Proposed station],tblElements[[#This Row],[Proposed station]])))</f>
        <v>49</v>
      </c>
      <c r="M18" s="40">
        <f>IF(tblElements[[#This Row],[No.]]="","",IF(AND(ISNUMBER(tblElements[[#This Row],[Proposed station time (s)]]),ISNUMBER(Takt)),tblElements[[#This Row],[Proposed station time (s)]]/Takt,""))</f>
        <v>0.871111111111111</v>
      </c>
      <c r="N18"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18"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18" s="36" t="s">
        <v>141</v>
      </c>
    </row>
    <row r="19" spans="2:16" x14ac:dyDescent="0.25">
      <c r="B19" s="29">
        <v>14</v>
      </c>
      <c r="C19" s="36" t="s">
        <v>142</v>
      </c>
      <c r="D19" s="37">
        <v>14</v>
      </c>
      <c r="E19" s="28" t="s">
        <v>126</v>
      </c>
      <c r="F19" s="29">
        <v>13</v>
      </c>
      <c r="G19" s="28" t="s">
        <v>92</v>
      </c>
      <c r="H19" s="28" t="s">
        <v>92</v>
      </c>
      <c r="I19" s="38">
        <f>IF(tblElements[[#This Row],[No.]]="","",IFERROR(MATCH(tblElements[[#This Row],[Current station]],tblStations[Station],0),""))</f>
        <v>3</v>
      </c>
      <c r="J19" s="38">
        <f>IF(tblElements[[#This Row],[No.]]="","",IF(tblElements[[#This Row],[Proposed station]]="","",IFERROR(MATCH(tblElements[[#This Row],[Proposed station]],tblStations[Station],0),"")))</f>
        <v>3</v>
      </c>
      <c r="K19" s="39">
        <f>IF(tblElements[[#This Row],[No.]]="","",IF(tblElements[[#This Row],[Current station]]="","",SUMIFS(tblElements[Time (s)],tblElements[Current station],tblElements[[#This Row],[Current station]])))</f>
        <v>60</v>
      </c>
      <c r="L19" s="39">
        <f>IF(tblElements[[#This Row],[No.]]="","",IF(tblElements[[#This Row],[Proposed station]]="","",SUMIFS(tblElements[Time (s)],tblElements[Proposed station],tblElements[[#This Row],[Proposed station]])))</f>
        <v>49</v>
      </c>
      <c r="M19" s="40">
        <f>IF(tblElements[[#This Row],[No.]]="","",IF(AND(ISNUMBER(tblElements[[#This Row],[Proposed station time (s)]]),ISNUMBER(Takt)),tblElements[[#This Row],[Proposed station time (s)]]/Takt,""))</f>
        <v>0.871111111111111</v>
      </c>
      <c r="N19"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19"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19" s="36" t="s">
        <v>124</v>
      </c>
    </row>
    <row r="20" spans="2:16" x14ac:dyDescent="0.25">
      <c r="B20" s="29">
        <v>15</v>
      </c>
      <c r="C20" s="36" t="s">
        <v>143</v>
      </c>
      <c r="D20" s="37">
        <v>7</v>
      </c>
      <c r="E20" s="28" t="s">
        <v>130</v>
      </c>
      <c r="F20" s="29"/>
      <c r="G20" s="28" t="s">
        <v>92</v>
      </c>
      <c r="H20" s="28"/>
      <c r="I20" s="38">
        <f>IF(tblElements[[#This Row],[No.]]="","",IFERROR(MATCH(tblElements[[#This Row],[Current station]],tblStations[Station],0),""))</f>
        <v>3</v>
      </c>
      <c r="J20" s="38">
        <f>IF(tblElements[[#This Row],[No.]]="","",IF(tblElements[[#This Row],[Proposed station]]="","",IFERROR(MATCH(tblElements[[#This Row],[Proposed station]],tblStations[Station],0),"")))</f>
        <v/>
      </c>
      <c r="K20" s="39">
        <f>IF(tblElements[[#This Row],[No.]]="","",IF(tblElements[[#This Row],[Current station]]="","",SUMIFS(tblElements[Time (s)],tblElements[Current station],tblElements[[#This Row],[Current station]])))</f>
        <v>60</v>
      </c>
      <c r="L20" s="39">
        <f>IF(tblElements[[#This Row],[No.]]="","",IF(tblElements[[#This Row],[Proposed station]]="","",SUMIFS(tblElements[Time (s)],tblElements[Proposed station],tblElements[[#This Row],[Proposed station]])))</f>
        <v/>
      </c>
      <c r="M20" s="40">
        <f>IF(tblElements[[#This Row],[No.]]="","",IF(AND(ISNUMBER(tblElements[[#This Row],[Proposed station time (s)]]),ISNUMBER(Takt)),tblElements[[#This Row],[Proposed station time (s)]]/Takt,""))</f>
        <v/>
      </c>
      <c r="N20" s="41" t="str">
        <f>IF(tblElements[[#This Row],[No.]]="","",IF(tblElements[[#This Row],[Proposed station]]="","Removed",IF(NOT(ISNUMBER(tblElements[[#This Row],[Proposed load (% of takt)]])),"",IF(tblElements[[#This Row],[Proposed load (% of takt)]]&gt;OverAt,"Over capacity",IF(tblElements[[#This Row],[Proposed load (% of takt)]]&gt;=NearAt,"Near capacity","Under capacity")))))</f>
        <v>Removed</v>
      </c>
      <c r="O20"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20" s="36" t="s">
        <v>144</v>
      </c>
    </row>
    <row r="21" spans="2:16" x14ac:dyDescent="0.25">
      <c r="B21" s="29">
        <v>16</v>
      </c>
      <c r="C21" s="36" t="s">
        <v>145</v>
      </c>
      <c r="D21" s="37">
        <v>6</v>
      </c>
      <c r="E21" s="28" t="s">
        <v>126</v>
      </c>
      <c r="F21" s="29">
        <v>14</v>
      </c>
      <c r="G21" s="28" t="s">
        <v>92</v>
      </c>
      <c r="H21" s="28" t="s">
        <v>92</v>
      </c>
      <c r="I21" s="38">
        <f>IF(tblElements[[#This Row],[No.]]="","",IFERROR(MATCH(tblElements[[#This Row],[Current station]],tblStations[Station],0),""))</f>
        <v>3</v>
      </c>
      <c r="J21" s="38">
        <f>IF(tblElements[[#This Row],[No.]]="","",IF(tblElements[[#This Row],[Proposed station]]="","",IFERROR(MATCH(tblElements[[#This Row],[Proposed station]],tblStations[Station],0),"")))</f>
        <v>3</v>
      </c>
      <c r="K21" s="39">
        <f>IF(tblElements[[#This Row],[No.]]="","",IF(tblElements[[#This Row],[Current station]]="","",SUMIFS(tblElements[Time (s)],tblElements[Current station],tblElements[[#This Row],[Current station]])))</f>
        <v>60</v>
      </c>
      <c r="L21" s="39">
        <f>IF(tblElements[[#This Row],[No.]]="","",IF(tblElements[[#This Row],[Proposed station]]="","",SUMIFS(tblElements[Time (s)],tblElements[Proposed station],tblElements[[#This Row],[Proposed station]])))</f>
        <v>49</v>
      </c>
      <c r="M21" s="40">
        <f>IF(tblElements[[#This Row],[No.]]="","",IF(AND(ISNUMBER(tblElements[[#This Row],[Proposed station time (s)]]),ISNUMBER(Takt)),tblElements[[#This Row],[Proposed station time (s)]]/Takt,""))</f>
        <v>0.871111111111111</v>
      </c>
      <c r="N21"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21"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21" s="36" t="s">
        <v>124</v>
      </c>
    </row>
    <row r="22" spans="2:16" x14ac:dyDescent="0.25">
      <c r="B22" s="29">
        <v>17</v>
      </c>
      <c r="C22" s="36" t="s">
        <v>146</v>
      </c>
      <c r="D22" s="37">
        <v>10</v>
      </c>
      <c r="E22" s="28" t="s">
        <v>126</v>
      </c>
      <c r="F22" s="29">
        <v>14</v>
      </c>
      <c r="G22" s="28" t="s">
        <v>92</v>
      </c>
      <c r="H22" s="28" t="s">
        <v>92</v>
      </c>
      <c r="I22" s="38">
        <f>IF(tblElements[[#This Row],[No.]]="","",IFERROR(MATCH(tblElements[[#This Row],[Current station]],tblStations[Station],0),""))</f>
        <v>3</v>
      </c>
      <c r="J22" s="38">
        <f>IF(tblElements[[#This Row],[No.]]="","",IF(tblElements[[#This Row],[Proposed station]]="","",IFERROR(MATCH(tblElements[[#This Row],[Proposed station]],tblStations[Station],0),"")))</f>
        <v>3</v>
      </c>
      <c r="K22" s="39">
        <f>IF(tblElements[[#This Row],[No.]]="","",IF(tblElements[[#This Row],[Current station]]="","",SUMIFS(tblElements[Time (s)],tblElements[Current station],tblElements[[#This Row],[Current station]])))</f>
        <v>60</v>
      </c>
      <c r="L22" s="39">
        <f>IF(tblElements[[#This Row],[No.]]="","",IF(tblElements[[#This Row],[Proposed station]]="","",SUMIFS(tblElements[Time (s)],tblElements[Proposed station],tblElements[[#This Row],[Proposed station]])))</f>
        <v>49</v>
      </c>
      <c r="M22" s="40">
        <f>IF(tblElements[[#This Row],[No.]]="","",IF(AND(ISNUMBER(tblElements[[#This Row],[Proposed station time (s)]]),ISNUMBER(Takt)),tblElements[[#This Row],[Proposed station time (s)]]/Takt,""))</f>
        <v>0.871111111111111</v>
      </c>
      <c r="N22"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22"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22" s="36" t="s">
        <v>124</v>
      </c>
    </row>
    <row r="23" spans="2:16" x14ac:dyDescent="0.25">
      <c r="B23" s="29">
        <v>18</v>
      </c>
      <c r="C23" s="36" t="s">
        <v>147</v>
      </c>
      <c r="D23" s="37">
        <v>4</v>
      </c>
      <c r="E23" s="28" t="s">
        <v>130</v>
      </c>
      <c r="F23" s="29"/>
      <c r="G23" s="28" t="s">
        <v>92</v>
      </c>
      <c r="H23" s="28" t="s">
        <v>92</v>
      </c>
      <c r="I23" s="38">
        <f>IF(tblElements[[#This Row],[No.]]="","",IFERROR(MATCH(tblElements[[#This Row],[Current station]],tblStations[Station],0),""))</f>
        <v>3</v>
      </c>
      <c r="J23" s="38">
        <f>IF(tblElements[[#This Row],[No.]]="","",IF(tblElements[[#This Row],[Proposed station]]="","",IFERROR(MATCH(tblElements[[#This Row],[Proposed station]],tblStations[Station],0),"")))</f>
        <v>3</v>
      </c>
      <c r="K23" s="39">
        <f>IF(tblElements[[#This Row],[No.]]="","",IF(tblElements[[#This Row],[Current station]]="","",SUMIFS(tblElements[Time (s)],tblElements[Current station],tblElements[[#This Row],[Current station]])))</f>
        <v>60</v>
      </c>
      <c r="L23" s="39">
        <f>IF(tblElements[[#This Row],[No.]]="","",IF(tblElements[[#This Row],[Proposed station]]="","",SUMIFS(tblElements[Time (s)],tblElements[Proposed station],tblElements[[#This Row],[Proposed station]])))</f>
        <v>49</v>
      </c>
      <c r="M23" s="40">
        <f>IF(tblElements[[#This Row],[No.]]="","",IF(AND(ISNUMBER(tblElements[[#This Row],[Proposed station time (s)]]),ISNUMBER(Takt)),tblElements[[#This Row],[Proposed station time (s)]]/Takt,""))</f>
        <v>0.871111111111111</v>
      </c>
      <c r="N23"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23"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23" s="36" t="s">
        <v>124</v>
      </c>
    </row>
    <row r="24" spans="2:16" x14ac:dyDescent="0.25">
      <c r="B24" s="29">
        <v>19</v>
      </c>
      <c r="C24" s="36" t="s">
        <v>148</v>
      </c>
      <c r="D24" s="37">
        <v>4</v>
      </c>
      <c r="E24" s="28" t="s">
        <v>126</v>
      </c>
      <c r="F24" s="29">
        <v>14</v>
      </c>
      <c r="G24" s="28" t="s">
        <v>92</v>
      </c>
      <c r="H24" s="28" t="s">
        <v>92</v>
      </c>
      <c r="I24" s="38">
        <f>IF(tblElements[[#This Row],[No.]]="","",IFERROR(MATCH(tblElements[[#This Row],[Current station]],tblStations[Station],0),""))</f>
        <v>3</v>
      </c>
      <c r="J24" s="38">
        <f>IF(tblElements[[#This Row],[No.]]="","",IF(tblElements[[#This Row],[Proposed station]]="","",IFERROR(MATCH(tblElements[[#This Row],[Proposed station]],tblStations[Station],0),"")))</f>
        <v>3</v>
      </c>
      <c r="K24" s="39">
        <f>IF(tblElements[[#This Row],[No.]]="","",IF(tblElements[[#This Row],[Current station]]="","",SUMIFS(tblElements[Time (s)],tblElements[Current station],tblElements[[#This Row],[Current station]])))</f>
        <v>60</v>
      </c>
      <c r="L24" s="39">
        <f>IF(tblElements[[#This Row],[No.]]="","",IF(tblElements[[#This Row],[Proposed station]]="","",SUMIFS(tblElements[Time (s)],tblElements[Proposed station],tblElements[[#This Row],[Proposed station]])))</f>
        <v>49</v>
      </c>
      <c r="M24" s="40">
        <f>IF(tblElements[[#This Row],[No.]]="","",IF(AND(ISNUMBER(tblElements[[#This Row],[Proposed station time (s)]]),ISNUMBER(Takt)),tblElements[[#This Row],[Proposed station time (s)]]/Takt,""))</f>
        <v>0.871111111111111</v>
      </c>
      <c r="N24"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24"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24" s="36" t="s">
        <v>124</v>
      </c>
    </row>
    <row r="25" spans="2:16" x14ac:dyDescent="0.25">
      <c r="B25" s="29">
        <v>20</v>
      </c>
      <c r="C25" s="36" t="s">
        <v>149</v>
      </c>
      <c r="D25" s="37">
        <v>8</v>
      </c>
      <c r="E25" s="28" t="s">
        <v>126</v>
      </c>
      <c r="F25" s="29">
        <v>9</v>
      </c>
      <c r="G25" s="28" t="s">
        <v>95</v>
      </c>
      <c r="H25" s="28" t="s">
        <v>92</v>
      </c>
      <c r="I25" s="38">
        <f>IF(tblElements[[#This Row],[No.]]="","",IFERROR(MATCH(tblElements[[#This Row],[Current station]],tblStations[Station],0),""))</f>
        <v>4</v>
      </c>
      <c r="J25" s="38">
        <f>IF(tblElements[[#This Row],[No.]]="","",IF(tblElements[[#This Row],[Proposed station]]="","",IFERROR(MATCH(tblElements[[#This Row],[Proposed station]],tblStations[Station],0),"")))</f>
        <v>3</v>
      </c>
      <c r="K25" s="39">
        <f>IF(tblElements[[#This Row],[No.]]="","",IF(tblElements[[#This Row],[Current station]]="","",SUMIFS(tblElements[Time (s)],tblElements[Current station],tblElements[[#This Row],[Current station]])))</f>
        <v>41</v>
      </c>
      <c r="L25" s="39">
        <f>IF(tblElements[[#This Row],[No.]]="","",IF(tblElements[[#This Row],[Proposed station]]="","",SUMIFS(tblElements[Time (s)],tblElements[Proposed station],tblElements[[#This Row],[Proposed station]])))</f>
        <v>49</v>
      </c>
      <c r="M25" s="40">
        <f>IF(tblElements[[#This Row],[No.]]="","",IF(AND(ISNUMBER(tblElements[[#This Row],[Proposed station time (s)]]),ISNUMBER(Takt)),tblElements[[#This Row],[Proposed station time (s)]]/Takt,""))</f>
        <v>0.871111111111111</v>
      </c>
      <c r="N25"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25"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25" s="36" t="s">
        <v>150</v>
      </c>
    </row>
    <row r="26" spans="2:16" x14ac:dyDescent="0.25">
      <c r="B26" s="29">
        <v>21</v>
      </c>
      <c r="C26" s="36" t="s">
        <v>151</v>
      </c>
      <c r="D26" s="37">
        <v>11</v>
      </c>
      <c r="E26" s="28" t="s">
        <v>126</v>
      </c>
      <c r="F26" s="29">
        <v>9</v>
      </c>
      <c r="G26" s="28" t="s">
        <v>95</v>
      </c>
      <c r="H26" s="28" t="s">
        <v>95</v>
      </c>
      <c r="I26" s="38">
        <f>IF(tblElements[[#This Row],[No.]]="","",IFERROR(MATCH(tblElements[[#This Row],[Current station]],tblStations[Station],0),""))</f>
        <v>4</v>
      </c>
      <c r="J26" s="38">
        <f>IF(tblElements[[#This Row],[No.]]="","",IF(tblElements[[#This Row],[Proposed station]]="","",IFERROR(MATCH(tblElements[[#This Row],[Proposed station]],tblStations[Station],0),"")))</f>
        <v>4</v>
      </c>
      <c r="K26" s="39">
        <f>IF(tblElements[[#This Row],[No.]]="","",IF(tblElements[[#This Row],[Current station]]="","",SUMIFS(tblElements[Time (s)],tblElements[Current station],tblElements[[#This Row],[Current station]])))</f>
        <v>41</v>
      </c>
      <c r="L26" s="39">
        <f>IF(tblElements[[#This Row],[No.]]="","",IF(tblElements[[#This Row],[Proposed station]]="","",SUMIFS(tblElements[Time (s)],tblElements[Proposed station],tblElements[[#This Row],[Proposed station]])))</f>
        <v>42</v>
      </c>
      <c r="M26" s="40">
        <f>IF(tblElements[[#This Row],[No.]]="","",IF(AND(ISNUMBER(tblElements[[#This Row],[Proposed station time (s)]]),ISNUMBER(Takt)),tblElements[[#This Row],[Proposed station time (s)]]/Takt,""))</f>
        <v>0.746666666666667</v>
      </c>
      <c r="N26"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26"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26" s="36" t="s">
        <v>124</v>
      </c>
    </row>
    <row r="27" spans="2:16" x14ac:dyDescent="0.25">
      <c r="B27" s="29">
        <v>22</v>
      </c>
      <c r="C27" s="36" t="s">
        <v>152</v>
      </c>
      <c r="D27" s="37">
        <v>11</v>
      </c>
      <c r="E27" s="28" t="s">
        <v>126</v>
      </c>
      <c r="F27" s="29">
        <v>9</v>
      </c>
      <c r="G27" s="28" t="s">
        <v>95</v>
      </c>
      <c r="H27" s="28" t="s">
        <v>95</v>
      </c>
      <c r="I27" s="38">
        <f>IF(tblElements[[#This Row],[No.]]="","",IFERROR(MATCH(tblElements[[#This Row],[Current station]],tblStations[Station],0),""))</f>
        <v>4</v>
      </c>
      <c r="J27" s="38">
        <f>IF(tblElements[[#This Row],[No.]]="","",IF(tblElements[[#This Row],[Proposed station]]="","",IFERROR(MATCH(tblElements[[#This Row],[Proposed station]],tblStations[Station],0),"")))</f>
        <v>4</v>
      </c>
      <c r="K27" s="39">
        <f>IF(tblElements[[#This Row],[No.]]="","",IF(tblElements[[#This Row],[Current station]]="","",SUMIFS(tblElements[Time (s)],tblElements[Current station],tblElements[[#This Row],[Current station]])))</f>
        <v>41</v>
      </c>
      <c r="L27" s="39">
        <f>IF(tblElements[[#This Row],[No.]]="","",IF(tblElements[[#This Row],[Proposed station]]="","",SUMIFS(tblElements[Time (s)],tblElements[Proposed station],tblElements[[#This Row],[Proposed station]])))</f>
        <v>42</v>
      </c>
      <c r="M27" s="40">
        <f>IF(tblElements[[#This Row],[No.]]="","",IF(AND(ISNUMBER(tblElements[[#This Row],[Proposed station time (s)]]),ISNUMBER(Takt)),tblElements[[#This Row],[Proposed station time (s)]]/Takt,""))</f>
        <v>0.746666666666667</v>
      </c>
      <c r="N27"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27"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27" s="36" t="s">
        <v>124</v>
      </c>
    </row>
    <row r="28" spans="2:16" x14ac:dyDescent="0.25">
      <c r="B28" s="29">
        <v>23</v>
      </c>
      <c r="C28" s="36" t="s">
        <v>153</v>
      </c>
      <c r="D28" s="37">
        <v>7</v>
      </c>
      <c r="E28" s="28" t="s">
        <v>126</v>
      </c>
      <c r="F28" s="29">
        <v>22</v>
      </c>
      <c r="G28" s="28" t="s">
        <v>95</v>
      </c>
      <c r="H28" s="28" t="s">
        <v>95</v>
      </c>
      <c r="I28" s="38">
        <f>IF(tblElements[[#This Row],[No.]]="","",IFERROR(MATCH(tblElements[[#This Row],[Current station]],tblStations[Station],0),""))</f>
        <v>4</v>
      </c>
      <c r="J28" s="38">
        <f>IF(tblElements[[#This Row],[No.]]="","",IF(tblElements[[#This Row],[Proposed station]]="","",IFERROR(MATCH(tblElements[[#This Row],[Proposed station]],tblStations[Station],0),"")))</f>
        <v>4</v>
      </c>
      <c r="K28" s="39">
        <f>IF(tblElements[[#This Row],[No.]]="","",IF(tblElements[[#This Row],[Current station]]="","",SUMIFS(tblElements[Time (s)],tblElements[Current station],tblElements[[#This Row],[Current station]])))</f>
        <v>41</v>
      </c>
      <c r="L28" s="39">
        <f>IF(tblElements[[#This Row],[No.]]="","",IF(tblElements[[#This Row],[Proposed station]]="","",SUMIFS(tblElements[Time (s)],tblElements[Proposed station],tblElements[[#This Row],[Proposed station]])))</f>
        <v>42</v>
      </c>
      <c r="M28" s="40">
        <f>IF(tblElements[[#This Row],[No.]]="","",IF(AND(ISNUMBER(tblElements[[#This Row],[Proposed station time (s)]]),ISNUMBER(Takt)),tblElements[[#This Row],[Proposed station time (s)]]/Takt,""))</f>
        <v>0.746666666666667</v>
      </c>
      <c r="N28"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28"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28" s="36" t="s">
        <v>124</v>
      </c>
    </row>
    <row r="29" spans="2:16" x14ac:dyDescent="0.25">
      <c r="B29" s="29">
        <v>24</v>
      </c>
      <c r="C29" s="36" t="s">
        <v>154</v>
      </c>
      <c r="D29" s="37">
        <v>4</v>
      </c>
      <c r="E29" s="28" t="s">
        <v>123</v>
      </c>
      <c r="F29" s="29">
        <v>23</v>
      </c>
      <c r="G29" s="28" t="s">
        <v>95</v>
      </c>
      <c r="H29" s="28" t="s">
        <v>95</v>
      </c>
      <c r="I29" s="38">
        <f>IF(tblElements[[#This Row],[No.]]="","",IFERROR(MATCH(tblElements[[#This Row],[Current station]],tblStations[Station],0),""))</f>
        <v>4</v>
      </c>
      <c r="J29" s="38">
        <f>IF(tblElements[[#This Row],[No.]]="","",IF(tblElements[[#This Row],[Proposed station]]="","",IFERROR(MATCH(tblElements[[#This Row],[Proposed station]],tblStations[Station],0),"")))</f>
        <v>4</v>
      </c>
      <c r="K29" s="39">
        <f>IF(tblElements[[#This Row],[No.]]="","",IF(tblElements[[#This Row],[Current station]]="","",SUMIFS(tblElements[Time (s)],tblElements[Current station],tblElements[[#This Row],[Current station]])))</f>
        <v>41</v>
      </c>
      <c r="L29" s="39">
        <f>IF(tblElements[[#This Row],[No.]]="","",IF(tblElements[[#This Row],[Proposed station]]="","",SUMIFS(tblElements[Time (s)],tblElements[Proposed station],tblElements[[#This Row],[Proposed station]])))</f>
        <v>42</v>
      </c>
      <c r="M29" s="40">
        <f>IF(tblElements[[#This Row],[No.]]="","",IF(AND(ISNUMBER(tblElements[[#This Row],[Proposed station time (s)]]),ISNUMBER(Takt)),tblElements[[#This Row],[Proposed station time (s)]]/Takt,""))</f>
        <v>0.746666666666667</v>
      </c>
      <c r="N29"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29"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29" s="36" t="s">
        <v>124</v>
      </c>
    </row>
    <row r="30" spans="2:16" x14ac:dyDescent="0.25">
      <c r="B30" s="29">
        <v>25</v>
      </c>
      <c r="C30" s="36" t="s">
        <v>155</v>
      </c>
      <c r="D30" s="37">
        <v>3</v>
      </c>
      <c r="E30" s="28" t="s">
        <v>130</v>
      </c>
      <c r="F30" s="29"/>
      <c r="G30" s="28" t="s">
        <v>92</v>
      </c>
      <c r="H30" s="28" t="s">
        <v>92</v>
      </c>
      <c r="I30" s="38">
        <f>IF(tblElements[[#This Row],[No.]]="","",IFERROR(MATCH(tblElements[[#This Row],[Current station]],tblStations[Station],0),""))</f>
        <v>3</v>
      </c>
      <c r="J30" s="38">
        <f>IF(tblElements[[#This Row],[No.]]="","",IF(tblElements[[#This Row],[Proposed station]]="","",IFERROR(MATCH(tblElements[[#This Row],[Proposed station]],tblStations[Station],0),"")))</f>
        <v>3</v>
      </c>
      <c r="K30" s="39">
        <f>IF(tblElements[[#This Row],[No.]]="","",IF(tblElements[[#This Row],[Current station]]="","",SUMIFS(tblElements[Time (s)],tblElements[Current station],tblElements[[#This Row],[Current station]])))</f>
        <v>60</v>
      </c>
      <c r="L30" s="39">
        <f>IF(tblElements[[#This Row],[No.]]="","",IF(tblElements[[#This Row],[Proposed station]]="","",SUMIFS(tblElements[Time (s)],tblElements[Proposed station],tblElements[[#This Row],[Proposed station]])))</f>
        <v>49</v>
      </c>
      <c r="M30" s="40">
        <f>IF(tblElements[[#This Row],[No.]]="","",IF(AND(ISNUMBER(tblElements[[#This Row],[Proposed station time (s)]]),ISNUMBER(Takt)),tblElements[[#This Row],[Proposed station time (s)]]/Takt,""))</f>
        <v>0.871111111111111</v>
      </c>
      <c r="N30"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30"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30" s="36" t="s">
        <v>124</v>
      </c>
    </row>
    <row r="31" spans="2:16" x14ac:dyDescent="0.25">
      <c r="B31" s="29">
        <v>26</v>
      </c>
      <c r="C31" s="36" t="s">
        <v>156</v>
      </c>
      <c r="D31" s="37">
        <v>9</v>
      </c>
      <c r="E31" s="28" t="s">
        <v>126</v>
      </c>
      <c r="F31" s="29">
        <v>24</v>
      </c>
      <c r="G31" s="28" t="s">
        <v>97</v>
      </c>
      <c r="H31" s="28" t="s">
        <v>95</v>
      </c>
      <c r="I31" s="38">
        <f>IF(tblElements[[#This Row],[No.]]="","",IFERROR(MATCH(tblElements[[#This Row],[Current station]],tblStations[Station],0),""))</f>
        <v>5</v>
      </c>
      <c r="J31" s="38">
        <f>IF(tblElements[[#This Row],[No.]]="","",IF(tblElements[[#This Row],[Proposed station]]="","",IFERROR(MATCH(tblElements[[#This Row],[Proposed station]],tblStations[Station],0),"")))</f>
        <v>4</v>
      </c>
      <c r="K31" s="39">
        <f>IF(tblElements[[#This Row],[No.]]="","",IF(tblElements[[#This Row],[Current station]]="","",SUMIFS(tblElements[Time (s)],tblElements[Current station],tblElements[[#This Row],[Current station]])))</f>
        <v>42</v>
      </c>
      <c r="L31" s="39">
        <f>IF(tblElements[[#This Row],[No.]]="","",IF(tblElements[[#This Row],[Proposed station]]="","",SUMIFS(tblElements[Time (s)],tblElements[Proposed station],tblElements[[#This Row],[Proposed station]])))</f>
        <v>42</v>
      </c>
      <c r="M31" s="40">
        <f>IF(tblElements[[#This Row],[No.]]="","",IF(AND(ISNUMBER(tblElements[[#This Row],[Proposed station time (s)]]),ISNUMBER(Takt)),tblElements[[#This Row],[Proposed station time (s)]]/Takt,""))</f>
        <v>0.746666666666667</v>
      </c>
      <c r="N31"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31"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31" s="36" t="s">
        <v>157</v>
      </c>
    </row>
    <row r="32" spans="2:16" x14ac:dyDescent="0.25">
      <c r="B32" s="29">
        <v>27</v>
      </c>
      <c r="C32" s="36" t="s">
        <v>158</v>
      </c>
      <c r="D32" s="37">
        <v>14</v>
      </c>
      <c r="E32" s="28" t="s">
        <v>123</v>
      </c>
      <c r="F32" s="29">
        <v>26</v>
      </c>
      <c r="G32" s="28" t="s">
        <v>97</v>
      </c>
      <c r="H32" s="28" t="s">
        <v>97</v>
      </c>
      <c r="I32" s="38">
        <f>IF(tblElements[[#This Row],[No.]]="","",IFERROR(MATCH(tblElements[[#This Row],[Current station]],tblStations[Station],0),""))</f>
        <v>5</v>
      </c>
      <c r="J32" s="38">
        <f>IF(tblElements[[#This Row],[No.]]="","",IF(tblElements[[#This Row],[Proposed station]]="","",IFERROR(MATCH(tblElements[[#This Row],[Proposed station]],tblStations[Station],0),"")))</f>
        <v>5</v>
      </c>
      <c r="K32" s="39">
        <f>IF(tblElements[[#This Row],[No.]]="","",IF(tblElements[[#This Row],[Current station]]="","",SUMIFS(tblElements[Time (s)],tblElements[Current station],tblElements[[#This Row],[Current station]])))</f>
        <v>42</v>
      </c>
      <c r="L32" s="39">
        <f>IF(tblElements[[#This Row],[No.]]="","",IF(tblElements[[#This Row],[Proposed station]]="","",SUMIFS(tblElements[Time (s)],tblElements[Proposed station],tblElements[[#This Row],[Proposed station]])))</f>
        <v>53</v>
      </c>
      <c r="M32" s="40">
        <f>IF(tblElements[[#This Row],[No.]]="","",IF(AND(ISNUMBER(tblElements[[#This Row],[Proposed station time (s)]]),ISNUMBER(Takt)),tblElements[[#This Row],[Proposed station time (s)]]/Takt,""))</f>
        <v>0.942222222222222</v>
      </c>
      <c r="N32" s="41" t="str">
        <f>IF(tblElements[[#This Row],[No.]]="","",IF(tblElements[[#This Row],[Proposed station]]="","Removed",IF(NOT(ISNUMBER(tblElements[[#This Row],[Proposed load (% of takt)]])),"",IF(tblElements[[#This Row],[Proposed load (% of takt)]]&gt;OverAt,"Over capacity",IF(tblElements[[#This Row],[Proposed load (% of takt)]]&gt;=NearAt,"Near capacity","Under capacity")))))</f>
        <v>Near capacity</v>
      </c>
      <c r="O32"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32" s="36" t="s">
        <v>124</v>
      </c>
    </row>
    <row r="33" spans="2:16" x14ac:dyDescent="0.25">
      <c r="B33" s="29">
        <v>28</v>
      </c>
      <c r="C33" s="36" t="s">
        <v>159</v>
      </c>
      <c r="D33" s="37">
        <v>9</v>
      </c>
      <c r="E33" s="28" t="s">
        <v>123</v>
      </c>
      <c r="F33" s="29">
        <v>27</v>
      </c>
      <c r="G33" s="28" t="s">
        <v>97</v>
      </c>
      <c r="H33" s="28" t="s">
        <v>97</v>
      </c>
      <c r="I33" s="38">
        <f>IF(tblElements[[#This Row],[No.]]="","",IFERROR(MATCH(tblElements[[#This Row],[Current station]],tblStations[Station],0),""))</f>
        <v>5</v>
      </c>
      <c r="J33" s="38">
        <f>IF(tblElements[[#This Row],[No.]]="","",IF(tblElements[[#This Row],[Proposed station]]="","",IFERROR(MATCH(tblElements[[#This Row],[Proposed station]],tblStations[Station],0),"")))</f>
        <v>5</v>
      </c>
      <c r="K33" s="39">
        <f>IF(tblElements[[#This Row],[No.]]="","",IF(tblElements[[#This Row],[Current station]]="","",SUMIFS(tblElements[Time (s)],tblElements[Current station],tblElements[[#This Row],[Current station]])))</f>
        <v>42</v>
      </c>
      <c r="L33" s="39">
        <f>IF(tblElements[[#This Row],[No.]]="","",IF(tblElements[[#This Row],[Proposed station]]="","",SUMIFS(tblElements[Time (s)],tblElements[Proposed station],tblElements[[#This Row],[Proposed station]])))</f>
        <v>53</v>
      </c>
      <c r="M33" s="40">
        <f>IF(tblElements[[#This Row],[No.]]="","",IF(AND(ISNUMBER(tblElements[[#This Row],[Proposed station time (s)]]),ISNUMBER(Takt)),tblElements[[#This Row],[Proposed station time (s)]]/Takt,""))</f>
        <v>0.942222222222222</v>
      </c>
      <c r="N33" s="41" t="str">
        <f>IF(tblElements[[#This Row],[No.]]="","",IF(tblElements[[#This Row],[Proposed station]]="","Removed",IF(NOT(ISNUMBER(tblElements[[#This Row],[Proposed load (% of takt)]])),"",IF(tblElements[[#This Row],[Proposed load (% of takt)]]&gt;OverAt,"Over capacity",IF(tblElements[[#This Row],[Proposed load (% of takt)]]&gt;=NearAt,"Near capacity","Under capacity")))))</f>
        <v>Near capacity</v>
      </c>
      <c r="O33"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33" s="36" t="s">
        <v>124</v>
      </c>
    </row>
    <row r="34" spans="2:16" x14ac:dyDescent="0.25">
      <c r="B34" s="29">
        <v>29</v>
      </c>
      <c r="C34" s="36" t="s">
        <v>160</v>
      </c>
      <c r="D34" s="37">
        <v>6</v>
      </c>
      <c r="E34" s="28" t="s">
        <v>123</v>
      </c>
      <c r="F34" s="29">
        <v>27</v>
      </c>
      <c r="G34" s="28" t="s">
        <v>97</v>
      </c>
      <c r="H34" s="28" t="s">
        <v>97</v>
      </c>
      <c r="I34" s="38">
        <f>IF(tblElements[[#This Row],[No.]]="","",IFERROR(MATCH(tblElements[[#This Row],[Current station]],tblStations[Station],0),""))</f>
        <v>5</v>
      </c>
      <c r="J34" s="38">
        <f>IF(tblElements[[#This Row],[No.]]="","",IF(tblElements[[#This Row],[Proposed station]]="","",IFERROR(MATCH(tblElements[[#This Row],[Proposed station]],tblStations[Station],0),"")))</f>
        <v>5</v>
      </c>
      <c r="K34" s="39">
        <f>IF(tblElements[[#This Row],[No.]]="","",IF(tblElements[[#This Row],[Current station]]="","",SUMIFS(tblElements[Time (s)],tblElements[Current station],tblElements[[#This Row],[Current station]])))</f>
        <v>42</v>
      </c>
      <c r="L34" s="39">
        <f>IF(tblElements[[#This Row],[No.]]="","",IF(tblElements[[#This Row],[Proposed station]]="","",SUMIFS(tblElements[Time (s)],tblElements[Proposed station],tblElements[[#This Row],[Proposed station]])))</f>
        <v>53</v>
      </c>
      <c r="M34" s="40">
        <f>IF(tblElements[[#This Row],[No.]]="","",IF(AND(ISNUMBER(tblElements[[#This Row],[Proposed station time (s)]]),ISNUMBER(Takt)),tblElements[[#This Row],[Proposed station time (s)]]/Takt,""))</f>
        <v>0.942222222222222</v>
      </c>
      <c r="N34" s="41" t="str">
        <f>IF(tblElements[[#This Row],[No.]]="","",IF(tblElements[[#This Row],[Proposed station]]="","Removed",IF(NOT(ISNUMBER(tblElements[[#This Row],[Proposed load (% of takt)]])),"",IF(tblElements[[#This Row],[Proposed load (% of takt)]]&gt;OverAt,"Over capacity",IF(tblElements[[#This Row],[Proposed load (% of takt)]]&gt;=NearAt,"Near capacity","Under capacity")))))</f>
        <v>Near capacity</v>
      </c>
      <c r="O34"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34" s="36" t="s">
        <v>124</v>
      </c>
    </row>
    <row r="35" spans="2:16" x14ac:dyDescent="0.25">
      <c r="B35" s="29">
        <v>30</v>
      </c>
      <c r="C35" s="36" t="s">
        <v>161</v>
      </c>
      <c r="D35" s="37">
        <v>4</v>
      </c>
      <c r="E35" s="28" t="s">
        <v>130</v>
      </c>
      <c r="F35" s="29">
        <v>28</v>
      </c>
      <c r="G35" s="28" t="s">
        <v>97</v>
      </c>
      <c r="H35" s="28" t="s">
        <v>97</v>
      </c>
      <c r="I35" s="38">
        <f>IF(tblElements[[#This Row],[No.]]="","",IFERROR(MATCH(tblElements[[#This Row],[Current station]],tblStations[Station],0),""))</f>
        <v>5</v>
      </c>
      <c r="J35" s="38">
        <f>IF(tblElements[[#This Row],[No.]]="","",IF(tblElements[[#This Row],[Proposed station]]="","",IFERROR(MATCH(tblElements[[#This Row],[Proposed station]],tblStations[Station],0),"")))</f>
        <v>5</v>
      </c>
      <c r="K35" s="39">
        <f>IF(tblElements[[#This Row],[No.]]="","",IF(tblElements[[#This Row],[Current station]]="","",SUMIFS(tblElements[Time (s)],tblElements[Current station],tblElements[[#This Row],[Current station]])))</f>
        <v>42</v>
      </c>
      <c r="L35" s="39">
        <f>IF(tblElements[[#This Row],[No.]]="","",IF(tblElements[[#This Row],[Proposed station]]="","",SUMIFS(tblElements[Time (s)],tblElements[Proposed station],tblElements[[#This Row],[Proposed station]])))</f>
        <v>53</v>
      </c>
      <c r="M35" s="40">
        <f>IF(tblElements[[#This Row],[No.]]="","",IF(AND(ISNUMBER(tblElements[[#This Row],[Proposed station time (s)]]),ISNUMBER(Takt)),tblElements[[#This Row],[Proposed station time (s)]]/Takt,""))</f>
        <v>0.942222222222222</v>
      </c>
      <c r="N35" s="41" t="str">
        <f>IF(tblElements[[#This Row],[No.]]="","",IF(tblElements[[#This Row],[Proposed station]]="","Removed",IF(NOT(ISNUMBER(tblElements[[#This Row],[Proposed load (% of takt)]])),"",IF(tblElements[[#This Row],[Proposed load (% of takt)]]&gt;OverAt,"Over capacity",IF(tblElements[[#This Row],[Proposed load (% of takt)]]&gt;=NearAt,"Near capacity","Under capacity")))))</f>
        <v>Near capacity</v>
      </c>
      <c r="O35"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35" s="36" t="s">
        <v>124</v>
      </c>
    </row>
    <row r="36" spans="2:16" x14ac:dyDescent="0.25">
      <c r="B36" s="29">
        <v>31</v>
      </c>
      <c r="C36" s="36" t="s">
        <v>162</v>
      </c>
      <c r="D36" s="37">
        <v>10</v>
      </c>
      <c r="E36" s="28" t="s">
        <v>123</v>
      </c>
      <c r="F36" s="29">
        <v>28</v>
      </c>
      <c r="G36" s="28" t="s">
        <v>100</v>
      </c>
      <c r="H36" s="28" t="s">
        <v>97</v>
      </c>
      <c r="I36" s="38">
        <f>IF(tblElements[[#This Row],[No.]]="","",IFERROR(MATCH(tblElements[[#This Row],[Current station]],tblStations[Station],0),""))</f>
        <v>6</v>
      </c>
      <c r="J36" s="38">
        <f>IF(tblElements[[#This Row],[No.]]="","",IF(tblElements[[#This Row],[Proposed station]]="","",IFERROR(MATCH(tblElements[[#This Row],[Proposed station]],tblStations[Station],0),"")))</f>
        <v>5</v>
      </c>
      <c r="K36" s="39">
        <f>IF(tblElements[[#This Row],[No.]]="","",IF(tblElements[[#This Row],[Current station]]="","",SUMIFS(tblElements[Time (s)],tblElements[Current station],tblElements[[#This Row],[Current station]])))</f>
        <v>38</v>
      </c>
      <c r="L36" s="39">
        <f>IF(tblElements[[#This Row],[No.]]="","",IF(tblElements[[#This Row],[Proposed station]]="","",SUMIFS(tblElements[Time (s)],tblElements[Proposed station],tblElements[[#This Row],[Proposed station]])))</f>
        <v>53</v>
      </c>
      <c r="M36" s="40">
        <f>IF(tblElements[[#This Row],[No.]]="","",IF(AND(ISNUMBER(tblElements[[#This Row],[Proposed station time (s)]]),ISNUMBER(Takt)),tblElements[[#This Row],[Proposed station time (s)]]/Takt,""))</f>
        <v>0.942222222222222</v>
      </c>
      <c r="N36" s="41" t="str">
        <f>IF(tblElements[[#This Row],[No.]]="","",IF(tblElements[[#This Row],[Proposed station]]="","Removed",IF(NOT(ISNUMBER(tblElements[[#This Row],[Proposed load (% of takt)]])),"",IF(tblElements[[#This Row],[Proposed load (% of takt)]]&gt;OverAt,"Over capacity",IF(tblElements[[#This Row],[Proposed load (% of takt)]]&gt;=NearAt,"Near capacity","Under capacity")))))</f>
        <v>Near capacity</v>
      </c>
      <c r="O36"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36" s="36" t="s">
        <v>163</v>
      </c>
    </row>
    <row r="37" spans="2:16" x14ac:dyDescent="0.25">
      <c r="B37" s="29">
        <v>32</v>
      </c>
      <c r="C37" s="36" t="s">
        <v>164</v>
      </c>
      <c r="D37" s="37">
        <v>12</v>
      </c>
      <c r="E37" s="28" t="s">
        <v>123</v>
      </c>
      <c r="F37" s="29">
        <v>31</v>
      </c>
      <c r="G37" s="28" t="s">
        <v>100</v>
      </c>
      <c r="H37" s="28" t="s">
        <v>100</v>
      </c>
      <c r="I37" s="38">
        <f>IF(tblElements[[#This Row],[No.]]="","",IFERROR(MATCH(tblElements[[#This Row],[Current station]],tblStations[Station],0),""))</f>
        <v>6</v>
      </c>
      <c r="J37" s="38">
        <f>IF(tblElements[[#This Row],[No.]]="","",IF(tblElements[[#This Row],[Proposed station]]="","",IFERROR(MATCH(tblElements[[#This Row],[Proposed station]],tblStations[Station],0),"")))</f>
        <v>6</v>
      </c>
      <c r="K37" s="39">
        <f>IF(tblElements[[#This Row],[No.]]="","",IF(tblElements[[#This Row],[Current station]]="","",SUMIFS(tblElements[Time (s)],tblElements[Current station],tblElements[[#This Row],[Current station]])))</f>
        <v>38</v>
      </c>
      <c r="L37" s="39">
        <f>IF(tblElements[[#This Row],[No.]]="","",IF(tblElements[[#This Row],[Proposed station]]="","",SUMIFS(tblElements[Time (s)],tblElements[Proposed station],tblElements[[#This Row],[Proposed station]])))</f>
        <v>50</v>
      </c>
      <c r="M37" s="40">
        <f>IF(tblElements[[#This Row],[No.]]="","",IF(AND(ISNUMBER(tblElements[[#This Row],[Proposed station time (s)]]),ISNUMBER(Takt)),tblElements[[#This Row],[Proposed station time (s)]]/Takt,""))</f>
        <v>0.888888888888889</v>
      </c>
      <c r="N37"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37"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37" s="36" t="s">
        <v>124</v>
      </c>
    </row>
    <row r="38" spans="2:16" x14ac:dyDescent="0.25">
      <c r="B38" s="29">
        <v>33</v>
      </c>
      <c r="C38" s="36" t="s">
        <v>165</v>
      </c>
      <c r="D38" s="37">
        <v>5</v>
      </c>
      <c r="E38" s="28" t="s">
        <v>123</v>
      </c>
      <c r="F38" s="29">
        <v>32</v>
      </c>
      <c r="G38" s="28" t="s">
        <v>100</v>
      </c>
      <c r="H38" s="28" t="s">
        <v>100</v>
      </c>
      <c r="I38" s="38">
        <f>IF(tblElements[[#This Row],[No.]]="","",IFERROR(MATCH(tblElements[[#This Row],[Current station]],tblStations[Station],0),""))</f>
        <v>6</v>
      </c>
      <c r="J38" s="38">
        <f>IF(tblElements[[#This Row],[No.]]="","",IF(tblElements[[#This Row],[Proposed station]]="","",IFERROR(MATCH(tblElements[[#This Row],[Proposed station]],tblStations[Station],0),"")))</f>
        <v>6</v>
      </c>
      <c r="K38" s="39">
        <f>IF(tblElements[[#This Row],[No.]]="","",IF(tblElements[[#This Row],[Current station]]="","",SUMIFS(tblElements[Time (s)],tblElements[Current station],tblElements[[#This Row],[Current station]])))</f>
        <v>38</v>
      </c>
      <c r="L38" s="39">
        <f>IF(tblElements[[#This Row],[No.]]="","",IF(tblElements[[#This Row],[Proposed station]]="","",SUMIFS(tblElements[Time (s)],tblElements[Proposed station],tblElements[[#This Row],[Proposed station]])))</f>
        <v>50</v>
      </c>
      <c r="M38" s="40">
        <f>IF(tblElements[[#This Row],[No.]]="","",IF(AND(ISNUMBER(tblElements[[#This Row],[Proposed station time (s)]]),ISNUMBER(Takt)),tblElements[[#This Row],[Proposed station time (s)]]/Takt,""))</f>
        <v>0.888888888888889</v>
      </c>
      <c r="N38"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38"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38" s="36" t="s">
        <v>124</v>
      </c>
    </row>
    <row r="39" spans="2:16" x14ac:dyDescent="0.25">
      <c r="B39" s="29">
        <v>34</v>
      </c>
      <c r="C39" s="36" t="s">
        <v>166</v>
      </c>
      <c r="D39" s="37">
        <v>6</v>
      </c>
      <c r="E39" s="28" t="s">
        <v>130</v>
      </c>
      <c r="F39" s="29"/>
      <c r="G39" s="28" t="s">
        <v>100</v>
      </c>
      <c r="H39" s="28" t="s">
        <v>100</v>
      </c>
      <c r="I39" s="38">
        <f>IF(tblElements[[#This Row],[No.]]="","",IFERROR(MATCH(tblElements[[#This Row],[Current station]],tblStations[Station],0),""))</f>
        <v>6</v>
      </c>
      <c r="J39" s="38">
        <f>IF(tblElements[[#This Row],[No.]]="","",IF(tblElements[[#This Row],[Proposed station]]="","",IFERROR(MATCH(tblElements[[#This Row],[Proposed station]],tblStations[Station],0),"")))</f>
        <v>6</v>
      </c>
      <c r="K39" s="39">
        <f>IF(tblElements[[#This Row],[No.]]="","",IF(tblElements[[#This Row],[Current station]]="","",SUMIFS(tblElements[Time (s)],tblElements[Current station],tblElements[[#This Row],[Current station]])))</f>
        <v>38</v>
      </c>
      <c r="L39" s="39">
        <f>IF(tblElements[[#This Row],[No.]]="","",IF(tblElements[[#This Row],[Proposed station]]="","",SUMIFS(tblElements[Time (s)],tblElements[Proposed station],tblElements[[#This Row],[Proposed station]])))</f>
        <v>50</v>
      </c>
      <c r="M39" s="40">
        <f>IF(tblElements[[#This Row],[No.]]="","",IF(AND(ISNUMBER(tblElements[[#This Row],[Proposed station time (s)]]),ISNUMBER(Takt)),tblElements[[#This Row],[Proposed station time (s)]]/Takt,""))</f>
        <v>0.888888888888889</v>
      </c>
      <c r="N39"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39"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39" s="36" t="s">
        <v>124</v>
      </c>
    </row>
    <row r="40" spans="2:16" x14ac:dyDescent="0.25">
      <c r="B40" s="29">
        <v>35</v>
      </c>
      <c r="C40" s="36" t="s">
        <v>167</v>
      </c>
      <c r="D40" s="37">
        <v>5</v>
      </c>
      <c r="E40" s="28" t="s">
        <v>123</v>
      </c>
      <c r="F40" s="29"/>
      <c r="G40" s="28" t="s">
        <v>100</v>
      </c>
      <c r="H40" s="28" t="s">
        <v>97</v>
      </c>
      <c r="I40" s="38">
        <f>IF(tblElements[[#This Row],[No.]]="","",IFERROR(MATCH(tblElements[[#This Row],[Current station]],tblStations[Station],0),""))</f>
        <v>6</v>
      </c>
      <c r="J40" s="38">
        <f>IF(tblElements[[#This Row],[No.]]="","",IF(tblElements[[#This Row],[Proposed station]]="","",IFERROR(MATCH(tblElements[[#This Row],[Proposed station]],tblStations[Station],0),"")))</f>
        <v>5</v>
      </c>
      <c r="K40" s="39">
        <f>IF(tblElements[[#This Row],[No.]]="","",IF(tblElements[[#This Row],[Current station]]="","",SUMIFS(tblElements[Time (s)],tblElements[Current station],tblElements[[#This Row],[Current station]])))</f>
        <v>38</v>
      </c>
      <c r="L40" s="39">
        <f>IF(tblElements[[#This Row],[No.]]="","",IF(tblElements[[#This Row],[Proposed station]]="","",SUMIFS(tblElements[Time (s)],tblElements[Proposed station],tblElements[[#This Row],[Proposed station]])))</f>
        <v>53</v>
      </c>
      <c r="M40" s="40">
        <f>IF(tblElements[[#This Row],[No.]]="","",IF(AND(ISNUMBER(tblElements[[#This Row],[Proposed station time (s)]]),ISNUMBER(Takt)),tblElements[[#This Row],[Proposed station time (s)]]/Takt,""))</f>
        <v>0.942222222222222</v>
      </c>
      <c r="N40" s="41" t="str">
        <f>IF(tblElements[[#This Row],[No.]]="","",IF(tblElements[[#This Row],[Proposed station]]="","Removed",IF(NOT(ISNUMBER(tblElements[[#This Row],[Proposed load (% of takt)]])),"",IF(tblElements[[#This Row],[Proposed load (% of takt)]]&gt;OverAt,"Over capacity",IF(tblElements[[#This Row],[Proposed load (% of takt)]]&gt;=NearAt,"Near capacity","Under capacity")))))</f>
        <v>Near capacity</v>
      </c>
      <c r="O40"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40" s="36" t="s">
        <v>163</v>
      </c>
    </row>
    <row r="41" spans="2:16" x14ac:dyDescent="0.25">
      <c r="B41" s="29">
        <v>36</v>
      </c>
      <c r="C41" s="36" t="s">
        <v>168</v>
      </c>
      <c r="D41" s="37">
        <v>6</v>
      </c>
      <c r="E41" s="28" t="s">
        <v>130</v>
      </c>
      <c r="F41" s="29">
        <v>32</v>
      </c>
      <c r="G41" s="28" t="s">
        <v>103</v>
      </c>
      <c r="H41" s="28" t="s">
        <v>100</v>
      </c>
      <c r="I41" s="38">
        <f>IF(tblElements[[#This Row],[No.]]="","",IFERROR(MATCH(tblElements[[#This Row],[Current station]],tblStations[Station],0),""))</f>
        <v>7</v>
      </c>
      <c r="J41" s="38">
        <f>IF(tblElements[[#This Row],[No.]]="","",IF(tblElements[[#This Row],[Proposed station]]="","",IFERROR(MATCH(tblElements[[#This Row],[Proposed station]],tblStations[Station],0),"")))</f>
        <v>6</v>
      </c>
      <c r="K41" s="39">
        <f>IF(tblElements[[#This Row],[No.]]="","",IF(tblElements[[#This Row],[Current station]]="","",SUMIFS(tblElements[Time (s)],tblElements[Current station],tblElements[[#This Row],[Current station]])))</f>
        <v>32</v>
      </c>
      <c r="L41" s="39">
        <f>IF(tblElements[[#This Row],[No.]]="","",IF(tblElements[[#This Row],[Proposed station]]="","",SUMIFS(tblElements[Time (s)],tblElements[Proposed station],tblElements[[#This Row],[Proposed station]])))</f>
        <v>50</v>
      </c>
      <c r="M41" s="40">
        <f>IF(tblElements[[#This Row],[No.]]="","",IF(AND(ISNUMBER(tblElements[[#This Row],[Proposed station time (s)]]),ISNUMBER(Takt)),tblElements[[#This Row],[Proposed station time (s)]]/Takt,""))</f>
        <v>0.888888888888889</v>
      </c>
      <c r="N41"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41"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41" s="36" t="s">
        <v>169</v>
      </c>
    </row>
    <row r="42" spans="2:16" x14ac:dyDescent="0.25">
      <c r="B42" s="29">
        <v>37</v>
      </c>
      <c r="C42" s="36" t="s">
        <v>170</v>
      </c>
      <c r="D42" s="37">
        <v>8</v>
      </c>
      <c r="E42" s="28" t="s">
        <v>123</v>
      </c>
      <c r="F42" s="29">
        <v>36</v>
      </c>
      <c r="G42" s="28" t="s">
        <v>103</v>
      </c>
      <c r="H42" s="28" t="s">
        <v>100</v>
      </c>
      <c r="I42" s="38">
        <f>IF(tblElements[[#This Row],[No.]]="","",IFERROR(MATCH(tblElements[[#This Row],[Current station]],tblStations[Station],0),""))</f>
        <v>7</v>
      </c>
      <c r="J42" s="38">
        <f>IF(tblElements[[#This Row],[No.]]="","",IF(tblElements[[#This Row],[Proposed station]]="","",IFERROR(MATCH(tblElements[[#This Row],[Proposed station]],tblStations[Station],0),"")))</f>
        <v>6</v>
      </c>
      <c r="K42" s="39">
        <f>IF(tblElements[[#This Row],[No.]]="","",IF(tblElements[[#This Row],[Current station]]="","",SUMIFS(tblElements[Time (s)],tblElements[Current station],tblElements[[#This Row],[Current station]])))</f>
        <v>32</v>
      </c>
      <c r="L42" s="39">
        <f>IF(tblElements[[#This Row],[No.]]="","",IF(tblElements[[#This Row],[Proposed station]]="","",SUMIFS(tblElements[Time (s)],tblElements[Proposed station],tblElements[[#This Row],[Proposed station]])))</f>
        <v>50</v>
      </c>
      <c r="M42" s="40">
        <f>IF(tblElements[[#This Row],[No.]]="","",IF(AND(ISNUMBER(tblElements[[#This Row],[Proposed station time (s)]]),ISNUMBER(Takt)),tblElements[[#This Row],[Proposed station time (s)]]/Takt,""))</f>
        <v>0.888888888888889</v>
      </c>
      <c r="N42"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42"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42" s="36" t="s">
        <v>169</v>
      </c>
    </row>
    <row r="43" spans="2:16" x14ac:dyDescent="0.25">
      <c r="B43" s="29">
        <v>38</v>
      </c>
      <c r="C43" s="36" t="s">
        <v>171</v>
      </c>
      <c r="D43" s="37">
        <v>5</v>
      </c>
      <c r="E43" s="28" t="s">
        <v>123</v>
      </c>
      <c r="F43" s="29">
        <v>37</v>
      </c>
      <c r="G43" s="28" t="s">
        <v>103</v>
      </c>
      <c r="H43" s="28" t="s">
        <v>100</v>
      </c>
      <c r="I43" s="38">
        <f>IF(tblElements[[#This Row],[No.]]="","",IFERROR(MATCH(tblElements[[#This Row],[Current station]],tblStations[Station],0),""))</f>
        <v>7</v>
      </c>
      <c r="J43" s="38">
        <f>IF(tblElements[[#This Row],[No.]]="","",IF(tblElements[[#This Row],[Proposed station]]="","",IFERROR(MATCH(tblElements[[#This Row],[Proposed station]],tblStations[Station],0),"")))</f>
        <v>6</v>
      </c>
      <c r="K43" s="39">
        <f>IF(tblElements[[#This Row],[No.]]="","",IF(tblElements[[#This Row],[Current station]]="","",SUMIFS(tblElements[Time (s)],tblElements[Current station],tblElements[[#This Row],[Current station]])))</f>
        <v>32</v>
      </c>
      <c r="L43" s="39">
        <f>IF(tblElements[[#This Row],[No.]]="","",IF(tblElements[[#This Row],[Proposed station]]="","",SUMIFS(tblElements[Time (s)],tblElements[Proposed station],tblElements[[#This Row],[Proposed station]])))</f>
        <v>50</v>
      </c>
      <c r="M43" s="40">
        <f>IF(tblElements[[#This Row],[No.]]="","",IF(AND(ISNUMBER(tblElements[[#This Row],[Proposed station time (s)]]),ISNUMBER(Takt)),tblElements[[#This Row],[Proposed station time (s)]]/Takt,""))</f>
        <v>0.888888888888889</v>
      </c>
      <c r="N43"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43"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43" s="36" t="s">
        <v>169</v>
      </c>
    </row>
    <row r="44" spans="2:16" x14ac:dyDescent="0.25">
      <c r="B44" s="29">
        <v>39</v>
      </c>
      <c r="C44" s="36" t="s">
        <v>172</v>
      </c>
      <c r="D44" s="37">
        <v>5</v>
      </c>
      <c r="E44" s="28" t="s">
        <v>123</v>
      </c>
      <c r="F44" s="29"/>
      <c r="G44" s="28" t="s">
        <v>103</v>
      </c>
      <c r="H44" s="28" t="s">
        <v>97</v>
      </c>
      <c r="I44" s="38">
        <f>IF(tblElements[[#This Row],[No.]]="","",IFERROR(MATCH(tblElements[[#This Row],[Current station]],tblStations[Station],0),""))</f>
        <v>7</v>
      </c>
      <c r="J44" s="38">
        <f>IF(tblElements[[#This Row],[No.]]="","",IF(tblElements[[#This Row],[Proposed station]]="","",IFERROR(MATCH(tblElements[[#This Row],[Proposed station]],tblStations[Station],0),"")))</f>
        <v>5</v>
      </c>
      <c r="K44" s="39">
        <f>IF(tblElements[[#This Row],[No.]]="","",IF(tblElements[[#This Row],[Current station]]="","",SUMIFS(tblElements[Time (s)],tblElements[Current station],tblElements[[#This Row],[Current station]])))</f>
        <v>32</v>
      </c>
      <c r="L44" s="39">
        <f>IF(tblElements[[#This Row],[No.]]="","",IF(tblElements[[#This Row],[Proposed station]]="","",SUMIFS(tblElements[Time (s)],tblElements[Proposed station],tblElements[[#This Row],[Proposed station]])))</f>
        <v>53</v>
      </c>
      <c r="M44" s="40">
        <f>IF(tblElements[[#This Row],[No.]]="","",IF(AND(ISNUMBER(tblElements[[#This Row],[Proposed station time (s)]]),ISNUMBER(Takt)),tblElements[[#This Row],[Proposed station time (s)]]/Takt,""))</f>
        <v>0.942222222222222</v>
      </c>
      <c r="N44" s="41" t="str">
        <f>IF(tblElements[[#This Row],[No.]]="","",IF(tblElements[[#This Row],[Proposed station]]="","Removed",IF(NOT(ISNUMBER(tblElements[[#This Row],[Proposed load (% of takt)]])),"",IF(tblElements[[#This Row],[Proposed load (% of takt)]]&gt;OverAt,"Over capacity",IF(tblElements[[#This Row],[Proposed load (% of takt)]]&gt;=NearAt,"Near capacity","Under capacity")))))</f>
        <v>Near capacity</v>
      </c>
      <c r="O44"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44" s="36" t="s">
        <v>163</v>
      </c>
    </row>
    <row r="45" spans="2:16" x14ac:dyDescent="0.25">
      <c r="B45" s="29">
        <v>40</v>
      </c>
      <c r="C45" s="36" t="s">
        <v>173</v>
      </c>
      <c r="D45" s="37">
        <v>4</v>
      </c>
      <c r="E45" s="28" t="s">
        <v>123</v>
      </c>
      <c r="F45" s="29"/>
      <c r="G45" s="28" t="s">
        <v>103</v>
      </c>
      <c r="H45" s="28" t="s">
        <v>100</v>
      </c>
      <c r="I45" s="38">
        <f>IF(tblElements[[#This Row],[No.]]="","",IFERROR(MATCH(tblElements[[#This Row],[Current station]],tblStations[Station],0),""))</f>
        <v>7</v>
      </c>
      <c r="J45" s="38">
        <f>IF(tblElements[[#This Row],[No.]]="","",IF(tblElements[[#This Row],[Proposed station]]="","",IFERROR(MATCH(tblElements[[#This Row],[Proposed station]],tblStations[Station],0),"")))</f>
        <v>6</v>
      </c>
      <c r="K45" s="39">
        <f>IF(tblElements[[#This Row],[No.]]="","",IF(tblElements[[#This Row],[Current station]]="","",SUMIFS(tblElements[Time (s)],tblElements[Current station],tblElements[[#This Row],[Current station]])))</f>
        <v>32</v>
      </c>
      <c r="L45" s="39">
        <f>IF(tblElements[[#This Row],[No.]]="","",IF(tblElements[[#This Row],[Proposed station]]="","",SUMIFS(tblElements[Time (s)],tblElements[Proposed station],tblElements[[#This Row],[Proposed station]])))</f>
        <v>50</v>
      </c>
      <c r="M45" s="40">
        <f>IF(tblElements[[#This Row],[No.]]="","",IF(AND(ISNUMBER(tblElements[[#This Row],[Proposed station time (s)]]),ISNUMBER(Takt)),tblElements[[#This Row],[Proposed station time (s)]]/Takt,""))</f>
        <v>0.888888888888889</v>
      </c>
      <c r="N45"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45"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45" s="36" t="s">
        <v>169</v>
      </c>
    </row>
    <row r="46" spans="2:16" x14ac:dyDescent="0.25">
      <c r="B46" s="29">
        <v>41</v>
      </c>
      <c r="C46" s="36" t="s">
        <v>174</v>
      </c>
      <c r="D46" s="37">
        <v>4</v>
      </c>
      <c r="E46" s="28" t="s">
        <v>130</v>
      </c>
      <c r="F46" s="29"/>
      <c r="G46" s="28" t="s">
        <v>103</v>
      </c>
      <c r="H46" s="28" t="s">
        <v>100</v>
      </c>
      <c r="I46" s="38">
        <f>IF(tblElements[[#This Row],[No.]]="","",IFERROR(MATCH(tblElements[[#This Row],[Current station]],tblStations[Station],0),""))</f>
        <v>7</v>
      </c>
      <c r="J46" s="38">
        <f>IF(tblElements[[#This Row],[No.]]="","",IF(tblElements[[#This Row],[Proposed station]]="","",IFERROR(MATCH(tblElements[[#This Row],[Proposed station]],tblStations[Station],0),"")))</f>
        <v>6</v>
      </c>
      <c r="K46" s="39">
        <f>IF(tblElements[[#This Row],[No.]]="","",IF(tblElements[[#This Row],[Current station]]="","",SUMIFS(tblElements[Time (s)],tblElements[Current station],tblElements[[#This Row],[Current station]])))</f>
        <v>32</v>
      </c>
      <c r="L46" s="39">
        <f>IF(tblElements[[#This Row],[No.]]="","",IF(tblElements[[#This Row],[Proposed station]]="","",SUMIFS(tblElements[Time (s)],tblElements[Proposed station],tblElements[[#This Row],[Proposed station]])))</f>
        <v>50</v>
      </c>
      <c r="M46" s="40">
        <f>IF(tblElements[[#This Row],[No.]]="","",IF(AND(ISNUMBER(tblElements[[#This Row],[Proposed station time (s)]]),ISNUMBER(Takt)),tblElements[[#This Row],[Proposed station time (s)]]/Takt,""))</f>
        <v>0.888888888888889</v>
      </c>
      <c r="N46" s="41" t="str">
        <f>IF(tblElements[[#This Row],[No.]]="","",IF(tblElements[[#This Row],[Proposed station]]="","Removed",IF(NOT(ISNUMBER(tblElements[[#This Row],[Proposed load (% of takt)]])),"",IF(tblElements[[#This Row],[Proposed load (% of takt)]]&gt;OverAt,"Over capacity",IF(tblElements[[#This Row],[Proposed load (% of takt)]]&gt;=NearAt,"Near capacity","Under capacity")))))</f>
        <v>Under capacity</v>
      </c>
      <c r="O46" s="42" t="str">
        <f>IF(tblElements[[#This Row],[No.]]="","",IF(tblElements[[#This Row],[Work element]]="","Missing work element",IF(tblElements[[#This Row],[Time (s)]]="","Missing time",IF(tblElements[[#This Row],[Type]]="","Missing type",IF(tblElements[[#This Row],[Current station]]="","Missing current station",IF(COUNTIF(tblElements[No.],tblElements[[#This Row],[No.]])&gt;1,"Duplicate No.",IF(AND(ISNUMBER(tblElements[[#This Row],[Predecessor]]),COUNTIF(tblElements[No.],tblElements[[#This Row],[Predecessor]])=0),"Predecessor not found",IF(tblElements[[#This Row],[Current pos.]]="","Current station not on Setup",IF(AND(tblElements[[#This Row],[Proposed station]]&lt;&gt;"",tblElements[[#This Row],[Proposed pos.]]=""),"Proposed station not on Setup",IF(AND(ISNUMBER(IFERROR(INDEX(tblElements[Current pos.],MATCH(tblElements[[#This Row],[Predecessor]],tblElements[No.],0)),"")),ISNUMBER(tblElements[[#This Row],[Current pos.]]),IFERROR(INDEX(tblElements[Current pos.],MATCH(tblElements[[#This Row],[Predecessor]],tblElements[No.],0)),"")&gt;tblElements[[#This Row],[Current pos.]]),"Current: predecessor later",IF(AND(ISNUMBER(IFERROR(INDEX(tblElements[Proposed pos.],MATCH(tblElements[[#This Row],[Predecessor]],tblElements[No.],0)),"")),ISNUMBER(tblElements[[#This Row],[Proposed pos.]]),IFERROR(INDEX(tblElements[Proposed pos.],MATCH(tblElements[[#This Row],[Predecessor]],tblElements[No.],0)),"")&gt;tblElements[[#This Row],[Proposed pos.]]),"Proposed: predecessor later","OK")))))))))))</f>
        <v>OK</v>
      </c>
      <c r="P46" s="36" t="s">
        <v>169</v>
      </c>
    </row>
  </sheetData>
  <mergeCells count="3">
    <mergeCell ref="A1:P1"/>
    <mergeCell ref="B2:O2"/>
    <mergeCell ref="B4:P4"/>
  </mergeCells>
  <conditionalFormatting sqref="M6:M546">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O6:O546">
    <cfRule type="expression" dxfId="3" priority="2">
      <formula>$O6="OK"</formula>
    </cfRule>
    <cfRule type="expression" dxfId="1" priority="3">
      <formula>AND($O6&lt;&gt;"",$O6&lt;&gt;"OK")</formula>
    </cfRule>
  </conditionalFormatting>
  <dataValidations count="8">
    <dataValidation type="whole" allowBlank="1" showInputMessage="1" showErrorMessage="1" errorTitle="Check this entry" error="Enter a whole number from 1 to 99,999." promptTitle="No." prompt="A unique number for the element, in the order the work is done. Enter a whole number from 1 to 99,999." sqref="B6:B546">
      <formula1>1</formula1>
      <formula2>99999</formula2>
    </dataValidation>
    <dataValidation type="textLength" allowBlank="1" showInputMessage="1" showErrorMessage="1" errorTitle="Check this entry" error="Text up to 80 characters." promptTitle="Work element" prompt="One indivisible task, e.g. Fit five castors. Text up to 80 characters." sqref="C6:C546">
      <formula1>0</formula1>
      <formula2>80</formula2>
    </dataValidation>
    <dataValidation type="decimal" allowBlank="1" showInputMessage="1" showErrorMessage="1" errorTitle="Check this entry" error="Enter a number from 0 to 86,400." promptTitle="Time (s)" prompt="Seconds for one unit, from your time study (average of the counted cycles). Enter a number from 0 to 86,400." sqref="D6:D546">
      <formula1>0</formula1>
      <formula2>86400</formula2>
    </dataValidation>
    <dataValidation type="list" allowBlank="1" showInputMessage="1" showErrorMessage="1" errorTitle="Check this entry" error="Pick one of: Value-adding, Necessary non-value, Waste." promptTitle="Type" prompt="Value-adding changes the product; necessary non-value work is needed today but adds nothing (handling, testing, packing); waste can go (walking, waiting, rework). Pick one of: Value-adding, Necessary non-value, Waste." sqref="E6:E546">
      <formula1>"Value-adding,Necessary non-value,Waste"</formula1>
    </dataValidation>
    <dataValidation type="whole" allowBlank="1" showInputMessage="1" showErrorMessage="1" errorTitle="Check this entry" error="Enter a whole number from 1 to 99,999." promptTitle="Predecessor" prompt="No. of the element that must be finished first; blank if none. Enter a whole number from 1 to 99,999." sqref="F6:F546">
      <formula1>1</formula1>
      <formula2>99999</formula2>
    </dataValidation>
    <dataValidation type="list" allowBlank="1" showInputMessage="1" showErrorMessage="1" errorTitle="Check this entry" error="Pick from the list (edit the list on Setup: Stations)." promptTitle="Current station" prompt="Pick from the list (edit the list on Setup: Stations)." sqref="G6:G546">
      <formula1>Stations</formula1>
    </dataValidation>
    <dataValidation type="list" allowBlank="1" showInputMessage="1" showErrorMessage="1" errorTitle="Check this entry" error="Pick from the list (edit the list on Setup: Stations)." promptTitle="Proposed station" prompt="Station in the balance you propose. Leave blank for an element the proposal removes. Pick from the list (edit the list on Setup: Stations)." sqref="H6:H546">
      <formula1>Stations</formula1>
    </dataValidation>
    <dataValidation type="textLength" allowBlank="1" showInputMessage="1" showErrorMessage="1" errorTitle="Check this entry" error="Text up to 255 characters." promptTitle="Notes" prompt="Text up to 255 characters." sqref="P6:P546">
      <formula1>0</formula1>
      <formula2>255</formula2>
    </dataValidation>
  </dataValidations>
  <hyperlinks>
    <hyperlink ref="P2" r:id="rId1" tooltip="Free manufacturing calculators and templates"/>
  </hyperlinks>
  <pageMargins left="0.4" right="0.4" top="0.7" bottom="0.65" header="0.3" footer="0.3"/>
  <pageSetup fitToHeight="0" orientation="landscape"/>
  <headerFooter>
    <oddHeader>&amp;L&amp;8MFG Calcs - Line Balance&amp;R&amp;8&amp;A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M6:M546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P75"/>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2" width="10.7109375" hidden="1" customWidth="1"/>
  </cols>
  <sheetData>
    <row r="1" spans="1:42" ht="30" customHeight="1" x14ac:dyDescent="0.25">
      <c r="A1" s="1" t="s">
        <v>0</v>
      </c>
      <c r="B1" s="1"/>
      <c r="C1" s="1"/>
      <c r="D1" s="1"/>
      <c r="E1" s="1"/>
      <c r="F1" s="1"/>
      <c r="G1" s="1"/>
      <c r="H1" s="1"/>
      <c r="I1" s="1"/>
      <c r="J1" s="1"/>
      <c r="K1" s="1"/>
      <c r="L1" s="1"/>
    </row>
    <row r="2" spans="1:42" ht="21" customHeight="1" x14ac:dyDescent="0.25">
      <c r="B2" s="2" t="s">
        <v>24</v>
      </c>
      <c r="C2" s="2"/>
      <c r="D2" s="2"/>
      <c r="E2" s="2"/>
      <c r="F2" s="2"/>
      <c r="G2" s="2"/>
      <c r="H2" s="2"/>
      <c r="I2" s="2"/>
      <c r="J2" s="2"/>
      <c r="K2" s="3" t="s">
        <v>2</v>
      </c>
      <c r="L2" s="3"/>
    </row>
    <row r="3" spans="1:42" ht="6" customHeight="1" x14ac:dyDescent="0.25"/>
    <row r="4" spans="1:42" ht="18" customHeight="1" x14ac:dyDescent="0.25">
      <c r="B4" s="43" t="s">
        <v>175</v>
      </c>
      <c r="C4" s="43"/>
      <c r="D4" s="43" t="str">
        <f>"CURRENT BOTTLENECK  (s)"&amp;IF(INDEX($E$41:$F$41,1)="","",":  "&amp;INDEX($E$41:$F$41,1))</f>
        <v>CURRENT BOTTLENECK  (s):  ST3</v>
      </c>
      <c r="E4" s="43"/>
      <c r="F4" s="43"/>
      <c r="G4" s="43" t="str">
        <f>"PROPOSED BOTTLENECK  (s)"&amp;IF(INDEX($E$41:$F$41,2)="","",":  "&amp;INDEX($E$41:$F$41,2))</f>
        <v>PROPOSED BOTTLENECK  (s):  ST5</v>
      </c>
      <c r="H4" s="43"/>
      <c r="I4" s="43"/>
      <c r="J4" s="43" t="s">
        <v>176</v>
      </c>
      <c r="K4" s="43"/>
      <c r="L4" s="43"/>
    </row>
    <row r="5" spans="1:42" ht="21" customHeight="1" x14ac:dyDescent="0.25">
      <c r="B5" s="44">
        <f>IF(ISNUMBER(Takt),Takt,"")</f>
        <v>56.25</v>
      </c>
      <c r="C5" s="44"/>
      <c r="D5" s="44">
        <f>INDEX($E$42:$F$42,1)</f>
        <v>60</v>
      </c>
      <c r="E5" s="44"/>
      <c r="F5" s="44"/>
      <c r="G5" s="44">
        <f>INDEX($E$42:$F$42,2)</f>
        <v>53</v>
      </c>
      <c r="H5" s="44"/>
      <c r="I5" s="44"/>
      <c r="J5" s="45">
        <f>INDEX($E$43:$F$43,2)</f>
        <v>0.921383647798742</v>
      </c>
      <c r="K5" s="45"/>
      <c r="L5" s="45"/>
    </row>
    <row r="6" spans="1:42" ht="21" customHeight="1" x14ac:dyDescent="0.25">
      <c r="B6" s="44"/>
      <c r="C6" s="44"/>
      <c r="D6" s="44"/>
      <c r="E6" s="44"/>
      <c r="F6" s="44"/>
      <c r="G6" s="44"/>
      <c r="H6" s="44"/>
      <c r="I6" s="44"/>
      <c r="J6" s="45"/>
      <c r="K6" s="45"/>
      <c r="L6" s="45"/>
    </row>
    <row r="7" spans="1:42" x14ac:dyDescent="0.25">
      <c r="B7" s="46" t="s">
        <v>177</v>
      </c>
      <c r="C7" s="46"/>
      <c r="D7" s="47">
        <f>Takt</f>
        <v>56.25</v>
      </c>
      <c r="E7" s="47"/>
      <c r="F7" s="47"/>
      <c r="G7" s="47">
        <f>Takt</f>
        <v>56.25</v>
      </c>
      <c r="H7" s="47"/>
      <c r="I7" s="47"/>
      <c r="J7" s="48">
        <f>TargetEff</f>
        <v>0.85</v>
      </c>
      <c r="K7" s="48"/>
      <c r="L7" s="48"/>
    </row>
    <row r="8" spans="1:42" ht="18" customHeight="1" x14ac:dyDescent="0.25">
      <c r="B8" s="49"/>
      <c r="C8" s="49"/>
      <c r="D8" s="49" t="str">
        <f>IF(NOT(ISNUMBER(KpiCurBn)),"No data",IF(KpiCurBn&lt;=(NearAt*Takt),"Under capacity",IF(KpiCurBn&lt;=(OverAt*Takt),"Near capacity","Over capacity")))</f>
        <v>Over capacity</v>
      </c>
      <c r="E8" s="49"/>
      <c r="F8" s="49"/>
      <c r="G8" s="49" t="str">
        <f>IF(NOT(ISNUMBER(KpiPropBn)),"No data",IF(KpiPropBn&lt;=(NearAt*Takt),"Under capacity",IF(KpiPropBn&lt;=(OverAt*Takt),"Near capacity","Over capacity")))</f>
        <v>Near capacity</v>
      </c>
      <c r="H8" s="49"/>
      <c r="I8" s="49"/>
      <c r="J8" s="49" t="str">
        <f>IF(NOT(ISNUMBER(KpiPropEff)),"No data",IF(KpiPropEff&gt;=(TargetEff),"On target",IF(KpiPropEff&gt;=(TargetEff)*(1-0.05),"Near target","Below target")))</f>
        <v>On target</v>
      </c>
      <c r="K8" s="49"/>
      <c r="L8" s="49"/>
    </row>
    <row r="10" spans="1:42" ht="45.5" customHeight="1" x14ac:dyDescent="0.25">
      <c r="AO10" s="50" t="s">
        <v>178</v>
      </c>
      <c r="AP10" s="34" t="s">
        <v>179</v>
      </c>
    </row>
    <row r="11" spans="1:42" x14ac:dyDescent="0.25">
      <c r="AO11" s="51" t="str">
        <f>INDEX($B$55:$B$61,1)</f>
        <v>ST1</v>
      </c>
      <c r="AP11" s="52">
        <f>MAX(MAX($G$55:$G$61),MAX($G$66:$G$72),N(Takt))*1.1</f>
        <v>66</v>
      </c>
    </row>
    <row r="12" spans="1:42" x14ac:dyDescent="0.25">
      <c r="AO12" s="51" t="str">
        <f>INDEX($B$55:$B$61,2)</f>
        <v>ST2</v>
      </c>
      <c r="AP12" s="52">
        <f>MAX(MAX($G$55:$G$61),MAX($G$66:$G$72),N(Takt))*1.1</f>
        <v>66</v>
      </c>
    </row>
    <row r="13" spans="1:42" x14ac:dyDescent="0.25">
      <c r="AO13" s="51" t="str">
        <f>INDEX($B$55:$B$61,3)</f>
        <v>ST3</v>
      </c>
      <c r="AP13" s="52">
        <f>MAX(MAX($G$55:$G$61),MAX($G$66:$G$72),N(Takt))*1.1</f>
        <v>66</v>
      </c>
    </row>
    <row r="14" spans="1:42" x14ac:dyDescent="0.25">
      <c r="AO14" s="51" t="str">
        <f>INDEX($B$55:$B$61,4)</f>
        <v>ST4</v>
      </c>
      <c r="AP14" s="52">
        <f>MAX(MAX($G$55:$G$61),MAX($G$66:$G$72),N(Takt))*1.1</f>
        <v>66</v>
      </c>
    </row>
    <row r="15" spans="1:42" x14ac:dyDescent="0.25">
      <c r="AO15" s="51" t="str">
        <f>INDEX($B$55:$B$61,5)</f>
        <v>ST5</v>
      </c>
      <c r="AP15" s="52">
        <f>MAX(MAX($G$55:$G$61),MAX($G$66:$G$72),N(Takt))*1.1</f>
        <v>66</v>
      </c>
    </row>
    <row r="16" spans="1:42" x14ac:dyDescent="0.25">
      <c r="AO16" s="51" t="str">
        <f>INDEX($B$55:$B$61,6)</f>
        <v>ST6</v>
      </c>
      <c r="AP16" s="52">
        <f>MAX(MAX($G$55:$G$61),MAX($G$66:$G$72),N(Takt))*1.1</f>
        <v>66</v>
      </c>
    </row>
    <row r="17" spans="2:42" x14ac:dyDescent="0.25">
      <c r="AO17" s="51" t="str">
        <f>INDEX($B$55:$B$61,7)</f>
        <v>ST7</v>
      </c>
      <c r="AP17" s="52">
        <f>MAX(MAX($G$55:$G$61),MAX($G$66:$G$72),N(Takt))*1.1</f>
        <v>66</v>
      </c>
    </row>
    <row r="28" spans="2:42" ht="18" customHeight="1" x14ac:dyDescent="0.25">
      <c r="B28" s="43" t="s">
        <v>180</v>
      </c>
      <c r="C28" s="43"/>
      <c r="D28" s="43" t="s">
        <v>181</v>
      </c>
      <c r="E28" s="43"/>
      <c r="F28" s="43"/>
      <c r="G28" s="43" t="s">
        <v>182</v>
      </c>
      <c r="H28" s="43"/>
      <c r="I28" s="43"/>
      <c r="J28" s="43" t="str">
        <f>"LABOUR COST PER UNIT  ("&amp;Currency&amp;", EST.)"</f>
        <v>LABOUR COST PER UNIT  (USD, EST.)</v>
      </c>
      <c r="K28" s="43"/>
      <c r="L28" s="43"/>
    </row>
    <row r="29" spans="2:42" ht="21" customHeight="1" x14ac:dyDescent="0.25">
      <c r="B29" s="45">
        <f>INDEX($E$43:$F$43,1)</f>
        <v>0.714285714285714</v>
      </c>
      <c r="C29" s="45"/>
      <c r="D29" s="53" t="str">
        <f>IF(INDEX($E$36:$F$36,1)=0,"",INDEX($E$36:$F$36,1)&amp;" to "&amp;INDEX($E$36:$F$36,2))</f>
        <v>7 to 6</v>
      </c>
      <c r="E29" s="53"/>
      <c r="F29" s="53"/>
      <c r="G29" s="54">
        <f>INDEX($E$47:$F$47,2)</f>
        <v>509.433962264151</v>
      </c>
      <c r="H29" s="54"/>
      <c r="I29" s="54"/>
      <c r="J29" s="55">
        <f>INDEX($E$48:$F$48,2)</f>
        <v>2.47333333333333</v>
      </c>
      <c r="K29" s="55"/>
      <c r="L29" s="55"/>
    </row>
    <row r="30" spans="2:42" ht="21" customHeight="1" x14ac:dyDescent="0.25">
      <c r="B30" s="45"/>
      <c r="C30" s="45"/>
      <c r="D30" s="53"/>
      <c r="E30" s="53"/>
      <c r="F30" s="53"/>
      <c r="G30" s="54"/>
      <c r="H30" s="54"/>
      <c r="I30" s="54"/>
      <c r="J30" s="55"/>
      <c r="K30" s="55"/>
      <c r="L30" s="55"/>
    </row>
    <row r="31" spans="2:42" x14ac:dyDescent="0.25">
      <c r="B31" s="48">
        <f>TargetEff</f>
        <v>0.85</v>
      </c>
      <c r="C31" s="48"/>
      <c r="D31" s="46" t="s">
        <v>183</v>
      </c>
      <c r="E31" s="46"/>
      <c r="F31" s="46"/>
      <c r="G31" s="56">
        <f>Demand</f>
        <v>480</v>
      </c>
      <c r="H31" s="56"/>
      <c r="I31" s="56"/>
      <c r="J31" s="57">
        <f>INDEX($E$48:$F$48,1)</f>
        <v>3.26666666666667</v>
      </c>
      <c r="K31" s="57"/>
      <c r="L31" s="57"/>
    </row>
    <row r="32" spans="2:42" ht="18" customHeight="1" x14ac:dyDescent="0.25">
      <c r="B32" s="49" t="str">
        <f>IF(NOT(ISNUMBER(KpiCurEff)),"No data",IF(KpiCurEff&gt;=(TargetEff),"On target",IF(KpiCurEff&gt;=(TargetEff)*(1-0.05),"Near target","Below target")))</f>
        <v>Below target</v>
      </c>
      <c r="C32" s="49"/>
      <c r="D32" s="49"/>
      <c r="E32" s="49"/>
      <c r="F32" s="49"/>
      <c r="G32" s="49" t="str">
        <f>IF(NOT(ISNUMBER(KpiOutput)),"No data",IF(KpiOutput&gt;=(Demand),"On target",IF(KpiOutput&gt;=(Demand)*(1-0.0),"Near target","Below target")))</f>
        <v>On target</v>
      </c>
      <c r="H32" s="49"/>
      <c r="I32" s="49"/>
      <c r="J32" s="49" t="str">
        <f>IF(NOT(ISNUMBER(KpiCost)),"No data",IF(KpiCost&lt;=(INDEX($E$48:$F$48,1)),"On target",IF(KpiCost&lt;=(INDEX($E$48:$F$48,1))*(1+0.0),"Near target","Above target")))</f>
        <v>On target</v>
      </c>
      <c r="K32" s="49"/>
      <c r="L32" s="49"/>
    </row>
    <row r="34" spans="2:12" x14ac:dyDescent="0.25">
      <c r="B34" s="33" t="s">
        <v>184</v>
      </c>
      <c r="C34" s="33"/>
      <c r="D34" s="33"/>
      <c r="E34" s="33"/>
      <c r="F34" s="33"/>
      <c r="H34" s="33" t="s">
        <v>185</v>
      </c>
      <c r="I34" s="33"/>
      <c r="J34" s="33"/>
      <c r="K34" s="33"/>
      <c r="L34" s="33"/>
    </row>
    <row r="35" spans="2:12" x14ac:dyDescent="0.25">
      <c r="B35" s="50" t="s">
        <v>186</v>
      </c>
      <c r="C35" s="50"/>
      <c r="D35" s="34" t="s">
        <v>187</v>
      </c>
      <c r="E35" s="58" t="s">
        <v>188</v>
      </c>
      <c r="F35" s="58" t="s">
        <v>189</v>
      </c>
      <c r="H35" s="25" t="s">
        <v>190</v>
      </c>
      <c r="I35" s="25"/>
      <c r="J35" s="25"/>
      <c r="K35" s="25"/>
      <c r="L35" s="25"/>
    </row>
    <row r="36" spans="2:12" x14ac:dyDescent="0.25">
      <c r="B36" s="27" t="s">
        <v>191</v>
      </c>
      <c r="C36" s="27"/>
      <c r="D36" s="7" t="s">
        <v>192</v>
      </c>
      <c r="E36" s="38">
        <f>CHOOSE(1,COUNTIF($G$55:$G$61,"&gt;0"),COUNTIF($G$66:$G$72,"&gt;0"))</f>
        <v>7</v>
      </c>
      <c r="F36" s="38">
        <f>CHOOSE(2,COUNTIF($G$55:$G$61,"&gt;0"),COUNTIF($G$66:$G$72,"&gt;0"))</f>
        <v>6</v>
      </c>
      <c r="H36" s="25"/>
      <c r="I36" s="25"/>
      <c r="J36" s="25"/>
      <c r="K36" s="25"/>
      <c r="L36" s="25"/>
    </row>
    <row r="37" spans="2:12" x14ac:dyDescent="0.25">
      <c r="B37" s="27" t="s">
        <v>193</v>
      </c>
      <c r="C37" s="27"/>
      <c r="D37" s="7" t="s">
        <v>194</v>
      </c>
      <c r="E37" s="39">
        <f>CHOOSE(1,SUM($G$55:$G$61),SUM($G$66:$G$72))</f>
        <v>300</v>
      </c>
      <c r="F37" s="39">
        <f>CHOOSE(2,SUM($G$55:$G$61),SUM($G$66:$G$72))</f>
        <v>293</v>
      </c>
      <c r="H37" s="25"/>
      <c r="I37" s="25"/>
      <c r="J37" s="25"/>
      <c r="K37" s="25"/>
      <c r="L37" s="25"/>
    </row>
    <row r="38" spans="2:12" x14ac:dyDescent="0.25">
      <c r="B38" s="27" t="s">
        <v>195</v>
      </c>
      <c r="C38" s="27"/>
      <c r="D38" s="7" t="s">
        <v>194</v>
      </c>
      <c r="E38" s="39">
        <f>CHOOSE(1,SUMIFS(tblElements[Time (s)],tblElements[Type],"Value-adding",tblElements[Current station],"&lt;&gt;"),SUMIFS(tblElements[Time (s)],tblElements[Type],"Value-adding",tblElements[Proposed station],"&lt;&gt;"))</f>
        <v>153</v>
      </c>
      <c r="F38" s="39">
        <f>CHOOSE(2,SUMIFS(tblElements[Time (s)],tblElements[Type],"Value-adding",tblElements[Current station],"&lt;&gt;"),SUMIFS(tblElements[Time (s)],tblElements[Type],"Value-adding",tblElements[Proposed station],"&lt;&gt;"))</f>
        <v>153</v>
      </c>
      <c r="H38" s="25"/>
      <c r="I38" s="25"/>
      <c r="J38" s="25"/>
      <c r="K38" s="25"/>
      <c r="L38" s="25"/>
    </row>
    <row r="39" spans="2:12" x14ac:dyDescent="0.25">
      <c r="B39" s="27" t="s">
        <v>196</v>
      </c>
      <c r="C39" s="27"/>
      <c r="D39" s="7" t="s">
        <v>194</v>
      </c>
      <c r="E39" s="39">
        <f>CHOOSE(1,SUMIFS(tblElements[Time (s)],tblElements[Type],"Necessary non-value",tblElements[Current station],"&lt;&gt;"),SUMIFS(tblElements[Time (s)],tblElements[Type],"Necessary non-value",tblElements[Proposed station],"&lt;&gt;"))</f>
        <v>108</v>
      </c>
      <c r="F39" s="39">
        <f>CHOOSE(2,SUMIFS(tblElements[Time (s)],tblElements[Type],"Necessary non-value",tblElements[Current station],"&lt;&gt;"),SUMIFS(tblElements[Time (s)],tblElements[Type],"Necessary non-value",tblElements[Proposed station],"&lt;&gt;"))</f>
        <v>108</v>
      </c>
      <c r="H39" s="25"/>
      <c r="I39" s="25"/>
      <c r="J39" s="25"/>
      <c r="K39" s="25"/>
      <c r="L39" s="25"/>
    </row>
    <row r="40" spans="2:12" x14ac:dyDescent="0.25">
      <c r="B40" s="27" t="s">
        <v>197</v>
      </c>
      <c r="C40" s="27"/>
      <c r="D40" s="7" t="s">
        <v>194</v>
      </c>
      <c r="E40" s="39">
        <f>CHOOSE(1,SUMIFS(tblElements[Time (s)],tblElements[Type],"Waste",tblElements[Current station],"&lt;&gt;"),SUMIFS(tblElements[Time (s)],tblElements[Type],"Waste",tblElements[Proposed station],"&lt;&gt;"))</f>
        <v>39</v>
      </c>
      <c r="F40" s="39">
        <f>CHOOSE(2,SUMIFS(tblElements[Time (s)],tblElements[Type],"Waste",tblElements[Current station],"&lt;&gt;"),SUMIFS(tblElements[Time (s)],tblElements[Type],"Waste",tblElements[Proposed station],"&lt;&gt;"))</f>
        <v>32</v>
      </c>
      <c r="H40" s="25"/>
      <c r="I40" s="25"/>
      <c r="J40" s="25"/>
      <c r="K40" s="25"/>
      <c r="L40" s="25"/>
    </row>
    <row r="41" spans="2:12" x14ac:dyDescent="0.25">
      <c r="B41" s="27" t="s">
        <v>198</v>
      </c>
      <c r="C41" s="27"/>
      <c r="D41" s="7"/>
      <c r="E41" s="41" t="str">
        <f>CHOOSE(1,IF(COUNT($G$55:$G$61)=0,"",INDEX($B$55:$B$61,MATCH(MAX($G$55:$G$61),$G$55:$G$61,0))),IF(COUNT($G$66:$G$72)=0,"",INDEX($B$66:$B$72,MATCH(MAX($G$66:$G$72),$G$66:$G$72,0))))</f>
        <v>ST3</v>
      </c>
      <c r="F41" s="41" t="str">
        <f>CHOOSE(2,IF(COUNT($G$55:$G$61)=0,"",INDEX($B$55:$B$61,MATCH(MAX($G$55:$G$61),$G$55:$G$61,0))),IF(COUNT($G$66:$G$72)=0,"",INDEX($B$66:$B$72,MATCH(MAX($G$66:$G$72),$G$66:$G$72,0))))</f>
        <v>ST5</v>
      </c>
      <c r="H41" s="25"/>
      <c r="I41" s="25"/>
      <c r="J41" s="25"/>
      <c r="K41" s="25"/>
      <c r="L41" s="25"/>
    </row>
    <row r="42" spans="2:12" x14ac:dyDescent="0.25">
      <c r="B42" s="27" t="s">
        <v>199</v>
      </c>
      <c r="C42" s="27"/>
      <c r="D42" s="7" t="s">
        <v>194</v>
      </c>
      <c r="E42" s="39">
        <f>CHOOSE(1,MAX($G$55:$G$61),MAX($G$66:$G$72))</f>
        <v>60</v>
      </c>
      <c r="F42" s="39">
        <f>CHOOSE(2,MAX($G$55:$G$61),MAX($G$66:$G$72))</f>
        <v>53</v>
      </c>
      <c r="H42" s="25"/>
      <c r="I42" s="25"/>
      <c r="J42" s="25"/>
      <c r="K42" s="25"/>
      <c r="L42" s="25"/>
    </row>
    <row r="43" spans="2:12" x14ac:dyDescent="0.25">
      <c r="B43" s="27" t="s">
        <v>200</v>
      </c>
      <c r="C43" s="27"/>
      <c r="D43" s="7" t="s">
        <v>201</v>
      </c>
      <c r="E43" s="59">
        <f>IF($E$42*$E$36=0,"",$E$37/($E$36*$E$42))</f>
        <v>0.714285714285714</v>
      </c>
      <c r="F43" s="59">
        <f>IF($F$42*$F$36=0,"",$F$37/($F$36*$F$42))</f>
        <v>0.921383647798742</v>
      </c>
      <c r="H43" s="25"/>
      <c r="I43" s="25"/>
      <c r="J43" s="25"/>
      <c r="K43" s="25"/>
      <c r="L43" s="25"/>
    </row>
    <row r="44" spans="2:12" x14ac:dyDescent="0.25">
      <c r="B44" s="27" t="s">
        <v>202</v>
      </c>
      <c r="C44" s="27"/>
      <c r="D44" s="7" t="s">
        <v>201</v>
      </c>
      <c r="E44" s="59">
        <f>IF(ISNUMBER($E$43),1-$E$43,"")</f>
        <v>0.285714285714286</v>
      </c>
      <c r="F44" s="59">
        <f>IF(ISNUMBER($F$43),1-$F$43,"")</f>
        <v>0.0786163522012578</v>
      </c>
      <c r="H44" s="25"/>
      <c r="I44" s="25"/>
      <c r="J44" s="25"/>
      <c r="K44" s="25"/>
      <c r="L44" s="25"/>
    </row>
    <row r="45" spans="2:12" x14ac:dyDescent="0.25">
      <c r="B45" s="27" t="s">
        <v>203</v>
      </c>
      <c r="C45" s="27"/>
      <c r="D45" s="7" t="s">
        <v>194</v>
      </c>
      <c r="E45" s="39">
        <f>IF($E$36=0,"",$E$36*$E$42-$E$37)</f>
        <v>120</v>
      </c>
      <c r="F45" s="39">
        <f>IF($F$36=0,"",$F$36*$F$42-$F$37)</f>
        <v>25</v>
      </c>
      <c r="H45" s="25"/>
      <c r="I45" s="25"/>
      <c r="J45" s="25"/>
      <c r="K45" s="25"/>
      <c r="L45" s="25"/>
    </row>
    <row r="46" spans="2:12" x14ac:dyDescent="0.25">
      <c r="B46" s="27" t="s">
        <v>204</v>
      </c>
      <c r="C46" s="27"/>
      <c r="D46" s="7" t="s">
        <v>194</v>
      </c>
      <c r="E46" s="60">
        <f>IF(OR($E$36=0,NOT(ISNUMBER(Takt))),"",Takt-$E$42)</f>
        <v>-3.75</v>
      </c>
      <c r="F46" s="60">
        <f>IF(OR($F$36=0,NOT(ISNUMBER(Takt))),"",Takt-$F$42)</f>
        <v>3.25</v>
      </c>
      <c r="H46" s="25"/>
      <c r="I46" s="25"/>
      <c r="J46" s="25"/>
      <c r="K46" s="25"/>
      <c r="L46" s="25"/>
    </row>
    <row r="47" spans="2:12" x14ac:dyDescent="0.25">
      <c r="B47" s="27" t="s">
        <v>205</v>
      </c>
      <c r="C47" s="27"/>
      <c r="D47" s="7" t="s">
        <v>206</v>
      </c>
      <c r="E47" s="38">
        <f>IF($E$42=0,"",NetMin*60/$E$42)</f>
        <v>450</v>
      </c>
      <c r="F47" s="38">
        <f>IF($F$42=0,"",NetMin*60/$F$42)</f>
        <v>509.433962264151</v>
      </c>
      <c r="H47" s="25"/>
      <c r="I47" s="25"/>
      <c r="J47" s="25"/>
      <c r="K47" s="25"/>
      <c r="L47" s="25"/>
    </row>
    <row r="48" spans="2:12" x14ac:dyDescent="0.25">
      <c r="B48" s="27" t="s">
        <v>207</v>
      </c>
      <c r="C48" s="27"/>
      <c r="D48" s="7" t="str">
        <f>Currency</f>
        <v>USD</v>
      </c>
      <c r="E48" s="61">
        <f>IF($E$42=0,"",$E$36*LabourRate*$E$42/3600)</f>
        <v>3.26666666666667</v>
      </c>
      <c r="F48" s="61">
        <f>IF($F$42=0,"",$F$36*LabourRate*$F$42/3600)</f>
        <v>2.47333333333333</v>
      </c>
      <c r="H48" s="25"/>
      <c r="I48" s="25"/>
      <c r="J48" s="25"/>
      <c r="K48" s="25"/>
      <c r="L48" s="25"/>
    </row>
    <row r="49" spans="2:12" x14ac:dyDescent="0.25">
      <c r="B49" s="27" t="s">
        <v>208</v>
      </c>
      <c r="C49" s="27"/>
      <c r="D49" s="7" t="s">
        <v>192</v>
      </c>
      <c r="E49" s="38">
        <f>IF(OR($E$37=0,NOT(ISNUMBER(Takt))),"",CEILING($E$37/Takt,1))</f>
        <v>6</v>
      </c>
      <c r="F49" s="38">
        <f>IF(OR($F$37=0,NOT(ISNUMBER(Takt))),"",CEILING($F$37/Takt,1))</f>
        <v>6</v>
      </c>
      <c r="H49" s="25"/>
      <c r="I49" s="25"/>
      <c r="J49" s="25"/>
      <c r="K49" s="25"/>
      <c r="L49" s="25"/>
    </row>
    <row r="50" spans="2:12" x14ac:dyDescent="0.25">
      <c r="B50" s="27" t="s">
        <v>209</v>
      </c>
      <c r="C50" s="27"/>
      <c r="D50" s="7"/>
      <c r="E50" s="41" t="str">
        <f>IF(OR($E$36=0,NOT(ISNUMBER(Takt))),"",IF($E$42&gt;OverAt*Takt,"Over capacity",IF($E$42&gt;=NearAt*Takt,"Near capacity","Under capacity")))</f>
        <v>Over capacity</v>
      </c>
      <c r="F50" s="41" t="str">
        <f>IF(OR($F$36=0,NOT(ISNUMBER(Takt))),"",IF($F$42&gt;OverAt*Takt,"Over capacity",IF($F$42&gt;=NearAt*Takt,"Near capacity","Under capacity")))</f>
        <v>Near capacity</v>
      </c>
      <c r="H50" s="25"/>
      <c r="I50" s="25"/>
      <c r="J50" s="25"/>
      <c r="K50" s="25"/>
      <c r="L50" s="25"/>
    </row>
    <row r="52" spans="2:12" x14ac:dyDescent="0.25">
      <c r="B52" s="33" t="s">
        <v>210</v>
      </c>
      <c r="C52" s="33"/>
      <c r="D52" s="33"/>
      <c r="E52" s="33"/>
      <c r="F52" s="33"/>
      <c r="G52" s="33"/>
      <c r="H52" s="33"/>
      <c r="I52" s="33"/>
      <c r="J52" s="33"/>
      <c r="K52" s="33"/>
      <c r="L52" s="33"/>
    </row>
    <row r="53" spans="2:12" ht="45.5" customHeight="1" x14ac:dyDescent="0.25">
      <c r="B53" s="50" t="s">
        <v>62</v>
      </c>
      <c r="C53" s="34" t="s">
        <v>211</v>
      </c>
      <c r="D53" s="34" t="s">
        <v>212</v>
      </c>
      <c r="E53" s="34" t="s">
        <v>213</v>
      </c>
      <c r="F53" s="34" t="s">
        <v>214</v>
      </c>
      <c r="G53" s="34" t="s">
        <v>215</v>
      </c>
      <c r="H53" s="34" t="s">
        <v>216</v>
      </c>
      <c r="I53" s="34" t="s">
        <v>217</v>
      </c>
      <c r="J53" s="34" t="s">
        <v>218</v>
      </c>
      <c r="K53" s="34" t="s">
        <v>219</v>
      </c>
      <c r="L53" s="34"/>
    </row>
    <row r="54" spans="2:12" ht="14" customHeight="1" x14ac:dyDescent="0.25">
      <c r="B54" s="62"/>
      <c r="C54" s="62" t="s">
        <v>220</v>
      </c>
      <c r="D54" s="62" t="s">
        <v>194</v>
      </c>
      <c r="E54" s="62" t="s">
        <v>194</v>
      </c>
      <c r="F54" s="62" t="s">
        <v>194</v>
      </c>
      <c r="G54" s="62" t="s">
        <v>194</v>
      </c>
      <c r="H54" s="62" t="s">
        <v>194</v>
      </c>
      <c r="I54" s="62" t="s">
        <v>201</v>
      </c>
      <c r="J54" s="62" t="s">
        <v>194</v>
      </c>
      <c r="K54" s="62"/>
      <c r="L54" s="62"/>
    </row>
    <row r="55" spans="2:12" x14ac:dyDescent="0.25">
      <c r="B55" s="51" t="str">
        <f>IFERROR(INDEX(tblStations[Station],1)&amp;"","")</f>
        <v>ST1</v>
      </c>
      <c r="C55" s="38">
        <f>IF($B$55="","",COUNTIFS(tblElements[Current station],$B$55))</f>
        <v>6</v>
      </c>
      <c r="D55" s="39">
        <f>IF($B$55="","",SUMIFS(tblElements[Time (s)],tblElements[Current station],$B$55,tblElements[Type],"Value-adding"))</f>
        <v>24</v>
      </c>
      <c r="E55" s="39">
        <f>IF($B$55="","",SUMIFS(tblElements[Time (s)],tblElements[Current station],$B$55,tblElements[Type],"Necessary non-value"))</f>
        <v>11</v>
      </c>
      <c r="F55" s="39">
        <f>IF($B$55="","",SUMIFS(tblElements[Time (s)],tblElements[Current station],$B$55,tblElements[Type],"Waste"))</f>
        <v>5</v>
      </c>
      <c r="G55" s="63">
        <f>IF($B$55="","",SUMIFS(tblElements[Time (s)],tblElements[Current station],$B$55))</f>
        <v>40</v>
      </c>
      <c r="H55" s="52">
        <f>Takt</f>
        <v>56.25</v>
      </c>
      <c r="I55" s="40">
        <f>IF($B$55="","",IF(OR($G$55=0,NOT(ISNUMBER(Takt))),"",$G$55/Takt))</f>
        <v>0.711111111111111</v>
      </c>
      <c r="J55" s="60">
        <f>IF($B$55="","",IF(OR($G$55=0,NOT(ISNUMBER(Takt))),"",Takt-$G$55))</f>
        <v>16.25</v>
      </c>
      <c r="K55" s="41" t="str">
        <f>IF($B$55="","",IF($G$55=0,"Not used",IF(NOT(ISNUMBER($I$55)),"",IF($I$55&gt;OverAt,"Over capacity",IF($I$55&gt;=NearAt,"Near capacity","Under capacity")))))</f>
        <v>Under capacity</v>
      </c>
      <c r="L55" s="41"/>
    </row>
    <row r="56" spans="2:12" x14ac:dyDescent="0.25">
      <c r="B56" s="51" t="str">
        <f>IFERROR(INDEX(tblStations[Station],2)&amp;"","")</f>
        <v>ST2</v>
      </c>
      <c r="C56" s="38">
        <f>IF($B$56="","",COUNTIFS(tblElements[Current station],$B$56))</f>
        <v>6</v>
      </c>
      <c r="D56" s="39">
        <f>IF($B$56="","",SUMIFS(tblElements[Time (s)],tblElements[Current station],$B$56,tblElements[Type],"Value-adding"))</f>
        <v>37</v>
      </c>
      <c r="E56" s="39">
        <f>IF($B$56="","",SUMIFS(tblElements[Time (s)],tblElements[Current station],$B$56,tblElements[Type],"Necessary non-value"))</f>
        <v>10</v>
      </c>
      <c r="F56" s="39">
        <f>IF($B$56="","",SUMIFS(tblElements[Time (s)],tblElements[Current station],$B$56,tblElements[Type],"Waste"))</f>
        <v>0</v>
      </c>
      <c r="G56" s="63">
        <f>IF($B$56="","",SUMIFS(tblElements[Time (s)],tblElements[Current station],$B$56))</f>
        <v>47</v>
      </c>
      <c r="H56" s="52">
        <f>Takt</f>
        <v>56.25</v>
      </c>
      <c r="I56" s="40">
        <f>IF($B$56="","",IF(OR($G$56=0,NOT(ISNUMBER(Takt))),"",$G$56/Takt))</f>
        <v>0.835555555555556</v>
      </c>
      <c r="J56" s="60">
        <f>IF($B$56="","",IF(OR($G$56=0,NOT(ISNUMBER(Takt))),"",Takt-$G$56))</f>
        <v>9.25</v>
      </c>
      <c r="K56" s="41" t="str">
        <f>IF($B$56="","",IF($G$56=0,"Not used",IF(NOT(ISNUMBER($I$56)),"",IF($I$56&gt;OverAt,"Over capacity",IF($I$56&gt;=NearAt,"Near capacity","Under capacity")))))</f>
        <v>Under capacity</v>
      </c>
      <c r="L56" s="41"/>
    </row>
    <row r="57" spans="2:12" x14ac:dyDescent="0.25">
      <c r="B57" s="51" t="str">
        <f>IFERROR(INDEX(tblStations[Station],3)&amp;"","")</f>
        <v>ST3</v>
      </c>
      <c r="C57" s="38">
        <f>IF($B$57="","",COUNTIFS(tblElements[Current station],$B$57))</f>
        <v>8</v>
      </c>
      <c r="D57" s="39">
        <f>IF($B$57="","",SUMIFS(tblElements[Time (s)],tblElements[Current station],$B$57,tblElements[Type],"Value-adding"))</f>
        <v>46</v>
      </c>
      <c r="E57" s="39">
        <f>IF($B$57="","",SUMIFS(tblElements[Time (s)],tblElements[Current station],$B$57,tblElements[Type],"Necessary non-value"))</f>
        <v>0</v>
      </c>
      <c r="F57" s="39">
        <f>IF($B$57="","",SUMIFS(tblElements[Time (s)],tblElements[Current station],$B$57,tblElements[Type],"Waste"))</f>
        <v>14</v>
      </c>
      <c r="G57" s="63">
        <f>IF($B$57="","",SUMIFS(tblElements[Time (s)],tblElements[Current station],$B$57))</f>
        <v>60</v>
      </c>
      <c r="H57" s="52">
        <f>Takt</f>
        <v>56.25</v>
      </c>
      <c r="I57" s="40">
        <f>IF($B$57="","",IF(OR($G$57=0,NOT(ISNUMBER(Takt))),"",$G$57/Takt))</f>
        <v>1.06666666666667</v>
      </c>
      <c r="J57" s="60">
        <f>IF($B$57="","",IF(OR($G$57=0,NOT(ISNUMBER(Takt))),"",Takt-$G$57))</f>
        <v>-3.75</v>
      </c>
      <c r="K57" s="41" t="str">
        <f>IF($B$57="","",IF($G$57=0,"Not used",IF(NOT(ISNUMBER($I$57)),"",IF($I$57&gt;OverAt,"Over capacity",IF($I$57&gt;=NearAt,"Near capacity","Under capacity")))))</f>
        <v>Over capacity</v>
      </c>
      <c r="L57" s="41"/>
    </row>
    <row r="58" spans="2:12" x14ac:dyDescent="0.25">
      <c r="B58" s="51" t="str">
        <f>IFERROR(INDEX(tblStations[Station],4)&amp;"","")</f>
        <v>ST4</v>
      </c>
      <c r="C58" s="38">
        <f>IF($B$58="","",COUNTIFS(tblElements[Current station],$B$58))</f>
        <v>5</v>
      </c>
      <c r="D58" s="39">
        <f>IF($B$58="","",SUMIFS(tblElements[Time (s)],tblElements[Current station],$B$58,tblElements[Type],"Value-adding"))</f>
        <v>37</v>
      </c>
      <c r="E58" s="39">
        <f>IF($B$58="","",SUMIFS(tblElements[Time (s)],tblElements[Current station],$B$58,tblElements[Type],"Necessary non-value"))</f>
        <v>4</v>
      </c>
      <c r="F58" s="39">
        <f>IF($B$58="","",SUMIFS(tblElements[Time (s)],tblElements[Current station],$B$58,tblElements[Type],"Waste"))</f>
        <v>0</v>
      </c>
      <c r="G58" s="63">
        <f>IF($B$58="","",SUMIFS(tblElements[Time (s)],tblElements[Current station],$B$58))</f>
        <v>41</v>
      </c>
      <c r="H58" s="52">
        <f>Takt</f>
        <v>56.25</v>
      </c>
      <c r="I58" s="40">
        <f>IF($B$58="","",IF(OR($G$58=0,NOT(ISNUMBER(Takt))),"",$G$58/Takt))</f>
        <v>0.728888888888889</v>
      </c>
      <c r="J58" s="60">
        <f>IF($B$58="","",IF(OR($G$58=0,NOT(ISNUMBER(Takt))),"",Takt-$G$58))</f>
        <v>15.25</v>
      </c>
      <c r="K58" s="41" t="str">
        <f>IF($B$58="","",IF($G$58=0,"Not used",IF(NOT(ISNUMBER($I$58)),"",IF($I$58&gt;OverAt,"Over capacity",IF($I$58&gt;=NearAt,"Near capacity","Under capacity")))))</f>
        <v>Under capacity</v>
      </c>
      <c r="L58" s="41"/>
    </row>
    <row r="59" spans="2:12" x14ac:dyDescent="0.25">
      <c r="B59" s="51" t="str">
        <f>IFERROR(INDEX(tblStations[Station],5)&amp;"","")</f>
        <v>ST5</v>
      </c>
      <c r="C59" s="38">
        <f>IF($B$59="","",COUNTIFS(tblElements[Current station],$B$59))</f>
        <v>5</v>
      </c>
      <c r="D59" s="39">
        <f>IF($B$59="","",SUMIFS(tblElements[Time (s)],tblElements[Current station],$B$59,tblElements[Type],"Value-adding"))</f>
        <v>9</v>
      </c>
      <c r="E59" s="39">
        <f>IF($B$59="","",SUMIFS(tblElements[Time (s)],tblElements[Current station],$B$59,tblElements[Type],"Necessary non-value"))</f>
        <v>29</v>
      </c>
      <c r="F59" s="39">
        <f>IF($B$59="","",SUMIFS(tblElements[Time (s)],tblElements[Current station],$B$59,tblElements[Type],"Waste"))</f>
        <v>4</v>
      </c>
      <c r="G59" s="63">
        <f>IF($B$59="","",SUMIFS(tblElements[Time (s)],tblElements[Current station],$B$59))</f>
        <v>42</v>
      </c>
      <c r="H59" s="52">
        <f>Takt</f>
        <v>56.25</v>
      </c>
      <c r="I59" s="40">
        <f>IF($B$59="","",IF(OR($G$59=0,NOT(ISNUMBER(Takt))),"",$G$59/Takt))</f>
        <v>0.746666666666667</v>
      </c>
      <c r="J59" s="60">
        <f>IF($B$59="","",IF(OR($G$59=0,NOT(ISNUMBER(Takt))),"",Takt-$G$59))</f>
        <v>14.25</v>
      </c>
      <c r="K59" s="41" t="str">
        <f>IF($B$59="","",IF($G$59=0,"Not used",IF(NOT(ISNUMBER($I$59)),"",IF($I$59&gt;OverAt,"Over capacity",IF($I$59&gt;=NearAt,"Near capacity","Under capacity")))))</f>
        <v>Under capacity</v>
      </c>
      <c r="L59" s="41"/>
    </row>
    <row r="60" spans="2:12" x14ac:dyDescent="0.25">
      <c r="B60" s="51" t="str">
        <f>IFERROR(INDEX(tblStations[Station],6)&amp;"","")</f>
        <v>ST6</v>
      </c>
      <c r="C60" s="38">
        <f>IF($B$60="","",COUNTIFS(tblElements[Current station],$B$60))</f>
        <v>5</v>
      </c>
      <c r="D60" s="39">
        <f>IF($B$60="","",SUMIFS(tblElements[Time (s)],tblElements[Current station],$B$60,tblElements[Type],"Value-adding"))</f>
        <v>0</v>
      </c>
      <c r="E60" s="39">
        <f>IF($B$60="","",SUMIFS(tblElements[Time (s)],tblElements[Current station],$B$60,tblElements[Type],"Necessary non-value"))</f>
        <v>32</v>
      </c>
      <c r="F60" s="39">
        <f>IF($B$60="","",SUMIFS(tblElements[Time (s)],tblElements[Current station],$B$60,tblElements[Type],"Waste"))</f>
        <v>6</v>
      </c>
      <c r="G60" s="63">
        <f>IF($B$60="","",SUMIFS(tblElements[Time (s)],tblElements[Current station],$B$60))</f>
        <v>38</v>
      </c>
      <c r="H60" s="52">
        <f>Takt</f>
        <v>56.25</v>
      </c>
      <c r="I60" s="40">
        <f>IF($B$60="","",IF(OR($G$60=0,NOT(ISNUMBER(Takt))),"",$G$60/Takt))</f>
        <v>0.675555555555556</v>
      </c>
      <c r="J60" s="60">
        <f>IF($B$60="","",IF(OR($G$60=0,NOT(ISNUMBER(Takt))),"",Takt-$G$60))</f>
        <v>18.25</v>
      </c>
      <c r="K60" s="41" t="str">
        <f>IF($B$60="","",IF($G$60=0,"Not used",IF(NOT(ISNUMBER($I$60)),"",IF($I$60&gt;OverAt,"Over capacity",IF($I$60&gt;=NearAt,"Near capacity","Under capacity")))))</f>
        <v>Under capacity</v>
      </c>
      <c r="L60" s="41"/>
    </row>
    <row r="61" spans="2:12" x14ac:dyDescent="0.25">
      <c r="B61" s="51" t="str">
        <f>IFERROR(INDEX(tblStations[Station],7)&amp;"","")</f>
        <v>ST7</v>
      </c>
      <c r="C61" s="38">
        <f>IF($B$61="","",COUNTIFS(tblElements[Current station],$B$61))</f>
        <v>6</v>
      </c>
      <c r="D61" s="39">
        <f>IF($B$61="","",SUMIFS(tblElements[Time (s)],tblElements[Current station],$B$61,tblElements[Type],"Value-adding"))</f>
        <v>0</v>
      </c>
      <c r="E61" s="39">
        <f>IF($B$61="","",SUMIFS(tblElements[Time (s)],tblElements[Current station],$B$61,tblElements[Type],"Necessary non-value"))</f>
        <v>22</v>
      </c>
      <c r="F61" s="39">
        <f>IF($B$61="","",SUMIFS(tblElements[Time (s)],tblElements[Current station],$B$61,tblElements[Type],"Waste"))</f>
        <v>10</v>
      </c>
      <c r="G61" s="63">
        <f>IF($B$61="","",SUMIFS(tblElements[Time (s)],tblElements[Current station],$B$61))</f>
        <v>32</v>
      </c>
      <c r="H61" s="52">
        <f>Takt</f>
        <v>56.25</v>
      </c>
      <c r="I61" s="40">
        <f>IF($B$61="","",IF(OR($G$61=0,NOT(ISNUMBER(Takt))),"",$G$61/Takt))</f>
        <v>0.568888888888889</v>
      </c>
      <c r="J61" s="60">
        <f>IF($B$61="","",IF(OR($G$61=0,NOT(ISNUMBER(Takt))),"",Takt-$G$61))</f>
        <v>24.25</v>
      </c>
      <c r="K61" s="41" t="str">
        <f>IF($B$61="","",IF($G$61=0,"Not used",IF(NOT(ISNUMBER($I$61)),"",IF($I$61&gt;OverAt,"Over capacity",IF($I$61&gt;=NearAt,"Near capacity","Under capacity")))))</f>
        <v>Under capacity</v>
      </c>
      <c r="L61" s="41"/>
    </row>
    <row r="63" spans="2:12" x14ac:dyDescent="0.25">
      <c r="B63" s="33" t="s">
        <v>221</v>
      </c>
      <c r="C63" s="33"/>
      <c r="D63" s="33"/>
      <c r="E63" s="33"/>
      <c r="F63" s="33"/>
      <c r="G63" s="33"/>
      <c r="H63" s="33"/>
      <c r="I63" s="33"/>
      <c r="J63" s="33"/>
      <c r="K63" s="33"/>
      <c r="L63" s="33"/>
    </row>
    <row r="64" spans="2:12" ht="45.5" customHeight="1" x14ac:dyDescent="0.25">
      <c r="B64" s="50" t="s">
        <v>62</v>
      </c>
      <c r="C64" s="34" t="s">
        <v>211</v>
      </c>
      <c r="D64" s="34" t="s">
        <v>212</v>
      </c>
      <c r="E64" s="34" t="s">
        <v>213</v>
      </c>
      <c r="F64" s="34" t="s">
        <v>214</v>
      </c>
      <c r="G64" s="34" t="s">
        <v>215</v>
      </c>
      <c r="H64" s="34" t="s">
        <v>216</v>
      </c>
      <c r="I64" s="34" t="s">
        <v>217</v>
      </c>
      <c r="J64" s="34" t="s">
        <v>218</v>
      </c>
      <c r="K64" s="34" t="s">
        <v>219</v>
      </c>
      <c r="L64" s="34"/>
    </row>
    <row r="65" spans="2:12" ht="14" customHeight="1" x14ac:dyDescent="0.25">
      <c r="B65" s="62"/>
      <c r="C65" s="62" t="s">
        <v>220</v>
      </c>
      <c r="D65" s="62" t="s">
        <v>194</v>
      </c>
      <c r="E65" s="62" t="s">
        <v>194</v>
      </c>
      <c r="F65" s="62" t="s">
        <v>194</v>
      </c>
      <c r="G65" s="62" t="s">
        <v>194</v>
      </c>
      <c r="H65" s="62" t="s">
        <v>194</v>
      </c>
      <c r="I65" s="62" t="s">
        <v>201</v>
      </c>
      <c r="J65" s="62" t="s">
        <v>194</v>
      </c>
      <c r="K65" s="62"/>
      <c r="L65" s="62"/>
    </row>
    <row r="66" spans="2:12" x14ac:dyDescent="0.25">
      <c r="B66" s="51" t="str">
        <f>IFERROR(INDEX(tblStations[Station],1)&amp;"","")</f>
        <v>ST1</v>
      </c>
      <c r="C66" s="38">
        <f>IF($B$66="","",COUNTIFS(tblElements[Proposed station],$B$66))</f>
        <v>8</v>
      </c>
      <c r="D66" s="39">
        <f>IF($B$66="","",SUMIFS(tblElements[Time (s)],tblElements[Proposed station],$B$66,tblElements[Type],"Value-adding"))</f>
        <v>24</v>
      </c>
      <c r="E66" s="39">
        <f>IF($B$66="","",SUMIFS(tblElements[Time (s)],tblElements[Proposed station],$B$66,tblElements[Type],"Necessary non-value"))</f>
        <v>21</v>
      </c>
      <c r="F66" s="39">
        <f>IF($B$66="","",SUMIFS(tblElements[Time (s)],tblElements[Proposed station],$B$66,tblElements[Type],"Waste"))</f>
        <v>5</v>
      </c>
      <c r="G66" s="63">
        <f>IF($B$66="","",SUMIFS(tblElements[Time (s)],tblElements[Proposed station],$B$66))</f>
        <v>50</v>
      </c>
      <c r="H66" s="52">
        <f>Takt</f>
        <v>56.25</v>
      </c>
      <c r="I66" s="40">
        <f>IF($B$66="","",IF(OR($G$66=0,NOT(ISNUMBER(Takt))),"",$G$66/Takt))</f>
        <v>0.888888888888889</v>
      </c>
      <c r="J66" s="60">
        <f>IF($B$66="","",IF(OR($G$66=0,NOT(ISNUMBER(Takt))),"",Takt-$G$66))</f>
        <v>6.25</v>
      </c>
      <c r="K66" s="41" t="str">
        <f>IF($B$66="","",IF($G$66=0,"Not used",IF(NOT(ISNUMBER($I$66)),"",IF($I$66&gt;OverAt,"Over capacity",IF($I$66&gt;=NearAt,"Near capacity","Under capacity")))))</f>
        <v>Under capacity</v>
      </c>
      <c r="L66" s="41"/>
    </row>
    <row r="67" spans="2:12" x14ac:dyDescent="0.25">
      <c r="B67" s="51" t="str">
        <f>IFERROR(INDEX(tblStations[Station],2)&amp;"","")</f>
        <v>ST2</v>
      </c>
      <c r="C67" s="38">
        <f>IF($B$67="","",COUNTIFS(tblElements[Proposed station],$B$67))</f>
        <v>5</v>
      </c>
      <c r="D67" s="39">
        <f>IF($B$67="","",SUMIFS(tblElements[Time (s)],tblElements[Proposed station],$B$67,tblElements[Type],"Value-adding"))</f>
        <v>49</v>
      </c>
      <c r="E67" s="39">
        <f>IF($B$67="","",SUMIFS(tblElements[Time (s)],tblElements[Proposed station],$B$67,tblElements[Type],"Necessary non-value"))</f>
        <v>0</v>
      </c>
      <c r="F67" s="39">
        <f>IF($B$67="","",SUMIFS(tblElements[Time (s)],tblElements[Proposed station],$B$67,tblElements[Type],"Waste"))</f>
        <v>0</v>
      </c>
      <c r="G67" s="63">
        <f>IF($B$67="","",SUMIFS(tblElements[Time (s)],tblElements[Proposed station],$B$67))</f>
        <v>49</v>
      </c>
      <c r="H67" s="52">
        <f>Takt</f>
        <v>56.25</v>
      </c>
      <c r="I67" s="40">
        <f>IF($B$67="","",IF(OR($G$67=0,NOT(ISNUMBER(Takt))),"",$G$67/Takt))</f>
        <v>0.871111111111111</v>
      </c>
      <c r="J67" s="60">
        <f>IF($B$67="","",IF(OR($G$67=0,NOT(ISNUMBER(Takt))),"",Takt-$G$67))</f>
        <v>7.25</v>
      </c>
      <c r="K67" s="41" t="str">
        <f>IF($B$67="","",IF($G$67=0,"Not used",IF(NOT(ISNUMBER($I$67)),"",IF($I$67&gt;OverAt,"Over capacity",IF($I$67&gt;=NearAt,"Near capacity","Under capacity")))))</f>
        <v>Under capacity</v>
      </c>
      <c r="L67" s="41"/>
    </row>
    <row r="68" spans="2:12" x14ac:dyDescent="0.25">
      <c r="B68" s="51" t="str">
        <f>IFERROR(INDEX(tblStations[Station],3)&amp;"","")</f>
        <v>ST3</v>
      </c>
      <c r="C68" s="38">
        <f>IF($B$68="","",COUNTIFS(tblElements[Proposed station],$B$68))</f>
        <v>7</v>
      </c>
      <c r="D68" s="39">
        <f>IF($B$68="","",SUMIFS(tblElements[Time (s)],tblElements[Proposed station],$B$68,tblElements[Type],"Value-adding"))</f>
        <v>42</v>
      </c>
      <c r="E68" s="39">
        <f>IF($B$68="","",SUMIFS(tblElements[Time (s)],tblElements[Proposed station],$B$68,tblElements[Type],"Necessary non-value"))</f>
        <v>0</v>
      </c>
      <c r="F68" s="39">
        <f>IF($B$68="","",SUMIFS(tblElements[Time (s)],tblElements[Proposed station],$B$68,tblElements[Type],"Waste"))</f>
        <v>7</v>
      </c>
      <c r="G68" s="63">
        <f>IF($B$68="","",SUMIFS(tblElements[Time (s)],tblElements[Proposed station],$B$68))</f>
        <v>49</v>
      </c>
      <c r="H68" s="52">
        <f>Takt</f>
        <v>56.25</v>
      </c>
      <c r="I68" s="40">
        <f>IF($B$68="","",IF(OR($G$68=0,NOT(ISNUMBER(Takt))),"",$G$68/Takt))</f>
        <v>0.871111111111111</v>
      </c>
      <c r="J68" s="60">
        <f>IF($B$68="","",IF(OR($G$68=0,NOT(ISNUMBER(Takt))),"",Takt-$G$68))</f>
        <v>7.25</v>
      </c>
      <c r="K68" s="41" t="str">
        <f>IF($B$68="","",IF($G$68=0,"Not used",IF(NOT(ISNUMBER($I$68)),"",IF($I$68&gt;OverAt,"Over capacity",IF($I$68&gt;=NearAt,"Near capacity","Under capacity")))))</f>
        <v>Under capacity</v>
      </c>
      <c r="L68" s="41"/>
    </row>
    <row r="69" spans="2:12" x14ac:dyDescent="0.25">
      <c r="B69" s="51" t="str">
        <f>IFERROR(INDEX(tblStations[Station],4)&amp;"","")</f>
        <v>ST4</v>
      </c>
      <c r="C69" s="38">
        <f>IF($B$69="","",COUNTIFS(tblElements[Proposed station],$B$69))</f>
        <v>5</v>
      </c>
      <c r="D69" s="39">
        <f>IF($B$69="","",SUMIFS(tblElements[Time (s)],tblElements[Proposed station],$B$69,tblElements[Type],"Value-adding"))</f>
        <v>38</v>
      </c>
      <c r="E69" s="39">
        <f>IF($B$69="","",SUMIFS(tblElements[Time (s)],tblElements[Proposed station],$B$69,tblElements[Type],"Necessary non-value"))</f>
        <v>4</v>
      </c>
      <c r="F69" s="39">
        <f>IF($B$69="","",SUMIFS(tblElements[Time (s)],tblElements[Proposed station],$B$69,tblElements[Type],"Waste"))</f>
        <v>0</v>
      </c>
      <c r="G69" s="63">
        <f>IF($B$69="","",SUMIFS(tblElements[Time (s)],tblElements[Proposed station],$B$69))</f>
        <v>42</v>
      </c>
      <c r="H69" s="52">
        <f>Takt</f>
        <v>56.25</v>
      </c>
      <c r="I69" s="40">
        <f>IF($B$69="","",IF(OR($G$69=0,NOT(ISNUMBER(Takt))),"",$G$69/Takt))</f>
        <v>0.746666666666667</v>
      </c>
      <c r="J69" s="60">
        <f>IF($B$69="","",IF(OR($G$69=0,NOT(ISNUMBER(Takt))),"",Takt-$G$69))</f>
        <v>14.25</v>
      </c>
      <c r="K69" s="41" t="str">
        <f>IF($B$69="","",IF($G$69=0,"Not used",IF(NOT(ISNUMBER($I$69)),"",IF($I$69&gt;OverAt,"Over capacity",IF($I$69&gt;=NearAt,"Near capacity","Under capacity")))))</f>
        <v>Under capacity</v>
      </c>
      <c r="L69" s="41"/>
    </row>
    <row r="70" spans="2:12" x14ac:dyDescent="0.25">
      <c r="B70" s="51" t="str">
        <f>IFERROR(INDEX(tblStations[Station],5)&amp;"","")</f>
        <v>ST5</v>
      </c>
      <c r="C70" s="38">
        <f>IF($B$70="","",COUNTIFS(tblElements[Proposed station],$B$70))</f>
        <v>7</v>
      </c>
      <c r="D70" s="39">
        <f>IF($B$70="","",SUMIFS(tblElements[Time (s)],tblElements[Proposed station],$B$70,tblElements[Type],"Value-adding"))</f>
        <v>0</v>
      </c>
      <c r="E70" s="39">
        <f>IF($B$70="","",SUMIFS(tblElements[Time (s)],tblElements[Proposed station],$B$70,tblElements[Type],"Necessary non-value"))</f>
        <v>49</v>
      </c>
      <c r="F70" s="39">
        <f>IF($B$70="","",SUMIFS(tblElements[Time (s)],tblElements[Proposed station],$B$70,tblElements[Type],"Waste"))</f>
        <v>4</v>
      </c>
      <c r="G70" s="63">
        <f>IF($B$70="","",SUMIFS(tblElements[Time (s)],tblElements[Proposed station],$B$70))</f>
        <v>53</v>
      </c>
      <c r="H70" s="52">
        <f>Takt</f>
        <v>56.25</v>
      </c>
      <c r="I70" s="40">
        <f>IF($B$70="","",IF(OR($G$70=0,NOT(ISNUMBER(Takt))),"",$G$70/Takt))</f>
        <v>0.942222222222222</v>
      </c>
      <c r="J70" s="60">
        <f>IF($B$70="","",IF(OR($G$70=0,NOT(ISNUMBER(Takt))),"",Takt-$G$70))</f>
        <v>3.25</v>
      </c>
      <c r="K70" s="41" t="str">
        <f>IF($B$70="","",IF($G$70=0,"Not used",IF(NOT(ISNUMBER($I$70)),"",IF($I$70&gt;OverAt,"Over capacity",IF($I$70&gt;=NearAt,"Near capacity","Under capacity")))))</f>
        <v>Near capacity</v>
      </c>
      <c r="L70" s="41"/>
    </row>
    <row r="71" spans="2:12" x14ac:dyDescent="0.25">
      <c r="B71" s="51" t="str">
        <f>IFERROR(INDEX(tblStations[Station],6)&amp;"","")</f>
        <v>ST6</v>
      </c>
      <c r="C71" s="38">
        <f>IF($B$71="","",COUNTIFS(tblElements[Proposed station],$B$71))</f>
        <v>8</v>
      </c>
      <c r="D71" s="39">
        <f>IF($B$71="","",SUMIFS(tblElements[Time (s)],tblElements[Proposed station],$B$71,tblElements[Type],"Value-adding"))</f>
        <v>0</v>
      </c>
      <c r="E71" s="39">
        <f>IF($B$71="","",SUMIFS(tblElements[Time (s)],tblElements[Proposed station],$B$71,tblElements[Type],"Necessary non-value"))</f>
        <v>34</v>
      </c>
      <c r="F71" s="39">
        <f>IF($B$71="","",SUMIFS(tblElements[Time (s)],tblElements[Proposed station],$B$71,tblElements[Type],"Waste"))</f>
        <v>16</v>
      </c>
      <c r="G71" s="63">
        <f>IF($B$71="","",SUMIFS(tblElements[Time (s)],tblElements[Proposed station],$B$71))</f>
        <v>50</v>
      </c>
      <c r="H71" s="52">
        <f>Takt</f>
        <v>56.25</v>
      </c>
      <c r="I71" s="40">
        <f>IF($B$71="","",IF(OR($G$71=0,NOT(ISNUMBER(Takt))),"",$G$71/Takt))</f>
        <v>0.888888888888889</v>
      </c>
      <c r="J71" s="60">
        <f>IF($B$71="","",IF(OR($G$71=0,NOT(ISNUMBER(Takt))),"",Takt-$G$71))</f>
        <v>6.25</v>
      </c>
      <c r="K71" s="41" t="str">
        <f>IF($B$71="","",IF($G$71=0,"Not used",IF(NOT(ISNUMBER($I$71)),"",IF($I$71&gt;OverAt,"Over capacity",IF($I$71&gt;=NearAt,"Near capacity","Under capacity")))))</f>
        <v>Under capacity</v>
      </c>
      <c r="L71" s="41"/>
    </row>
    <row r="72" spans="2:12" x14ac:dyDescent="0.25">
      <c r="B72" s="51" t="str">
        <f>IFERROR(INDEX(tblStations[Station],7)&amp;"","")</f>
        <v>ST7</v>
      </c>
      <c r="C72" s="38">
        <f>IF($B$72="","",COUNTIFS(tblElements[Proposed station],$B$72))</f>
        <v>0</v>
      </c>
      <c r="D72" s="39">
        <f>IF($B$72="","",SUMIFS(tblElements[Time (s)],tblElements[Proposed station],$B$72,tblElements[Type],"Value-adding"))</f>
        <v>0</v>
      </c>
      <c r="E72" s="39">
        <f>IF($B$72="","",SUMIFS(tblElements[Time (s)],tblElements[Proposed station],$B$72,tblElements[Type],"Necessary non-value"))</f>
        <v>0</v>
      </c>
      <c r="F72" s="39">
        <f>IF($B$72="","",SUMIFS(tblElements[Time (s)],tblElements[Proposed station],$B$72,tblElements[Type],"Waste"))</f>
        <v>0</v>
      </c>
      <c r="G72" s="63">
        <f>IF($B$72="","",SUMIFS(tblElements[Time (s)],tblElements[Proposed station],$B$72))</f>
        <v>0</v>
      </c>
      <c r="H72" s="52">
        <f>Takt</f>
        <v>56.25</v>
      </c>
      <c r="I72" s="40">
        <f>IF($B$72="","",IF(OR($G$72=0,NOT(ISNUMBER(Takt))),"",$G$72/Takt))</f>
        <v/>
      </c>
      <c r="J72" s="60">
        <f>IF($B$72="","",IF(OR($G$72=0,NOT(ISNUMBER(Takt))),"",Takt-$G$72))</f>
        <v/>
      </c>
      <c r="K72" s="41" t="str">
        <f>IF($B$72="","",IF($G$72=0,"Not used",IF(NOT(ISNUMBER($I$72)),"",IF($I$72&gt;OverAt,"Over capacity",IF($I$72&gt;=NearAt,"Near capacity","Under capacity")))))</f>
        <v>Not used</v>
      </c>
      <c r="L72" s="41"/>
    </row>
    <row r="73" spans="2:12" ht="8" customHeight="1" x14ac:dyDescent="0.25"/>
    <row r="74" spans="2:12" x14ac:dyDescent="0.25">
      <c r="B74" s="21" t="s">
        <v>222</v>
      </c>
      <c r="C74" s="21"/>
      <c r="D74" s="21"/>
      <c r="E74" s="21"/>
      <c r="F74" s="21"/>
      <c r="G74" s="21"/>
      <c r="H74" s="21"/>
      <c r="I74" s="21"/>
      <c r="J74" s="21"/>
      <c r="K74" s="21"/>
      <c r="L74" s="21"/>
    </row>
    <row r="75" spans="2:12" x14ac:dyDescent="0.25">
      <c r="B75" s="64">
        <f>IF(COUNTA(tblStations[Station])&gt;7,"The Setup list has more stations than the Dashboard shows: some stations are not included.","")</f>
        <v/>
      </c>
      <c r="C75" s="64"/>
      <c r="D75" s="64"/>
      <c r="E75" s="64"/>
      <c r="F75" s="64"/>
      <c r="G75" s="64"/>
      <c r="H75" s="64"/>
      <c r="I75" s="64"/>
      <c r="J75" s="64"/>
      <c r="K75" s="64"/>
      <c r="L75" s="64"/>
    </row>
  </sheetData>
  <sheetProtection sheet="1" formatColumns="0" formatRows="0"/>
  <mergeCells count="76">
    <mergeCell ref="A1:L1"/>
    <mergeCell ref="B2:J2"/>
    <mergeCell ref="K2:L2"/>
    <mergeCell ref="B4:C4"/>
    <mergeCell ref="B5:C6"/>
    <mergeCell ref="B7:C7"/>
    <mergeCell ref="B8:C8"/>
    <mergeCell ref="D4:F4"/>
    <mergeCell ref="D5:F6"/>
    <mergeCell ref="D7:F7"/>
    <mergeCell ref="D8:F8"/>
    <mergeCell ref="G4:I4"/>
    <mergeCell ref="G5:I6"/>
    <mergeCell ref="G7:I7"/>
    <mergeCell ref="G8:I8"/>
    <mergeCell ref="J4:L4"/>
    <mergeCell ref="J5:L6"/>
    <mergeCell ref="J7:L7"/>
    <mergeCell ref="J8:L8"/>
    <mergeCell ref="B28:C28"/>
    <mergeCell ref="B29:C30"/>
    <mergeCell ref="B31:C31"/>
    <mergeCell ref="B32:C32"/>
    <mergeCell ref="D28:F28"/>
    <mergeCell ref="D29:F30"/>
    <mergeCell ref="D31:F31"/>
    <mergeCell ref="D32:F32"/>
    <mergeCell ref="G28:I28"/>
    <mergeCell ref="G29:I30"/>
    <mergeCell ref="G31:I31"/>
    <mergeCell ref="G32:I32"/>
    <mergeCell ref="J28:L28"/>
    <mergeCell ref="J29:L30"/>
    <mergeCell ref="J31:L31"/>
    <mergeCell ref="J32:L32"/>
    <mergeCell ref="B34:F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H34:L34"/>
    <mergeCell ref="H35:L50"/>
    <mergeCell ref="B52:L52"/>
    <mergeCell ref="K53:L53"/>
    <mergeCell ref="K54:L54"/>
    <mergeCell ref="K55:L55"/>
    <mergeCell ref="K56:L56"/>
    <mergeCell ref="K57:L57"/>
    <mergeCell ref="K58:L58"/>
    <mergeCell ref="K59:L59"/>
    <mergeCell ref="K60:L60"/>
    <mergeCell ref="K61:L61"/>
    <mergeCell ref="B63:L63"/>
    <mergeCell ref="K64:L64"/>
    <mergeCell ref="K65:L65"/>
    <mergeCell ref="K66:L66"/>
    <mergeCell ref="K67:L67"/>
    <mergeCell ref="K68:L68"/>
    <mergeCell ref="K69:L69"/>
    <mergeCell ref="K70:L70"/>
    <mergeCell ref="K71:L71"/>
    <mergeCell ref="K72:L72"/>
    <mergeCell ref="B74:L74"/>
    <mergeCell ref="B75:L75"/>
  </mergeCells>
  <conditionalFormatting sqref="B32">
    <cfRule type="cellIs" dxfId="0" priority="61" operator="equal">
      <formula>"On target"</formula>
    </cfRule>
    <cfRule type="cellIs" dxfId="0" priority="62" operator="equal">
      <formula>"PASS"</formula>
    </cfRule>
    <cfRule type="cellIs" dxfId="0" priority="63" operator="equal">
      <formula>"OK"</formula>
    </cfRule>
    <cfRule type="cellIs" dxfId="0" priority="64" operator="equal">
      <formula>"Within limits"</formula>
    </cfRule>
    <cfRule type="cellIs" dxfId="0" priority="65" operator="equal">
      <formula>"Under capacity"</formula>
    </cfRule>
    <cfRule type="cellIs" dxfId="0" priority="66" operator="equal">
      <formula>"Complete"</formula>
    </cfRule>
    <cfRule type="cellIs" dxfId="0" priority="67" operator="equal">
      <formula>"Yes"</formula>
    </cfRule>
    <cfRule type="cellIs" dxfId="1" priority="68" operator="equal">
      <formula>"Near target"</formula>
    </cfRule>
    <cfRule type="cellIs" dxfId="1" priority="69" operator="equal">
      <formula>"Check"</formula>
    </cfRule>
    <cfRule type="cellIs" dxfId="1" priority="70" operator="equal">
      <formula>"Due soon"</formula>
    </cfRule>
    <cfRule type="cellIs" dxfId="1" priority="71" operator="equal">
      <formula>"Near capacity"</formula>
    </cfRule>
    <cfRule type="cellIs" dxfId="1" priority="72" operator="equal">
      <formula>"In progress"</formula>
    </cfRule>
    <cfRule type="cellIs" dxfId="1" priority="73" operator="equal">
      <formula>"Partial"</formula>
    </cfRule>
    <cfRule type="cellIs" dxfId="2" priority="74" operator="equal">
      <formula>"Below target"</formula>
    </cfRule>
    <cfRule type="cellIs" dxfId="2" priority="75" operator="equal">
      <formula>"Above target"</formula>
    </cfRule>
    <cfRule type="cellIs" dxfId="2" priority="76" operator="equal">
      <formula>"FAIL"</formula>
    </cfRule>
    <cfRule type="cellIs" dxfId="2" priority="77" operator="equal">
      <formula>"Over capacity"</formula>
    </cfRule>
    <cfRule type="cellIs" dxfId="2" priority="78" operator="equal">
      <formula>"Overdue"</formula>
    </cfRule>
    <cfRule type="cellIs" dxfId="2" priority="79" operator="equal">
      <formula>"Out of limits"</formula>
    </cfRule>
    <cfRule type="cellIs" dxfId="2" priority="80" operator="equal">
      <formula>"No"</formula>
    </cfRule>
  </conditionalFormatting>
  <conditionalFormatting sqref="D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50:F50">
    <cfRule type="cellIs" dxfId="0" priority="121" operator="equal">
      <formula>"On target"</formula>
    </cfRule>
    <cfRule type="cellIs" dxfId="0" priority="122" operator="equal">
      <formula>"PASS"</formula>
    </cfRule>
    <cfRule type="cellIs" dxfId="0" priority="123" operator="equal">
      <formula>"OK"</formula>
    </cfRule>
    <cfRule type="cellIs" dxfId="0" priority="124" operator="equal">
      <formula>"Within limits"</formula>
    </cfRule>
    <cfRule type="cellIs" dxfId="0" priority="125" operator="equal">
      <formula>"Under capacity"</formula>
    </cfRule>
    <cfRule type="cellIs" dxfId="0" priority="126" operator="equal">
      <formula>"Complete"</formula>
    </cfRule>
    <cfRule type="cellIs" dxfId="0" priority="127" operator="equal">
      <formula>"Yes"</formula>
    </cfRule>
    <cfRule type="cellIs" dxfId="1" priority="128" operator="equal">
      <formula>"Near target"</formula>
    </cfRule>
    <cfRule type="cellIs" dxfId="1" priority="129" operator="equal">
      <formula>"Check"</formula>
    </cfRule>
    <cfRule type="cellIs" dxfId="1" priority="130" operator="equal">
      <formula>"Due soon"</formula>
    </cfRule>
    <cfRule type="cellIs" dxfId="1" priority="131" operator="equal">
      <formula>"Near capacity"</formula>
    </cfRule>
    <cfRule type="cellIs" dxfId="1" priority="132" operator="equal">
      <formula>"In progress"</formula>
    </cfRule>
    <cfRule type="cellIs" dxfId="1" priority="133" operator="equal">
      <formula>"Partial"</formula>
    </cfRule>
    <cfRule type="cellIs" dxfId="2" priority="134" operator="equal">
      <formula>"Below target"</formula>
    </cfRule>
    <cfRule type="cellIs" dxfId="2" priority="135" operator="equal">
      <formula>"Above target"</formula>
    </cfRule>
    <cfRule type="cellIs" dxfId="2" priority="136" operator="equal">
      <formula>"FAIL"</formula>
    </cfRule>
    <cfRule type="cellIs" dxfId="2" priority="137" operator="equal">
      <formula>"Over capacity"</formula>
    </cfRule>
    <cfRule type="cellIs" dxfId="2" priority="138" operator="equal">
      <formula>"Overdue"</formula>
    </cfRule>
    <cfRule type="cellIs" dxfId="2" priority="139" operator="equal">
      <formula>"Out of limits"</formula>
    </cfRule>
    <cfRule type="cellIs" dxfId="2" priority="140" operator="equal">
      <formula>"No"</formula>
    </cfRule>
  </conditionalFormatting>
  <conditionalFormatting sqref="G32">
    <cfRule type="cellIs" dxfId="0" priority="81" operator="equal">
      <formula>"On target"</formula>
    </cfRule>
    <cfRule type="cellIs" dxfId="0" priority="82" operator="equal">
      <formula>"PASS"</formula>
    </cfRule>
    <cfRule type="cellIs" dxfId="0" priority="83" operator="equal">
      <formula>"OK"</formula>
    </cfRule>
    <cfRule type="cellIs" dxfId="0" priority="84" operator="equal">
      <formula>"Within limits"</formula>
    </cfRule>
    <cfRule type="cellIs" dxfId="0" priority="85" operator="equal">
      <formula>"Under capacity"</formula>
    </cfRule>
    <cfRule type="cellIs" dxfId="0" priority="86" operator="equal">
      <formula>"Complete"</formula>
    </cfRule>
    <cfRule type="cellIs" dxfId="0" priority="87" operator="equal">
      <formula>"Yes"</formula>
    </cfRule>
    <cfRule type="cellIs" dxfId="1" priority="88" operator="equal">
      <formula>"Near target"</formula>
    </cfRule>
    <cfRule type="cellIs" dxfId="1" priority="89" operator="equal">
      <formula>"Check"</formula>
    </cfRule>
    <cfRule type="cellIs" dxfId="1" priority="90" operator="equal">
      <formula>"Due soon"</formula>
    </cfRule>
    <cfRule type="cellIs" dxfId="1" priority="91" operator="equal">
      <formula>"Near capacity"</formula>
    </cfRule>
    <cfRule type="cellIs" dxfId="1" priority="92" operator="equal">
      <formula>"In progress"</formula>
    </cfRule>
    <cfRule type="cellIs" dxfId="1" priority="93" operator="equal">
      <formula>"Partial"</formula>
    </cfRule>
    <cfRule type="cellIs" dxfId="2" priority="94" operator="equal">
      <formula>"Below target"</formula>
    </cfRule>
    <cfRule type="cellIs" dxfId="2" priority="95" operator="equal">
      <formula>"Above target"</formula>
    </cfRule>
    <cfRule type="cellIs" dxfId="2" priority="96" operator="equal">
      <formula>"FAIL"</formula>
    </cfRule>
    <cfRule type="cellIs" dxfId="2" priority="97" operator="equal">
      <formula>"Over capacity"</formula>
    </cfRule>
    <cfRule type="cellIs" dxfId="2" priority="98" operator="equal">
      <formula>"Overdue"</formula>
    </cfRule>
    <cfRule type="cellIs" dxfId="2" priority="99" operator="equal">
      <formula>"Out of limits"</formula>
    </cfRule>
    <cfRule type="cellIs" dxfId="2" priority="100" operator="equal">
      <formula>"No"</formula>
    </cfRule>
  </conditionalFormatting>
  <conditionalFormatting sqref="G8">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I55:I61">
    <cfRule type="dataBar" priority="14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I66:I72">
    <cfRule type="dataBar" priority="162">
      <dataBar>
        <cfvo type="num" val="0"/>
        <cfvo type="max"/>
        <color rgb="FFA8BDF0"/>
      </dataBar>
      <extLst>
        <ext xmlns:x14="http://schemas.microsoft.com/office/spreadsheetml/2009/9/main" uri="{B025F937-C7B1-47D3-B67F-A62EFF666E3E}">
          <x14:id>{DA7ABA51-AAAA-BBBB-0004-000000000002}</x14:id>
        </ext>
      </extLst>
    </cfRule>
  </conditionalFormatting>
  <conditionalFormatting sqref="J32">
    <cfRule type="cellIs" dxfId="0" priority="101" operator="equal">
      <formula>"On target"</formula>
    </cfRule>
    <cfRule type="cellIs" dxfId="0" priority="102" operator="equal">
      <formula>"PASS"</formula>
    </cfRule>
    <cfRule type="cellIs" dxfId="0" priority="103" operator="equal">
      <formula>"OK"</formula>
    </cfRule>
    <cfRule type="cellIs" dxfId="0" priority="104" operator="equal">
      <formula>"Within limits"</formula>
    </cfRule>
    <cfRule type="cellIs" dxfId="0" priority="105" operator="equal">
      <formula>"Under capacity"</formula>
    </cfRule>
    <cfRule type="cellIs" dxfId="0" priority="106" operator="equal">
      <formula>"Complete"</formula>
    </cfRule>
    <cfRule type="cellIs" dxfId="0" priority="107" operator="equal">
      <formula>"Yes"</formula>
    </cfRule>
    <cfRule type="cellIs" dxfId="1" priority="108" operator="equal">
      <formula>"Near target"</formula>
    </cfRule>
    <cfRule type="cellIs" dxfId="1" priority="109" operator="equal">
      <formula>"Check"</formula>
    </cfRule>
    <cfRule type="cellIs" dxfId="1" priority="110" operator="equal">
      <formula>"Due soon"</formula>
    </cfRule>
    <cfRule type="cellIs" dxfId="1" priority="111" operator="equal">
      <formula>"Near capacity"</formula>
    </cfRule>
    <cfRule type="cellIs" dxfId="1" priority="112" operator="equal">
      <formula>"In progress"</formula>
    </cfRule>
    <cfRule type="cellIs" dxfId="1" priority="113" operator="equal">
      <formula>"Partial"</formula>
    </cfRule>
    <cfRule type="cellIs" dxfId="2" priority="114" operator="equal">
      <formula>"Below target"</formula>
    </cfRule>
    <cfRule type="cellIs" dxfId="2" priority="115" operator="equal">
      <formula>"Above target"</formula>
    </cfRule>
    <cfRule type="cellIs" dxfId="2" priority="116" operator="equal">
      <formula>"FAIL"</formula>
    </cfRule>
    <cfRule type="cellIs" dxfId="2" priority="117" operator="equal">
      <formula>"Over capacity"</formula>
    </cfRule>
    <cfRule type="cellIs" dxfId="2" priority="118" operator="equal">
      <formula>"Overdue"</formula>
    </cfRule>
    <cfRule type="cellIs" dxfId="2" priority="119" operator="equal">
      <formula>"Out of limits"</formula>
    </cfRule>
    <cfRule type="cellIs" dxfId="2" priority="120" operator="equal">
      <formula>"No"</formula>
    </cfRule>
  </conditionalFormatting>
  <conditionalFormatting sqref="J8">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K55:K61">
    <cfRule type="cellIs" dxfId="0" priority="142" operator="equal">
      <formula>"On target"</formula>
    </cfRule>
    <cfRule type="cellIs" dxfId="0" priority="143" operator="equal">
      <formula>"PASS"</formula>
    </cfRule>
    <cfRule type="cellIs" dxfId="0" priority="144" operator="equal">
      <formula>"OK"</formula>
    </cfRule>
    <cfRule type="cellIs" dxfId="0" priority="145" operator="equal">
      <formula>"Within limits"</formula>
    </cfRule>
    <cfRule type="cellIs" dxfId="0" priority="146" operator="equal">
      <formula>"Under capacity"</formula>
    </cfRule>
    <cfRule type="cellIs" dxfId="0" priority="147" operator="equal">
      <formula>"Complete"</formula>
    </cfRule>
    <cfRule type="cellIs" dxfId="0" priority="148" operator="equal">
      <formula>"Yes"</formula>
    </cfRule>
    <cfRule type="cellIs" dxfId="1" priority="149" operator="equal">
      <formula>"Near target"</formula>
    </cfRule>
    <cfRule type="cellIs" dxfId="1" priority="150" operator="equal">
      <formula>"Check"</formula>
    </cfRule>
    <cfRule type="cellIs" dxfId="1" priority="151" operator="equal">
      <formula>"Due soon"</formula>
    </cfRule>
    <cfRule type="cellIs" dxfId="1" priority="152" operator="equal">
      <formula>"Near capacity"</formula>
    </cfRule>
    <cfRule type="cellIs" dxfId="1" priority="153" operator="equal">
      <formula>"In progress"</formula>
    </cfRule>
    <cfRule type="cellIs" dxfId="1" priority="154" operator="equal">
      <formula>"Partial"</formula>
    </cfRule>
    <cfRule type="cellIs" dxfId="2" priority="155" operator="equal">
      <formula>"Below target"</formula>
    </cfRule>
    <cfRule type="cellIs" dxfId="2" priority="156" operator="equal">
      <formula>"Above target"</formula>
    </cfRule>
    <cfRule type="cellIs" dxfId="2" priority="157" operator="equal">
      <formula>"FAIL"</formula>
    </cfRule>
    <cfRule type="cellIs" dxfId="2" priority="158" operator="equal">
      <formula>"Over capacity"</formula>
    </cfRule>
    <cfRule type="cellIs" dxfId="2" priority="159" operator="equal">
      <formula>"Overdue"</formula>
    </cfRule>
    <cfRule type="cellIs" dxfId="2" priority="160" operator="equal">
      <formula>"Out of limits"</formula>
    </cfRule>
    <cfRule type="cellIs" dxfId="2" priority="161" operator="equal">
      <formula>"No"</formula>
    </cfRule>
  </conditionalFormatting>
  <conditionalFormatting sqref="K66:K72">
    <cfRule type="cellIs" dxfId="0" priority="163" operator="equal">
      <formula>"On target"</formula>
    </cfRule>
    <cfRule type="cellIs" dxfId="0" priority="164" operator="equal">
      <formula>"PASS"</formula>
    </cfRule>
    <cfRule type="cellIs" dxfId="0" priority="165" operator="equal">
      <formula>"OK"</formula>
    </cfRule>
    <cfRule type="cellIs" dxfId="0" priority="166" operator="equal">
      <formula>"Within limits"</formula>
    </cfRule>
    <cfRule type="cellIs" dxfId="0" priority="167" operator="equal">
      <formula>"Under capacity"</formula>
    </cfRule>
    <cfRule type="cellIs" dxfId="0" priority="168" operator="equal">
      <formula>"Complete"</formula>
    </cfRule>
    <cfRule type="cellIs" dxfId="0" priority="169" operator="equal">
      <formula>"Yes"</formula>
    </cfRule>
    <cfRule type="cellIs" dxfId="1" priority="170" operator="equal">
      <formula>"Near target"</formula>
    </cfRule>
    <cfRule type="cellIs" dxfId="1" priority="171" operator="equal">
      <formula>"Check"</formula>
    </cfRule>
    <cfRule type="cellIs" dxfId="1" priority="172" operator="equal">
      <formula>"Due soon"</formula>
    </cfRule>
    <cfRule type="cellIs" dxfId="1" priority="173" operator="equal">
      <formula>"Near capacity"</formula>
    </cfRule>
    <cfRule type="cellIs" dxfId="1" priority="174" operator="equal">
      <formula>"In progress"</formula>
    </cfRule>
    <cfRule type="cellIs" dxfId="1" priority="175" operator="equal">
      <formula>"Partial"</formula>
    </cfRule>
    <cfRule type="cellIs" dxfId="2" priority="176" operator="equal">
      <formula>"Below target"</formula>
    </cfRule>
    <cfRule type="cellIs" dxfId="2" priority="177" operator="equal">
      <formula>"Above target"</formula>
    </cfRule>
    <cfRule type="cellIs" dxfId="2" priority="178" operator="equal">
      <formula>"FAIL"</formula>
    </cfRule>
    <cfRule type="cellIs" dxfId="2" priority="179" operator="equal">
      <formula>"Over capacity"</formula>
    </cfRule>
    <cfRule type="cellIs" dxfId="2" priority="180" operator="equal">
      <formula>"Overdue"</formula>
    </cfRule>
    <cfRule type="cellIs" dxfId="2" priority="181" operator="equal">
      <formula>"Out of limits"</formula>
    </cfRule>
    <cfRule type="cellIs" dxfId="2" priority="182"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Line Balance&amp;R&amp;8&amp;A</oddHeader>
    <oddFooter>&amp;L&amp;8mfgcalcs.com - free manufacturing templates&amp;R&amp;8Page &amp;P of &amp;N</oddFooter>
  </headerFooter>
  <rowBreaks count="2" manualBreakCount="2">
    <brk id="27" max="16383" man="1"/>
    <brk id="51"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I55:I61</xm:sqref>
        </x14:conditionalFormatting>
        <x14:conditionalFormatting xmlns:xm="http://schemas.microsoft.com/office/excel/2006/main">
          <x14:cfRule type="dataBar" id="{DA7ABA51-AAAA-BBBB-0004-000000000002}">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I66:I72</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5"/>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223</v>
      </c>
      <c r="C4" s="8"/>
      <c r="D4" s="8"/>
    </row>
    <row r="5" spans="1:4" ht="5" customHeight="1"/>
    <row r="6" spans="1:4" ht="55.8" customHeight="1">
      <c r="B6" s="10" t="s">
        <v>224</v>
      </c>
      <c r="C6" s="10"/>
      <c r="D6" s="10"/>
    </row>
    <row r="8" spans="1:4" ht="21" customHeight="1">
      <c r="B8" s="8" t="s">
        <v>225</v>
      </c>
      <c r="C8" s="8"/>
      <c r="D8" s="8"/>
    </row>
    <row r="9" spans="1:4" ht="5" customHeight="1"/>
    <row r="10" spans="1:4" ht="20" customHeight="1">
      <c r="B10" s="50" t="s">
        <v>226</v>
      </c>
      <c r="C10" s="50" t="s">
        <v>227</v>
      </c>
      <c r="D10" s="34" t="s">
        <v>228</v>
      </c>
    </row>
    <row r="11" spans="1:4" ht="17.2" customHeight="1">
      <c r="B11" s="65" t="s">
        <v>72</v>
      </c>
      <c r="C11" s="66" t="s">
        <v>229</v>
      </c>
      <c r="D11" s="67" t="s">
        <v>73</v>
      </c>
    </row>
    <row r="12" spans="1:4" ht="17.2" customHeight="1">
      <c r="B12" s="65" t="s">
        <v>230</v>
      </c>
      <c r="C12" s="66" t="s">
        <v>231</v>
      </c>
      <c r="D12" s="67" t="s">
        <v>232</v>
      </c>
    </row>
    <row r="13" spans="1:4" ht="30.4" customHeight="1">
      <c r="B13" s="65" t="s">
        <v>233</v>
      </c>
      <c r="C13" s="66" t="s">
        <v>234</v>
      </c>
      <c r="D13" s="67" t="s">
        <v>194</v>
      </c>
    </row>
    <row r="14" spans="1:4" ht="30.4" customHeight="1">
      <c r="B14" s="65" t="s">
        <v>235</v>
      </c>
      <c r="C14" s="66" t="s">
        <v>236</v>
      </c>
      <c r="D14" s="67" t="s">
        <v>194</v>
      </c>
    </row>
    <row r="15" spans="1:4" ht="17.2" customHeight="1">
      <c r="B15" s="65" t="s">
        <v>237</v>
      </c>
      <c r="C15" s="66" t="s">
        <v>238</v>
      </c>
      <c r="D15" s="67" t="s">
        <v>239</v>
      </c>
    </row>
    <row r="16" spans="1:4" ht="17.2" customHeight="1">
      <c r="B16" s="65" t="s">
        <v>240</v>
      </c>
      <c r="C16" s="66" t="s">
        <v>241</v>
      </c>
      <c r="D16" s="67" t="s">
        <v>194</v>
      </c>
    </row>
    <row r="17" spans="2:4" ht="43.6" customHeight="1">
      <c r="B17" s="65" t="s">
        <v>219</v>
      </c>
      <c r="C17" s="66" t="s">
        <v>242</v>
      </c>
      <c r="D17" s="67" t="s">
        <v>232</v>
      </c>
    </row>
    <row r="18" spans="2:4" ht="17.2" customHeight="1">
      <c r="B18" s="65" t="s">
        <v>243</v>
      </c>
      <c r="C18" s="66" t="s">
        <v>244</v>
      </c>
      <c r="D18" s="67" t="s">
        <v>192</v>
      </c>
    </row>
    <row r="19" spans="2:4" ht="17.2" customHeight="1">
      <c r="B19" s="65" t="s">
        <v>193</v>
      </c>
      <c r="C19" s="66" t="s">
        <v>245</v>
      </c>
      <c r="D19" s="67" t="s">
        <v>194</v>
      </c>
    </row>
    <row r="20" spans="2:4" ht="17.2" customHeight="1">
      <c r="B20" s="65" t="s">
        <v>246</v>
      </c>
      <c r="C20" s="66" t="s">
        <v>247</v>
      </c>
      <c r="D20" s="67" t="s">
        <v>194</v>
      </c>
    </row>
    <row r="21" spans="2:4" ht="17.2" customHeight="1">
      <c r="B21" s="65" t="s">
        <v>200</v>
      </c>
      <c r="C21" s="66" t="s">
        <v>248</v>
      </c>
      <c r="D21" s="67" t="s">
        <v>201</v>
      </c>
    </row>
    <row r="22" spans="2:4" ht="17.2" customHeight="1">
      <c r="B22" s="65" t="s">
        <v>202</v>
      </c>
      <c r="C22" s="66" t="s">
        <v>249</v>
      </c>
      <c r="D22" s="67" t="s">
        <v>201</v>
      </c>
    </row>
    <row r="23" spans="2:4" ht="17.2" customHeight="1">
      <c r="B23" s="65" t="s">
        <v>203</v>
      </c>
      <c r="C23" s="66" t="s">
        <v>250</v>
      </c>
      <c r="D23" s="67" t="s">
        <v>194</v>
      </c>
    </row>
    <row r="24" spans="2:4" ht="17.2" customHeight="1">
      <c r="B24" s="65" t="s">
        <v>204</v>
      </c>
      <c r="C24" s="66" t="s">
        <v>251</v>
      </c>
      <c r="D24" s="67" t="s">
        <v>194</v>
      </c>
    </row>
    <row r="25" spans="2:4" ht="17.2" customHeight="1">
      <c r="B25" s="65" t="s">
        <v>205</v>
      </c>
      <c r="C25" s="66" t="s">
        <v>252</v>
      </c>
      <c r="D25" s="67" t="s">
        <v>206</v>
      </c>
    </row>
    <row r="26" spans="2:4" ht="43.6" customHeight="1">
      <c r="B26" s="65" t="s">
        <v>207</v>
      </c>
      <c r="C26" s="66" t="s">
        <v>253</v>
      </c>
      <c r="D26" s="67" t="s">
        <v>254</v>
      </c>
    </row>
    <row r="27" spans="2:4" ht="17.2" customHeight="1">
      <c r="B27" s="65" t="s">
        <v>255</v>
      </c>
      <c r="C27" s="66" t="s">
        <v>256</v>
      </c>
      <c r="D27" s="67" t="s">
        <v>192</v>
      </c>
    </row>
    <row r="28" spans="2:4" ht="30.4" customHeight="1">
      <c r="B28" s="65" t="s">
        <v>257</v>
      </c>
      <c r="C28" s="66" t="s">
        <v>258</v>
      </c>
      <c r="D28" s="67" t="s">
        <v>194</v>
      </c>
    </row>
    <row r="30" spans="2:4" ht="21" customHeight="1">
      <c r="B30" s="8" t="s">
        <v>259</v>
      </c>
      <c r="C30" s="8"/>
      <c r="D30" s="8"/>
    </row>
    <row r="31" spans="2:4" ht="5" customHeight="1"/>
    <row r="32" spans="2:4" ht="16.2" customHeight="1">
      <c r="B32" s="26" t="s">
        <v>55</v>
      </c>
      <c r="C32" s="10" t="s">
        <v>260</v>
      </c>
      <c r="D32" s="10"/>
    </row>
    <row r="33" spans="2:4" ht="16.2" customHeight="1">
      <c r="B33" s="26" t="s">
        <v>55</v>
      </c>
      <c r="C33" s="10" t="s">
        <v>261</v>
      </c>
      <c r="D33" s="10"/>
    </row>
    <row r="34" spans="2:4" ht="16.2" customHeight="1">
      <c r="B34" s="26" t="s">
        <v>55</v>
      </c>
      <c r="C34" s="10" t="s">
        <v>262</v>
      </c>
      <c r="D34" s="10"/>
    </row>
    <row r="35" spans="2:4" ht="16.2" customHeight="1">
      <c r="B35" s="26" t="s">
        <v>55</v>
      </c>
      <c r="C35" s="10" t="s">
        <v>263</v>
      </c>
      <c r="D35" s="10"/>
    </row>
    <row r="37" spans="2:4" ht="21" customHeight="1">
      <c r="B37" s="8" t="s">
        <v>264</v>
      </c>
      <c r="C37" s="8"/>
      <c r="D37" s="8"/>
    </row>
    <row r="38" spans="2:4" ht="5" customHeight="1"/>
    <row r="39" spans="2:4" ht="29.4" customHeight="1">
      <c r="B39" s="26" t="s">
        <v>55</v>
      </c>
      <c r="C39" s="10" t="s">
        <v>265</v>
      </c>
      <c r="D39" s="10"/>
    </row>
    <row r="40" spans="2:4" ht="29.4" customHeight="1">
      <c r="B40" s="26" t="s">
        <v>55</v>
      </c>
      <c r="C40" s="10" t="s">
        <v>266</v>
      </c>
      <c r="D40" s="10"/>
    </row>
    <row r="41" spans="2:4" ht="16.2" customHeight="1">
      <c r="B41" s="26" t="s">
        <v>55</v>
      </c>
      <c r="C41" s="10" t="s">
        <v>267</v>
      </c>
      <c r="D41" s="10"/>
    </row>
    <row r="42" spans="2:4" ht="29.4" customHeight="1">
      <c r="B42" s="26" t="s">
        <v>55</v>
      </c>
      <c r="C42" s="10" t="s">
        <v>268</v>
      </c>
      <c r="D42" s="10"/>
    </row>
    <row r="44" spans="2:4" ht="21" customHeight="1">
      <c r="B44" s="8" t="s">
        <v>269</v>
      </c>
      <c r="C44" s="8"/>
      <c r="D44" s="8"/>
    </row>
    <row r="45" spans="2:4" ht="5" customHeight="1"/>
    <row r="46" spans="2:4" ht="69" customHeight="1">
      <c r="B46" s="10" t="s">
        <v>270</v>
      </c>
      <c r="C46" s="10"/>
      <c r="D46" s="10"/>
    </row>
    <row r="47" spans="2:4">
      <c r="B47" s="24" t="s">
        <v>271</v>
      </c>
      <c r="C47" s="24"/>
      <c r="D47" s="24"/>
    </row>
    <row r="49" spans="2:4" ht="21" customHeight="1">
      <c r="B49" s="8" t="s">
        <v>42</v>
      </c>
      <c r="C49" s="8"/>
      <c r="D49" s="8"/>
    </row>
    <row r="50" spans="2:4" ht="5" customHeight="1"/>
    <row r="51" spans="2:4" ht="42.6" customHeight="1">
      <c r="B51" s="10" t="s">
        <v>272</v>
      </c>
      <c r="C51" s="10"/>
      <c r="D51" s="10"/>
    </row>
    <row r="53" spans="2:4" ht="21" customHeight="1">
      <c r="B53" s="8" t="s">
        <v>273</v>
      </c>
      <c r="C53" s="8"/>
      <c r="D53" s="8"/>
    </row>
    <row r="54" spans="2:4" ht="5" customHeight="1"/>
    <row r="55" spans="2:4" ht="29.4" customHeight="1">
      <c r="B55" s="26" t="s">
        <v>55</v>
      </c>
      <c r="C55" s="10" t="s">
        <v>274</v>
      </c>
      <c r="D55" s="10"/>
    </row>
    <row r="56" spans="2:4" ht="29.4" customHeight="1">
      <c r="B56" s="26" t="s">
        <v>55</v>
      </c>
      <c r="C56" s="10" t="s">
        <v>275</v>
      </c>
      <c r="D56" s="10"/>
    </row>
    <row r="57" spans="2:4" ht="29.4" customHeight="1">
      <c r="B57" s="26" t="s">
        <v>55</v>
      </c>
      <c r="C57" s="10" t="s">
        <v>276</v>
      </c>
      <c r="D57" s="10"/>
    </row>
    <row r="58" spans="2:4">
      <c r="B58" s="21" t="s">
        <v>277</v>
      </c>
      <c r="C58" s="21"/>
      <c r="D58" s="21"/>
    </row>
    <row r="60" spans="2:4" ht="21" customHeight="1">
      <c r="B60" s="8" t="s">
        <v>278</v>
      </c>
      <c r="C60" s="8"/>
      <c r="D60" s="8"/>
    </row>
    <row r="61" spans="2:4" ht="5" customHeight="1"/>
    <row r="62" spans="2:4">
      <c r="B62" s="50" t="s">
        <v>50</v>
      </c>
      <c r="C62" s="50" t="s">
        <v>279</v>
      </c>
      <c r="D62" s="34" t="s">
        <v>280</v>
      </c>
    </row>
    <row r="63" spans="2:4" ht="16.2" customHeight="1">
      <c r="B63" s="68" t="s">
        <v>281</v>
      </c>
      <c r="C63" s="69" t="s">
        <v>282</v>
      </c>
      <c r="D63" s="70" t="s">
        <v>283</v>
      </c>
    </row>
    <row r="65" spans="2:4">
      <c r="B65" s="21" t="s">
        <v>61</v>
      </c>
      <c r="C65" s="21"/>
      <c r="D65" s="21"/>
    </row>
  </sheetData>
  <sheetProtection sheet="1" formatColumns="0" formatRows="0"/>
  <mergeCells count="27">
    <mergeCell ref="A1:D1"/>
    <mergeCell ref="B2:C2"/>
    <mergeCell ref="B4:D4"/>
    <mergeCell ref="B6:D6"/>
    <mergeCell ref="B8:D8"/>
    <mergeCell ref="B30:D30"/>
    <mergeCell ref="C32:D32"/>
    <mergeCell ref="C33:D33"/>
    <mergeCell ref="C34:D34"/>
    <mergeCell ref="C35:D35"/>
    <mergeCell ref="B37:D37"/>
    <mergeCell ref="C39:D39"/>
    <mergeCell ref="C40:D40"/>
    <mergeCell ref="C41:D41"/>
    <mergeCell ref="C42:D42"/>
    <mergeCell ref="B44:D44"/>
    <mergeCell ref="B46:D46"/>
    <mergeCell ref="B47:D47"/>
    <mergeCell ref="B49:D49"/>
    <mergeCell ref="B51:D51"/>
    <mergeCell ref="B53:D53"/>
    <mergeCell ref="C55:D55"/>
    <mergeCell ref="C56:D56"/>
    <mergeCell ref="C57:D57"/>
    <mergeCell ref="B58:D58"/>
    <mergeCell ref="B60:D60"/>
    <mergeCell ref="B65:D65"/>
  </mergeCells>
  <hyperlinks>
    <hyperlink ref="D2" r:id="rId1" tooltip="Free manufacturing calculators and templates"/>
    <hyperlink ref="B47" r:id="rId2"/>
  </hyperlinks>
  <printOptions horizontalCentered="1"/>
  <pageMargins left="0.4" right="0.4" top="0.7" bottom="0.65" header="0.3" footer="0.3"/>
  <pageSetup fitToHeight="0" orientation="portrait"/>
  <headerFooter>
    <oddHeader>&amp;L&amp;8MFG Calcs - Line Balance&amp;R&amp;8&amp;A</oddHeader>
    <oddFooter>&amp;L&amp;8mfgcalcs.com - free manufacturing templates&amp;R&amp;8Page &amp;P of &amp;N</oddFooter>
  </headerFooter>
  <rowBreaks count="2" manualBreakCount="2">
    <brk id="29" max="16383" man="1"/>
    <brk id="5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C3440"/>
    <pageSetUpPr fitToPage="1"/>
  </sheetPr>
  <dimension ref="A1:P123"/>
  <sheetViews>
    <sheetView showGridLines="0" workbookViewId="0"/>
  </sheetViews>
  <sheetFormatPr defaultRowHeight="15" x14ac:dyDescent="0.25"/>
  <cols>
    <col min="1" max="1" width="2.7109375" customWidth="1"/>
    <col min="2" max="19" width="12.7109375" customWidth="1"/>
  </cols>
  <sheetData>
    <row r="1" spans="1:16" ht="30" customHeight="1" x14ac:dyDescent="0.25">
      <c r="A1" s="1" t="s">
        <v>0</v>
      </c>
      <c r="B1" s="1"/>
      <c r="C1" s="1"/>
      <c r="D1" s="1"/>
      <c r="E1" s="1"/>
      <c r="F1" s="1"/>
      <c r="G1" s="1"/>
      <c r="H1" s="1"/>
      <c r="I1" s="1"/>
      <c r="J1" s="1"/>
      <c r="K1" s="1"/>
      <c r="L1" s="1"/>
      <c r="M1" s="1"/>
      <c r="N1" s="1"/>
      <c r="O1" s="1"/>
      <c r="P1" s="1"/>
    </row>
    <row r="2" spans="1:16" ht="21" customHeight="1" x14ac:dyDescent="0.25">
      <c r="B2" s="2" t="s">
        <v>28</v>
      </c>
      <c r="C2" s="2"/>
      <c r="D2" s="2"/>
      <c r="E2" s="2"/>
      <c r="F2" s="2"/>
      <c r="G2" s="2"/>
      <c r="H2" s="2"/>
      <c r="I2" s="2"/>
      <c r="J2" s="2"/>
      <c r="K2" s="2"/>
      <c r="L2" s="2"/>
      <c r="M2" s="2"/>
      <c r="N2" s="2"/>
      <c r="O2" s="2"/>
      <c r="P2" s="3" t="s">
        <v>2</v>
      </c>
    </row>
    <row r="3" spans="1:16" ht="6" customHeight="1" x14ac:dyDescent="0.25"/>
    <row r="4" spans="1:16" ht="30" customHeight="1" x14ac:dyDescent="0.25">
      <c r="B4" s="71" t="s">
        <v>284</v>
      </c>
      <c r="C4" s="71"/>
      <c r="D4" s="22" t="str">
        <f>IF(COUNTIF($K$11:$K$52,"PASS")=42,"PASS","FAIL")</f>
        <v>PASS</v>
      </c>
      <c r="E4" s="22"/>
      <c r="F4" s="23" t="str">
        <f>COUNTIF($K$11:$K$52,"PASS")&amp;" of 42 checks pass"</f>
        <v>42 of 42 checks pass</v>
      </c>
      <c r="G4" s="23"/>
      <c r="H4" s="23"/>
      <c r="I4" s="23"/>
      <c r="J4" s="23"/>
    </row>
    <row r="6" spans="1:16" ht="29.4" customHeight="1" x14ac:dyDescent="0.25">
      <c r="B6" s="10" t="s">
        <v>285</v>
      </c>
      <c r="C6" s="10"/>
      <c r="D6" s="10"/>
      <c r="E6" s="10"/>
      <c r="F6" s="10"/>
      <c r="G6" s="10"/>
      <c r="H6" s="10"/>
      <c r="I6" s="10"/>
      <c r="J6" s="10"/>
      <c r="K6" s="10"/>
      <c r="L6" s="10"/>
    </row>
    <row r="8" spans="1:16" ht="21" customHeight="1" x14ac:dyDescent="0.25">
      <c r="B8" s="8" t="s">
        <v>286</v>
      </c>
      <c r="C8" s="8"/>
      <c r="D8" s="8"/>
      <c r="E8" s="8"/>
      <c r="F8" s="8"/>
      <c r="G8" s="8"/>
      <c r="H8" s="8"/>
      <c r="I8" s="8"/>
      <c r="J8" s="8"/>
      <c r="K8" s="8"/>
      <c r="L8" s="8"/>
    </row>
    <row r="9" spans="1:16" ht="5" customHeight="1" x14ac:dyDescent="0.25"/>
    <row r="10" spans="1:16" ht="30" customHeight="1" x14ac:dyDescent="0.25">
      <c r="B10" s="34" t="s">
        <v>106</v>
      </c>
      <c r="C10" s="50" t="s">
        <v>119</v>
      </c>
      <c r="D10" s="50"/>
      <c r="E10" s="50"/>
      <c r="F10" s="50"/>
      <c r="G10" s="34" t="s">
        <v>287</v>
      </c>
      <c r="H10" s="34" t="s">
        <v>288</v>
      </c>
      <c r="I10" s="34" t="s">
        <v>289</v>
      </c>
      <c r="J10" s="34" t="s">
        <v>290</v>
      </c>
      <c r="K10" s="34" t="s">
        <v>291</v>
      </c>
    </row>
    <row r="11" spans="1:16" ht="16.2" customHeight="1" x14ac:dyDescent="0.25">
      <c r="B11" s="72">
        <v>1</v>
      </c>
      <c r="C11" s="69" t="s">
        <v>292</v>
      </c>
      <c r="D11" s="69"/>
      <c r="E11" s="69"/>
      <c r="F11" s="69"/>
      <c r="G11" s="73">
        <v>60</v>
      </c>
      <c r="H11" s="74">
        <f>$E$65</f>
        <v>60</v>
      </c>
      <c r="I11" s="75">
        <f>IF(AND(ISNUMBER($G$11),ISNUMBER($H$11)),ABS($H$11-$G$11),"")</f>
        <v>0</v>
      </c>
      <c r="J11" s="76">
        <v>1E-09</v>
      </c>
      <c r="K11" s="41" t="str">
        <f>IF(AND(ISNUMBER($G$11),ISNUMBER($H$11)),IF(ABS($H$11-$G$11)&lt;=$J$11,"PASS","FAIL"),"FAIL")</f>
        <v>PASS</v>
      </c>
    </row>
    <row r="12" spans="1:16" ht="16.2" customHeight="1" x14ac:dyDescent="0.25">
      <c r="B12" s="72">
        <v>2</v>
      </c>
      <c r="C12" s="69" t="s">
        <v>293</v>
      </c>
      <c r="D12" s="69"/>
      <c r="E12" s="69"/>
      <c r="F12" s="69"/>
      <c r="G12" s="77">
        <v>42</v>
      </c>
      <c r="H12" s="61">
        <f>$K$76</f>
        <v>42</v>
      </c>
      <c r="I12" s="75">
        <f>IF(AND(ISNUMBER($G$12),ISNUMBER($H$12)),ABS($H$12-$G$12),"")</f>
        <v>0</v>
      </c>
      <c r="J12" s="76">
        <v>1E-09</v>
      </c>
      <c r="K12" s="41" t="str">
        <f>IF(AND(ISNUMBER($G$12),ISNUMBER($H$12)),IF(ABS($H$12-$G$12)&lt;=$J$12,"PASS","FAIL"),"FAIL")</f>
        <v>PASS</v>
      </c>
    </row>
    <row r="13" spans="1:16" ht="16.2" customHeight="1" x14ac:dyDescent="0.25">
      <c r="B13" s="72">
        <v>3</v>
      </c>
      <c r="C13" s="69" t="s">
        <v>294</v>
      </c>
      <c r="D13" s="69"/>
      <c r="E13" s="69"/>
      <c r="F13" s="69"/>
      <c r="G13" s="77">
        <v>50</v>
      </c>
      <c r="H13" s="61">
        <f>$L$81</f>
        <v>50</v>
      </c>
      <c r="I13" s="75">
        <f>IF(AND(ISNUMBER($G$13),ISNUMBER($H$13)),ABS($H$13-$G$13),"")</f>
        <v>0</v>
      </c>
      <c r="J13" s="76">
        <v>1E-09</v>
      </c>
      <c r="K13" s="41" t="str">
        <f>IF(AND(ISNUMBER($G$13),ISNUMBER($H$13)),IF(ABS($H$13-$G$13)&lt;=$J$13,"PASS","FAIL"),"FAIL")</f>
        <v>PASS</v>
      </c>
    </row>
    <row r="14" spans="1:16" ht="16.2" customHeight="1" x14ac:dyDescent="0.25">
      <c r="B14" s="72">
        <v>4</v>
      </c>
      <c r="C14" s="69" t="s">
        <v>295</v>
      </c>
      <c r="D14" s="69"/>
      <c r="E14" s="69"/>
      <c r="F14" s="69"/>
      <c r="G14" s="78">
        <v>0.8333333333333334</v>
      </c>
      <c r="H14" s="79">
        <f>$M$81</f>
        <v>0.833333333333333</v>
      </c>
      <c r="I14" s="75">
        <f>IF(AND(ISNUMBER($G$14),ISNUMBER($H$14)),ABS($H$14-$G$14),"")</f>
        <v>0</v>
      </c>
      <c r="J14" s="76">
        <v>1E-09</v>
      </c>
      <c r="K14" s="41" t="str">
        <f>IF(AND(ISNUMBER($G$14),ISNUMBER($H$14)),IF(ABS($H$14-$G$14)&lt;=$J$14,"PASS","FAIL"),"FAIL")</f>
        <v>PASS</v>
      </c>
    </row>
    <row r="15" spans="1:16" ht="16.2" customHeight="1" x14ac:dyDescent="0.25">
      <c r="B15" s="72">
        <v>5</v>
      </c>
      <c r="C15" s="69" t="s">
        <v>296</v>
      </c>
      <c r="D15" s="69"/>
      <c r="E15" s="69"/>
      <c r="F15" s="69"/>
      <c r="G15" s="68" t="s">
        <v>297</v>
      </c>
      <c r="H15" s="80" t="str">
        <f>$N$81</f>
        <v>Under capacity</v>
      </c>
      <c r="I15" s="80"/>
      <c r="J15" s="70" t="s">
        <v>298</v>
      </c>
      <c r="K15" s="41" t="str">
        <f>IF($H$15&amp;""=$G$15&amp;"","PASS","FAIL")</f>
        <v>PASS</v>
      </c>
    </row>
    <row r="16" spans="1:16" ht="16.2" customHeight="1" x14ac:dyDescent="0.25">
      <c r="B16" s="72">
        <v>6</v>
      </c>
      <c r="C16" s="69" t="s">
        <v>299</v>
      </c>
      <c r="D16" s="69"/>
      <c r="E16" s="69"/>
      <c r="F16" s="69"/>
      <c r="G16" s="68" t="s">
        <v>300</v>
      </c>
      <c r="H16" s="80" t="str">
        <f>$N$79</f>
        <v>Removed</v>
      </c>
      <c r="I16" s="80"/>
      <c r="J16" s="70" t="s">
        <v>298</v>
      </c>
      <c r="K16" s="41" t="str">
        <f>IF($H$16&amp;""=$G$16&amp;"","PASS","FAIL")</f>
        <v>PASS</v>
      </c>
    </row>
    <row r="17" spans="2:11" ht="16.2" customHeight="1" x14ac:dyDescent="0.25">
      <c r="B17" s="72">
        <v>7</v>
      </c>
      <c r="C17" s="69" t="s">
        <v>301</v>
      </c>
      <c r="D17" s="69"/>
      <c r="E17" s="69"/>
      <c r="F17" s="69"/>
      <c r="G17" s="68" t="s">
        <v>302</v>
      </c>
      <c r="H17" s="80" t="str">
        <f>$O$81</f>
        <v>Predecessor not found</v>
      </c>
      <c r="I17" s="80"/>
      <c r="J17" s="70" t="s">
        <v>298</v>
      </c>
      <c r="K17" s="41" t="str">
        <f>IF($H$17&amp;""=$G$17&amp;"","PASS","FAIL")</f>
        <v>PASS</v>
      </c>
    </row>
    <row r="18" spans="2:11" ht="29.4" customHeight="1" x14ac:dyDescent="0.25">
      <c r="B18" s="72">
        <v>8</v>
      </c>
      <c r="C18" s="69" t="s">
        <v>303</v>
      </c>
      <c r="D18" s="69"/>
      <c r="E18" s="69"/>
      <c r="F18" s="69"/>
      <c r="G18" s="68" t="s">
        <v>304</v>
      </c>
      <c r="H18" s="80" t="str">
        <f>$O$83</f>
        <v>Proposed: predecessor later</v>
      </c>
      <c r="I18" s="80"/>
      <c r="J18" s="70" t="s">
        <v>298</v>
      </c>
      <c r="K18" s="41" t="str">
        <f>IF($H$18&amp;""=$G$18&amp;"","PASS","FAIL")</f>
        <v>PASS</v>
      </c>
    </row>
    <row r="19" spans="2:11" ht="16.2" customHeight="1" x14ac:dyDescent="0.25">
      <c r="B19" s="72">
        <v>9</v>
      </c>
      <c r="C19" s="69" t="s">
        <v>305</v>
      </c>
      <c r="D19" s="69"/>
      <c r="E19" s="69"/>
      <c r="F19" s="69"/>
      <c r="G19" s="68" t="s">
        <v>306</v>
      </c>
      <c r="H19" s="80" t="str">
        <f>$O$77</f>
        <v>OK</v>
      </c>
      <c r="I19" s="80"/>
      <c r="J19" s="70" t="s">
        <v>298</v>
      </c>
      <c r="K19" s="41" t="str">
        <f>IF($H$19&amp;""=$G$19&amp;"","PASS","FAIL")</f>
        <v>PASS</v>
      </c>
    </row>
    <row r="20" spans="2:11" ht="16.2" customHeight="1" x14ac:dyDescent="0.25">
      <c r="B20" s="72">
        <v>10</v>
      </c>
      <c r="C20" s="69" t="s">
        <v>307</v>
      </c>
      <c r="D20" s="69"/>
      <c r="E20" s="69"/>
      <c r="F20" s="69"/>
      <c r="G20" s="77">
        <v>42</v>
      </c>
      <c r="H20" s="61">
        <f>$G$88</f>
        <v>42</v>
      </c>
      <c r="I20" s="75">
        <f>IF(AND(ISNUMBER($G$20),ISNUMBER($H$20)),ABS($H$20-$G$20),"")</f>
        <v>0</v>
      </c>
      <c r="J20" s="76">
        <v>1E-09</v>
      </c>
      <c r="K20" s="41" t="str">
        <f>IF(AND(ISNUMBER($G$20),ISNUMBER($H$20)),IF(ABS($H$20-$G$20)&lt;=$J$20,"PASS","FAIL"),"FAIL")</f>
        <v>PASS</v>
      </c>
    </row>
    <row r="21" spans="2:11" ht="16.2" customHeight="1" x14ac:dyDescent="0.25">
      <c r="B21" s="72">
        <v>11</v>
      </c>
      <c r="C21" s="69" t="s">
        <v>308</v>
      </c>
      <c r="D21" s="69"/>
      <c r="E21" s="69"/>
      <c r="F21" s="69"/>
      <c r="G21" s="77">
        <v>55</v>
      </c>
      <c r="H21" s="61">
        <f>$G$89</f>
        <v>55</v>
      </c>
      <c r="I21" s="75">
        <f>IF(AND(ISNUMBER($G$21),ISNUMBER($H$21)),ABS($H$21-$G$21),"")</f>
        <v>0</v>
      </c>
      <c r="J21" s="76">
        <v>1E-09</v>
      </c>
      <c r="K21" s="41" t="str">
        <f>IF(AND(ISNUMBER($G$21),ISNUMBER($H$21)),IF(ABS($H$21-$G$21)&lt;=$J$21,"PASS","FAIL"),"FAIL")</f>
        <v>PASS</v>
      </c>
    </row>
    <row r="22" spans="2:11" ht="16.2" customHeight="1" x14ac:dyDescent="0.25">
      <c r="B22" s="72">
        <v>12</v>
      </c>
      <c r="C22" s="69" t="s">
        <v>309</v>
      </c>
      <c r="D22" s="69"/>
      <c r="E22" s="69"/>
      <c r="F22" s="69"/>
      <c r="G22" s="77">
        <v>48</v>
      </c>
      <c r="H22" s="61">
        <f>$G$90</f>
        <v>48</v>
      </c>
      <c r="I22" s="75">
        <f>IF(AND(ISNUMBER($G$22),ISNUMBER($H$22)),ABS($H$22-$G$22),"")</f>
        <v>0</v>
      </c>
      <c r="J22" s="76">
        <v>1E-09</v>
      </c>
      <c r="K22" s="41" t="str">
        <f>IF(AND(ISNUMBER($G$22),ISNUMBER($H$22)),IF(ABS($H$22-$G$22)&lt;=$J$22,"PASS","FAIL"),"FAIL")</f>
        <v>PASS</v>
      </c>
    </row>
    <row r="23" spans="2:11" ht="16.2" customHeight="1" x14ac:dyDescent="0.25">
      <c r="B23" s="72">
        <v>13</v>
      </c>
      <c r="C23" s="69" t="s">
        <v>310</v>
      </c>
      <c r="D23" s="69"/>
      <c r="E23" s="69"/>
      <c r="F23" s="69"/>
      <c r="G23" s="77">
        <v>39</v>
      </c>
      <c r="H23" s="61">
        <f>$G$91</f>
        <v>39</v>
      </c>
      <c r="I23" s="75">
        <f>IF(AND(ISNUMBER($G$23),ISNUMBER($H$23)),ABS($H$23-$G$23),"")</f>
        <v>0</v>
      </c>
      <c r="J23" s="76">
        <v>1E-09</v>
      </c>
      <c r="K23" s="41" t="str">
        <f>IF(AND(ISNUMBER($G$23),ISNUMBER($H$23)),IF(ABS($H$23-$G$23)&lt;=$J$23,"PASS","FAIL"),"FAIL")</f>
        <v>PASS</v>
      </c>
    </row>
    <row r="24" spans="2:11" ht="16.2" customHeight="1" x14ac:dyDescent="0.25">
      <c r="B24" s="72">
        <v>14</v>
      </c>
      <c r="C24" s="69" t="s">
        <v>311</v>
      </c>
      <c r="D24" s="69"/>
      <c r="E24" s="69"/>
      <c r="F24" s="69"/>
      <c r="G24" s="77">
        <v>25</v>
      </c>
      <c r="H24" s="61">
        <f>$F$89</f>
        <v>25</v>
      </c>
      <c r="I24" s="75">
        <f>IF(AND(ISNUMBER($G$24),ISNUMBER($H$24)),ABS($H$24-$G$24),"")</f>
        <v>0</v>
      </c>
      <c r="J24" s="76">
        <v>1E-09</v>
      </c>
      <c r="K24" s="41" t="str">
        <f>IF(AND(ISNUMBER($G$24),ISNUMBER($H$24)),IF(ABS($H$24-$G$24)&lt;=$J$24,"PASS","FAIL"),"FAIL")</f>
        <v>PASS</v>
      </c>
    </row>
    <row r="25" spans="2:11" ht="16.2" customHeight="1" x14ac:dyDescent="0.25">
      <c r="B25" s="72">
        <v>15</v>
      </c>
      <c r="C25" s="69" t="s">
        <v>312</v>
      </c>
      <c r="D25" s="69"/>
      <c r="E25" s="69"/>
      <c r="F25" s="69"/>
      <c r="G25" s="77">
        <v>20</v>
      </c>
      <c r="H25" s="61">
        <f>$E$90</f>
        <v>20</v>
      </c>
      <c r="I25" s="75">
        <f>IF(AND(ISNUMBER($G$25),ISNUMBER($H$25)),ABS($H$25-$G$25),"")</f>
        <v>0</v>
      </c>
      <c r="J25" s="76">
        <v>1E-09</v>
      </c>
      <c r="K25" s="41" t="str">
        <f>IF(AND(ISNUMBER($G$25),ISNUMBER($H$25)),IF(ABS($H$25-$G$25)&lt;=$J$25,"PASS","FAIL"),"FAIL")</f>
        <v>PASS</v>
      </c>
    </row>
    <row r="26" spans="2:11" ht="16.2" customHeight="1" x14ac:dyDescent="0.25">
      <c r="B26" s="72">
        <v>16</v>
      </c>
      <c r="C26" s="69" t="s">
        <v>313</v>
      </c>
      <c r="D26" s="69"/>
      <c r="E26" s="69"/>
      <c r="F26" s="69"/>
      <c r="G26" s="77">
        <v>5</v>
      </c>
      <c r="H26" s="61">
        <f>$J$89</f>
        <v>5</v>
      </c>
      <c r="I26" s="75">
        <f>IF(AND(ISNUMBER($G$26),ISNUMBER($H$26)),ABS($H$26-$G$26),"")</f>
        <v>0</v>
      </c>
      <c r="J26" s="76">
        <v>1E-09</v>
      </c>
      <c r="K26" s="41" t="str">
        <f>IF(AND(ISNUMBER($G$26),ISNUMBER($H$26)),IF(ABS($H$26-$G$26)&lt;=$J$26,"PASS","FAIL"),"FAIL")</f>
        <v>PASS</v>
      </c>
    </row>
    <row r="27" spans="2:11" ht="16.2" customHeight="1" x14ac:dyDescent="0.25">
      <c r="B27" s="72">
        <v>17</v>
      </c>
      <c r="C27" s="69" t="s">
        <v>314</v>
      </c>
      <c r="D27" s="69"/>
      <c r="E27" s="69"/>
      <c r="F27" s="69"/>
      <c r="G27" s="68" t="s">
        <v>315</v>
      </c>
      <c r="H27" s="80" t="str">
        <f>$K$89</f>
        <v>Near capacity</v>
      </c>
      <c r="I27" s="80"/>
      <c r="J27" s="70" t="s">
        <v>298</v>
      </c>
      <c r="K27" s="41" t="str">
        <f>IF($H$27&amp;""=$G$27&amp;"","PASS","FAIL")</f>
        <v>PASS</v>
      </c>
    </row>
    <row r="28" spans="2:11" ht="16.2" customHeight="1" x14ac:dyDescent="0.25">
      <c r="B28" s="72">
        <v>18</v>
      </c>
      <c r="C28" s="69" t="s">
        <v>316</v>
      </c>
      <c r="D28" s="69"/>
      <c r="E28" s="69"/>
      <c r="F28" s="69"/>
      <c r="G28" s="77">
        <v>50</v>
      </c>
      <c r="H28" s="61">
        <f>$G$100</f>
        <v>50</v>
      </c>
      <c r="I28" s="75">
        <f>IF(AND(ISNUMBER($G$28),ISNUMBER($H$28)),ABS($H$28-$G$28),"")</f>
        <v>0</v>
      </c>
      <c r="J28" s="76">
        <v>1E-09</v>
      </c>
      <c r="K28" s="41" t="str">
        <f>IF(AND(ISNUMBER($G$28),ISNUMBER($H$28)),IF(ABS($H$28-$G$28)&lt;=$J$28,"PASS","FAIL"),"FAIL")</f>
        <v>PASS</v>
      </c>
    </row>
    <row r="29" spans="2:11" ht="16.2" customHeight="1" x14ac:dyDescent="0.25">
      <c r="B29" s="72">
        <v>19</v>
      </c>
      <c r="C29" s="69" t="s">
        <v>317</v>
      </c>
      <c r="D29" s="69"/>
      <c r="E29" s="69"/>
      <c r="F29" s="69"/>
      <c r="G29" s="78">
        <v>0.4</v>
      </c>
      <c r="H29" s="79">
        <f>$I$102</f>
        <v>0.4</v>
      </c>
      <c r="I29" s="75">
        <f>IF(AND(ISNUMBER($G$29),ISNUMBER($H$29)),ABS($H$29-$G$29),"")</f>
        <v>0</v>
      </c>
      <c r="J29" s="76">
        <v>1E-09</v>
      </c>
      <c r="K29" s="41" t="str">
        <f>IF(AND(ISNUMBER($G$29),ISNUMBER($H$29)),IF(ABS($H$29-$G$29)&lt;=$J$29,"PASS","FAIL"),"FAIL")</f>
        <v>PASS</v>
      </c>
    </row>
    <row r="30" spans="2:11" ht="16.2" customHeight="1" x14ac:dyDescent="0.25">
      <c r="B30" s="72">
        <v>20</v>
      </c>
      <c r="C30" s="69" t="s">
        <v>318</v>
      </c>
      <c r="D30" s="69"/>
      <c r="E30" s="69"/>
      <c r="F30" s="69"/>
      <c r="G30" s="81">
        <v>4</v>
      </c>
      <c r="H30" s="38">
        <f>$F$109</f>
        <v>4</v>
      </c>
      <c r="I30" s="75">
        <f>IF(AND(ISNUMBER($G$30),ISNUMBER($H$30)),ABS($H$30-$G$30),"")</f>
        <v>0</v>
      </c>
      <c r="J30" s="76">
        <v>1E-09</v>
      </c>
      <c r="K30" s="41" t="str">
        <f>IF(AND(ISNUMBER($G$30),ISNUMBER($H$30)),IF(ABS($H$30-$G$30)&lt;=$J$30,"PASS","FAIL"),"FAIL")</f>
        <v>PASS</v>
      </c>
    </row>
    <row r="31" spans="2:11" ht="16.2" customHeight="1" x14ac:dyDescent="0.25">
      <c r="B31" s="72">
        <v>21</v>
      </c>
      <c r="C31" s="69" t="s">
        <v>319</v>
      </c>
      <c r="D31" s="69"/>
      <c r="E31" s="69"/>
      <c r="F31" s="69"/>
      <c r="G31" s="77">
        <v>184</v>
      </c>
      <c r="H31" s="61">
        <f>$F$110</f>
        <v>184</v>
      </c>
      <c r="I31" s="75">
        <f>IF(AND(ISNUMBER($G$31),ISNUMBER($H$31)),ABS($H$31-$G$31),"")</f>
        <v>0</v>
      </c>
      <c r="J31" s="76">
        <v>1E-09</v>
      </c>
      <c r="K31" s="41" t="str">
        <f>IF(AND(ISNUMBER($G$31),ISNUMBER($H$31)),IF(ABS($H$31-$G$31)&lt;=$J$31,"PASS","FAIL"),"FAIL")</f>
        <v>PASS</v>
      </c>
    </row>
    <row r="32" spans="2:11" ht="16.2" customHeight="1" x14ac:dyDescent="0.25">
      <c r="B32" s="72">
        <v>22</v>
      </c>
      <c r="C32" s="69" t="s">
        <v>320</v>
      </c>
      <c r="D32" s="69"/>
      <c r="E32" s="69"/>
      <c r="F32" s="69"/>
      <c r="G32" s="68" t="s">
        <v>321</v>
      </c>
      <c r="H32" s="80" t="str">
        <f>$F$114</f>
        <v>B</v>
      </c>
      <c r="I32" s="80"/>
      <c r="J32" s="70" t="s">
        <v>298</v>
      </c>
      <c r="K32" s="41" t="str">
        <f>IF($H$32&amp;""=$G$32&amp;"","PASS","FAIL")</f>
        <v>PASS</v>
      </c>
    </row>
    <row r="33" spans="2:11" ht="16.2" customHeight="1" x14ac:dyDescent="0.25">
      <c r="B33" s="72">
        <v>23</v>
      </c>
      <c r="C33" s="69" t="s">
        <v>322</v>
      </c>
      <c r="D33" s="69"/>
      <c r="E33" s="69"/>
      <c r="F33" s="69"/>
      <c r="G33" s="77">
        <v>55</v>
      </c>
      <c r="H33" s="61">
        <f>$F$115</f>
        <v>55</v>
      </c>
      <c r="I33" s="75">
        <f>IF(AND(ISNUMBER($G$33),ISNUMBER($H$33)),ABS($H$33-$G$33),"")</f>
        <v>0</v>
      </c>
      <c r="J33" s="76">
        <v>1E-09</v>
      </c>
      <c r="K33" s="41" t="str">
        <f>IF(AND(ISNUMBER($G$33),ISNUMBER($H$33)),IF(ABS($H$33-$G$33)&lt;=$J$33,"PASS","FAIL"),"FAIL")</f>
        <v>PASS</v>
      </c>
    </row>
    <row r="34" spans="2:11" ht="16.2" customHeight="1" x14ac:dyDescent="0.25">
      <c r="B34" s="72">
        <v>24</v>
      </c>
      <c r="C34" s="69" t="s">
        <v>323</v>
      </c>
      <c r="D34" s="69"/>
      <c r="E34" s="69"/>
      <c r="F34" s="69"/>
      <c r="G34" s="78">
        <v>0.8363636363636363</v>
      </c>
      <c r="H34" s="79">
        <f>$F$116</f>
        <v>0.836363636363636</v>
      </c>
      <c r="I34" s="75">
        <f>IF(AND(ISNUMBER($G$34),ISNUMBER($H$34)),ABS($H$34-$G$34),"")</f>
        <v>0</v>
      </c>
      <c r="J34" s="76">
        <v>1E-09</v>
      </c>
      <c r="K34" s="41" t="str">
        <f>IF(AND(ISNUMBER($G$34),ISNUMBER($H$34)),IF(ABS($H$34-$G$34)&lt;=$J$34,"PASS","FAIL"),"FAIL")</f>
        <v>PASS</v>
      </c>
    </row>
    <row r="35" spans="2:11" ht="16.2" customHeight="1" x14ac:dyDescent="0.25">
      <c r="B35" s="72">
        <v>25</v>
      </c>
      <c r="C35" s="69" t="s">
        <v>324</v>
      </c>
      <c r="D35" s="69"/>
      <c r="E35" s="69"/>
      <c r="F35" s="69"/>
      <c r="G35" s="77">
        <v>36</v>
      </c>
      <c r="H35" s="61">
        <f>$F$118</f>
        <v>36</v>
      </c>
      <c r="I35" s="75">
        <f>IF(AND(ISNUMBER($G$35),ISNUMBER($H$35)),ABS($H$35-$G$35),"")</f>
        <v>0</v>
      </c>
      <c r="J35" s="76">
        <v>1E-09</v>
      </c>
      <c r="K35" s="41" t="str">
        <f>IF(AND(ISNUMBER($G$35),ISNUMBER($H$35)),IF(ABS($H$35-$G$35)&lt;=$J$35,"PASS","FAIL"),"FAIL")</f>
        <v>PASS</v>
      </c>
    </row>
    <row r="36" spans="2:11" ht="16.2" customHeight="1" x14ac:dyDescent="0.25">
      <c r="B36" s="72">
        <v>26</v>
      </c>
      <c r="C36" s="69" t="s">
        <v>325</v>
      </c>
      <c r="D36" s="69"/>
      <c r="E36" s="69"/>
      <c r="F36" s="69"/>
      <c r="G36" s="77">
        <v>5</v>
      </c>
      <c r="H36" s="61">
        <f>$F$119</f>
        <v>5</v>
      </c>
      <c r="I36" s="75">
        <f>IF(AND(ISNUMBER($G$36),ISNUMBER($H$36)),ABS($H$36-$G$36),"")</f>
        <v>0</v>
      </c>
      <c r="J36" s="76">
        <v>1E-09</v>
      </c>
      <c r="K36" s="41" t="str">
        <f>IF(AND(ISNUMBER($G$36),ISNUMBER($H$36)),IF(ABS($H$36-$G$36)&lt;=$J$36,"PASS","FAIL"),"FAIL")</f>
        <v>PASS</v>
      </c>
    </row>
    <row r="37" spans="2:11" ht="16.2" customHeight="1" x14ac:dyDescent="0.25">
      <c r="B37" s="72">
        <v>27</v>
      </c>
      <c r="C37" s="69" t="s">
        <v>326</v>
      </c>
      <c r="D37" s="69"/>
      <c r="E37" s="69"/>
      <c r="F37" s="69"/>
      <c r="G37" s="82">
        <v>1.833333333333333</v>
      </c>
      <c r="H37" s="83">
        <f>$F$121</f>
        <v>1.83333333333333</v>
      </c>
      <c r="I37" s="75">
        <f>IF(AND(ISNUMBER($G$37),ISNUMBER($H$37)),ABS($H$37-$G$37),"")</f>
        <v>0</v>
      </c>
      <c r="J37" s="76">
        <v>1E-09</v>
      </c>
      <c r="K37" s="41" t="str">
        <f>IF(AND(ISNUMBER($G$37),ISNUMBER($H$37)),IF(ABS($H$37-$G$37)&lt;=$J$37,"PASS","FAIL"),"FAIL")</f>
        <v>PASS</v>
      </c>
    </row>
    <row r="38" spans="2:11" ht="16.2" customHeight="1" x14ac:dyDescent="0.25">
      <c r="B38" s="72">
        <v>28</v>
      </c>
      <c r="C38" s="69" t="s">
        <v>327</v>
      </c>
      <c r="D38" s="69"/>
      <c r="E38" s="69"/>
      <c r="F38" s="69"/>
      <c r="G38" s="81">
        <v>4</v>
      </c>
      <c r="H38" s="38">
        <f>$G$109</f>
        <v>4</v>
      </c>
      <c r="I38" s="75">
        <f>IF(AND(ISNUMBER($G$38),ISNUMBER($H$38)),ABS($H$38-$G$38),"")</f>
        <v>0</v>
      </c>
      <c r="J38" s="76">
        <v>1E-09</v>
      </c>
      <c r="K38" s="41" t="str">
        <f>IF(AND(ISNUMBER($G$38),ISNUMBER($H$38)),IF(ABS($H$38-$G$38)&lt;=$J$38,"PASS","FAIL"),"FAIL")</f>
        <v>PASS</v>
      </c>
    </row>
    <row r="39" spans="2:11" ht="16.2" customHeight="1" x14ac:dyDescent="0.25">
      <c r="B39" s="72">
        <v>29</v>
      </c>
      <c r="C39" s="69" t="s">
        <v>328</v>
      </c>
      <c r="D39" s="69"/>
      <c r="E39" s="69"/>
      <c r="F39" s="69"/>
      <c r="G39" s="77">
        <v>159</v>
      </c>
      <c r="H39" s="61">
        <f>$G$110</f>
        <v>159</v>
      </c>
      <c r="I39" s="75">
        <f>IF(AND(ISNUMBER($G$39),ISNUMBER($H$39)),ABS($H$39-$G$39),"")</f>
        <v>0</v>
      </c>
      <c r="J39" s="76">
        <v>1E-09</v>
      </c>
      <c r="K39" s="41" t="str">
        <f>IF(AND(ISNUMBER($G$39),ISNUMBER($H$39)),IF(ABS($H$39-$G$39)&lt;=$J$39,"PASS","FAIL"),"FAIL")</f>
        <v>PASS</v>
      </c>
    </row>
    <row r="40" spans="2:11" ht="16.2" customHeight="1" x14ac:dyDescent="0.25">
      <c r="B40" s="72">
        <v>30</v>
      </c>
      <c r="C40" s="69" t="s">
        <v>329</v>
      </c>
      <c r="D40" s="69"/>
      <c r="E40" s="69"/>
      <c r="F40" s="69"/>
      <c r="G40" s="68" t="s">
        <v>321</v>
      </c>
      <c r="H40" s="80" t="str">
        <f>$G$114</f>
        <v>B</v>
      </c>
      <c r="I40" s="80"/>
      <c r="J40" s="70" t="s">
        <v>298</v>
      </c>
      <c r="K40" s="41" t="str">
        <f>IF($H$40&amp;""=$G$40&amp;"","PASS","FAIL")</f>
        <v>PASS</v>
      </c>
    </row>
    <row r="41" spans="2:11" ht="16.2" customHeight="1" x14ac:dyDescent="0.25">
      <c r="B41" s="72">
        <v>31</v>
      </c>
      <c r="C41" s="69" t="s">
        <v>330</v>
      </c>
      <c r="D41" s="69"/>
      <c r="E41" s="69"/>
      <c r="F41" s="69"/>
      <c r="G41" s="77">
        <v>50</v>
      </c>
      <c r="H41" s="61">
        <f>$G$115</f>
        <v>50</v>
      </c>
      <c r="I41" s="75">
        <f>IF(AND(ISNUMBER($G$41),ISNUMBER($H$41)),ABS($H$41-$G$41),"")</f>
        <v>0</v>
      </c>
      <c r="J41" s="76">
        <v>1E-09</v>
      </c>
      <c r="K41" s="41" t="str">
        <f>IF(AND(ISNUMBER($G$41),ISNUMBER($H$41)),IF(ABS($H$41-$G$41)&lt;=$J$41,"PASS","FAIL"),"FAIL")</f>
        <v>PASS</v>
      </c>
    </row>
    <row r="42" spans="2:11" ht="16.2" customHeight="1" x14ac:dyDescent="0.25">
      <c r="B42" s="72">
        <v>32</v>
      </c>
      <c r="C42" s="69" t="s">
        <v>331</v>
      </c>
      <c r="D42" s="69"/>
      <c r="E42" s="69"/>
      <c r="F42" s="69"/>
      <c r="G42" s="78">
        <v>0.795</v>
      </c>
      <c r="H42" s="79">
        <f>$G$116</f>
        <v>0.795</v>
      </c>
      <c r="I42" s="75">
        <f>IF(AND(ISNUMBER($G$42),ISNUMBER($H$42)),ABS($H$42-$G$42),"")</f>
        <v>0</v>
      </c>
      <c r="J42" s="76">
        <v>1E-09</v>
      </c>
      <c r="K42" s="41" t="str">
        <f>IF(AND(ISNUMBER($G$42),ISNUMBER($H$42)),IF(ABS($H$42-$G$42)&lt;=$J$42,"PASS","FAIL"),"FAIL")</f>
        <v>PASS</v>
      </c>
    </row>
    <row r="43" spans="2:11" ht="16.2" customHeight="1" x14ac:dyDescent="0.25">
      <c r="B43" s="72">
        <v>33</v>
      </c>
      <c r="C43" s="69" t="s">
        <v>332</v>
      </c>
      <c r="D43" s="69"/>
      <c r="E43" s="69"/>
      <c r="F43" s="69"/>
      <c r="G43" s="77">
        <v>41</v>
      </c>
      <c r="H43" s="61">
        <f>$G$118</f>
        <v>41</v>
      </c>
      <c r="I43" s="75">
        <f>IF(AND(ISNUMBER($G$43),ISNUMBER($H$43)),ABS($H$43-$G$43),"")</f>
        <v>0</v>
      </c>
      <c r="J43" s="76">
        <v>1E-09</v>
      </c>
      <c r="K43" s="41" t="str">
        <f>IF(AND(ISNUMBER($G$43),ISNUMBER($H$43)),IF(ABS($H$43-$G$43)&lt;=$J$43,"PASS","FAIL"),"FAIL")</f>
        <v>PASS</v>
      </c>
    </row>
    <row r="44" spans="2:11" ht="16.2" customHeight="1" x14ac:dyDescent="0.25">
      <c r="B44" s="72">
        <v>34</v>
      </c>
      <c r="C44" s="69" t="s">
        <v>333</v>
      </c>
      <c r="D44" s="69"/>
      <c r="E44" s="69"/>
      <c r="F44" s="69"/>
      <c r="G44" s="77">
        <v>10</v>
      </c>
      <c r="H44" s="61">
        <f>$G$119</f>
        <v>10</v>
      </c>
      <c r="I44" s="75">
        <f>IF(AND(ISNUMBER($G$44),ISNUMBER($H$44)),ABS($H$44-$G$44),"")</f>
        <v>0</v>
      </c>
      <c r="J44" s="76">
        <v>1E-09</v>
      </c>
      <c r="K44" s="41" t="str">
        <f>IF(AND(ISNUMBER($G$44),ISNUMBER($H$44)),IF(ABS($H$44-$G$44)&lt;=$J$44,"PASS","FAIL"),"FAIL")</f>
        <v>PASS</v>
      </c>
    </row>
    <row r="45" spans="2:11" ht="16.2" customHeight="1" x14ac:dyDescent="0.25">
      <c r="B45" s="72">
        <v>35</v>
      </c>
      <c r="C45" s="69" t="s">
        <v>334</v>
      </c>
      <c r="D45" s="69"/>
      <c r="E45" s="69"/>
      <c r="F45" s="69"/>
      <c r="G45" s="82">
        <v>1.666666666666667</v>
      </c>
      <c r="H45" s="83">
        <f>$G$121</f>
        <v>1.66666666666667</v>
      </c>
      <c r="I45" s="75">
        <f>IF(AND(ISNUMBER($G$45),ISNUMBER($H$45)),ABS($H$45-$G$45),"")</f>
        <v>0</v>
      </c>
      <c r="J45" s="76">
        <v>1E-09</v>
      </c>
      <c r="K45" s="41" t="str">
        <f>IF(AND(ISNUMBER($G$45),ISNUMBER($H$45)),IF(ABS($H$45-$G$45)&lt;=$J$45,"PASS","FAIL"),"FAIL")</f>
        <v>PASS</v>
      </c>
    </row>
    <row r="46" spans="2:11" ht="16.2" customHeight="1" x14ac:dyDescent="0.25">
      <c r="B46" s="72">
        <v>36</v>
      </c>
      <c r="C46" s="69" t="s">
        <v>335</v>
      </c>
      <c r="D46" s="69"/>
      <c r="E46" s="69"/>
      <c r="F46" s="69"/>
      <c r="G46" s="77">
        <v>25</v>
      </c>
      <c r="H46" s="61">
        <f>$F$113</f>
        <v>25</v>
      </c>
      <c r="I46" s="75">
        <f>IF(AND(ISNUMBER($G$46),ISNUMBER($H$46)),ABS($H$46-$G$46),"")</f>
        <v>0</v>
      </c>
      <c r="J46" s="76">
        <v>1E-09</v>
      </c>
      <c r="K46" s="41" t="str">
        <f>IF(AND(ISNUMBER($G$46),ISNUMBER($H$46)),IF(ABS($H$46-$G$46)&lt;=$J$46,"PASS","FAIL"),"FAIL")</f>
        <v>PASS</v>
      </c>
    </row>
    <row r="47" spans="2:11" ht="16.2" customHeight="1" x14ac:dyDescent="0.25">
      <c r="B47" s="72">
        <v>37</v>
      </c>
      <c r="C47" s="69" t="s">
        <v>336</v>
      </c>
      <c r="D47" s="69"/>
      <c r="E47" s="69"/>
      <c r="F47" s="69"/>
      <c r="G47" s="77">
        <v>0</v>
      </c>
      <c r="H47" s="61">
        <f>$G$113</f>
        <v>0</v>
      </c>
      <c r="I47" s="75">
        <f>IF(AND(ISNUMBER($G$47),ISNUMBER($H$47)),ABS($H$47-$G$47),"")</f>
        <v>0</v>
      </c>
      <c r="J47" s="76">
        <v>1E-09</v>
      </c>
      <c r="K47" s="41" t="str">
        <f>IF(AND(ISNUMBER($G$47),ISNUMBER($H$47)),IF(ABS($H$47-$G$47)&lt;=$J$47,"PASS","FAIL"),"FAIL")</f>
        <v>PASS</v>
      </c>
    </row>
    <row r="48" spans="2:11" ht="16.2" customHeight="1" x14ac:dyDescent="0.25">
      <c r="B48" s="72">
        <v>38</v>
      </c>
      <c r="C48" s="69" t="s">
        <v>337</v>
      </c>
      <c r="D48" s="69"/>
      <c r="E48" s="69"/>
      <c r="F48" s="69"/>
      <c r="G48" s="77">
        <v>124</v>
      </c>
      <c r="H48" s="61">
        <f>$G$111</f>
        <v>124</v>
      </c>
      <c r="I48" s="75">
        <f>IF(AND(ISNUMBER($G$48),ISNUMBER($H$48)),ABS($H$48-$G$48),"")</f>
        <v>0</v>
      </c>
      <c r="J48" s="76">
        <v>1E-09</v>
      </c>
      <c r="K48" s="41" t="str">
        <f>IF(AND(ISNUMBER($G$48),ISNUMBER($H$48)),IF(ABS($H$48-$G$48)&lt;=$J$48,"PASS","FAIL"),"FAIL")</f>
        <v>PASS</v>
      </c>
    </row>
    <row r="49" spans="2:12" ht="16.2" customHeight="1" x14ac:dyDescent="0.25">
      <c r="B49" s="72">
        <v>39</v>
      </c>
      <c r="C49" s="69" t="s">
        <v>338</v>
      </c>
      <c r="D49" s="69"/>
      <c r="E49" s="69"/>
      <c r="F49" s="69"/>
      <c r="G49" s="78">
        <v>0.1636363636363637</v>
      </c>
      <c r="H49" s="79">
        <f>$F$117</f>
        <v>0.163636363636364</v>
      </c>
      <c r="I49" s="75">
        <f>IF(AND(ISNUMBER($G$49),ISNUMBER($H$49)),ABS($H$49-$G$49),"")</f>
        <v>0</v>
      </c>
      <c r="J49" s="76">
        <v>1E-09</v>
      </c>
      <c r="K49" s="41" t="str">
        <f>IF(AND(ISNUMBER($G$49),ISNUMBER($H$49)),IF(ABS($H$49-$G$49)&lt;=$J$49,"PASS","FAIL"),"FAIL")</f>
        <v>PASS</v>
      </c>
    </row>
    <row r="50" spans="2:12" ht="16.2" customHeight="1" x14ac:dyDescent="0.25">
      <c r="B50" s="72">
        <v>40</v>
      </c>
      <c r="C50" s="69" t="s">
        <v>339</v>
      </c>
      <c r="D50" s="69"/>
      <c r="E50" s="69"/>
      <c r="F50" s="69"/>
      <c r="G50" s="73">
        <v>523.6363636363636</v>
      </c>
      <c r="H50" s="74">
        <f>$F$120</f>
        <v>523.636363636364</v>
      </c>
      <c r="I50" s="75">
        <f>IF(AND(ISNUMBER($G$50),ISNUMBER($H$50)),ABS($H$50-$G$50),"")</f>
        <v>0</v>
      </c>
      <c r="J50" s="76">
        <v>1E-09</v>
      </c>
      <c r="K50" s="41" t="str">
        <f>IF(AND(ISNUMBER($G$50),ISNUMBER($H$50)),IF(ABS($H$50-$G$50)&lt;=$J$50,"PASS","FAIL"),"FAIL")</f>
        <v>PASS</v>
      </c>
    </row>
    <row r="51" spans="2:12" ht="16.2" customHeight="1" x14ac:dyDescent="0.25">
      <c r="B51" s="72">
        <v>41</v>
      </c>
      <c r="C51" s="69" t="s">
        <v>340</v>
      </c>
      <c r="D51" s="69"/>
      <c r="E51" s="69"/>
      <c r="F51" s="69"/>
      <c r="G51" s="81">
        <v>4</v>
      </c>
      <c r="H51" s="38">
        <f>$F$122</f>
        <v>4</v>
      </c>
      <c r="I51" s="75">
        <f>IF(AND(ISNUMBER($G$51),ISNUMBER($H$51)),ABS($H$51-$G$51),"")</f>
        <v>0</v>
      </c>
      <c r="J51" s="76">
        <v>1E-09</v>
      </c>
      <c r="K51" s="41" t="str">
        <f>IF(AND(ISNUMBER($G$51),ISNUMBER($H$51)),IF(ABS($H$51-$G$51)&lt;=$J$51,"PASS","FAIL"),"FAIL")</f>
        <v>PASS</v>
      </c>
    </row>
    <row r="52" spans="2:12" ht="16.2" customHeight="1" x14ac:dyDescent="0.25">
      <c r="B52" s="72">
        <v>42</v>
      </c>
      <c r="C52" s="69" t="s">
        <v>341</v>
      </c>
      <c r="D52" s="69"/>
      <c r="E52" s="69"/>
      <c r="F52" s="69"/>
      <c r="G52" s="68" t="s">
        <v>315</v>
      </c>
      <c r="H52" s="80" t="str">
        <f>$F$123</f>
        <v>Near capacity</v>
      </c>
      <c r="I52" s="80"/>
      <c r="J52" s="70" t="s">
        <v>298</v>
      </c>
      <c r="K52" s="41" t="str">
        <f>IF($H$52&amp;""=$G$52&amp;"","PASS","FAIL")</f>
        <v>PASS</v>
      </c>
    </row>
    <row r="54" spans="2:12" ht="21" customHeight="1" x14ac:dyDescent="0.25">
      <c r="B54" s="8" t="s">
        <v>342</v>
      </c>
      <c r="C54" s="8"/>
      <c r="D54" s="8"/>
      <c r="E54" s="8"/>
      <c r="F54" s="8"/>
      <c r="G54" s="8"/>
      <c r="H54" s="8"/>
      <c r="I54" s="8"/>
      <c r="J54" s="8"/>
      <c r="K54" s="8"/>
      <c r="L54" s="8"/>
    </row>
    <row r="55" spans="2:12" ht="5" customHeight="1" x14ac:dyDescent="0.25"/>
    <row r="56" spans="2:12" x14ac:dyDescent="0.25">
      <c r="B56" s="21" t="s">
        <v>343</v>
      </c>
      <c r="C56" s="21"/>
      <c r="D56" s="21"/>
      <c r="E56" s="21"/>
      <c r="F56" s="21"/>
      <c r="G56" s="21"/>
      <c r="H56" s="21"/>
      <c r="I56" s="21"/>
      <c r="J56" s="21"/>
      <c r="K56" s="21"/>
      <c r="L56" s="21"/>
    </row>
    <row r="57" spans="2:12" x14ac:dyDescent="0.25">
      <c r="B57" s="33" t="s">
        <v>344</v>
      </c>
      <c r="C57" s="33"/>
      <c r="D57" s="33"/>
      <c r="E57" s="33"/>
      <c r="F57" s="33"/>
    </row>
    <row r="58" spans="2:12" x14ac:dyDescent="0.25">
      <c r="B58" s="27" t="s">
        <v>76</v>
      </c>
      <c r="C58" s="27"/>
      <c r="D58" s="27"/>
      <c r="E58" s="84">
        <v>0.9</v>
      </c>
      <c r="F58" s="7"/>
    </row>
    <row r="59" spans="2:12" x14ac:dyDescent="0.25">
      <c r="B59" s="27" t="s">
        <v>78</v>
      </c>
      <c r="C59" s="27"/>
      <c r="D59" s="27"/>
      <c r="E59" s="84">
        <v>1</v>
      </c>
      <c r="F59" s="7"/>
    </row>
    <row r="60" spans="2:12" x14ac:dyDescent="0.25">
      <c r="B60" s="27" t="s">
        <v>82</v>
      </c>
      <c r="C60" s="27"/>
      <c r="D60" s="27"/>
      <c r="E60" s="77">
        <v>30</v>
      </c>
      <c r="F60" s="7"/>
    </row>
    <row r="62" spans="2:12" x14ac:dyDescent="0.25">
      <c r="B62" s="33" t="s">
        <v>345</v>
      </c>
      <c r="C62" s="33"/>
      <c r="D62" s="33"/>
      <c r="E62" s="33"/>
      <c r="F62" s="33"/>
      <c r="G62" s="33"/>
      <c r="H62" s="33"/>
      <c r="I62" s="33"/>
      <c r="J62" s="33"/>
      <c r="K62" s="33"/>
      <c r="L62" s="33"/>
    </row>
    <row r="63" spans="2:12" x14ac:dyDescent="0.25">
      <c r="B63" s="27" t="s">
        <v>68</v>
      </c>
      <c r="C63" s="27"/>
      <c r="D63" s="27"/>
      <c r="E63" s="81">
        <v>480</v>
      </c>
      <c r="F63" s="7" t="s">
        <v>69</v>
      </c>
    </row>
    <row r="64" spans="2:12" x14ac:dyDescent="0.25">
      <c r="B64" s="27" t="s">
        <v>70</v>
      </c>
      <c r="C64" s="27"/>
      <c r="D64" s="27"/>
      <c r="E64" s="81">
        <v>480</v>
      </c>
      <c r="F64" s="7" t="s">
        <v>71</v>
      </c>
    </row>
    <row r="65" spans="2:16" x14ac:dyDescent="0.25">
      <c r="B65" s="17" t="s">
        <v>72</v>
      </c>
      <c r="C65" s="17"/>
      <c r="D65" s="17"/>
      <c r="E65" s="30">
        <f>IF(AND($E$63&gt;0,$E$64&gt;0),$E$63*60/$E$64,"")</f>
        <v>60</v>
      </c>
      <c r="F65" s="7" t="s">
        <v>73</v>
      </c>
    </row>
    <row r="67" spans="2:16" x14ac:dyDescent="0.25">
      <c r="B67" s="33" t="s">
        <v>346</v>
      </c>
      <c r="C67" s="33"/>
      <c r="D67" s="33"/>
      <c r="E67" s="33"/>
      <c r="F67" s="33"/>
      <c r="G67" s="33"/>
      <c r="H67" s="33"/>
      <c r="I67" s="33"/>
      <c r="J67" s="33"/>
      <c r="K67" s="33"/>
      <c r="L67" s="33"/>
    </row>
    <row r="68" spans="2:16" ht="20" customHeight="1" x14ac:dyDescent="0.25">
      <c r="B68" s="34" t="s">
        <v>62</v>
      </c>
      <c r="C68" s="34" t="s">
        <v>63</v>
      </c>
      <c r="D68" s="34" t="s">
        <v>64</v>
      </c>
    </row>
    <row r="69" spans="2:16" x14ac:dyDescent="0.25">
      <c r="B69" s="68" t="s">
        <v>347</v>
      </c>
      <c r="C69" s="68" t="s">
        <v>124</v>
      </c>
      <c r="D69" s="68" t="s">
        <v>348</v>
      </c>
    </row>
    <row r="70" spans="2:16" x14ac:dyDescent="0.25">
      <c r="B70" s="68" t="s">
        <v>321</v>
      </c>
      <c r="C70" s="68" t="s">
        <v>124</v>
      </c>
      <c r="D70" s="68" t="s">
        <v>349</v>
      </c>
    </row>
    <row r="71" spans="2:16" x14ac:dyDescent="0.25">
      <c r="B71" s="68" t="s">
        <v>350</v>
      </c>
      <c r="C71" s="68" t="s">
        <v>124</v>
      </c>
      <c r="D71" s="68" t="s">
        <v>351</v>
      </c>
    </row>
    <row r="72" spans="2:16" x14ac:dyDescent="0.25">
      <c r="B72" s="68" t="s">
        <v>352</v>
      </c>
      <c r="C72" s="68" t="s">
        <v>124</v>
      </c>
      <c r="D72" s="68" t="s">
        <v>353</v>
      </c>
    </row>
    <row r="74" spans="2:16" x14ac:dyDescent="0.25">
      <c r="B74" s="33" t="s">
        <v>354</v>
      </c>
      <c r="C74" s="33"/>
      <c r="D74" s="33"/>
      <c r="E74" s="33"/>
      <c r="F74" s="33"/>
      <c r="G74" s="33"/>
      <c r="H74" s="33"/>
      <c r="I74" s="33"/>
      <c r="J74" s="33"/>
      <c r="K74" s="33"/>
      <c r="L74" s="33"/>
    </row>
    <row r="75" spans="2:16" ht="45.5" customHeight="1" x14ac:dyDescent="0.25">
      <c r="B75" s="34" t="s">
        <v>106</v>
      </c>
      <c r="C75" s="34" t="s">
        <v>107</v>
      </c>
      <c r="D75" s="34" t="s">
        <v>108</v>
      </c>
      <c r="E75" s="34" t="s">
        <v>109</v>
      </c>
      <c r="F75" s="34" t="s">
        <v>110</v>
      </c>
      <c r="G75" s="34" t="s">
        <v>111</v>
      </c>
      <c r="H75" s="34" t="s">
        <v>112</v>
      </c>
      <c r="I75" s="34" t="s">
        <v>113</v>
      </c>
      <c r="J75" s="34" t="s">
        <v>114</v>
      </c>
      <c r="K75" s="34" t="s">
        <v>115</v>
      </c>
      <c r="L75" s="34" t="s">
        <v>116</v>
      </c>
      <c r="M75" s="34" t="s">
        <v>117</v>
      </c>
      <c r="N75" s="34" t="s">
        <v>118</v>
      </c>
      <c r="O75" s="34" t="s">
        <v>119</v>
      </c>
      <c r="P75" s="34" t="s">
        <v>120</v>
      </c>
    </row>
    <row r="76" spans="2:16" x14ac:dyDescent="0.25">
      <c r="B76" s="81">
        <v>1</v>
      </c>
      <c r="C76" s="68" t="s">
        <v>355</v>
      </c>
      <c r="D76" s="52">
        <v>20</v>
      </c>
      <c r="E76" s="68" t="s">
        <v>126</v>
      </c>
      <c r="F76" s="81"/>
      <c r="G76" s="68" t="s">
        <v>347</v>
      </c>
      <c r="H76" s="68" t="s">
        <v>347</v>
      </c>
      <c r="I76" s="38">
        <f>IF(tblVerifyElements[[#This Row],[No.]]="","",IFERROR(MATCH(tblVerifyElements[[#This Row],[Current station]],tblVerifyStations[Station],0),""))</f>
        <v>1</v>
      </c>
      <c r="J76" s="38">
        <f>IF(tblVerifyElements[[#This Row],[No.]]="","",IF(tblVerifyElements[[#This Row],[Proposed station]]="","",IFERROR(MATCH(tblVerifyElements[[#This Row],[Proposed station]],tblVerifyStations[Station],0),"")))</f>
        <v>1</v>
      </c>
      <c r="K76" s="39">
        <f>IF(tblVerifyElements[[#This Row],[No.]]="","",IF(tblVerifyElements[[#This Row],[Current station]]="","",SUMIFS(tblVerifyElements[Time (s)],tblVerifyElements[Current station],tblVerifyElements[[#This Row],[Current station]])))</f>
        <v>42</v>
      </c>
      <c r="L76" s="39">
        <f>IF(tblVerifyElements[[#This Row],[No.]]="","",IF(tblVerifyElements[[#This Row],[Proposed station]]="","",SUMIFS(tblVerifyElements[Time (s)],tblVerifyElements[Proposed station],tblVerifyElements[[#This Row],[Proposed station]])))</f>
        <v>42</v>
      </c>
      <c r="M76" s="40">
        <f>IF(tblVerifyElements[[#This Row],[No.]]="","",IF(AND(ISNUMBER(tblVerifyElements[[#This Row],[Proposed station time (s)]]),ISNUMBER($E$65)),tblVerifyElements[[#This Row],[Proposed station time (s)]]/$E$65,""))</f>
        <v>0.7</v>
      </c>
      <c r="N76" s="41" t="str">
        <f>IF(tblVerifyElements[[#This Row],[No.]]="","",IF(tblVerifyElements[[#This Row],[Proposed station]]="","Removed",IF(NOT(ISNUMBER(tblVerifyElements[[#This Row],[Proposed load (% of takt)]])),"",IF(tblVerifyElements[[#This Row],[Proposed load (% of takt)]]&gt;$E$59,"Over capacity",IF(tblVerifyElements[[#This Row],[Proposed load (% of takt)]]&gt;=$E$58,"Near capacity","Under capacity")))))</f>
        <v>Under capacity</v>
      </c>
      <c r="O76" s="42" t="str">
        <f>IF(tblVerifyElements[[#This Row],[No.]]="","",IF(tblVerifyElements[[#This Row],[Work element]]="","Missing work element",IF(tblVerifyElements[[#This Row],[Time (s)]]="","Missing time",IF(tblVerifyElements[[#This Row],[Type]]="","Missing type",IF(tblVerifyElements[[#This Row],[Current station]]="","Missing current station",IF(COUNTIF(tblVerifyElements[No.],tblVerifyElements[[#This Row],[No.]])&gt;1,"Duplicate No.",IF(AND(ISNUMBER(tblVerifyElements[[#This Row],[Predecessor]]),COUNTIF(tblVerifyElements[No.],tblVerifyElements[[#This Row],[Predecessor]])=0),"Predecessor not found",IF(tblVerifyElements[[#This Row],[Current pos.]]="","Current station not on Setup",IF(AND(tblVerifyElements[[#This Row],[Proposed station]]&lt;&gt;"",tblVerifyElements[[#This Row],[Proposed pos.]]=""),"Proposed station not on Setup",IF(AND(ISNUMBER(IFERROR(INDEX(tblVerifyElements[Current pos.],MATCH(tblVerifyElements[[#This Row],[Predecessor]],tblVerifyElements[No.],0)),"")),ISNUMBER(tblVerifyElements[[#This Row],[Current pos.]]),IFERROR(INDEX(tblVerifyElements[Current pos.],MATCH(tblVerifyElements[[#This Row],[Predecessor]],tblVerifyElements[No.],0)),"")&gt;tblVerifyElements[[#This Row],[Current pos.]]),"Current: predecessor later",IF(AND(ISNUMBER(IFERROR(INDEX(tblVerifyElements[Proposed pos.],MATCH(tblVerifyElements[[#This Row],[Predecessor]],tblVerifyElements[No.],0)),"")),ISNUMBER(tblVerifyElements[[#This Row],[Proposed pos.]]),IFERROR(INDEX(tblVerifyElements[Proposed pos.],MATCH(tblVerifyElements[[#This Row],[Predecessor]],tblVerifyElements[No.],0)),"")&gt;tblVerifyElements[[#This Row],[Proposed pos.]]),"Proposed: predecessor later","OK")))))))))))</f>
        <v>OK</v>
      </c>
      <c r="P76" s="68" t="s">
        <v>124</v>
      </c>
    </row>
    <row r="77" spans="2:16" x14ac:dyDescent="0.25">
      <c r="B77" s="81">
        <v>2</v>
      </c>
      <c r="C77" s="68" t="s">
        <v>356</v>
      </c>
      <c r="D77" s="52">
        <v>22</v>
      </c>
      <c r="E77" s="68" t="s">
        <v>126</v>
      </c>
      <c r="F77" s="81">
        <v>1</v>
      </c>
      <c r="G77" s="68" t="s">
        <v>347</v>
      </c>
      <c r="H77" s="68" t="s">
        <v>347</v>
      </c>
      <c r="I77" s="38">
        <f>IF(tblVerifyElements[[#This Row],[No.]]="","",IFERROR(MATCH(tblVerifyElements[[#This Row],[Current station]],tblVerifyStations[Station],0),""))</f>
        <v>1</v>
      </c>
      <c r="J77" s="38">
        <f>IF(tblVerifyElements[[#This Row],[No.]]="","",IF(tblVerifyElements[[#This Row],[Proposed station]]="","",IFERROR(MATCH(tblVerifyElements[[#This Row],[Proposed station]],tblVerifyStations[Station],0),"")))</f>
        <v>1</v>
      </c>
      <c r="K77" s="39">
        <f>IF(tblVerifyElements[[#This Row],[No.]]="","",IF(tblVerifyElements[[#This Row],[Current station]]="","",SUMIFS(tblVerifyElements[Time (s)],tblVerifyElements[Current station],tblVerifyElements[[#This Row],[Current station]])))</f>
        <v>42</v>
      </c>
      <c r="L77" s="39">
        <f>IF(tblVerifyElements[[#This Row],[No.]]="","",IF(tblVerifyElements[[#This Row],[Proposed station]]="","",SUMIFS(tblVerifyElements[Time (s)],tblVerifyElements[Proposed station],tblVerifyElements[[#This Row],[Proposed station]])))</f>
        <v>42</v>
      </c>
      <c r="M77" s="40">
        <f>IF(tblVerifyElements[[#This Row],[No.]]="","",IF(AND(ISNUMBER(tblVerifyElements[[#This Row],[Proposed station time (s)]]),ISNUMBER($E$65)),tblVerifyElements[[#This Row],[Proposed station time (s)]]/$E$65,""))</f>
        <v>0.7</v>
      </c>
      <c r="N77" s="41" t="str">
        <f>IF(tblVerifyElements[[#This Row],[No.]]="","",IF(tblVerifyElements[[#This Row],[Proposed station]]="","Removed",IF(NOT(ISNUMBER(tblVerifyElements[[#This Row],[Proposed load (% of takt)]])),"",IF(tblVerifyElements[[#This Row],[Proposed load (% of takt)]]&gt;$E$59,"Over capacity",IF(tblVerifyElements[[#This Row],[Proposed load (% of takt)]]&gt;=$E$58,"Near capacity","Under capacity")))))</f>
        <v>Under capacity</v>
      </c>
      <c r="O77" s="42" t="str">
        <f>IF(tblVerifyElements[[#This Row],[No.]]="","",IF(tblVerifyElements[[#This Row],[Work element]]="","Missing work element",IF(tblVerifyElements[[#This Row],[Time (s)]]="","Missing time",IF(tblVerifyElements[[#This Row],[Type]]="","Missing type",IF(tblVerifyElements[[#This Row],[Current station]]="","Missing current station",IF(COUNTIF(tblVerifyElements[No.],tblVerifyElements[[#This Row],[No.]])&gt;1,"Duplicate No.",IF(AND(ISNUMBER(tblVerifyElements[[#This Row],[Predecessor]]),COUNTIF(tblVerifyElements[No.],tblVerifyElements[[#This Row],[Predecessor]])=0),"Predecessor not found",IF(tblVerifyElements[[#This Row],[Current pos.]]="","Current station not on Setup",IF(AND(tblVerifyElements[[#This Row],[Proposed station]]&lt;&gt;"",tblVerifyElements[[#This Row],[Proposed pos.]]=""),"Proposed station not on Setup",IF(AND(ISNUMBER(IFERROR(INDEX(tblVerifyElements[Current pos.],MATCH(tblVerifyElements[[#This Row],[Predecessor]],tblVerifyElements[No.],0)),"")),ISNUMBER(tblVerifyElements[[#This Row],[Current pos.]]),IFERROR(INDEX(tblVerifyElements[Current pos.],MATCH(tblVerifyElements[[#This Row],[Predecessor]],tblVerifyElements[No.],0)),"")&gt;tblVerifyElements[[#This Row],[Current pos.]]),"Current: predecessor later",IF(AND(ISNUMBER(IFERROR(INDEX(tblVerifyElements[Proposed pos.],MATCH(tblVerifyElements[[#This Row],[Predecessor]],tblVerifyElements[No.],0)),"")),ISNUMBER(tblVerifyElements[[#This Row],[Proposed pos.]]),IFERROR(INDEX(tblVerifyElements[Proposed pos.],MATCH(tblVerifyElements[[#This Row],[Predecessor]],tblVerifyElements[No.],0)),"")&gt;tblVerifyElements[[#This Row],[Proposed pos.]]),"Proposed: predecessor later","OK")))))))))))</f>
        <v>OK</v>
      </c>
      <c r="P77" s="68" t="s">
        <v>124</v>
      </c>
    </row>
    <row r="78" spans="2:16" x14ac:dyDescent="0.25">
      <c r="B78" s="81">
        <v>3</v>
      </c>
      <c r="C78" s="68" t="s">
        <v>357</v>
      </c>
      <c r="D78" s="52">
        <v>30</v>
      </c>
      <c r="E78" s="68" t="s">
        <v>126</v>
      </c>
      <c r="F78" s="81">
        <v>2</v>
      </c>
      <c r="G78" s="68" t="s">
        <v>321</v>
      </c>
      <c r="H78" s="68" t="s">
        <v>321</v>
      </c>
      <c r="I78" s="38">
        <f>IF(tblVerifyElements[[#This Row],[No.]]="","",IFERROR(MATCH(tblVerifyElements[[#This Row],[Current station]],tblVerifyStations[Station],0),""))</f>
        <v>2</v>
      </c>
      <c r="J78" s="38">
        <f>IF(tblVerifyElements[[#This Row],[No.]]="","",IF(tblVerifyElements[[#This Row],[Proposed station]]="","",IFERROR(MATCH(tblVerifyElements[[#This Row],[Proposed station]],tblVerifyStations[Station],0),"")))</f>
        <v>2</v>
      </c>
      <c r="K78" s="39">
        <f>IF(tblVerifyElements[[#This Row],[No.]]="","",IF(tblVerifyElements[[#This Row],[Current station]]="","",SUMIFS(tblVerifyElements[Time (s)],tblVerifyElements[Current station],tblVerifyElements[[#This Row],[Current station]])))</f>
        <v>55</v>
      </c>
      <c r="L78" s="39">
        <f>IF(tblVerifyElements[[#This Row],[No.]]="","",IF(tblVerifyElements[[#This Row],[Proposed station]]="","",SUMIFS(tblVerifyElements[Time (s)],tblVerifyElements[Proposed station],tblVerifyElements[[#This Row],[Proposed station]])))</f>
        <v>50</v>
      </c>
      <c r="M78" s="40">
        <f>IF(tblVerifyElements[[#This Row],[No.]]="","",IF(AND(ISNUMBER(tblVerifyElements[[#This Row],[Proposed station time (s)]]),ISNUMBER($E$65)),tblVerifyElements[[#This Row],[Proposed station time (s)]]/$E$65,""))</f>
        <v>0.833333333333333</v>
      </c>
      <c r="N78" s="41" t="str">
        <f>IF(tblVerifyElements[[#This Row],[No.]]="","",IF(tblVerifyElements[[#This Row],[Proposed station]]="","Removed",IF(NOT(ISNUMBER(tblVerifyElements[[#This Row],[Proposed load (% of takt)]])),"",IF(tblVerifyElements[[#This Row],[Proposed load (% of takt)]]&gt;$E$59,"Over capacity",IF(tblVerifyElements[[#This Row],[Proposed load (% of takt)]]&gt;=$E$58,"Near capacity","Under capacity")))))</f>
        <v>Under capacity</v>
      </c>
      <c r="O78" s="42" t="str">
        <f>IF(tblVerifyElements[[#This Row],[No.]]="","",IF(tblVerifyElements[[#This Row],[Work element]]="","Missing work element",IF(tblVerifyElements[[#This Row],[Time (s)]]="","Missing time",IF(tblVerifyElements[[#This Row],[Type]]="","Missing type",IF(tblVerifyElements[[#This Row],[Current station]]="","Missing current station",IF(COUNTIF(tblVerifyElements[No.],tblVerifyElements[[#This Row],[No.]])&gt;1,"Duplicate No.",IF(AND(ISNUMBER(tblVerifyElements[[#This Row],[Predecessor]]),COUNTIF(tblVerifyElements[No.],tblVerifyElements[[#This Row],[Predecessor]])=0),"Predecessor not found",IF(tblVerifyElements[[#This Row],[Current pos.]]="","Current station not on Setup",IF(AND(tblVerifyElements[[#This Row],[Proposed station]]&lt;&gt;"",tblVerifyElements[[#This Row],[Proposed pos.]]=""),"Proposed station not on Setup",IF(AND(ISNUMBER(IFERROR(INDEX(tblVerifyElements[Current pos.],MATCH(tblVerifyElements[[#This Row],[Predecessor]],tblVerifyElements[No.],0)),"")),ISNUMBER(tblVerifyElements[[#This Row],[Current pos.]]),IFERROR(INDEX(tblVerifyElements[Current pos.],MATCH(tblVerifyElements[[#This Row],[Predecessor]],tblVerifyElements[No.],0)),"")&gt;tblVerifyElements[[#This Row],[Current pos.]]),"Current: predecessor later",IF(AND(ISNUMBER(IFERROR(INDEX(tblVerifyElements[Proposed pos.],MATCH(tblVerifyElements[[#This Row],[Predecessor]],tblVerifyElements[No.],0)),"")),ISNUMBER(tblVerifyElements[[#This Row],[Proposed pos.]]),IFERROR(INDEX(tblVerifyElements[Proposed pos.],MATCH(tblVerifyElements[[#This Row],[Predecessor]],tblVerifyElements[No.],0)),"")&gt;tblVerifyElements[[#This Row],[Proposed pos.]]),"Proposed: predecessor later","OK")))))))))))</f>
        <v>OK</v>
      </c>
      <c r="P78" s="68" t="s">
        <v>124</v>
      </c>
    </row>
    <row r="79" spans="2:16" x14ac:dyDescent="0.25">
      <c r="B79" s="81">
        <v>4</v>
      </c>
      <c r="C79" s="68" t="s">
        <v>358</v>
      </c>
      <c r="D79" s="52">
        <v>25</v>
      </c>
      <c r="E79" s="68" t="s">
        <v>130</v>
      </c>
      <c r="F79" s="81"/>
      <c r="G79" s="68" t="s">
        <v>321</v>
      </c>
      <c r="H79" s="68"/>
      <c r="I79" s="38">
        <f>IF(tblVerifyElements[[#This Row],[No.]]="","",IFERROR(MATCH(tblVerifyElements[[#This Row],[Current station]],tblVerifyStations[Station],0),""))</f>
        <v>2</v>
      </c>
      <c r="J79" s="38">
        <f>IF(tblVerifyElements[[#This Row],[No.]]="","",IF(tblVerifyElements[[#This Row],[Proposed station]]="","",IFERROR(MATCH(tblVerifyElements[[#This Row],[Proposed station]],tblVerifyStations[Station],0),"")))</f>
        <v/>
      </c>
      <c r="K79" s="39">
        <f>IF(tblVerifyElements[[#This Row],[No.]]="","",IF(tblVerifyElements[[#This Row],[Current station]]="","",SUMIFS(tblVerifyElements[Time (s)],tblVerifyElements[Current station],tblVerifyElements[[#This Row],[Current station]])))</f>
        <v>55</v>
      </c>
      <c r="L79" s="39">
        <f>IF(tblVerifyElements[[#This Row],[No.]]="","",IF(tblVerifyElements[[#This Row],[Proposed station]]="","",SUMIFS(tblVerifyElements[Time (s)],tblVerifyElements[Proposed station],tblVerifyElements[[#This Row],[Proposed station]])))</f>
        <v/>
      </c>
      <c r="M79" s="40">
        <f>IF(tblVerifyElements[[#This Row],[No.]]="","",IF(AND(ISNUMBER(tblVerifyElements[[#This Row],[Proposed station time (s)]]),ISNUMBER($E$65)),tblVerifyElements[[#This Row],[Proposed station time (s)]]/$E$65,""))</f>
        <v/>
      </c>
      <c r="N79" s="41" t="str">
        <f>IF(tblVerifyElements[[#This Row],[No.]]="","",IF(tblVerifyElements[[#This Row],[Proposed station]]="","Removed",IF(NOT(ISNUMBER(tblVerifyElements[[#This Row],[Proposed load (% of takt)]])),"",IF(tblVerifyElements[[#This Row],[Proposed load (% of takt)]]&gt;$E$59,"Over capacity",IF(tblVerifyElements[[#This Row],[Proposed load (% of takt)]]&gt;=$E$58,"Near capacity","Under capacity")))))</f>
        <v>Removed</v>
      </c>
      <c r="O79" s="42" t="str">
        <f>IF(tblVerifyElements[[#This Row],[No.]]="","",IF(tblVerifyElements[[#This Row],[Work element]]="","Missing work element",IF(tblVerifyElements[[#This Row],[Time (s)]]="","Missing time",IF(tblVerifyElements[[#This Row],[Type]]="","Missing type",IF(tblVerifyElements[[#This Row],[Current station]]="","Missing current station",IF(COUNTIF(tblVerifyElements[No.],tblVerifyElements[[#This Row],[No.]])&gt;1,"Duplicate No.",IF(AND(ISNUMBER(tblVerifyElements[[#This Row],[Predecessor]]),COUNTIF(tblVerifyElements[No.],tblVerifyElements[[#This Row],[Predecessor]])=0),"Predecessor not found",IF(tblVerifyElements[[#This Row],[Current pos.]]="","Current station not on Setup",IF(AND(tblVerifyElements[[#This Row],[Proposed station]]&lt;&gt;"",tblVerifyElements[[#This Row],[Proposed pos.]]=""),"Proposed station not on Setup",IF(AND(ISNUMBER(IFERROR(INDEX(tblVerifyElements[Current pos.],MATCH(tblVerifyElements[[#This Row],[Predecessor]],tblVerifyElements[No.],0)),"")),ISNUMBER(tblVerifyElements[[#This Row],[Current pos.]]),IFERROR(INDEX(tblVerifyElements[Current pos.],MATCH(tblVerifyElements[[#This Row],[Predecessor]],tblVerifyElements[No.],0)),"")&gt;tblVerifyElements[[#This Row],[Current pos.]]),"Current: predecessor later",IF(AND(ISNUMBER(IFERROR(INDEX(tblVerifyElements[Proposed pos.],MATCH(tblVerifyElements[[#This Row],[Predecessor]],tblVerifyElements[No.],0)),"")),ISNUMBER(tblVerifyElements[[#This Row],[Proposed pos.]]),IFERROR(INDEX(tblVerifyElements[Proposed pos.],MATCH(tblVerifyElements[[#This Row],[Predecessor]],tblVerifyElements[No.],0)),"")&gt;tblVerifyElements[[#This Row],[Proposed pos.]]),"Proposed: predecessor later","OK")))))))))))</f>
        <v>OK</v>
      </c>
      <c r="P79" s="68" t="s">
        <v>124</v>
      </c>
    </row>
    <row r="80" spans="2:16" x14ac:dyDescent="0.25">
      <c r="B80" s="81">
        <v>5</v>
      </c>
      <c r="C80" s="68" t="s">
        <v>359</v>
      </c>
      <c r="D80" s="52">
        <v>28</v>
      </c>
      <c r="E80" s="68" t="s">
        <v>126</v>
      </c>
      <c r="F80" s="81">
        <v>3</v>
      </c>
      <c r="G80" s="68" t="s">
        <v>350</v>
      </c>
      <c r="H80" s="68" t="s">
        <v>350</v>
      </c>
      <c r="I80" s="38">
        <f>IF(tblVerifyElements[[#This Row],[No.]]="","",IFERROR(MATCH(tblVerifyElements[[#This Row],[Current station]],tblVerifyStations[Station],0),""))</f>
        <v>3</v>
      </c>
      <c r="J80" s="38">
        <f>IF(tblVerifyElements[[#This Row],[No.]]="","",IF(tblVerifyElements[[#This Row],[Proposed station]]="","",IFERROR(MATCH(tblVerifyElements[[#This Row],[Proposed station]],tblVerifyStations[Station],0),"")))</f>
        <v>3</v>
      </c>
      <c r="K80" s="39">
        <f>IF(tblVerifyElements[[#This Row],[No.]]="","",IF(tblVerifyElements[[#This Row],[Current station]]="","",SUMIFS(tblVerifyElements[Time (s)],tblVerifyElements[Current station],tblVerifyElements[[#This Row],[Current station]])))</f>
        <v>48</v>
      </c>
      <c r="L80" s="39">
        <f>IF(tblVerifyElements[[#This Row],[No.]]="","",IF(tblVerifyElements[[#This Row],[Proposed station]]="","",SUMIFS(tblVerifyElements[Time (s)],tblVerifyElements[Proposed station],tblVerifyElements[[#This Row],[Proposed station]])))</f>
        <v>43</v>
      </c>
      <c r="M80" s="40">
        <f>IF(tblVerifyElements[[#This Row],[No.]]="","",IF(AND(ISNUMBER(tblVerifyElements[[#This Row],[Proposed station time (s)]]),ISNUMBER($E$65)),tblVerifyElements[[#This Row],[Proposed station time (s)]]/$E$65,""))</f>
        <v>0.716666666666667</v>
      </c>
      <c r="N80" s="41" t="str">
        <f>IF(tblVerifyElements[[#This Row],[No.]]="","",IF(tblVerifyElements[[#This Row],[Proposed station]]="","Removed",IF(NOT(ISNUMBER(tblVerifyElements[[#This Row],[Proposed load (% of takt)]])),"",IF(tblVerifyElements[[#This Row],[Proposed load (% of takt)]]&gt;$E$59,"Over capacity",IF(tblVerifyElements[[#This Row],[Proposed load (% of takt)]]&gt;=$E$58,"Near capacity","Under capacity")))))</f>
        <v>Under capacity</v>
      </c>
      <c r="O80" s="42" t="str">
        <f>IF(tblVerifyElements[[#This Row],[No.]]="","",IF(tblVerifyElements[[#This Row],[Work element]]="","Missing work element",IF(tblVerifyElements[[#This Row],[Time (s)]]="","Missing time",IF(tblVerifyElements[[#This Row],[Type]]="","Missing type",IF(tblVerifyElements[[#This Row],[Current station]]="","Missing current station",IF(COUNTIF(tblVerifyElements[No.],tblVerifyElements[[#This Row],[No.]])&gt;1,"Duplicate No.",IF(AND(ISNUMBER(tblVerifyElements[[#This Row],[Predecessor]]),COUNTIF(tblVerifyElements[No.],tblVerifyElements[[#This Row],[Predecessor]])=0),"Predecessor not found",IF(tblVerifyElements[[#This Row],[Current pos.]]="","Current station not on Setup",IF(AND(tblVerifyElements[[#This Row],[Proposed station]]&lt;&gt;"",tblVerifyElements[[#This Row],[Proposed pos.]]=""),"Proposed station not on Setup",IF(AND(ISNUMBER(IFERROR(INDEX(tblVerifyElements[Current pos.],MATCH(tblVerifyElements[[#This Row],[Predecessor]],tblVerifyElements[No.],0)),"")),ISNUMBER(tblVerifyElements[[#This Row],[Current pos.]]),IFERROR(INDEX(tblVerifyElements[Current pos.],MATCH(tblVerifyElements[[#This Row],[Predecessor]],tblVerifyElements[No.],0)),"")&gt;tblVerifyElements[[#This Row],[Current pos.]]),"Current: predecessor later",IF(AND(ISNUMBER(IFERROR(INDEX(tblVerifyElements[Proposed pos.],MATCH(tblVerifyElements[[#This Row],[Predecessor]],tblVerifyElements[No.],0)),"")),ISNUMBER(tblVerifyElements[[#This Row],[Proposed pos.]]),IFERROR(INDEX(tblVerifyElements[Proposed pos.],MATCH(tblVerifyElements[[#This Row],[Predecessor]],tblVerifyElements[No.],0)),"")&gt;tblVerifyElements[[#This Row],[Proposed pos.]]),"Proposed: predecessor later","OK")))))))))))</f>
        <v>OK</v>
      </c>
      <c r="P80" s="68" t="s">
        <v>124</v>
      </c>
    </row>
    <row r="81" spans="2:16" x14ac:dyDescent="0.25">
      <c r="B81" s="81">
        <v>6</v>
      </c>
      <c r="C81" s="68" t="s">
        <v>360</v>
      </c>
      <c r="D81" s="52">
        <v>20</v>
      </c>
      <c r="E81" s="68" t="s">
        <v>123</v>
      </c>
      <c r="F81" s="81">
        <v>99</v>
      </c>
      <c r="G81" s="68" t="s">
        <v>350</v>
      </c>
      <c r="H81" s="68" t="s">
        <v>321</v>
      </c>
      <c r="I81" s="38">
        <f>IF(tblVerifyElements[[#This Row],[No.]]="","",IFERROR(MATCH(tblVerifyElements[[#This Row],[Current station]],tblVerifyStations[Station],0),""))</f>
        <v>3</v>
      </c>
      <c r="J81" s="38">
        <f>IF(tblVerifyElements[[#This Row],[No.]]="","",IF(tblVerifyElements[[#This Row],[Proposed station]]="","",IFERROR(MATCH(tblVerifyElements[[#This Row],[Proposed station]],tblVerifyStations[Station],0),"")))</f>
        <v>2</v>
      </c>
      <c r="K81" s="39">
        <f>IF(tblVerifyElements[[#This Row],[No.]]="","",IF(tblVerifyElements[[#This Row],[Current station]]="","",SUMIFS(tblVerifyElements[Time (s)],tblVerifyElements[Current station],tblVerifyElements[[#This Row],[Current station]])))</f>
        <v>48</v>
      </c>
      <c r="L81" s="39">
        <f>IF(tblVerifyElements[[#This Row],[No.]]="","",IF(tblVerifyElements[[#This Row],[Proposed station]]="","",SUMIFS(tblVerifyElements[Time (s)],tblVerifyElements[Proposed station],tblVerifyElements[[#This Row],[Proposed station]])))</f>
        <v>50</v>
      </c>
      <c r="M81" s="40">
        <f>IF(tblVerifyElements[[#This Row],[No.]]="","",IF(AND(ISNUMBER(tblVerifyElements[[#This Row],[Proposed station time (s)]]),ISNUMBER($E$65)),tblVerifyElements[[#This Row],[Proposed station time (s)]]/$E$65,""))</f>
        <v>0.833333333333333</v>
      </c>
      <c r="N81" s="41" t="str">
        <f>IF(tblVerifyElements[[#This Row],[No.]]="","",IF(tblVerifyElements[[#This Row],[Proposed station]]="","Removed",IF(NOT(ISNUMBER(tblVerifyElements[[#This Row],[Proposed load (% of takt)]])),"",IF(tblVerifyElements[[#This Row],[Proposed load (% of takt)]]&gt;$E$59,"Over capacity",IF(tblVerifyElements[[#This Row],[Proposed load (% of takt)]]&gt;=$E$58,"Near capacity","Under capacity")))))</f>
        <v>Under capacity</v>
      </c>
      <c r="O81" s="42" t="str">
        <f>IF(tblVerifyElements[[#This Row],[No.]]="","",IF(tblVerifyElements[[#This Row],[Work element]]="","Missing work element",IF(tblVerifyElements[[#This Row],[Time (s)]]="","Missing time",IF(tblVerifyElements[[#This Row],[Type]]="","Missing type",IF(tblVerifyElements[[#This Row],[Current station]]="","Missing current station",IF(COUNTIF(tblVerifyElements[No.],tblVerifyElements[[#This Row],[No.]])&gt;1,"Duplicate No.",IF(AND(ISNUMBER(tblVerifyElements[[#This Row],[Predecessor]]),COUNTIF(tblVerifyElements[No.],tblVerifyElements[[#This Row],[Predecessor]])=0),"Predecessor not found",IF(tblVerifyElements[[#This Row],[Current pos.]]="","Current station not on Setup",IF(AND(tblVerifyElements[[#This Row],[Proposed station]]&lt;&gt;"",tblVerifyElements[[#This Row],[Proposed pos.]]=""),"Proposed station not on Setup",IF(AND(ISNUMBER(IFERROR(INDEX(tblVerifyElements[Current pos.],MATCH(tblVerifyElements[[#This Row],[Predecessor]],tblVerifyElements[No.],0)),"")),ISNUMBER(tblVerifyElements[[#This Row],[Current pos.]]),IFERROR(INDEX(tblVerifyElements[Current pos.],MATCH(tblVerifyElements[[#This Row],[Predecessor]],tblVerifyElements[No.],0)),"")&gt;tblVerifyElements[[#This Row],[Current pos.]]),"Current: predecessor later",IF(AND(ISNUMBER(IFERROR(INDEX(tblVerifyElements[Proposed pos.],MATCH(tblVerifyElements[[#This Row],[Predecessor]],tblVerifyElements[No.],0)),"")),ISNUMBER(tblVerifyElements[[#This Row],[Proposed pos.]]),IFERROR(INDEX(tblVerifyElements[Proposed pos.],MATCH(tblVerifyElements[[#This Row],[Predecessor]],tblVerifyElements[No.],0)),"")&gt;tblVerifyElements[[#This Row],[Proposed pos.]]),"Proposed: predecessor later","OK")))))))))))</f>
        <v>Predecessor not found</v>
      </c>
      <c r="P81" s="68" t="s">
        <v>124</v>
      </c>
    </row>
    <row r="82" spans="2:16" x14ac:dyDescent="0.25">
      <c r="B82" s="81">
        <v>7</v>
      </c>
      <c r="C82" s="68" t="s">
        <v>361</v>
      </c>
      <c r="D82" s="52">
        <v>24</v>
      </c>
      <c r="E82" s="68" t="s">
        <v>126</v>
      </c>
      <c r="F82" s="81">
        <v>5</v>
      </c>
      <c r="G82" s="68" t="s">
        <v>352</v>
      </c>
      <c r="H82" s="68" t="s">
        <v>352</v>
      </c>
      <c r="I82" s="38">
        <f>IF(tblVerifyElements[[#This Row],[No.]]="","",IFERROR(MATCH(tblVerifyElements[[#This Row],[Current station]],tblVerifyStations[Station],0),""))</f>
        <v>4</v>
      </c>
      <c r="J82" s="38">
        <f>IF(tblVerifyElements[[#This Row],[No.]]="","",IF(tblVerifyElements[[#This Row],[Proposed station]]="","",IFERROR(MATCH(tblVerifyElements[[#This Row],[Proposed station]],tblVerifyStations[Station],0),"")))</f>
        <v>4</v>
      </c>
      <c r="K82" s="39">
        <f>IF(tblVerifyElements[[#This Row],[No.]]="","",IF(tblVerifyElements[[#This Row],[Current station]]="","",SUMIFS(tblVerifyElements[Time (s)],tblVerifyElements[Current station],tblVerifyElements[[#This Row],[Current station]])))</f>
        <v>39</v>
      </c>
      <c r="L82" s="39">
        <f>IF(tblVerifyElements[[#This Row],[No.]]="","",IF(tblVerifyElements[[#This Row],[Proposed station]]="","",SUMIFS(tblVerifyElements[Time (s)],tblVerifyElements[Proposed station],tblVerifyElements[[#This Row],[Proposed station]])))</f>
        <v>24</v>
      </c>
      <c r="M82" s="40">
        <f>IF(tblVerifyElements[[#This Row],[No.]]="","",IF(AND(ISNUMBER(tblVerifyElements[[#This Row],[Proposed station time (s)]]),ISNUMBER($E$65)),tblVerifyElements[[#This Row],[Proposed station time (s)]]/$E$65,""))</f>
        <v>0.4</v>
      </c>
      <c r="N82" s="41" t="str">
        <f>IF(tblVerifyElements[[#This Row],[No.]]="","",IF(tblVerifyElements[[#This Row],[Proposed station]]="","Removed",IF(NOT(ISNUMBER(tblVerifyElements[[#This Row],[Proposed load (% of takt)]])),"",IF(tblVerifyElements[[#This Row],[Proposed load (% of takt)]]&gt;$E$59,"Over capacity",IF(tblVerifyElements[[#This Row],[Proposed load (% of takt)]]&gt;=$E$58,"Near capacity","Under capacity")))))</f>
        <v>Under capacity</v>
      </c>
      <c r="O82" s="42" t="str">
        <f>IF(tblVerifyElements[[#This Row],[No.]]="","",IF(tblVerifyElements[[#This Row],[Work element]]="","Missing work element",IF(tblVerifyElements[[#This Row],[Time (s)]]="","Missing time",IF(tblVerifyElements[[#This Row],[Type]]="","Missing type",IF(tblVerifyElements[[#This Row],[Current station]]="","Missing current station",IF(COUNTIF(tblVerifyElements[No.],tblVerifyElements[[#This Row],[No.]])&gt;1,"Duplicate No.",IF(AND(ISNUMBER(tblVerifyElements[[#This Row],[Predecessor]]),COUNTIF(tblVerifyElements[No.],tblVerifyElements[[#This Row],[Predecessor]])=0),"Predecessor not found",IF(tblVerifyElements[[#This Row],[Current pos.]]="","Current station not on Setup",IF(AND(tblVerifyElements[[#This Row],[Proposed station]]&lt;&gt;"",tblVerifyElements[[#This Row],[Proposed pos.]]=""),"Proposed station not on Setup",IF(AND(ISNUMBER(IFERROR(INDEX(tblVerifyElements[Current pos.],MATCH(tblVerifyElements[[#This Row],[Predecessor]],tblVerifyElements[No.],0)),"")),ISNUMBER(tblVerifyElements[[#This Row],[Current pos.]]),IFERROR(INDEX(tblVerifyElements[Current pos.],MATCH(tblVerifyElements[[#This Row],[Predecessor]],tblVerifyElements[No.],0)),"")&gt;tblVerifyElements[[#This Row],[Current pos.]]),"Current: predecessor later",IF(AND(ISNUMBER(IFERROR(INDEX(tblVerifyElements[Proposed pos.],MATCH(tblVerifyElements[[#This Row],[Predecessor]],tblVerifyElements[No.],0)),"")),ISNUMBER(tblVerifyElements[[#This Row],[Proposed pos.]]),IFERROR(INDEX(tblVerifyElements[Proposed pos.],MATCH(tblVerifyElements[[#This Row],[Predecessor]],tblVerifyElements[No.],0)),"")&gt;tblVerifyElements[[#This Row],[Proposed pos.]]),"Proposed: predecessor later","OK")))))))))))</f>
        <v>OK</v>
      </c>
      <c r="P82" s="68" t="s">
        <v>124</v>
      </c>
    </row>
    <row r="83" spans="2:16" x14ac:dyDescent="0.25">
      <c r="B83" s="81">
        <v>8</v>
      </c>
      <c r="C83" s="68" t="s">
        <v>362</v>
      </c>
      <c r="D83" s="52">
        <v>15</v>
      </c>
      <c r="E83" s="68" t="s">
        <v>123</v>
      </c>
      <c r="F83" s="81">
        <v>7</v>
      </c>
      <c r="G83" s="68" t="s">
        <v>352</v>
      </c>
      <c r="H83" s="68" t="s">
        <v>350</v>
      </c>
      <c r="I83" s="38">
        <f>IF(tblVerifyElements[[#This Row],[No.]]="","",IFERROR(MATCH(tblVerifyElements[[#This Row],[Current station]],tblVerifyStations[Station],0),""))</f>
        <v>4</v>
      </c>
      <c r="J83" s="38">
        <f>IF(tblVerifyElements[[#This Row],[No.]]="","",IF(tblVerifyElements[[#This Row],[Proposed station]]="","",IFERROR(MATCH(tblVerifyElements[[#This Row],[Proposed station]],tblVerifyStations[Station],0),"")))</f>
        <v>3</v>
      </c>
      <c r="K83" s="39">
        <f>IF(tblVerifyElements[[#This Row],[No.]]="","",IF(tblVerifyElements[[#This Row],[Current station]]="","",SUMIFS(tblVerifyElements[Time (s)],tblVerifyElements[Current station],tblVerifyElements[[#This Row],[Current station]])))</f>
        <v>39</v>
      </c>
      <c r="L83" s="39">
        <f>IF(tblVerifyElements[[#This Row],[No.]]="","",IF(tblVerifyElements[[#This Row],[Proposed station]]="","",SUMIFS(tblVerifyElements[Time (s)],tblVerifyElements[Proposed station],tblVerifyElements[[#This Row],[Proposed station]])))</f>
        <v>43</v>
      </c>
      <c r="M83" s="40">
        <f>IF(tblVerifyElements[[#This Row],[No.]]="","",IF(AND(ISNUMBER(tblVerifyElements[[#This Row],[Proposed station time (s)]]),ISNUMBER($E$65)),tblVerifyElements[[#This Row],[Proposed station time (s)]]/$E$65,""))</f>
        <v>0.716666666666667</v>
      </c>
      <c r="N83" s="41" t="str">
        <f>IF(tblVerifyElements[[#This Row],[No.]]="","",IF(tblVerifyElements[[#This Row],[Proposed station]]="","Removed",IF(NOT(ISNUMBER(tblVerifyElements[[#This Row],[Proposed load (% of takt)]])),"",IF(tblVerifyElements[[#This Row],[Proposed load (% of takt)]]&gt;$E$59,"Over capacity",IF(tblVerifyElements[[#This Row],[Proposed load (% of takt)]]&gt;=$E$58,"Near capacity","Under capacity")))))</f>
        <v>Under capacity</v>
      </c>
      <c r="O83" s="42" t="str">
        <f>IF(tblVerifyElements[[#This Row],[No.]]="","",IF(tblVerifyElements[[#This Row],[Work element]]="","Missing work element",IF(tblVerifyElements[[#This Row],[Time (s)]]="","Missing time",IF(tblVerifyElements[[#This Row],[Type]]="","Missing type",IF(tblVerifyElements[[#This Row],[Current station]]="","Missing current station",IF(COUNTIF(tblVerifyElements[No.],tblVerifyElements[[#This Row],[No.]])&gt;1,"Duplicate No.",IF(AND(ISNUMBER(tblVerifyElements[[#This Row],[Predecessor]]),COUNTIF(tblVerifyElements[No.],tblVerifyElements[[#This Row],[Predecessor]])=0),"Predecessor not found",IF(tblVerifyElements[[#This Row],[Current pos.]]="","Current station not on Setup",IF(AND(tblVerifyElements[[#This Row],[Proposed station]]&lt;&gt;"",tblVerifyElements[[#This Row],[Proposed pos.]]=""),"Proposed station not on Setup",IF(AND(ISNUMBER(IFERROR(INDEX(tblVerifyElements[Current pos.],MATCH(tblVerifyElements[[#This Row],[Predecessor]],tblVerifyElements[No.],0)),"")),ISNUMBER(tblVerifyElements[[#This Row],[Current pos.]]),IFERROR(INDEX(tblVerifyElements[Current pos.],MATCH(tblVerifyElements[[#This Row],[Predecessor]],tblVerifyElements[No.],0)),"")&gt;tblVerifyElements[[#This Row],[Current pos.]]),"Current: predecessor later",IF(AND(ISNUMBER(IFERROR(INDEX(tblVerifyElements[Proposed pos.],MATCH(tblVerifyElements[[#This Row],[Predecessor]],tblVerifyElements[No.],0)),"")),ISNUMBER(tblVerifyElements[[#This Row],[Proposed pos.]]),IFERROR(INDEX(tblVerifyElements[Proposed pos.],MATCH(tblVerifyElements[[#This Row],[Predecessor]],tblVerifyElements[No.],0)),"")&gt;tblVerifyElements[[#This Row],[Proposed pos.]]),"Proposed: predecessor later","OK")))))))))))</f>
        <v>Proposed: predecessor later</v>
      </c>
      <c r="P83" s="68" t="s">
        <v>124</v>
      </c>
    </row>
    <row r="85" spans="2:16" x14ac:dyDescent="0.25">
      <c r="B85" s="33" t="s">
        <v>363</v>
      </c>
      <c r="C85" s="33"/>
      <c r="D85" s="33"/>
      <c r="E85" s="33"/>
      <c r="F85" s="33"/>
      <c r="G85" s="33"/>
      <c r="H85" s="33"/>
      <c r="I85" s="33"/>
      <c r="J85" s="33"/>
      <c r="K85" s="33"/>
      <c r="L85" s="33"/>
    </row>
    <row r="86" spans="2:16" ht="32" customHeight="1" x14ac:dyDescent="0.25">
      <c r="B86" s="50" t="s">
        <v>62</v>
      </c>
      <c r="C86" s="34" t="s">
        <v>211</v>
      </c>
      <c r="D86" s="34" t="s">
        <v>212</v>
      </c>
      <c r="E86" s="34" t="s">
        <v>213</v>
      </c>
      <c r="F86" s="34" t="s">
        <v>214</v>
      </c>
      <c r="G86" s="34" t="s">
        <v>215</v>
      </c>
      <c r="H86" s="34" t="s">
        <v>216</v>
      </c>
      <c r="I86" s="34" t="s">
        <v>217</v>
      </c>
      <c r="J86" s="34" t="s">
        <v>218</v>
      </c>
      <c r="K86" s="34" t="s">
        <v>219</v>
      </c>
      <c r="L86" s="34"/>
    </row>
    <row r="87" spans="2:16" ht="14" customHeight="1" x14ac:dyDescent="0.25">
      <c r="B87" s="62"/>
      <c r="C87" s="62" t="s">
        <v>220</v>
      </c>
      <c r="D87" s="62" t="s">
        <v>194</v>
      </c>
      <c r="E87" s="62" t="s">
        <v>194</v>
      </c>
      <c r="F87" s="62" t="s">
        <v>194</v>
      </c>
      <c r="G87" s="62" t="s">
        <v>194</v>
      </c>
      <c r="H87" s="62" t="s">
        <v>194</v>
      </c>
      <c r="I87" s="62" t="s">
        <v>201</v>
      </c>
      <c r="J87" s="62" t="s">
        <v>194</v>
      </c>
      <c r="K87" s="62"/>
      <c r="L87" s="62"/>
    </row>
    <row r="88" spans="2:16" x14ac:dyDescent="0.25">
      <c r="B88" s="51" t="str">
        <f>IFERROR(INDEX(tblVerifyStations[Station],1)&amp;"","")</f>
        <v>A</v>
      </c>
      <c r="C88" s="38">
        <f>IF($B$88="","",COUNTIFS(tblVerifyElements[Current station],$B$88))</f>
        <v>2</v>
      </c>
      <c r="D88" s="39">
        <f>IF($B$88="","",SUMIFS(tblVerifyElements[Time (s)],tblVerifyElements[Current station],$B$88,tblVerifyElements[Type],"Value-adding"))</f>
        <v>42</v>
      </c>
      <c r="E88" s="39">
        <f>IF($B$88="","",SUMIFS(tblVerifyElements[Time (s)],tblVerifyElements[Current station],$B$88,tblVerifyElements[Type],"Necessary non-value"))</f>
        <v>0</v>
      </c>
      <c r="F88" s="39">
        <f>IF($B$88="","",SUMIFS(tblVerifyElements[Time (s)],tblVerifyElements[Current station],$B$88,tblVerifyElements[Type],"Waste"))</f>
        <v>0</v>
      </c>
      <c r="G88" s="63">
        <f>IF($B$88="","",SUMIFS(tblVerifyElements[Time (s)],tblVerifyElements[Current station],$B$88))</f>
        <v>42</v>
      </c>
      <c r="H88" s="52">
        <f>$E$65</f>
        <v>60</v>
      </c>
      <c r="I88" s="40">
        <f>IF($B$88="","",IF(OR($G$88=0,NOT(ISNUMBER($E$65))),"",$G$88/$E$65))</f>
        <v>0.7</v>
      </c>
      <c r="J88" s="60">
        <f>IF($B$88="","",IF(OR($G$88=0,NOT(ISNUMBER($E$65))),"",$E$65-$G$88))</f>
        <v>18</v>
      </c>
      <c r="K88" s="41" t="str">
        <f>IF($B$88="","",IF($G$88=0,"Not used",IF(NOT(ISNUMBER($I$88)),"",IF($I$88&gt;$E$59,"Over capacity",IF($I$88&gt;=$E$58,"Near capacity","Under capacity")))))</f>
        <v>Under capacity</v>
      </c>
      <c r="L88" s="41"/>
    </row>
    <row r="89" spans="2:16" x14ac:dyDescent="0.25">
      <c r="B89" s="51" t="str">
        <f>IFERROR(INDEX(tblVerifyStations[Station],2)&amp;"","")</f>
        <v>B</v>
      </c>
      <c r="C89" s="38">
        <f>IF($B$89="","",COUNTIFS(tblVerifyElements[Current station],$B$89))</f>
        <v>2</v>
      </c>
      <c r="D89" s="39">
        <f>IF($B$89="","",SUMIFS(tblVerifyElements[Time (s)],tblVerifyElements[Current station],$B$89,tblVerifyElements[Type],"Value-adding"))</f>
        <v>30</v>
      </c>
      <c r="E89" s="39">
        <f>IF($B$89="","",SUMIFS(tblVerifyElements[Time (s)],tblVerifyElements[Current station],$B$89,tblVerifyElements[Type],"Necessary non-value"))</f>
        <v>0</v>
      </c>
      <c r="F89" s="39">
        <f>IF($B$89="","",SUMIFS(tblVerifyElements[Time (s)],tblVerifyElements[Current station],$B$89,tblVerifyElements[Type],"Waste"))</f>
        <v>25</v>
      </c>
      <c r="G89" s="63">
        <f>IF($B$89="","",SUMIFS(tblVerifyElements[Time (s)],tblVerifyElements[Current station],$B$89))</f>
        <v>55</v>
      </c>
      <c r="H89" s="52">
        <f>$E$65</f>
        <v>60</v>
      </c>
      <c r="I89" s="40">
        <f>IF($B$89="","",IF(OR($G$89=0,NOT(ISNUMBER($E$65))),"",$G$89/$E$65))</f>
        <v>0.916666666666667</v>
      </c>
      <c r="J89" s="60">
        <f>IF($B$89="","",IF(OR($G$89=0,NOT(ISNUMBER($E$65))),"",$E$65-$G$89))</f>
        <v>5</v>
      </c>
      <c r="K89" s="41" t="str">
        <f>IF($B$89="","",IF($G$89=0,"Not used",IF(NOT(ISNUMBER($I$89)),"",IF($I$89&gt;$E$59,"Over capacity",IF($I$89&gt;=$E$58,"Near capacity","Under capacity")))))</f>
        <v>Near capacity</v>
      </c>
      <c r="L89" s="41"/>
    </row>
    <row r="90" spans="2:16" x14ac:dyDescent="0.25">
      <c r="B90" s="51" t="str">
        <f>IFERROR(INDEX(tblVerifyStations[Station],3)&amp;"","")</f>
        <v>C</v>
      </c>
      <c r="C90" s="38">
        <f>IF($B$90="","",COUNTIFS(tblVerifyElements[Current station],$B$90))</f>
        <v>2</v>
      </c>
      <c r="D90" s="39">
        <f>IF($B$90="","",SUMIFS(tblVerifyElements[Time (s)],tblVerifyElements[Current station],$B$90,tblVerifyElements[Type],"Value-adding"))</f>
        <v>28</v>
      </c>
      <c r="E90" s="39">
        <f>IF($B$90="","",SUMIFS(tblVerifyElements[Time (s)],tblVerifyElements[Current station],$B$90,tblVerifyElements[Type],"Necessary non-value"))</f>
        <v>20</v>
      </c>
      <c r="F90" s="39">
        <f>IF($B$90="","",SUMIFS(tblVerifyElements[Time (s)],tblVerifyElements[Current station],$B$90,tblVerifyElements[Type],"Waste"))</f>
        <v>0</v>
      </c>
      <c r="G90" s="63">
        <f>IF($B$90="","",SUMIFS(tblVerifyElements[Time (s)],tblVerifyElements[Current station],$B$90))</f>
        <v>48</v>
      </c>
      <c r="H90" s="52">
        <f>$E$65</f>
        <v>60</v>
      </c>
      <c r="I90" s="40">
        <f>IF($B$90="","",IF(OR($G$90=0,NOT(ISNUMBER($E$65))),"",$G$90/$E$65))</f>
        <v>0.8</v>
      </c>
      <c r="J90" s="60">
        <f>IF($B$90="","",IF(OR($G$90=0,NOT(ISNUMBER($E$65))),"",$E$65-$G$90))</f>
        <v>12</v>
      </c>
      <c r="K90" s="41" t="str">
        <f>IF($B$90="","",IF($G$90=0,"Not used",IF(NOT(ISNUMBER($I$90)),"",IF($I$90&gt;$E$59,"Over capacity",IF($I$90&gt;=$E$58,"Near capacity","Under capacity")))))</f>
        <v>Under capacity</v>
      </c>
      <c r="L90" s="41"/>
    </row>
    <row r="91" spans="2:16" x14ac:dyDescent="0.25">
      <c r="B91" s="51" t="str">
        <f>IFERROR(INDEX(tblVerifyStations[Station],4)&amp;"","")</f>
        <v>D</v>
      </c>
      <c r="C91" s="38">
        <f>IF($B$91="","",COUNTIFS(tblVerifyElements[Current station],$B$91))</f>
        <v>2</v>
      </c>
      <c r="D91" s="39">
        <f>IF($B$91="","",SUMIFS(tblVerifyElements[Time (s)],tblVerifyElements[Current station],$B$91,tblVerifyElements[Type],"Value-adding"))</f>
        <v>24</v>
      </c>
      <c r="E91" s="39">
        <f>IF($B$91="","",SUMIFS(tblVerifyElements[Time (s)],tblVerifyElements[Current station],$B$91,tblVerifyElements[Type],"Necessary non-value"))</f>
        <v>15</v>
      </c>
      <c r="F91" s="39">
        <f>IF($B$91="","",SUMIFS(tblVerifyElements[Time (s)],tblVerifyElements[Current station],$B$91,tblVerifyElements[Type],"Waste"))</f>
        <v>0</v>
      </c>
      <c r="G91" s="63">
        <f>IF($B$91="","",SUMIFS(tblVerifyElements[Time (s)],tblVerifyElements[Current station],$B$91))</f>
        <v>39</v>
      </c>
      <c r="H91" s="52">
        <f>$E$65</f>
        <v>60</v>
      </c>
      <c r="I91" s="40">
        <f>IF($B$91="","",IF(OR($G$91=0,NOT(ISNUMBER($E$65))),"",$G$91/$E$65))</f>
        <v>0.65</v>
      </c>
      <c r="J91" s="60">
        <f>IF($B$91="","",IF(OR($G$91=0,NOT(ISNUMBER($E$65))),"",$E$65-$G$91))</f>
        <v>21</v>
      </c>
      <c r="K91" s="41" t="str">
        <f>IF($B$91="","",IF($G$91=0,"Not used",IF(NOT(ISNUMBER($I$91)),"",IF($I$91&gt;$E$59,"Over capacity",IF($I$91&gt;=$E$58,"Near capacity","Under capacity")))))</f>
        <v>Under capacity</v>
      </c>
      <c r="L91" s="41"/>
    </row>
    <row r="92" spans="2:16" x14ac:dyDescent="0.25">
      <c r="B92" s="51">
        <f>IFERROR(INDEX(tblVerifyStations[Station],5)&amp;"","")</f>
        <v/>
      </c>
      <c r="C92" s="38">
        <f>IF($B$92="","",COUNTIFS(tblVerifyElements[Current station],$B$92))</f>
        <v/>
      </c>
      <c r="D92" s="39">
        <f>IF($B$92="","",SUMIFS(tblVerifyElements[Time (s)],tblVerifyElements[Current station],$B$92,tblVerifyElements[Type],"Value-adding"))</f>
        <v/>
      </c>
      <c r="E92" s="39">
        <f>IF($B$92="","",SUMIFS(tblVerifyElements[Time (s)],tblVerifyElements[Current station],$B$92,tblVerifyElements[Type],"Necessary non-value"))</f>
        <v/>
      </c>
      <c r="F92" s="39">
        <f>IF($B$92="","",SUMIFS(tblVerifyElements[Time (s)],tblVerifyElements[Current station],$B$92,tblVerifyElements[Type],"Waste"))</f>
        <v/>
      </c>
      <c r="G92" s="63">
        <f>IF($B$92="","",SUMIFS(tblVerifyElements[Time (s)],tblVerifyElements[Current station],$B$92))</f>
        <v/>
      </c>
      <c r="H92" s="52">
        <f>$E$65</f>
        <v>60</v>
      </c>
      <c r="I92" s="40">
        <f>IF($B$92="","",IF(OR($G$92=0,NOT(ISNUMBER($E$65))),"",$G$92/$E$65))</f>
        <v/>
      </c>
      <c r="J92" s="60">
        <f>IF($B$92="","",IF(OR($G$92=0,NOT(ISNUMBER($E$65))),"",$E$65-$G$92))</f>
        <v/>
      </c>
      <c r="K92" s="41">
        <f>IF($B$92="","",IF($G$92=0,"Not used",IF(NOT(ISNUMBER($I$92)),"",IF($I$92&gt;$E$59,"Over capacity",IF($I$92&gt;=$E$58,"Near capacity","Under capacity")))))</f>
        <v/>
      </c>
      <c r="L92" s="41"/>
    </row>
    <row r="93" spans="2:16" x14ac:dyDescent="0.25">
      <c r="B93" s="51">
        <f>IFERROR(INDEX(tblVerifyStations[Station],6)&amp;"","")</f>
        <v/>
      </c>
      <c r="C93" s="38">
        <f>IF($B$93="","",COUNTIFS(tblVerifyElements[Current station],$B$93))</f>
        <v/>
      </c>
      <c r="D93" s="39">
        <f>IF($B$93="","",SUMIFS(tblVerifyElements[Time (s)],tblVerifyElements[Current station],$B$93,tblVerifyElements[Type],"Value-adding"))</f>
        <v/>
      </c>
      <c r="E93" s="39">
        <f>IF($B$93="","",SUMIFS(tblVerifyElements[Time (s)],tblVerifyElements[Current station],$B$93,tblVerifyElements[Type],"Necessary non-value"))</f>
        <v/>
      </c>
      <c r="F93" s="39">
        <f>IF($B$93="","",SUMIFS(tblVerifyElements[Time (s)],tblVerifyElements[Current station],$B$93,tblVerifyElements[Type],"Waste"))</f>
        <v/>
      </c>
      <c r="G93" s="63">
        <f>IF($B$93="","",SUMIFS(tblVerifyElements[Time (s)],tblVerifyElements[Current station],$B$93))</f>
        <v/>
      </c>
      <c r="H93" s="52">
        <f>$E$65</f>
        <v>60</v>
      </c>
      <c r="I93" s="40">
        <f>IF($B$93="","",IF(OR($G$93=0,NOT(ISNUMBER($E$65))),"",$G$93/$E$65))</f>
        <v/>
      </c>
      <c r="J93" s="60">
        <f>IF($B$93="","",IF(OR($G$93=0,NOT(ISNUMBER($E$65))),"",$E$65-$G$93))</f>
        <v/>
      </c>
      <c r="K93" s="41">
        <f>IF($B$93="","",IF($G$93=0,"Not used",IF(NOT(ISNUMBER($I$93)),"",IF($I$93&gt;$E$59,"Over capacity",IF($I$93&gt;=$E$58,"Near capacity","Under capacity")))))</f>
        <v/>
      </c>
      <c r="L93" s="41"/>
    </row>
    <row r="94" spans="2:16" x14ac:dyDescent="0.25">
      <c r="B94" s="51">
        <f>IFERROR(INDEX(tblVerifyStations[Station],7)&amp;"","")</f>
        <v/>
      </c>
      <c r="C94" s="38">
        <f>IF($B$94="","",COUNTIFS(tblVerifyElements[Current station],$B$94))</f>
        <v/>
      </c>
      <c r="D94" s="39">
        <f>IF($B$94="","",SUMIFS(tblVerifyElements[Time (s)],tblVerifyElements[Current station],$B$94,tblVerifyElements[Type],"Value-adding"))</f>
        <v/>
      </c>
      <c r="E94" s="39">
        <f>IF($B$94="","",SUMIFS(tblVerifyElements[Time (s)],tblVerifyElements[Current station],$B$94,tblVerifyElements[Type],"Necessary non-value"))</f>
        <v/>
      </c>
      <c r="F94" s="39">
        <f>IF($B$94="","",SUMIFS(tblVerifyElements[Time (s)],tblVerifyElements[Current station],$B$94,tblVerifyElements[Type],"Waste"))</f>
        <v/>
      </c>
      <c r="G94" s="63">
        <f>IF($B$94="","",SUMIFS(tblVerifyElements[Time (s)],tblVerifyElements[Current station],$B$94))</f>
        <v/>
      </c>
      <c r="H94" s="52">
        <f>$E$65</f>
        <v>60</v>
      </c>
      <c r="I94" s="40">
        <f>IF($B$94="","",IF(OR($G$94=0,NOT(ISNUMBER($E$65))),"",$G$94/$E$65))</f>
        <v/>
      </c>
      <c r="J94" s="60">
        <f>IF($B$94="","",IF(OR($G$94=0,NOT(ISNUMBER($E$65))),"",$E$65-$G$94))</f>
        <v/>
      </c>
      <c r="K94" s="41">
        <f>IF($B$94="","",IF($G$94=0,"Not used",IF(NOT(ISNUMBER($I$94)),"",IF($I$94&gt;$E$59,"Over capacity",IF($I$94&gt;=$E$58,"Near capacity","Under capacity")))))</f>
        <v/>
      </c>
      <c r="L94" s="41"/>
    </row>
    <row r="96" spans="2:16" x14ac:dyDescent="0.25">
      <c r="B96" s="33" t="s">
        <v>364</v>
      </c>
      <c r="C96" s="33"/>
      <c r="D96" s="33"/>
      <c r="E96" s="33"/>
      <c r="F96" s="33"/>
      <c r="G96" s="33"/>
      <c r="H96" s="33"/>
      <c r="I96" s="33"/>
      <c r="J96" s="33"/>
      <c r="K96" s="33"/>
      <c r="L96" s="33"/>
    </row>
    <row r="97" spans="2:12" ht="32" customHeight="1" x14ac:dyDescent="0.25">
      <c r="B97" s="50" t="s">
        <v>62</v>
      </c>
      <c r="C97" s="34" t="s">
        <v>211</v>
      </c>
      <c r="D97" s="34" t="s">
        <v>212</v>
      </c>
      <c r="E97" s="34" t="s">
        <v>213</v>
      </c>
      <c r="F97" s="34" t="s">
        <v>214</v>
      </c>
      <c r="G97" s="34" t="s">
        <v>215</v>
      </c>
      <c r="H97" s="34" t="s">
        <v>216</v>
      </c>
      <c r="I97" s="34" t="s">
        <v>217</v>
      </c>
      <c r="J97" s="34" t="s">
        <v>218</v>
      </c>
      <c r="K97" s="34" t="s">
        <v>219</v>
      </c>
      <c r="L97" s="34"/>
    </row>
    <row r="98" spans="2:12" ht="14" customHeight="1" x14ac:dyDescent="0.25">
      <c r="B98" s="62"/>
      <c r="C98" s="62" t="s">
        <v>220</v>
      </c>
      <c r="D98" s="62" t="s">
        <v>194</v>
      </c>
      <c r="E98" s="62" t="s">
        <v>194</v>
      </c>
      <c r="F98" s="62" t="s">
        <v>194</v>
      </c>
      <c r="G98" s="62" t="s">
        <v>194</v>
      </c>
      <c r="H98" s="62" t="s">
        <v>194</v>
      </c>
      <c r="I98" s="62" t="s">
        <v>201</v>
      </c>
      <c r="J98" s="62" t="s">
        <v>194</v>
      </c>
      <c r="K98" s="62"/>
      <c r="L98" s="62"/>
    </row>
    <row r="99" spans="2:12" x14ac:dyDescent="0.25">
      <c r="B99" s="51" t="str">
        <f>IFERROR(INDEX(tblVerifyStations[Station],1)&amp;"","")</f>
        <v>A</v>
      </c>
      <c r="C99" s="38">
        <f>IF($B$99="","",COUNTIFS(tblVerifyElements[Proposed station],$B$99))</f>
        <v>2</v>
      </c>
      <c r="D99" s="39">
        <f>IF($B$99="","",SUMIFS(tblVerifyElements[Time (s)],tblVerifyElements[Proposed station],$B$99,tblVerifyElements[Type],"Value-adding"))</f>
        <v>42</v>
      </c>
      <c r="E99" s="39">
        <f>IF($B$99="","",SUMIFS(tblVerifyElements[Time (s)],tblVerifyElements[Proposed station],$B$99,tblVerifyElements[Type],"Necessary non-value"))</f>
        <v>0</v>
      </c>
      <c r="F99" s="39">
        <f>IF($B$99="","",SUMIFS(tblVerifyElements[Time (s)],tblVerifyElements[Proposed station],$B$99,tblVerifyElements[Type],"Waste"))</f>
        <v>0</v>
      </c>
      <c r="G99" s="63">
        <f>IF($B$99="","",SUMIFS(tblVerifyElements[Time (s)],tblVerifyElements[Proposed station],$B$99))</f>
        <v>42</v>
      </c>
      <c r="H99" s="52">
        <f>$E$65</f>
        <v>60</v>
      </c>
      <c r="I99" s="40">
        <f>IF($B$99="","",IF(OR($G$99=0,NOT(ISNUMBER($E$65))),"",$G$99/$E$65))</f>
        <v>0.7</v>
      </c>
      <c r="J99" s="60">
        <f>IF($B$99="","",IF(OR($G$99=0,NOT(ISNUMBER($E$65))),"",$E$65-$G$99))</f>
        <v>18</v>
      </c>
      <c r="K99" s="41" t="str">
        <f>IF($B$99="","",IF($G$99=0,"Not used",IF(NOT(ISNUMBER($I$99)),"",IF($I$99&gt;$E$59,"Over capacity",IF($I$99&gt;=$E$58,"Near capacity","Under capacity")))))</f>
        <v>Under capacity</v>
      </c>
      <c r="L99" s="41"/>
    </row>
    <row r="100" spans="2:12" x14ac:dyDescent="0.25">
      <c r="B100" s="51" t="str">
        <f>IFERROR(INDEX(tblVerifyStations[Station],2)&amp;"","")</f>
        <v>B</v>
      </c>
      <c r="C100" s="38">
        <f>IF($B$100="","",COUNTIFS(tblVerifyElements[Proposed station],$B$100))</f>
        <v>2</v>
      </c>
      <c r="D100" s="39">
        <f>IF($B$100="","",SUMIFS(tblVerifyElements[Time (s)],tblVerifyElements[Proposed station],$B$100,tblVerifyElements[Type],"Value-adding"))</f>
        <v>30</v>
      </c>
      <c r="E100" s="39">
        <f>IF($B$100="","",SUMIFS(tblVerifyElements[Time (s)],tblVerifyElements[Proposed station],$B$100,tblVerifyElements[Type],"Necessary non-value"))</f>
        <v>20</v>
      </c>
      <c r="F100" s="39">
        <f>IF($B$100="","",SUMIFS(tblVerifyElements[Time (s)],tblVerifyElements[Proposed station],$B$100,tblVerifyElements[Type],"Waste"))</f>
        <v>0</v>
      </c>
      <c r="G100" s="63">
        <f>IF($B$100="","",SUMIFS(tblVerifyElements[Time (s)],tblVerifyElements[Proposed station],$B$100))</f>
        <v>50</v>
      </c>
      <c r="H100" s="52">
        <f>$E$65</f>
        <v>60</v>
      </c>
      <c r="I100" s="40">
        <f>IF($B$100="","",IF(OR($G$100=0,NOT(ISNUMBER($E$65))),"",$G$100/$E$65))</f>
        <v>0.833333333333333</v>
      </c>
      <c r="J100" s="60">
        <f>IF($B$100="","",IF(OR($G$100=0,NOT(ISNUMBER($E$65))),"",$E$65-$G$100))</f>
        <v>10</v>
      </c>
      <c r="K100" s="41" t="str">
        <f>IF($B$100="","",IF($G$100=0,"Not used",IF(NOT(ISNUMBER($I$100)),"",IF($I$100&gt;$E$59,"Over capacity",IF($I$100&gt;=$E$58,"Near capacity","Under capacity")))))</f>
        <v>Under capacity</v>
      </c>
      <c r="L100" s="41"/>
    </row>
    <row r="101" spans="2:12" x14ac:dyDescent="0.25">
      <c r="B101" s="51" t="str">
        <f>IFERROR(INDEX(tblVerifyStations[Station],3)&amp;"","")</f>
        <v>C</v>
      </c>
      <c r="C101" s="38">
        <f>IF($B$101="","",COUNTIFS(tblVerifyElements[Proposed station],$B$101))</f>
        <v>2</v>
      </c>
      <c r="D101" s="39">
        <f>IF($B$101="","",SUMIFS(tblVerifyElements[Time (s)],tblVerifyElements[Proposed station],$B$101,tblVerifyElements[Type],"Value-adding"))</f>
        <v>28</v>
      </c>
      <c r="E101" s="39">
        <f>IF($B$101="","",SUMIFS(tblVerifyElements[Time (s)],tblVerifyElements[Proposed station],$B$101,tblVerifyElements[Type],"Necessary non-value"))</f>
        <v>15</v>
      </c>
      <c r="F101" s="39">
        <f>IF($B$101="","",SUMIFS(tblVerifyElements[Time (s)],tblVerifyElements[Proposed station],$B$101,tblVerifyElements[Type],"Waste"))</f>
        <v>0</v>
      </c>
      <c r="G101" s="63">
        <f>IF($B$101="","",SUMIFS(tblVerifyElements[Time (s)],tblVerifyElements[Proposed station],$B$101))</f>
        <v>43</v>
      </c>
      <c r="H101" s="52">
        <f>$E$65</f>
        <v>60</v>
      </c>
      <c r="I101" s="40">
        <f>IF($B$101="","",IF(OR($G$101=0,NOT(ISNUMBER($E$65))),"",$G$101/$E$65))</f>
        <v>0.716666666666667</v>
      </c>
      <c r="J101" s="60">
        <f>IF($B$101="","",IF(OR($G$101=0,NOT(ISNUMBER($E$65))),"",$E$65-$G$101))</f>
        <v>17</v>
      </c>
      <c r="K101" s="41" t="str">
        <f>IF($B$101="","",IF($G$101=0,"Not used",IF(NOT(ISNUMBER($I$101)),"",IF($I$101&gt;$E$59,"Over capacity",IF($I$101&gt;=$E$58,"Near capacity","Under capacity")))))</f>
        <v>Under capacity</v>
      </c>
      <c r="L101" s="41"/>
    </row>
    <row r="102" spans="2:12" x14ac:dyDescent="0.25">
      <c r="B102" s="51" t="str">
        <f>IFERROR(INDEX(tblVerifyStations[Station],4)&amp;"","")</f>
        <v>D</v>
      </c>
      <c r="C102" s="38">
        <f>IF($B$102="","",COUNTIFS(tblVerifyElements[Proposed station],$B$102))</f>
        <v>1</v>
      </c>
      <c r="D102" s="39">
        <f>IF($B$102="","",SUMIFS(tblVerifyElements[Time (s)],tblVerifyElements[Proposed station],$B$102,tblVerifyElements[Type],"Value-adding"))</f>
        <v>24</v>
      </c>
      <c r="E102" s="39">
        <f>IF($B$102="","",SUMIFS(tblVerifyElements[Time (s)],tblVerifyElements[Proposed station],$B$102,tblVerifyElements[Type],"Necessary non-value"))</f>
        <v>0</v>
      </c>
      <c r="F102" s="39">
        <f>IF($B$102="","",SUMIFS(tblVerifyElements[Time (s)],tblVerifyElements[Proposed station],$B$102,tblVerifyElements[Type],"Waste"))</f>
        <v>0</v>
      </c>
      <c r="G102" s="63">
        <f>IF($B$102="","",SUMIFS(tblVerifyElements[Time (s)],tblVerifyElements[Proposed station],$B$102))</f>
        <v>24</v>
      </c>
      <c r="H102" s="52">
        <f>$E$65</f>
        <v>60</v>
      </c>
      <c r="I102" s="40">
        <f>IF($B$102="","",IF(OR($G$102=0,NOT(ISNUMBER($E$65))),"",$G$102/$E$65))</f>
        <v>0.4</v>
      </c>
      <c r="J102" s="60">
        <f>IF($B$102="","",IF(OR($G$102=0,NOT(ISNUMBER($E$65))),"",$E$65-$G$102))</f>
        <v>36</v>
      </c>
      <c r="K102" s="41" t="str">
        <f>IF($B$102="","",IF($G$102=0,"Not used",IF(NOT(ISNUMBER($I$102)),"",IF($I$102&gt;$E$59,"Over capacity",IF($I$102&gt;=$E$58,"Near capacity","Under capacity")))))</f>
        <v>Under capacity</v>
      </c>
      <c r="L102" s="41"/>
    </row>
    <row r="103" spans="2:12" x14ac:dyDescent="0.25">
      <c r="B103" s="51">
        <f>IFERROR(INDEX(tblVerifyStations[Station],5)&amp;"","")</f>
        <v/>
      </c>
      <c r="C103" s="38">
        <f>IF($B$103="","",COUNTIFS(tblVerifyElements[Proposed station],$B$103))</f>
        <v/>
      </c>
      <c r="D103" s="39">
        <f>IF($B$103="","",SUMIFS(tblVerifyElements[Time (s)],tblVerifyElements[Proposed station],$B$103,tblVerifyElements[Type],"Value-adding"))</f>
        <v/>
      </c>
      <c r="E103" s="39">
        <f>IF($B$103="","",SUMIFS(tblVerifyElements[Time (s)],tblVerifyElements[Proposed station],$B$103,tblVerifyElements[Type],"Necessary non-value"))</f>
        <v/>
      </c>
      <c r="F103" s="39">
        <f>IF($B$103="","",SUMIFS(tblVerifyElements[Time (s)],tblVerifyElements[Proposed station],$B$103,tblVerifyElements[Type],"Waste"))</f>
        <v/>
      </c>
      <c r="G103" s="63">
        <f>IF($B$103="","",SUMIFS(tblVerifyElements[Time (s)],tblVerifyElements[Proposed station],$B$103))</f>
        <v/>
      </c>
      <c r="H103" s="52">
        <f>$E$65</f>
        <v>60</v>
      </c>
      <c r="I103" s="40">
        <f>IF($B$103="","",IF(OR($G$103=0,NOT(ISNUMBER($E$65))),"",$G$103/$E$65))</f>
        <v/>
      </c>
      <c r="J103" s="60">
        <f>IF($B$103="","",IF(OR($G$103=0,NOT(ISNUMBER($E$65))),"",$E$65-$G$103))</f>
        <v/>
      </c>
      <c r="K103" s="41">
        <f>IF($B$103="","",IF($G$103=0,"Not used",IF(NOT(ISNUMBER($I$103)),"",IF($I$103&gt;$E$59,"Over capacity",IF($I$103&gt;=$E$58,"Near capacity","Under capacity")))))</f>
        <v/>
      </c>
      <c r="L103" s="41"/>
    </row>
    <row r="104" spans="2:12" x14ac:dyDescent="0.25">
      <c r="B104" s="51">
        <f>IFERROR(INDEX(tblVerifyStations[Station],6)&amp;"","")</f>
        <v/>
      </c>
      <c r="C104" s="38">
        <f>IF($B$104="","",COUNTIFS(tblVerifyElements[Proposed station],$B$104))</f>
        <v/>
      </c>
      <c r="D104" s="39">
        <f>IF($B$104="","",SUMIFS(tblVerifyElements[Time (s)],tblVerifyElements[Proposed station],$B$104,tblVerifyElements[Type],"Value-adding"))</f>
        <v/>
      </c>
      <c r="E104" s="39">
        <f>IF($B$104="","",SUMIFS(tblVerifyElements[Time (s)],tblVerifyElements[Proposed station],$B$104,tblVerifyElements[Type],"Necessary non-value"))</f>
        <v/>
      </c>
      <c r="F104" s="39">
        <f>IF($B$104="","",SUMIFS(tblVerifyElements[Time (s)],tblVerifyElements[Proposed station],$B$104,tblVerifyElements[Type],"Waste"))</f>
        <v/>
      </c>
      <c r="G104" s="63">
        <f>IF($B$104="","",SUMIFS(tblVerifyElements[Time (s)],tblVerifyElements[Proposed station],$B$104))</f>
        <v/>
      </c>
      <c r="H104" s="52">
        <f>$E$65</f>
        <v>60</v>
      </c>
      <c r="I104" s="40">
        <f>IF($B$104="","",IF(OR($G$104=0,NOT(ISNUMBER($E$65))),"",$G$104/$E$65))</f>
        <v/>
      </c>
      <c r="J104" s="60">
        <f>IF($B$104="","",IF(OR($G$104=0,NOT(ISNUMBER($E$65))),"",$E$65-$G$104))</f>
        <v/>
      </c>
      <c r="K104" s="41">
        <f>IF($B$104="","",IF($G$104=0,"Not used",IF(NOT(ISNUMBER($I$104)),"",IF($I$104&gt;$E$59,"Over capacity",IF($I$104&gt;=$E$58,"Near capacity","Under capacity")))))</f>
        <v/>
      </c>
      <c r="L104" s="41"/>
    </row>
    <row r="105" spans="2:12" x14ac:dyDescent="0.25">
      <c r="B105" s="51">
        <f>IFERROR(INDEX(tblVerifyStations[Station],7)&amp;"","")</f>
        <v/>
      </c>
      <c r="C105" s="38">
        <f>IF($B$105="","",COUNTIFS(tblVerifyElements[Proposed station],$B$105))</f>
        <v/>
      </c>
      <c r="D105" s="39">
        <f>IF($B$105="","",SUMIFS(tblVerifyElements[Time (s)],tblVerifyElements[Proposed station],$B$105,tblVerifyElements[Type],"Value-adding"))</f>
        <v/>
      </c>
      <c r="E105" s="39">
        <f>IF($B$105="","",SUMIFS(tblVerifyElements[Time (s)],tblVerifyElements[Proposed station],$B$105,tblVerifyElements[Type],"Necessary non-value"))</f>
        <v/>
      </c>
      <c r="F105" s="39">
        <f>IF($B$105="","",SUMIFS(tblVerifyElements[Time (s)],tblVerifyElements[Proposed station],$B$105,tblVerifyElements[Type],"Waste"))</f>
        <v/>
      </c>
      <c r="G105" s="63">
        <f>IF($B$105="","",SUMIFS(tblVerifyElements[Time (s)],tblVerifyElements[Proposed station],$B$105))</f>
        <v/>
      </c>
      <c r="H105" s="52">
        <f>$E$65</f>
        <v>60</v>
      </c>
      <c r="I105" s="40">
        <f>IF($B$105="","",IF(OR($G$105=0,NOT(ISNUMBER($E$65))),"",$G$105/$E$65))</f>
        <v/>
      </c>
      <c r="J105" s="60">
        <f>IF($B$105="","",IF(OR($G$105=0,NOT(ISNUMBER($E$65))),"",$E$65-$G$105))</f>
        <v/>
      </c>
      <c r="K105" s="41">
        <f>IF($B$105="","",IF($G$105=0,"Not used",IF(NOT(ISNUMBER($I$105)),"",IF($I$105&gt;$E$59,"Over capacity",IF($I$105&gt;=$E$58,"Near capacity","Under capacity")))))</f>
        <v/>
      </c>
      <c r="L105" s="41"/>
    </row>
    <row r="107" spans="2:12" x14ac:dyDescent="0.25">
      <c r="B107" s="33" t="s">
        <v>365</v>
      </c>
      <c r="C107" s="33"/>
      <c r="D107" s="33"/>
      <c r="E107" s="33"/>
      <c r="F107" s="33"/>
      <c r="G107" s="33"/>
      <c r="H107" s="33"/>
      <c r="I107" s="33"/>
      <c r="J107" s="33"/>
      <c r="K107" s="33"/>
      <c r="L107" s="33"/>
    </row>
    <row r="108" spans="2:12" x14ac:dyDescent="0.25">
      <c r="B108" s="50" t="s">
        <v>186</v>
      </c>
      <c r="C108" s="50"/>
      <c r="D108" s="50"/>
      <c r="E108" s="34" t="s">
        <v>187</v>
      </c>
      <c r="F108" s="58" t="s">
        <v>188</v>
      </c>
      <c r="G108" s="58" t="s">
        <v>189</v>
      </c>
    </row>
    <row r="109" spans="2:12" x14ac:dyDescent="0.25">
      <c r="B109" s="27" t="s">
        <v>191</v>
      </c>
      <c r="C109" s="27"/>
      <c r="D109" s="27"/>
      <c r="E109" s="7" t="s">
        <v>192</v>
      </c>
      <c r="F109" s="38">
        <f>CHOOSE(1,COUNTIF($G$88:$G$94,"&gt;0"),COUNTIF($G$99:$G$105,"&gt;0"))</f>
        <v>4</v>
      </c>
      <c r="G109" s="38">
        <f>CHOOSE(2,COUNTIF($G$88:$G$94,"&gt;0"),COUNTIF($G$99:$G$105,"&gt;0"))</f>
        <v>4</v>
      </c>
    </row>
    <row r="110" spans="2:12" x14ac:dyDescent="0.25">
      <c r="B110" s="27" t="s">
        <v>193</v>
      </c>
      <c r="C110" s="27"/>
      <c r="D110" s="27"/>
      <c r="E110" s="7" t="s">
        <v>194</v>
      </c>
      <c r="F110" s="39">
        <f>CHOOSE(1,SUM($G$88:$G$94),SUM($G$99:$G$105))</f>
        <v>184</v>
      </c>
      <c r="G110" s="39">
        <f>CHOOSE(2,SUM($G$88:$G$94),SUM($G$99:$G$105))</f>
        <v>159</v>
      </c>
    </row>
    <row r="111" spans="2:12" x14ac:dyDescent="0.25">
      <c r="B111" s="27" t="s">
        <v>195</v>
      </c>
      <c r="C111" s="27"/>
      <c r="D111" s="27"/>
      <c r="E111" s="7" t="s">
        <v>194</v>
      </c>
      <c r="F111" s="39">
        <f>CHOOSE(1,SUMIFS(tblVerifyElements[Time (s)],tblVerifyElements[Type],"Value-adding",tblVerifyElements[Current station],"&lt;&gt;"),SUMIFS(tblVerifyElements[Time (s)],tblVerifyElements[Type],"Value-adding",tblVerifyElements[Proposed station],"&lt;&gt;"))</f>
        <v>124</v>
      </c>
      <c r="G111" s="39">
        <f>CHOOSE(2,SUMIFS(tblVerifyElements[Time (s)],tblVerifyElements[Type],"Value-adding",tblVerifyElements[Current station],"&lt;&gt;"),SUMIFS(tblVerifyElements[Time (s)],tblVerifyElements[Type],"Value-adding",tblVerifyElements[Proposed station],"&lt;&gt;"))</f>
        <v>124</v>
      </c>
    </row>
    <row r="112" spans="2:12" x14ac:dyDescent="0.25">
      <c r="B112" s="27" t="s">
        <v>196</v>
      </c>
      <c r="C112" s="27"/>
      <c r="D112" s="27"/>
      <c r="E112" s="7" t="s">
        <v>194</v>
      </c>
      <c r="F112" s="39">
        <f>CHOOSE(1,SUMIFS(tblVerifyElements[Time (s)],tblVerifyElements[Type],"Necessary non-value",tblVerifyElements[Current station],"&lt;&gt;"),SUMIFS(tblVerifyElements[Time (s)],tblVerifyElements[Type],"Necessary non-value",tblVerifyElements[Proposed station],"&lt;&gt;"))</f>
        <v>35</v>
      </c>
      <c r="G112" s="39">
        <f>CHOOSE(2,SUMIFS(tblVerifyElements[Time (s)],tblVerifyElements[Type],"Necessary non-value",tblVerifyElements[Current station],"&lt;&gt;"),SUMIFS(tblVerifyElements[Time (s)],tblVerifyElements[Type],"Necessary non-value",tblVerifyElements[Proposed station],"&lt;&gt;"))</f>
        <v>35</v>
      </c>
    </row>
    <row r="113" spans="2:7" x14ac:dyDescent="0.25">
      <c r="B113" s="27" t="s">
        <v>197</v>
      </c>
      <c r="C113" s="27"/>
      <c r="D113" s="27"/>
      <c r="E113" s="7" t="s">
        <v>194</v>
      </c>
      <c r="F113" s="39">
        <f>CHOOSE(1,SUMIFS(tblVerifyElements[Time (s)],tblVerifyElements[Type],"Waste",tblVerifyElements[Current station],"&lt;&gt;"),SUMIFS(tblVerifyElements[Time (s)],tblVerifyElements[Type],"Waste",tblVerifyElements[Proposed station],"&lt;&gt;"))</f>
        <v>25</v>
      </c>
      <c r="G113" s="39">
        <f>CHOOSE(2,SUMIFS(tblVerifyElements[Time (s)],tblVerifyElements[Type],"Waste",tblVerifyElements[Current station],"&lt;&gt;"),SUMIFS(tblVerifyElements[Time (s)],tblVerifyElements[Type],"Waste",tblVerifyElements[Proposed station],"&lt;&gt;"))</f>
        <v>0</v>
      </c>
    </row>
    <row r="114" spans="2:7" x14ac:dyDescent="0.25">
      <c r="B114" s="27" t="s">
        <v>198</v>
      </c>
      <c r="C114" s="27"/>
      <c r="D114" s="27"/>
      <c r="E114" s="7"/>
      <c r="F114" s="41" t="str">
        <f>CHOOSE(1,IF(COUNT($G$88:$G$94)=0,"",INDEX($B$88:$B$94,MATCH(MAX($G$88:$G$94),$G$88:$G$94,0))),IF(COUNT($G$99:$G$105)=0,"",INDEX($B$99:$B$105,MATCH(MAX($G$99:$G$105),$G$99:$G$105,0))))</f>
        <v>B</v>
      </c>
      <c r="G114" s="41" t="str">
        <f>CHOOSE(2,IF(COUNT($G$88:$G$94)=0,"",INDEX($B$88:$B$94,MATCH(MAX($G$88:$G$94),$G$88:$G$94,0))),IF(COUNT($G$99:$G$105)=0,"",INDEX($B$99:$B$105,MATCH(MAX($G$99:$G$105),$G$99:$G$105,0))))</f>
        <v>B</v>
      </c>
    </row>
    <row r="115" spans="2:7" x14ac:dyDescent="0.25">
      <c r="B115" s="27" t="s">
        <v>199</v>
      </c>
      <c r="C115" s="27"/>
      <c r="D115" s="27"/>
      <c r="E115" s="7" t="s">
        <v>194</v>
      </c>
      <c r="F115" s="39">
        <f>CHOOSE(1,MAX($G$88:$G$94),MAX($G$99:$G$105))</f>
        <v>55</v>
      </c>
      <c r="G115" s="39">
        <f>CHOOSE(2,MAX($G$88:$G$94),MAX($G$99:$G$105))</f>
        <v>50</v>
      </c>
    </row>
    <row r="116" spans="2:7" x14ac:dyDescent="0.25">
      <c r="B116" s="27" t="s">
        <v>200</v>
      </c>
      <c r="C116" s="27"/>
      <c r="D116" s="27"/>
      <c r="E116" s="7" t="s">
        <v>201</v>
      </c>
      <c r="F116" s="59">
        <f>IF($F$115*$F$109=0,"",$F$110/($F$109*$F$115))</f>
        <v>0.836363636363636</v>
      </c>
      <c r="G116" s="59">
        <f>IF($G$115*$G$109=0,"",$G$110/($G$109*$G$115))</f>
        <v>0.795</v>
      </c>
    </row>
    <row r="117" spans="2:7" x14ac:dyDescent="0.25">
      <c r="B117" s="27" t="s">
        <v>202</v>
      </c>
      <c r="C117" s="27"/>
      <c r="D117" s="27"/>
      <c r="E117" s="7" t="s">
        <v>201</v>
      </c>
      <c r="F117" s="59">
        <f>IF(ISNUMBER($F$116),1-$F$116,"")</f>
        <v>0.163636363636364</v>
      </c>
      <c r="G117" s="59">
        <f>IF(ISNUMBER($G$116),1-$G$116,"")</f>
        <v>0.205</v>
      </c>
    </row>
    <row r="118" spans="2:7" x14ac:dyDescent="0.25">
      <c r="B118" s="27" t="s">
        <v>203</v>
      </c>
      <c r="C118" s="27"/>
      <c r="D118" s="27"/>
      <c r="E118" s="7" t="s">
        <v>194</v>
      </c>
      <c r="F118" s="39">
        <f>IF($F$109=0,"",$F$109*$F$115-$F$110)</f>
        <v>36</v>
      </c>
      <c r="G118" s="39">
        <f>IF($G$109=0,"",$G$109*$G$115-$G$110)</f>
        <v>41</v>
      </c>
    </row>
    <row r="119" spans="2:7" x14ac:dyDescent="0.25">
      <c r="B119" s="27" t="s">
        <v>204</v>
      </c>
      <c r="C119" s="27"/>
      <c r="D119" s="27"/>
      <c r="E119" s="7" t="s">
        <v>194</v>
      </c>
      <c r="F119" s="60">
        <f>IF(OR($F$109=0,NOT(ISNUMBER($E$65))),"",$E$65-$F$115)</f>
        <v>5</v>
      </c>
      <c r="G119" s="60">
        <f>IF(OR($G$109=0,NOT(ISNUMBER($E$65))),"",$E$65-$G$115)</f>
        <v>10</v>
      </c>
    </row>
    <row r="120" spans="2:7" x14ac:dyDescent="0.25">
      <c r="B120" s="27" t="s">
        <v>205</v>
      </c>
      <c r="C120" s="27"/>
      <c r="D120" s="27"/>
      <c r="E120" s="7" t="s">
        <v>206</v>
      </c>
      <c r="F120" s="38">
        <f>IF($F$115=0,"",$E$63*60/$F$115)</f>
        <v>523.636363636364</v>
      </c>
      <c r="G120" s="38">
        <f>IF($G$115=0,"",$E$63*60/$G$115)</f>
        <v>576</v>
      </c>
    </row>
    <row r="121" spans="2:7" x14ac:dyDescent="0.25">
      <c r="B121" s="27" t="s">
        <v>207</v>
      </c>
      <c r="C121" s="27"/>
      <c r="D121" s="27"/>
      <c r="E121" s="7" t="str">
        <f>Currency</f>
        <v>USD</v>
      </c>
      <c r="F121" s="61">
        <f>IF($F$115=0,"",$F$109*$E$60*$F$115/3600)</f>
        <v>1.83333333333333</v>
      </c>
      <c r="G121" s="61">
        <f>IF($G$115=0,"",$G$109*$E$60*$G$115/3600)</f>
        <v>1.66666666666667</v>
      </c>
    </row>
    <row r="122" spans="2:7" x14ac:dyDescent="0.25">
      <c r="B122" s="27" t="s">
        <v>208</v>
      </c>
      <c r="C122" s="27"/>
      <c r="D122" s="27"/>
      <c r="E122" s="7" t="s">
        <v>192</v>
      </c>
      <c r="F122" s="38">
        <f>IF(OR($F$110=0,NOT(ISNUMBER($E$65))),"",CEILING($F$110/$E$65,1))</f>
        <v>4</v>
      </c>
      <c r="G122" s="38">
        <f>IF(OR($G$110=0,NOT(ISNUMBER($E$65))),"",CEILING($G$110/$E$65,1))</f>
        <v>3</v>
      </c>
    </row>
    <row r="123" spans="2:7" x14ac:dyDescent="0.25">
      <c r="B123" s="27" t="s">
        <v>209</v>
      </c>
      <c r="C123" s="27"/>
      <c r="D123" s="27"/>
      <c r="E123" s="7"/>
      <c r="F123" s="41" t="str">
        <f>IF(OR($F$109=0,NOT(ISNUMBER($E$65))),"",IF($F$115&gt;$E$59*$E$65,"Over capacity",IF($F$115&gt;=$E$58*$E$65,"Near capacity","Under capacity")))</f>
        <v>Near capacity</v>
      </c>
      <c r="G123" s="41" t="str">
        <f>IF(OR($G$109=0,NOT(ISNUMBER($E$65))),"",IF($G$115&gt;$E$59*$E$65,"Over capacity",IF($G$115&gt;=$E$58*$E$65,"Near capacity","Under capacity")))</f>
        <v>Under capacity</v>
      </c>
    </row>
  </sheetData>
  <sheetProtection sheet="1" formatColumns="0" formatRows="0"/>
  <mergeCells count="99">
    <mergeCell ref="A1:P1"/>
    <mergeCell ref="B2:O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B54:L54"/>
    <mergeCell ref="B56:L56"/>
    <mergeCell ref="B57:F57"/>
    <mergeCell ref="B58:D58"/>
    <mergeCell ref="B59:D59"/>
    <mergeCell ref="B60:D60"/>
    <mergeCell ref="B62:L62"/>
    <mergeCell ref="B63:D63"/>
    <mergeCell ref="B64:D64"/>
    <mergeCell ref="B65:D65"/>
    <mergeCell ref="B67:L67"/>
    <mergeCell ref="B74:L74"/>
    <mergeCell ref="B85:L85"/>
    <mergeCell ref="K86:L86"/>
    <mergeCell ref="K87:L87"/>
    <mergeCell ref="K88:L88"/>
    <mergeCell ref="K89:L89"/>
    <mergeCell ref="K90:L90"/>
    <mergeCell ref="K91:L91"/>
    <mergeCell ref="K92:L92"/>
    <mergeCell ref="K93:L93"/>
    <mergeCell ref="K94:L94"/>
    <mergeCell ref="B96:L96"/>
    <mergeCell ref="K97:L97"/>
    <mergeCell ref="K98:L98"/>
    <mergeCell ref="K99:L99"/>
    <mergeCell ref="K100:L100"/>
    <mergeCell ref="K101:L101"/>
    <mergeCell ref="K102:L102"/>
    <mergeCell ref="K103:L103"/>
    <mergeCell ref="K104:L104"/>
    <mergeCell ref="K105:L105"/>
    <mergeCell ref="B107:L107"/>
    <mergeCell ref="B108:D108"/>
    <mergeCell ref="B109:D109"/>
    <mergeCell ref="B110:D110"/>
    <mergeCell ref="B111:D111"/>
    <mergeCell ref="B112:D112"/>
    <mergeCell ref="B113:D113"/>
    <mergeCell ref="B114:D114"/>
    <mergeCell ref="B115:D115"/>
    <mergeCell ref="B116:D116"/>
    <mergeCell ref="B117:D117"/>
    <mergeCell ref="B118:D118"/>
    <mergeCell ref="B119:D119"/>
    <mergeCell ref="B120:D120"/>
    <mergeCell ref="B121:D121"/>
    <mergeCell ref="B122:D122"/>
    <mergeCell ref="B123:D12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123:G123">
    <cfRule type="cellIs" dxfId="0" priority="85" operator="equal">
      <formula>"On target"</formula>
    </cfRule>
    <cfRule type="cellIs" dxfId="0" priority="86" operator="equal">
      <formula>"PASS"</formula>
    </cfRule>
    <cfRule type="cellIs" dxfId="0" priority="87" operator="equal">
      <formula>"OK"</formula>
    </cfRule>
    <cfRule type="cellIs" dxfId="0" priority="88" operator="equal">
      <formula>"Within limits"</formula>
    </cfRule>
    <cfRule type="cellIs" dxfId="0" priority="89" operator="equal">
      <formula>"Under capacity"</formula>
    </cfRule>
    <cfRule type="cellIs" dxfId="0" priority="90" operator="equal">
      <formula>"Complete"</formula>
    </cfRule>
    <cfRule type="cellIs" dxfId="0" priority="91" operator="equal">
      <formula>"Yes"</formula>
    </cfRule>
    <cfRule type="cellIs" dxfId="1" priority="92" operator="equal">
      <formula>"Near target"</formula>
    </cfRule>
    <cfRule type="cellIs" dxfId="1" priority="93" operator="equal">
      <formula>"Check"</formula>
    </cfRule>
    <cfRule type="cellIs" dxfId="1" priority="94" operator="equal">
      <formula>"Due soon"</formula>
    </cfRule>
    <cfRule type="cellIs" dxfId="1" priority="95" operator="equal">
      <formula>"Near capacity"</formula>
    </cfRule>
    <cfRule type="cellIs" dxfId="1" priority="96" operator="equal">
      <formula>"In progress"</formula>
    </cfRule>
    <cfRule type="cellIs" dxfId="1" priority="97" operator="equal">
      <formula>"Partial"</formula>
    </cfRule>
    <cfRule type="cellIs" dxfId="2" priority="98" operator="equal">
      <formula>"Below target"</formula>
    </cfRule>
    <cfRule type="cellIs" dxfId="2" priority="99" operator="equal">
      <formula>"Above target"</formula>
    </cfRule>
    <cfRule type="cellIs" dxfId="2" priority="100" operator="equal">
      <formula>"FAIL"</formula>
    </cfRule>
    <cfRule type="cellIs" dxfId="2" priority="101" operator="equal">
      <formula>"Over capacity"</formula>
    </cfRule>
    <cfRule type="cellIs" dxfId="2" priority="102" operator="equal">
      <formula>"Overdue"</formula>
    </cfRule>
    <cfRule type="cellIs" dxfId="2" priority="103" operator="equal">
      <formula>"Out of limits"</formula>
    </cfRule>
    <cfRule type="cellIs" dxfId="2" priority="104" operator="equal">
      <formula>"No"</formula>
    </cfRule>
  </conditionalFormatting>
  <conditionalFormatting sqref="I88:I94">
    <cfRule type="dataBar" priority="43">
      <dataBar>
        <cfvo type="num" val="0"/>
        <cfvo type="max"/>
        <color rgb="FFA8BDF0"/>
      </dataBar>
      <extLst>
        <ext xmlns:x14="http://schemas.microsoft.com/office/spreadsheetml/2009/9/main" uri="{B025F937-C7B1-47D3-B67F-A62EFF666E3E}">
          <x14:id>{DA7ABA51-AAAA-BBBB-0006-000000000001}</x14:id>
        </ext>
      </extLst>
    </cfRule>
  </conditionalFormatting>
  <conditionalFormatting sqref="I99:I105">
    <cfRule type="dataBar" priority="64">
      <dataBar>
        <cfvo type="num" val="0"/>
        <cfvo type="max"/>
        <color rgb="FFA8BDF0"/>
      </dataBar>
      <extLst>
        <ext xmlns:x14="http://schemas.microsoft.com/office/spreadsheetml/2009/9/main" uri="{B025F937-C7B1-47D3-B67F-A62EFF666E3E}">
          <x14:id>{DA7ABA51-AAAA-BBBB-0006-000000000002}</x14:id>
        </ext>
      </extLst>
    </cfRule>
  </conditionalFormatting>
  <conditionalFormatting sqref="K11:K5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88:K94">
    <cfRule type="cellIs" dxfId="0" priority="44" operator="equal">
      <formula>"On target"</formula>
    </cfRule>
    <cfRule type="cellIs" dxfId="0" priority="45" operator="equal">
      <formula>"PASS"</formula>
    </cfRule>
    <cfRule type="cellIs" dxfId="0" priority="46" operator="equal">
      <formula>"OK"</formula>
    </cfRule>
    <cfRule type="cellIs" dxfId="0" priority="47" operator="equal">
      <formula>"Within limits"</formula>
    </cfRule>
    <cfRule type="cellIs" dxfId="0" priority="48" operator="equal">
      <formula>"Under capacity"</formula>
    </cfRule>
    <cfRule type="cellIs" dxfId="0" priority="49" operator="equal">
      <formula>"Complete"</formula>
    </cfRule>
    <cfRule type="cellIs" dxfId="0" priority="50" operator="equal">
      <formula>"Yes"</formula>
    </cfRule>
    <cfRule type="cellIs" dxfId="1" priority="51" operator="equal">
      <formula>"Near target"</formula>
    </cfRule>
    <cfRule type="cellIs" dxfId="1" priority="52" operator="equal">
      <formula>"Check"</formula>
    </cfRule>
    <cfRule type="cellIs" dxfId="1" priority="53" operator="equal">
      <formula>"Due soon"</formula>
    </cfRule>
    <cfRule type="cellIs" dxfId="1" priority="54" operator="equal">
      <formula>"Near capacity"</formula>
    </cfRule>
    <cfRule type="cellIs" dxfId="1" priority="55" operator="equal">
      <formula>"In progress"</formula>
    </cfRule>
    <cfRule type="cellIs" dxfId="1" priority="56" operator="equal">
      <formula>"Partial"</formula>
    </cfRule>
    <cfRule type="cellIs" dxfId="2" priority="57" operator="equal">
      <formula>"Below target"</formula>
    </cfRule>
    <cfRule type="cellIs" dxfId="2" priority="58" operator="equal">
      <formula>"Above target"</formula>
    </cfRule>
    <cfRule type="cellIs" dxfId="2" priority="59" operator="equal">
      <formula>"FAIL"</formula>
    </cfRule>
    <cfRule type="cellIs" dxfId="2" priority="60" operator="equal">
      <formula>"Over capacity"</formula>
    </cfRule>
    <cfRule type="cellIs" dxfId="2" priority="61" operator="equal">
      <formula>"Overdue"</formula>
    </cfRule>
    <cfRule type="cellIs" dxfId="2" priority="62" operator="equal">
      <formula>"Out of limits"</formula>
    </cfRule>
    <cfRule type="cellIs" dxfId="2" priority="63" operator="equal">
      <formula>"No"</formula>
    </cfRule>
  </conditionalFormatting>
  <conditionalFormatting sqref="K99:K105">
    <cfRule type="cellIs" dxfId="0" priority="65" operator="equal">
      <formula>"On target"</formula>
    </cfRule>
    <cfRule type="cellIs" dxfId="0" priority="66" operator="equal">
      <formula>"PASS"</formula>
    </cfRule>
    <cfRule type="cellIs" dxfId="0" priority="67" operator="equal">
      <formula>"OK"</formula>
    </cfRule>
    <cfRule type="cellIs" dxfId="0" priority="68" operator="equal">
      <formula>"Within limits"</formula>
    </cfRule>
    <cfRule type="cellIs" dxfId="0" priority="69" operator="equal">
      <formula>"Under capacity"</formula>
    </cfRule>
    <cfRule type="cellIs" dxfId="0" priority="70" operator="equal">
      <formula>"Complete"</formula>
    </cfRule>
    <cfRule type="cellIs" dxfId="0" priority="71" operator="equal">
      <formula>"Yes"</formula>
    </cfRule>
    <cfRule type="cellIs" dxfId="1" priority="72" operator="equal">
      <formula>"Near target"</formula>
    </cfRule>
    <cfRule type="cellIs" dxfId="1" priority="73" operator="equal">
      <formula>"Check"</formula>
    </cfRule>
    <cfRule type="cellIs" dxfId="1" priority="74" operator="equal">
      <formula>"Due soon"</formula>
    </cfRule>
    <cfRule type="cellIs" dxfId="1" priority="75" operator="equal">
      <formula>"Near capacity"</formula>
    </cfRule>
    <cfRule type="cellIs" dxfId="1" priority="76" operator="equal">
      <formula>"In progress"</formula>
    </cfRule>
    <cfRule type="cellIs" dxfId="1" priority="77" operator="equal">
      <formula>"Partial"</formula>
    </cfRule>
    <cfRule type="cellIs" dxfId="2" priority="78" operator="equal">
      <formula>"Below target"</formula>
    </cfRule>
    <cfRule type="cellIs" dxfId="2" priority="79" operator="equal">
      <formula>"Above target"</formula>
    </cfRule>
    <cfRule type="cellIs" dxfId="2" priority="80" operator="equal">
      <formula>"FAIL"</formula>
    </cfRule>
    <cfRule type="cellIs" dxfId="2" priority="81" operator="equal">
      <formula>"Over capacity"</formula>
    </cfRule>
    <cfRule type="cellIs" dxfId="2" priority="82" operator="equal">
      <formula>"Overdue"</formula>
    </cfRule>
    <cfRule type="cellIs" dxfId="2" priority="83" operator="equal">
      <formula>"Out of limits"</formula>
    </cfRule>
    <cfRule type="cellIs" dxfId="2" priority="84" operator="equal">
      <formula>"No"</formula>
    </cfRule>
  </conditionalFormatting>
  <conditionalFormatting sqref="O76:O83">
    <cfRule type="expression" dxfId="3" priority="41">
      <formula>$O76="OK"</formula>
    </cfRule>
    <cfRule type="expression" dxfId="1" priority="42">
      <formula>AND($O76&lt;&gt;"",$O76&lt;&gt;"OK")</formula>
    </cfRule>
  </conditionalFormatting>
  <hyperlinks>
    <hyperlink ref="P2" r:id="rId1" tooltip="Free manufacturing calculators and templates"/>
  </hyperlinks>
  <printOptions horizontalCentered="1"/>
  <pageMargins left="0.4" right="0.4" top="0.7" bottom="0.65" header="0.3" footer="0.3"/>
  <pageSetup fitToHeight="0" orientation="landscape"/>
  <headerFooter>
    <oddHeader>&amp;L&amp;8MFG Calcs - Line Balance&amp;R&amp;8&amp;A</oddHeader>
    <oddFooter>&amp;L&amp;8mfgcalcs.com - free manufacturing templates&amp;R&amp;8Page &amp;P of &amp;N</oddFooter>
  </headerFooter>
  <rowBreaks count="3" manualBreakCount="3">
    <brk id="37" max="16383" man="1"/>
    <brk id="73" max="16383" man="1"/>
    <brk id="106" max="16383" man="1"/>
  </rowBreaks>
  <tableParts count="2">
    <tablePart r:id="rId2"/>
    <tablePart r:id="rId3"/>
  </tableParts>
  <extLst>
    <ext xmlns:x14="http://schemas.microsoft.com/office/spreadsheetml/2009/9/main" uri="{78C0D931-6437-407d-A8EE-F0AAD7539E65}">
      <x14:conditionalFormattings>
        <x14:conditionalFormatting xmlns:xm="http://schemas.microsoft.com/office/excel/2006/main">
          <x14:cfRule type="dataBar" id="{DA7ABA51-AAAA-BBBB-0006-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I88:I94</xm:sqref>
        </x14:conditionalFormatting>
        <x14:conditionalFormatting xmlns:xm="http://schemas.microsoft.com/office/excel/2006/main">
          <x14:cfRule type="dataBar" id="{DA7ABA51-AAAA-BBBB-0006-000000000002}">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I99:I105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27</vt:i4>
      </vt:variant>
    </vt:vector>
  </HeadingPairs>
  <TitlesOfParts>
    <vt:vector size="33" baseType="lpstr">
      <vt:lpstr>Start Here</vt:lpstr>
      <vt:lpstr>Setup</vt:lpstr>
      <vt:lpstr>Work Elements</vt:lpstr>
      <vt:lpstr>Dashboard</vt:lpstr>
      <vt:lpstr>Method</vt:lpstr>
      <vt:lpstr>Verify</vt:lpstr>
      <vt:lpstr>Currency</vt:lpstr>
      <vt:lpstr>Demand</vt:lpstr>
      <vt:lpstr>KpiCost</vt:lpstr>
      <vt:lpstr>KpiCurBn</vt:lpstr>
      <vt:lpstr>KpiCurEff</vt:lpstr>
      <vt:lpstr>KpiOps</vt:lpstr>
      <vt:lpstr>KpiOutput</vt:lpstr>
      <vt:lpstr>KpiPropBn</vt:lpstr>
      <vt:lpstr>KpiPropEff</vt:lpstr>
      <vt:lpstr>KpiTakt</vt:lpstr>
      <vt:lpstr>LabourRate</vt:lpstr>
      <vt:lpstr>LineName</vt:lpstr>
      <vt:lpstr>NearAt</vt:lpstr>
      <vt:lpstr>NetMin</vt:lpstr>
      <vt:lpstr>OverAt</vt:lpstr>
      <vt:lpstr>Dashboard!Print_Area</vt:lpstr>
      <vt:lpstr>Method!Print_Area</vt:lpstr>
      <vt:lpstr>Setup!Print_Area</vt:lpstr>
      <vt:lpstr>'Start Here'!Print_Area</vt:lpstr>
      <vt:lpstr>Verify!Print_Area</vt:lpstr>
      <vt:lpstr>'Work Elements'!Print_Area</vt:lpstr>
      <vt:lpstr>Method!Print_Titles</vt:lpstr>
      <vt:lpstr>'Work Elements'!Print_Titles</vt:lpstr>
      <vt:lpstr>SelfCheck</vt:lpstr>
      <vt:lpstr>SelfCheckSummary</vt:lpstr>
      <vt:lpstr>Takt</vt:lpstr>
      <vt:lpstr>TargetEff</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Line Balance - free Excel template from MFG Calcs</dc:title>
  <dc:subject>Assign work elements to stations, see each station's load against takt in a Yamazumi chart, and compare today's balance with a proposed one.</dc:subject>
  <dc:creator>MFG Calcs</dc:creator>
  <cp:keywords>line balancing, Yamazumi, takt time, balance efficiency, balance delay, bottleneck, work elements, precedence</cp:keywords>
  <dc:description>https://www.mfgcalcs.com/templates/line-balance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line-balance</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https://www.mfgcalcs.com/templates/line-balance</vt:lpwstr>
  </property>
  <property fmtid="{D5CDD505-2E9C-101B-9397-08002B2CF9AE}" pid="7" name="Template sheet roles">
    <vt:lpwstr>Start Here=start;Setup=setup;Work Elements=work;Dashboard=dashboard;Method=method;Verify=verify</vt:lpwstr>
  </property>
</Properties>
</file>