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ates" sheetId="3" r:id="rId3"/>
    <sheet name="Dashboard" sheetId="4" r:id="rId4"/>
    <sheet name="Method" sheetId="5" r:id="rId5"/>
    <sheet name="Verify" sheetId="6" r:id="rId6"/>
  </sheets>
  <definedNames>
    <definedName name="AreaUnit">Setup!$C$14</definedName>
    <definedName name="CoName">Setup!$C$6</definedName>
    <definedName name="Currency">Setup!$C$7</definedName>
    <definedName name="DashMachine">Dashboard!$C$4</definedName>
    <definedName name="EnergyPrice">Setup!$C$13</definedName>
    <definedName name="KpiAnnual">Dashboard!$B$8</definedName>
    <definedName name="KpiAvg">Dashboard!$D$8</definedName>
    <definedName name="KpiBelow">Dashboard!$G$8</definedName>
    <definedName name="KpiUnder">Dashboard!$J$8</definedName>
    <definedName name="LabourRate">Setup!$C$11</definedName>
    <definedName name="MachineList">Rates!$D$6:$M$6</definedName>
    <definedName name="OverheadPct">Setup!$C$12</definedName>
    <definedName name="_xlnm.Print_Area" localSheetId="3">Dashboard!$A$1:$L$69</definedName>
    <definedName name="_xlnm.Print_Area" localSheetId="4">Method!$A$1:$D$60</definedName>
    <definedName name="_xlnm.Print_Area" localSheetId="2">Rates!$A$1:$N$40</definedName>
    <definedName name="_xlnm.Print_Area" localSheetId="1">Setup!$A$1:$E$17</definedName>
    <definedName name="_xlnm.Print_Area" localSheetId="0">'Start Here'!$A$1:$F$56</definedName>
    <definedName name="_xlnm.Print_Area" localSheetId="5">Verify!$A$1:$P$95</definedName>
    <definedName name="_xlnm.Print_Titles" localSheetId="4">Method!$1:$2</definedName>
    <definedName name="SelfCheck">Verify!$D$4</definedName>
    <definedName name="SelfCheckSummary">Verify!$F$4</definedName>
    <definedName name="SelIdx">IFERROR(MATCH(DashMachine,Rates!$D$6:$M$6,0),1)</definedName>
    <definedName name="SpaceRate">Setup!$C$15</definedName>
  </definedNames>
  <calcPr calcId="124519" fullCalcOnLoad="1"/>
</workbook>
</file>

<file path=xl/sharedStrings.xml><?xml version="1.0" encoding="utf-8"?>
<sst xmlns="http://schemas.openxmlformats.org/spreadsheetml/2006/main" count="386" uniqueCount="263">
  <si>
    <t>Machine Hour Rate</t>
  </si>
  <si>
    <t>Read this first: what the workbook does and how to use it.</t>
  </si>
  <si>
    <t>mfgcalcs.com</t>
  </si>
  <si>
    <t>Build a defensible hourly rate for every machine from ownership, space, energy, upkeep and productive hours, and see which machines are charged below their full cost.</t>
  </si>
  <si>
    <t>For: Cost engineers, estimators, plant controllers and owners of machine shops, fabricators and moulders who set or audit shop rates.</t>
  </si>
  <si>
    <t>Version 1.0.0  ·  updated 15 October 2026</t>
  </si>
  <si>
    <t>Quick start</t>
  </si>
  <si>
    <t>1.</t>
  </si>
  <si>
    <t>On Setup, type your currency, loaded operator rate, overhead uplift, energy price, area unit and space cost.</t>
  </si>
  <si>
    <t>2.</t>
  </si>
  <si>
    <t>On Rates, give each machine a column: purchase cost, residual value, life, floor area, power and its annual upkeep costs.</t>
  </si>
  <si>
    <t>3.</t>
  </si>
  <si>
    <t>Type each machine's shifts, hours, working days and utilisation; productive hours are the divisor of every rate.</t>
  </si>
  <si>
    <t>4.</t>
  </si>
  <si>
    <t>Type the rate you charge today; read the full cost rate, the gap, the status word and the Check row.</t>
  </si>
  <si>
    <t>5.</t>
  </si>
  <si>
    <t>On the Dashboard, pick a machine to see how its rate moves with utilisation.</t>
  </si>
  <si>
    <t>What is in this workbook</t>
  </si>
  <si>
    <t>Start Here</t>
  </si>
  <si>
    <t>Setup</t>
  </si>
  <si>
    <t>Currency, operator rate, overhead uplift, energy price and space cost used by every machine.</t>
  </si>
  <si>
    <t>Rates</t>
  </si>
  <si>
    <t>One column per machine: ownership, space, energy, upkeep and productive hours, the hourly rates and the rate you charge.</t>
  </si>
  <si>
    <t>Dashboard</t>
  </si>
  <si>
    <t>Annual machine cost, full cost rates against the rates charged, and how utilisation moves a rate.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</si>
  <si>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</si>
  <si>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</si>
  <si>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</si>
  <si>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</si>
  <si>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</si>
  <si>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</si>
  <si>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</si>
  <si>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</si>
  <si>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</si>
  <si>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</si>
  <si>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</si>
  <si>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</si>
  <si>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</si>
  <si>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</si>
  <si>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</si>
  <si>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</si>
  <si>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</si>
  <si>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</si>
  <si>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</si>
  <si>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</si>
  <si>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Machine Hour Rate Calculator on mfgcalcs.com</t>
  </si>
  <si>
    <t>Latest version</t>
  </si>
  <si>
    <t>mfgcalcs.com/templates/machine-hour-rate</t>
  </si>
  <si>
    <t>More free templates</t>
  </si>
  <si>
    <t>mfgcalcs.com/templates</t>
  </si>
  <si>
    <t>Version</t>
  </si>
  <si>
    <t>1.0.0 (updated 15 October 2026)</t>
  </si>
  <si>
    <t>About the example data</t>
  </si>
  <si>
    <t>Every number already in this workbook is example data for Ashworth Precision, a fictional business invented for this template, so the dashboard and charts show something meaningful on day one. It rates ten machines (lathes, machining centres, a fibre laser, a press brake, a weld cell, a grinder and a CMM); prices, rates and costs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</si>
  <si>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</si>
  <si>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</si>
  <si>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</si>
  <si>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</si>
  <si>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</si>
  <si>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</si>
  <si>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</si>
  <si>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</si>
  <si>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currency</t>
  </si>
  <si>
    <t>Company or plant</t>
  </si>
  <si>
    <t>Ashworth Precision (example)</t>
  </si>
  <si>
    <t>Currency label</t>
  </si>
  <si>
    <t>GBP</t>
  </si>
  <si>
    <t>Rates used by every machine</t>
  </si>
  <si>
    <t>Operator rate, loaded</t>
  </si>
  <si>
    <t>Overhead uplift on the loaded rate</t>
  </si>
  <si>
    <t>Electricity price</t>
  </si>
  <si>
    <t>Floor area unit</t>
  </si>
  <si>
    <t>m²</t>
  </si>
  <si>
    <t>Space cost per year</t>
  </si>
  <si>
    <t>The rates are examples for a fictional shop: use your payroll, energy bills and building costs. 'Near target' means the rate charged is within 5% below the full cost rate; nothing here is an industry benchmark.</t>
  </si>
  <si>
    <t>Example for Ashworth Precision (fictional). Overwrite the yellow cells with your own machines; clear a machine's name to leave its column out. Blue cells calculate; the Check row names anything that does not add up.</t>
  </si>
  <si>
    <t>Machine</t>
  </si>
  <si>
    <t>Unit</t>
  </si>
  <si>
    <t>CNC lathe</t>
  </si>
  <si>
    <t>Swiss lathe</t>
  </si>
  <si>
    <t>VMC 1</t>
  </si>
  <si>
    <t>VMC 2</t>
  </si>
  <si>
    <t>5-axis mill</t>
  </si>
  <si>
    <t>Fibre laser</t>
  </si>
  <si>
    <t>Press brake</t>
  </si>
  <si>
    <t>Weld cell</t>
  </si>
  <si>
    <t>Grinder</t>
  </si>
  <si>
    <t>CMM</t>
  </si>
  <si>
    <t>All machines</t>
  </si>
  <si>
    <t>Purchase cost, installed</t>
  </si>
  <si>
    <t>Residual value at end of life</t>
  </si>
  <si>
    <t>Useful life</t>
  </si>
  <si>
    <t>years</t>
  </si>
  <si>
    <t>Interest on capital</t>
  </si>
  <si>
    <t>%/yr</t>
  </si>
  <si>
    <t>Floor area incl. aisle and staging</t>
  </si>
  <si>
    <t>Rated power</t>
  </si>
  <si>
    <t>kW</t>
  </si>
  <si>
    <t>Average load while running</t>
  </si>
  <si>
    <t>% of rated</t>
  </si>
  <si>
    <t>Maintenance and repairs</t>
  </si>
  <si>
    <t>Tooling and consumables</t>
  </si>
  <si>
    <t>Insurance, lease and other</t>
  </si>
  <si>
    <t>Shifts per day</t>
  </si>
  <si>
    <t>shifts</t>
  </si>
  <si>
    <t>Paid hours per shift</t>
  </si>
  <si>
    <t>h</t>
  </si>
  <si>
    <t>Working days per year</t>
  </si>
  <si>
    <t>days/yr</t>
  </si>
  <si>
    <t>Utilisation</t>
  </si>
  <si>
    <t>% of scheduled</t>
  </si>
  <si>
    <t>Operators per machine</t>
  </si>
  <si>
    <t>people</t>
  </si>
  <si>
    <t>Rate you charge today</t>
  </si>
  <si>
    <t>Depreciation</t>
  </si>
  <si>
    <t>Interest on average capital</t>
  </si>
  <si>
    <t>Space</t>
  </si>
  <si>
    <t>Scheduled hours</t>
  </si>
  <si>
    <t>h/yr</t>
  </si>
  <si>
    <t>Productive hours</t>
  </si>
  <si>
    <t>Energy</t>
  </si>
  <si>
    <t>Annual machine cost</t>
  </si>
  <si>
    <t>Machine-only rate</t>
  </si>
  <si>
    <t>Operator cost per machine hour</t>
  </si>
  <si>
    <t>Loaded rate (machine + operator)</t>
  </si>
  <si>
    <t>Labour share of loaded rate</t>
  </si>
  <si>
    <t>%</t>
  </si>
  <si>
    <t>Full cost rate (with overhead)</t>
  </si>
  <si>
    <t>Rate charged - full cost rate</t>
  </si>
  <si>
    <t>Rate status</t>
  </si>
  <si>
    <t>Over (+) or under (-) recovery, est.</t>
  </si>
  <si>
    <t>Check</t>
  </si>
  <si>
    <t>Annual machine cost = depreciation + interest + space + energy + maintenance + tooling + insurance, lease and other. Machine-only rate = annual machine cost / productive hours. Loaded rate adds the operators; the full cost rate adds the overhead uplift on Setup and is what the rate you charge must cover. Every formula is on Method.</t>
  </si>
  <si>
    <t>Machine shown</t>
  </si>
  <si>
    <t>MACHINES CHARGED BELOW FULL COST</t>
  </si>
  <si>
    <t>All machines, operators excluded</t>
  </si>
  <si>
    <t>Weighted by productive hours</t>
  </si>
  <si>
    <t>Rate status Below target on Rates</t>
  </si>
  <si>
    <t>Shortfall x productive hours</t>
  </si>
  <si>
    <t>By machine: full cost rate against the rate charged</t>
  </si>
  <si>
    <t>Loaded rate</t>
  </si>
  <si>
    <t>Full cost rate</t>
  </si>
  <si>
    <t>Rate charged</t>
  </si>
  <si>
    <t>Gap</t>
  </si>
  <si>
    <t>Over or under recovery, est.</t>
  </si>
  <si>
    <t>Chart data: full cost rate of the machine shown at other utilisations</t>
  </si>
  <si>
    <t>Full cost rate at this utilisation</t>
  </si>
  <si>
    <t>Rate you charge</t>
  </si>
  <si>
    <t>Chart data: full cost rate build-up per machine hour</t>
  </si>
  <si>
    <t>Depreciation and interest</t>
  </si>
  <si>
    <t>Upkeep, insurance, lease</t>
  </si>
  <si>
    <t>Operator</t>
  </si>
  <si>
    <t>Overhead uplift</t>
  </si>
  <si>
    <t>Rates holds 10 machine columns. For more machines, copy the workbook per area or cell; the curve assumes every annual cost except energy stays the same when utilisation changes (see Method).</t>
  </si>
  <si>
    <t>What this workbook calculates</t>
  </si>
  <si>
    <t>A machine hour rate spreads what a machine costs in a year over the hours it actually makes parts. The year's cost is ownership (depreciation and interest on the money tied up), the floor space it occupies, the energy it draws and its upkeep (maintenance, tooling and consumables, insurance or lease). The divisor is productive hours: scheduled hours times the share of them the machine really runs, which is why the same machine costs far more per hour on one shift than on two. The operator and an overhead uplift turn it into the full cost rate a quote must cover.</t>
  </si>
  <si>
    <t>Calculations</t>
  </si>
  <si>
    <t>Quantity</t>
  </si>
  <si>
    <t>How it is calculated</t>
  </si>
  <si>
    <t>Units</t>
  </si>
  <si>
    <t>(Purchase cost - residual value) / useful life (straight line).</t>
  </si>
  <si>
    <t>currency/yr</t>
  </si>
  <si>
    <t>(Purchase cost + residual value) / 2 x interest rate.</t>
  </si>
  <si>
    <t>Floor area x space cost per area unit per year (Setup).</t>
  </si>
  <si>
    <t>Scheduled, productive hours</t>
  </si>
  <si>
    <t>Shifts x hours per shift x working days; productive = scheduled x utilisation.</t>
  </si>
  <si>
    <t>Rated kW x average load x productive hours x electricity price (Setup).</t>
  </si>
  <si>
    <t>Depreciation + interest + space + energy + maintenance + tooling and consumables + insurance, lease and other.</t>
  </si>
  <si>
    <t>Annual machine cost / productive hours.</t>
  </si>
  <si>
    <t>currency/h</t>
  </si>
  <si>
    <t>Operators per machine x loaded operator rate (Setup).</t>
  </si>
  <si>
    <t>Loaded rate, labour share</t>
  </si>
  <si>
    <t>Machine-only rate + operator cost; labour share = operator cost / loaded rate.</t>
  </si>
  <si>
    <t>currency/h, %</t>
  </si>
  <si>
    <t>Loaded rate x (1 + overhead uplift on Setup).</t>
  </si>
  <si>
    <t>Gap, status, recovery</t>
  </si>
  <si>
    <t>Rate charged - full cost rate; On target when the rate charged covers it, Near target within 5% below, Below target otherwise; recovery = gap x productive hours per year (estimate).</t>
  </si>
  <si>
    <t>Dashboard tiles</t>
  </si>
  <si>
    <t>Sum of annual machine cost; full cost rate weighted by productive hours; count of Below target; under-recovery = minus the sum of the negative recoveries.</t>
  </si>
  <si>
    <t>-</t>
  </si>
  <si>
    <t>Rate by utilisation</t>
  </si>
  <si>
    <t>((Annual cost - energy) / (scheduled hours x utilisation) + kW x load x energy price + operator cost) x (1 + overhead).</t>
  </si>
  <si>
    <t>Assumptions</t>
  </si>
  <si>
    <t>Straight-line depreciation over the useful life, and interest on the average capital (half of purchase plus residual), as in the usual machine-rate method; set the interest rate to 0% to leave it out.</t>
  </si>
  <si>
    <t>Energy is drawn only in productive hours, at the average load; idle and standby power are left out (raise the load factor to include them).</t>
  </si>
  <si>
    <t>Every other annual cost is fixed for the year: it does not change with utilisation (the curve on the Dashboard relies on this).</t>
  </si>
  <si>
    <t>The operator cost is charged for every productive hour; operators per machine split one person across the machines they run.</t>
  </si>
  <si>
    <t>Limitations</t>
  </si>
  <si>
    <t>Setup, programming and inspection time are not separated: if they are not productive hours, the rate is spread over fewer hours, or cost them as their own rate.</t>
  </si>
  <si>
    <t>The overhead uplift is one percentage for every machine; a plant with very different overhead per area should split it into work centres.</t>
  </si>
  <si>
    <t>Rates holds 10 machines; copy the workbook for more.</t>
  </si>
  <si>
    <t>Money is not discounted beyond the interest charge; replacement-value methods (indexing the purchase cost) are not modelled.</t>
  </si>
  <si>
    <t>Agreement with the live calculator</t>
  </si>
  <si>
    <t>The live Machine Hour Rate calculator computes annual ownership cost = purchase cost / useful life + annual maintenance, power and space; machine-only rate = annual cost / available productive hours; loaded rate = machine-only rate + operator labour rate; labour share = labour rate / loaded rate; and cost per part from a cycle time. This workbook is the same model when residual value and interest are 0 and one operator runs the machine; it adds residual value, interest, energy from kW, the hours build-up, operators per machine, the overhead uplift and the comparison with the rate charged, and leaves cost per part to the Unit Cost template. The build checks the reference against the calculator's engine for its own example (180,000 over 7 years, 26,500 per year, 3,200 hours, 34 per hour: loaded rate 50.32) and for one example machine.</t>
  </si>
  <si>
    <t>Open the Machine Hour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</si>
  <si>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</si>
  <si>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</si>
  <si>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VDI 3258 (Kostenrechnung mit Maschinenstundensatzen), the German guideline for machine hour rates: the cost elements and the interest on average capital follow its structure (named, not reproduced).</t>
  </si>
  <si>
    <t>Cost allocation by machine hour as described in management accounting texts, e.g. Horngren, Datar and Rajan, Cost Accounting: A Managerial Emphasis.</t>
  </si>
  <si>
    <t>MFG Calcs Machine Hour Rate calculator (machine-hour-rate): annual ownership cost, machine-only rate, loaded rate and labour share.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</si>
  <si>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</si>
  <si>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</si>
  <si>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</si>
  <si>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</si>
  <si>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</si>
  <si>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</si>
  <si>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</si>
  <si>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</si>
  <si>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</si>
  <si>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</si>
  <si>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</si>
  <si>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</si>
  <si>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</si>
  <si>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</si>
  <si>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</si>
  <si>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</si>
  <si>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Calculator example: annual machine cost (calculator: 52,214.29)</t>
  </si>
  <si>
    <t>Calculator example: machine-only rate (calculator: 16.32)</t>
  </si>
  <si>
    <t>Calculator example: loaded rate (calculator: 50.32)</t>
  </si>
  <si>
    <t>Calculator example: labour share (calculator: 67.6%)</t>
  </si>
  <si>
    <t>Calculator example: full cost rate with 30% overhead</t>
  </si>
  <si>
    <t>Calculator example: status of a 60.00 rate charged</t>
  </si>
  <si>
    <t>Below target</t>
  </si>
  <si>
    <t>exact</t>
  </si>
  <si>
    <t>Full model: depreciation</t>
  </si>
  <si>
    <t>Full model: interest on average capital</t>
  </si>
  <si>
    <t>Full model: space</t>
  </si>
  <si>
    <t>Full model: productive hours</t>
  </si>
  <si>
    <t>Full model: energy</t>
  </si>
  <si>
    <t>Full model: annual machine cost</t>
  </si>
  <si>
    <t>Full model: operator cost per machine hour</t>
  </si>
  <si>
    <t>Full model: full cost rate</t>
  </si>
  <si>
    <t>Full model: gap to the rate charged</t>
  </si>
  <si>
    <t>Full model: status</t>
  </si>
  <si>
    <t>On target</t>
  </si>
  <si>
    <t>Full model: over or under recovery</t>
  </si>
  <si>
    <t>Residual above cost: Check</t>
  </si>
  <si>
    <t>Residual above purchase cost</t>
  </si>
  <si>
    <t>Three 9-hour shifts: Check</t>
  </si>
  <si>
    <t>More than 24 hours a day</t>
  </si>
  <si>
    <t>Idle machine: Check</t>
  </si>
  <si>
    <t>No productive hours</t>
  </si>
  <si>
    <t>Idle machine: no rate (blank, not an error)</t>
  </si>
  <si>
    <t/>
  </si>
  <si>
    <t>Empty slot: annual cost stays blank</t>
  </si>
  <si>
    <t>Dashboard: annual machine cost</t>
  </si>
  <si>
    <t>Dashboard: average full cost rate</t>
  </si>
  <si>
    <t>Dashboard: machines below full cost</t>
  </si>
  <si>
    <t>Dashboard: under-recovery per year</t>
  </si>
  <si>
    <t>Curve: full model at 50% utilisation</t>
  </si>
  <si>
    <t>Curve: full model at 100% utilisation</t>
  </si>
  <si>
    <t>Fixed test inputs</t>
  </si>
  <si>
    <t>White cells are fixed test inputs; blue cells are the workbook's formulas evaluated on them.</t>
  </si>
  <si>
    <t>Parameters</t>
  </si>
  <si>
    <t>Space cost per area unit per year</t>
  </si>
  <si>
    <t>Machine shown on the curve (slot number)</t>
  </si>
  <si>
    <t>Test machines (slot 1 is the live calculator's example; empty slots must stay blank)</t>
  </si>
  <si>
    <t>Calc. example</t>
  </si>
  <si>
    <t>Full model</t>
  </si>
  <si>
    <t>Residual high</t>
  </si>
  <si>
    <t>3 x 9 h shifts</t>
  </si>
  <si>
    <t>Idle all year</t>
  </si>
  <si>
    <t>Test rate-by-utilisation curve for slot 2 (same formulas as the Dashboard)</t>
  </si>
</sst>
</file>

<file path=xl/styles.xml><?xml version="1.0" encoding="utf-8"?>
<styleSheet xmlns="http://schemas.openxmlformats.org/spreadsheetml/2006/main">
  <numFmts count="8">
    <numFmt numFmtId="164" formatCode="#,##0.00"/>
    <numFmt numFmtId="165" formatCode="0.0%"/>
    <numFmt numFmtId="166" formatCode="#,##0.0000"/>
    <numFmt numFmtId="167" formatCode="#,##0"/>
    <numFmt numFmtId="168" formatCode="#,##0.0"/>
    <numFmt numFmtId="169" formatCode="0%"/>
    <numFmt numFmtId="170" formatCode="0.0E+00"/>
    <numFmt numFmtId="171" formatCode="0.00%"/>
  </numFmts>
  <fonts count="23">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horizontal="center" vertical="center"/>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7" fontId="9" fillId="4" borderId="3" xfId="0" applyNumberFormat="1" applyFont="1" applyFill="1" applyBorder="1" applyAlignment="1">
      <alignment vertical="center"/>
    </xf>
    <xf numFmtId="167" fontId="9" fillId="4" borderId="6" xfId="0" applyNumberFormat="1" applyFont="1" applyFill="1" applyBorder="1" applyAlignment="1">
      <alignment vertical="center"/>
    </xf>
    <xf numFmtId="164"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4" fontId="15" fillId="4" borderId="3" xfId="0" applyNumberFormat="1" applyFont="1" applyFill="1" applyBorder="1" applyAlignment="1">
      <alignment horizontal="center" vertical="center"/>
    </xf>
    <xf numFmtId="0" fontId="10" fillId="4" borderId="3" xfId="0" applyFont="1" applyFill="1" applyBorder="1" applyAlignment="1">
      <alignment horizontal="center" vertical="center"/>
    </xf>
    <xf numFmtId="0" fontId="19" fillId="0" borderId="0" xfId="0" applyFont="1" applyAlignment="1">
      <alignment vertical="center"/>
    </xf>
    <xf numFmtId="0" fontId="20" fillId="9" borderId="7" xfId="0" applyFont="1" applyFill="1" applyBorder="1" applyAlignment="1">
      <alignment vertical="center" wrapText="1"/>
    </xf>
    <xf numFmtId="167" fontId="4" fillId="9" borderId="8" xfId="0" applyNumberFormat="1" applyFont="1" applyFill="1" applyBorder="1" applyAlignment="1">
      <alignment horizontal="left" vertical="center"/>
    </xf>
    <xf numFmtId="164" fontId="4" fillId="9" borderId="8" xfId="0" applyNumberFormat="1" applyFont="1" applyFill="1" applyBorder="1" applyAlignment="1">
      <alignment horizontal="left" vertical="center"/>
    </xf>
    <xf numFmtId="0" fontId="21" fillId="9" borderId="8" xfId="0" applyFont="1" applyFill="1" applyBorder="1" applyAlignment="1">
      <alignment vertical="center"/>
    </xf>
    <xf numFmtId="0" fontId="20" fillId="9" borderId="9" xfId="0" applyFont="1" applyFill="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9" fillId="0" borderId="10" xfId="0" applyFont="1" applyBorder="1" applyAlignment="1">
      <alignment vertical="center"/>
    </xf>
    <xf numFmtId="169" fontId="9" fillId="0" borderId="10" xfId="0" applyNumberFormat="1" applyFont="1" applyBorder="1" applyAlignment="1">
      <alignment vertical="center"/>
    </xf>
    <xf numFmtId="164" fontId="10" fillId="0" borderId="10" xfId="0" applyNumberFormat="1" applyFont="1" applyBorder="1" applyAlignment="1">
      <alignment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67" fontId="9" fillId="0" borderId="10" xfId="0" applyNumberFormat="1" applyFont="1" applyBorder="1" applyAlignment="1">
      <alignment horizontal="center" vertical="center"/>
    </xf>
    <xf numFmtId="170" fontId="10" fillId="4" borderId="3" xfId="0" applyNumberFormat="1" applyFont="1" applyFill="1" applyBorder="1" applyAlignment="1">
      <alignment vertical="center"/>
    </xf>
    <xf numFmtId="170" fontId="10" fillId="0" borderId="10" xfId="0" applyNumberFormat="1" applyFont="1" applyBorder="1" applyAlignment="1">
      <alignment vertical="center"/>
    </xf>
    <xf numFmtId="166" fontId="10" fillId="0" borderId="10" xfId="0" applyNumberFormat="1" applyFont="1" applyBorder="1" applyAlignment="1">
      <alignment vertical="center"/>
    </xf>
    <xf numFmtId="166" fontId="10" fillId="4" borderId="3" xfId="0" applyNumberFormat="1" applyFont="1" applyFill="1" applyBorder="1" applyAlignment="1">
      <alignment vertical="center"/>
    </xf>
    <xf numFmtId="171" fontId="10" fillId="0" borderId="10" xfId="0" applyNumberFormat="1" applyFont="1" applyBorder="1" applyAlignment="1">
      <alignment vertical="center"/>
    </xf>
    <xf numFmtId="171" fontId="10" fillId="4" borderId="3" xfId="0" applyNumberFormat="1" applyFont="1" applyFill="1" applyBorder="1" applyAlignment="1">
      <alignment vertical="center"/>
    </xf>
    <xf numFmtId="0" fontId="10" fillId="4" borderId="3" xfId="0" applyFont="1" applyFill="1" applyBorder="1" applyAlignment="1">
      <alignment vertical="center"/>
    </xf>
    <xf numFmtId="168" fontId="10" fillId="0" borderId="10" xfId="0" applyNumberFormat="1" applyFont="1" applyBorder="1" applyAlignment="1">
      <alignment vertical="center"/>
    </xf>
    <xf numFmtId="168" fontId="10" fillId="4" borderId="3" xfId="0" applyNumberFormat="1" applyFont="1" applyFill="1" applyBorder="1" applyAlignment="1">
      <alignment vertical="center"/>
    </xf>
    <xf numFmtId="167" fontId="10" fillId="0" borderId="10" xfId="0" applyNumberFormat="1" applyFont="1" applyBorder="1" applyAlignment="1">
      <alignment vertical="center"/>
    </xf>
    <xf numFmtId="165" fontId="10" fillId="0" borderId="10" xfId="0" applyNumberFormat="1" applyFont="1" applyBorder="1" applyAlignment="1">
      <alignment vertical="center"/>
    </xf>
    <xf numFmtId="169"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Full cost rate build-up per machine hour</a:t>
            </a:r>
          </a:p>
        </c:rich>
      </c:tx>
      <c:layout/>
    </c:title>
    <c:plotArea>
      <c:layout/>
      <c:barChart>
        <c:barDir val="bar"/>
        <c:grouping val="stacked"/>
        <c:ser>
          <c:idx val="0"/>
          <c:order val="0"/>
          <c:tx>
            <c:v>Depreciation and interest</c:v>
          </c:tx>
          <c:spPr>
            <a:solidFill>
              <a:srgbClr val="3B64D8"/>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Dashboard!$C$58:$C$67</c:f>
              <c:numCache>
                <c:formatCode>General</c:formatCode>
                <c:ptCount val="10"/>
                <c:pt idx="0">
                  <c:v>6.87056737588653</c:v>
                </c:pt>
                <c:pt idx="1">
                  <c:v>12.9654255319149</c:v>
                </c:pt>
                <c:pt idx="2">
                  <c:v>5.0709219858156</c:v>
                </c:pt>
                <c:pt idx="3">
                  <c:v>10.8662613981763</c:v>
                </c:pt>
                <c:pt idx="4">
                  <c:v>25.531914893617</c:v>
                </c:pt>
                <c:pt idx="5">
                  <c:v>25.354609929078</c:v>
                </c:pt>
                <c:pt idx="6">
                  <c:v>12.0744680851064</c:v>
                </c:pt>
                <c:pt idx="7">
                  <c:v>11.2315875613748</c:v>
                </c:pt>
                <c:pt idx="8">
                  <c:v>13.8593380614657</c:v>
                </c:pt>
                <c:pt idx="9">
                  <c:v>15.1063829787234</c:v>
                </c:pt>
              </c:numCache>
            </c:numRef>
          </c:val>
        </c:ser>
        <c:ser>
          <c:idx val="1"/>
          <c:order val="1"/>
          <c:tx>
            <c:v>Space</c:v>
          </c:tx>
          <c:spPr>
            <a:solidFill>
              <a:srgbClr val="E8702A"/>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Dashboard!$D$58:$D$67</c:f>
              <c:numCache>
                <c:formatCode>General</c:formatCode>
                <c:ptCount val="10"/>
                <c:pt idx="0">
                  <c:v>0.631648936170213</c:v>
                </c:pt>
                <c:pt idx="1">
                  <c:v>0.445869837296621</c:v>
                </c:pt>
                <c:pt idx="2">
                  <c:v>0.673758865248227</c:v>
                </c:pt>
                <c:pt idx="3">
                  <c:v>1.44376899696049</c:v>
                </c:pt>
                <c:pt idx="4">
                  <c:v>1.37814313346228</c:v>
                </c:pt>
                <c:pt idx="5">
                  <c:v>2.52659574468085</c:v>
                </c:pt>
                <c:pt idx="6">
                  <c:v>2.10549645390071</c:v>
                </c:pt>
                <c:pt idx="7">
                  <c:v>1.36047463175123</c:v>
                </c:pt>
                <c:pt idx="8">
                  <c:v>1.26329787234043</c:v>
                </c:pt>
                <c:pt idx="9">
                  <c:v>2.02127659574468</c:v>
                </c:pt>
              </c:numCache>
            </c:numRef>
          </c:val>
        </c:ser>
        <c:ser>
          <c:idx val="2"/>
          <c:order val="2"/>
          <c:tx>
            <c:v>Energy</c:v>
          </c:tx>
          <c:spPr>
            <a:solidFill>
              <a:srgbClr val="1BA37A"/>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Dashboard!$E$58:$E$67</c:f>
              <c:numCache>
                <c:formatCode>General</c:formatCode>
                <c:ptCount val="10"/>
                <c:pt idx="0">
                  <c:v>1.944</c:v>
                </c:pt>
                <c:pt idx="1">
                  <c:v>1.44</c:v>
                </c:pt>
                <c:pt idx="2">
                  <c:v>1.68</c:v>
                </c:pt>
                <c:pt idx="3">
                  <c:v>1.68</c:v>
                </c:pt>
                <c:pt idx="4">
                  <c:v>3.36</c:v>
                </c:pt>
                <c:pt idx="5">
                  <c:v>5.94</c:v>
                </c:pt>
                <c:pt idx="6">
                  <c:v>1.08</c:v>
                </c:pt>
                <c:pt idx="7">
                  <c:v>3</c:v>
                </c:pt>
                <c:pt idx="8">
                  <c:v>1.728</c:v>
                </c:pt>
                <c:pt idx="9">
                  <c:v>0.432</c:v>
                </c:pt>
              </c:numCache>
            </c:numRef>
          </c:val>
        </c:ser>
        <c:ser>
          <c:idx val="3"/>
          <c:order val="3"/>
          <c:tx>
            <c:v>Upkeep, insurance, lease</c:v>
          </c:tx>
          <c:spPr>
            <a:solidFill>
              <a:srgbClr val="E0A100"/>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Dashboard!$F$58:$F$67</c:f>
              <c:numCache>
                <c:formatCode>General</c:formatCode>
                <c:ptCount val="10"/>
                <c:pt idx="0">
                  <c:v>4.35874704491726</c:v>
                </c:pt>
                <c:pt idx="1">
                  <c:v>6.7662703379224</c:v>
                </c:pt>
                <c:pt idx="2">
                  <c:v>3.29787234042553</c:v>
                </c:pt>
                <c:pt idx="3">
                  <c:v>5.16717325227964</c:v>
                </c:pt>
                <c:pt idx="4">
                  <c:v>14.1199226305609</c:v>
                </c:pt>
                <c:pt idx="5">
                  <c:v>13.2535460992908</c:v>
                </c:pt>
                <c:pt idx="6">
                  <c:v>4.78723404255319</c:v>
                </c:pt>
                <c:pt idx="7">
                  <c:v>5.68739770867431</c:v>
                </c:pt>
                <c:pt idx="8">
                  <c:v>7.71276595744681</c:v>
                </c:pt>
                <c:pt idx="9">
                  <c:v>5.53191489361702</c:v>
                </c:pt>
              </c:numCache>
            </c:numRef>
          </c:val>
        </c:ser>
        <c:ser>
          <c:idx val="4"/>
          <c:order val="4"/>
          <c:tx>
            <c:v>Operator</c:v>
          </c:tx>
          <c:spPr>
            <a:solidFill>
              <a:srgbClr val="D0558A"/>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Dashboard!$G$58:$G$67</c:f>
              <c:numCache>
                <c:formatCode>General</c:formatCode>
                <c:ptCount val="10"/>
                <c:pt idx="0">
                  <c:v>13</c:v>
                </c:pt>
                <c:pt idx="1">
                  <c:v>8.58</c:v>
                </c:pt>
                <c:pt idx="2">
                  <c:v>13</c:v>
                </c:pt>
                <c:pt idx="3">
                  <c:v>26</c:v>
                </c:pt>
                <c:pt idx="4">
                  <c:v>13</c:v>
                </c:pt>
                <c:pt idx="5">
                  <c:v>13</c:v>
                </c:pt>
                <c:pt idx="6">
                  <c:v>26</c:v>
                </c:pt>
                <c:pt idx="7">
                  <c:v>13</c:v>
                </c:pt>
                <c:pt idx="8">
                  <c:v>26</c:v>
                </c:pt>
                <c:pt idx="9">
                  <c:v>26</c:v>
                </c:pt>
              </c:numCache>
            </c:numRef>
          </c:val>
        </c:ser>
        <c:ser>
          <c:idx val="5"/>
          <c:order val="5"/>
          <c:tx>
            <c:v>Overhead uplift</c:v>
          </c:tx>
          <c:spPr>
            <a:solidFill>
              <a:srgbClr val="6250D6"/>
            </a:solidFill>
            <a:ln w="9525">
              <a:solidFill>
                <a:srgbClr val="FFFFFF"/>
              </a:solidFill>
            </a:ln>
          </c:spPr>
          <c:cat>
            <c:strRef>
              <c:f>Dashboard!$B$58:$B$67</c:f>
              <c:strCache>
                <c:ptCount val="10"/>
                <c:pt idx="0">
                  <c:v>CNC lathe</c:v>
                </c:pt>
                <c:pt idx="1">
                  <c:v>Swiss lathe</c:v>
                </c:pt>
                <c:pt idx="2">
                  <c:v>VMC 1</c:v>
                </c:pt>
                <c:pt idx="3">
                  <c:v>VMC 2</c:v>
                </c:pt>
                <c:pt idx="4">
                  <c:v>5-axis mill</c:v>
                </c:pt>
                <c:pt idx="5">
                  <c:v>Fibre laser</c:v>
                </c:pt>
                <c:pt idx="6">
                  <c:v>Press brake</c:v>
                </c:pt>
                <c:pt idx="7">
                  <c:v>Weld cell</c:v>
                </c:pt>
                <c:pt idx="8">
                  <c:v>Grinder</c:v>
                </c:pt>
                <c:pt idx="9">
                  <c:v>CMM</c:v>
                </c:pt>
              </c:strCache>
            </c:strRef>
          </c:cat>
          <c:val>
            <c:numRef>
              <c:f>Dashboard!$H$58:$H$67</c:f>
              <c:numCache>
                <c:formatCode>General</c:formatCode>
                <c:ptCount val="10"/>
                <c:pt idx="0">
                  <c:v>9.3817371749409</c:v>
                </c:pt>
                <c:pt idx="1">
                  <c:v>10.5691479974969</c:v>
                </c:pt>
                <c:pt idx="2">
                  <c:v>8.30289361702128</c:v>
                </c:pt>
                <c:pt idx="3">
                  <c:v>15.8050212765957</c:v>
                </c:pt>
                <c:pt idx="4">
                  <c:v>20.0864932301741</c:v>
                </c:pt>
                <c:pt idx="5">
                  <c:v>21.0261631205674</c:v>
                </c:pt>
                <c:pt idx="6">
                  <c:v>16.1165195035461</c:v>
                </c:pt>
                <c:pt idx="7">
                  <c:v>11.9978109656301</c:v>
                </c:pt>
                <c:pt idx="8">
                  <c:v>17.6971906619385</c:v>
                </c:pt>
                <c:pt idx="9">
                  <c:v>17.1820510638298</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Full cost rate by utilisation, machine shown</a:t>
            </a:r>
          </a:p>
        </c:rich>
      </c:tx>
      <c:layout/>
    </c:title>
    <c:plotArea>
      <c:layout/>
      <c:lineChart>
        <c:grouping val="standard"/>
        <c:ser>
          <c:idx val="0"/>
          <c:order val="0"/>
          <c:tx>
            <c:v>Full cost rate</c:v>
          </c:tx>
          <c:spPr>
            <a:ln w="28575">
              <a:solidFill>
                <a:srgbClr val="3B64D8"/>
              </a:solidFill>
            </a:ln>
          </c:spPr>
          <c:marker>
            <c:symbol val="circle"/>
            <c:size val="5"/>
            <c:spPr>
              <a:solidFill>
                <a:srgbClr val="3B64D8"/>
              </a:solidFill>
              <a:ln>
                <a:solidFill>
                  <a:srgbClr val="3B64D8"/>
                </a:solidFill>
              </a:ln>
            </c:spPr>
          </c:marker>
          <c:cat>
            <c:numRef>
              <c:f>Dashboard!$B$46:$B$53</c:f>
              <c:numCache>
                <c:formatCode>General</c:formatCode>
                <c:ptCount val="8"/>
                <c:pt idx="0">
                  <c:v>0.3</c:v>
                </c:pt>
                <c:pt idx="1">
                  <c:v>0.4</c:v>
                </c:pt>
                <c:pt idx="2">
                  <c:v>0.5</c:v>
                </c:pt>
                <c:pt idx="3">
                  <c:v>0.6</c:v>
                </c:pt>
                <c:pt idx="4">
                  <c:v>0.7</c:v>
                </c:pt>
                <c:pt idx="5">
                  <c:v>0.8</c:v>
                </c:pt>
                <c:pt idx="6">
                  <c:v>0.9</c:v>
                </c:pt>
                <c:pt idx="7">
                  <c:v>1</c:v>
                </c:pt>
              </c:numCache>
            </c:numRef>
          </c:cat>
          <c:val>
            <c:numRef>
              <c:f>Dashboard!$C$46:$C$53</c:f>
              <c:numCache>
                <c:formatCode>General</c:formatCode>
                <c:ptCount val="8"/>
                <c:pt idx="0">
                  <c:v>58.6039212765957</c:v>
                </c:pt>
                <c:pt idx="1">
                  <c:v>48.9965409574468</c:v>
                </c:pt>
                <c:pt idx="2">
                  <c:v>43.2321127659574</c:v>
                </c:pt>
                <c:pt idx="3">
                  <c:v>39.3891606382979</c:v>
                </c:pt>
                <c:pt idx="4">
                  <c:v>36.6441948328268</c:v>
                </c:pt>
                <c:pt idx="5">
                  <c:v>34.5854704787234</c:v>
                </c:pt>
                <c:pt idx="6">
                  <c:v>32.9842404255319</c:v>
                </c:pt>
                <c:pt idx="7">
                  <c:v>31.7032563829787</c:v>
                </c:pt>
              </c:numCache>
            </c:numRef>
          </c:val>
        </c:ser>
        <c:ser>
          <c:idx val="1"/>
          <c:order val="1"/>
          <c:tx>
            <c:v>Rate you charge</c:v>
          </c:tx>
          <c:spPr>
            <a:ln w="19050">
              <a:solidFill>
                <a:srgbClr val="4A5361"/>
              </a:solidFill>
              <a:prstDash val="dash"/>
            </a:ln>
          </c:spPr>
          <c:marker>
            <c:symbol val="none"/>
          </c:marker>
          <c:cat>
            <c:numRef>
              <c:f>Dashboard!$B$46:$B$53</c:f>
              <c:numCache>
                <c:formatCode>General</c:formatCode>
                <c:ptCount val="8"/>
                <c:pt idx="0">
                  <c:v>0.3</c:v>
                </c:pt>
                <c:pt idx="1">
                  <c:v>0.4</c:v>
                </c:pt>
                <c:pt idx="2">
                  <c:v>0.5</c:v>
                </c:pt>
                <c:pt idx="3">
                  <c:v>0.6</c:v>
                </c:pt>
                <c:pt idx="4">
                  <c:v>0.7</c:v>
                </c:pt>
                <c:pt idx="5">
                  <c:v>0.8</c:v>
                </c:pt>
                <c:pt idx="6">
                  <c:v>0.9</c:v>
                </c:pt>
                <c:pt idx="7">
                  <c:v>1</c:v>
                </c:pt>
              </c:numCache>
            </c:numRef>
          </c:cat>
          <c:val>
            <c:numRef>
              <c:f>Dashboard!$F$46:$F$53</c:f>
              <c:numCache>
                <c:formatCode>General</c:formatCode>
                <c:ptCount val="8"/>
                <c:pt idx="0">
                  <c:v>45</c:v>
                </c:pt>
                <c:pt idx="1">
                  <c:v>45</c:v>
                </c:pt>
                <c:pt idx="2">
                  <c:v>45</c:v>
                </c:pt>
                <c:pt idx="3">
                  <c:v>45</c:v>
                </c:pt>
                <c:pt idx="4">
                  <c:v>45</c:v>
                </c:pt>
                <c:pt idx="5">
                  <c:v>45</c:v>
                </c:pt>
                <c:pt idx="6">
                  <c:v>45</c:v>
                </c:pt>
                <c:pt idx="7">
                  <c:v>45</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Utilisation</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bar chart of each machine's full cost rate per hour split into depreciation and interest, space, energy, upkeep, operator and overhead uplif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Line chart of the selected machine's full cost rate per hour at utilisations from 30% to 100%, with the rate charged as a dashed line; where they cross is the utilisation the charged rate nee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 Id="rId2" Type="http://schemas.openxmlformats.org/officeDocument/2006/relationships/hyperlink" Target="https://www.mfgcalcs.com/calculators/lean-manufacturing-operations/machine-hour-rate?utm_source=mfgcalcs-template&amp;utm_medium=xlsx&amp;utm_campaign=machine-hour-rate" TargetMode="External"/><Relationship Id="rId3" Type="http://schemas.openxmlformats.org/officeDocument/2006/relationships/hyperlink" Target="https://www.mfgcalcs.com/templates/machine-hour-rate?utm_source=mfgcalcs-template&amp;utm_medium=xlsx&amp;utm_campaign=machine-hour-rate" TargetMode="External"/><Relationship Id="rId4" Type="http://schemas.openxmlformats.org/officeDocument/2006/relationships/hyperlink" Target="https://www.mfgcalcs.com/templates?utm_source=mfgcalcs-template&amp;utm_medium=xlsx&amp;utm_campaign=machine-hour-rat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 Id="rId2" Type="http://schemas.openxmlformats.org/officeDocument/2006/relationships/hyperlink" Target="https://www.mfgcalcs.com/calculators/lean-manufacturing-operations/machine-hour-rate?utm_source=mfgcalcs-template&amp;utm_medium=xlsx&amp;utm_campaign=machine-hour-r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chine-hour-rate" TargetMode="Externa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28 of 28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Rates!A1" tooltip="Go to Rates" display="Rate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Machine Hour Rate&amp;R&amp;8&amp;A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7"/>
  <sheetViews>
    <sheetView showGridLines="0" workbookViewId="0"/>
  </sheetViews>
  <sheetFormatPr defaultRowHeight="15"/>
  <cols>
    <col min="1" max="1" width="2.7109375" customWidth="1"/>
    <col min="2" max="2" width="36.7109375" customWidth="1"/>
    <col min="3" max="3" width="16.7109375" customWidth="1"/>
    <col min="4" max="4" width="4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62</v>
      </c>
      <c r="C4" s="8"/>
      <c r="D4" s="8"/>
    </row>
    <row r="5" spans="1:5" ht="5" customHeight="1"/>
    <row r="6" spans="1:5">
      <c r="B6" s="27" t="s">
        <v>63</v>
      </c>
      <c r="C6" s="28" t="s">
        <v>64</v>
      </c>
      <c r="D6" s="28"/>
    </row>
    <row r="7" spans="1:5">
      <c r="B7" s="27" t="s">
        <v>65</v>
      </c>
      <c r="C7" s="28" t="s">
        <v>66</v>
      </c>
      <c r="D7" s="28"/>
    </row>
    <row r="9" spans="1:5" ht="21" customHeight="1">
      <c r="B9" s="8" t="s">
        <v>67</v>
      </c>
      <c r="C9" s="8"/>
      <c r="D9" s="8"/>
    </row>
    <row r="10" spans="1:5" ht="5" customHeight="1"/>
    <row r="11" spans="1:5">
      <c r="B11" s="27" t="s">
        <v>68</v>
      </c>
      <c r="C11" s="29">
        <v>26</v>
      </c>
      <c r="D11" s="7" t="str">
        <f>Currency&amp;"/h"</f>
        <v>GBP/h</v>
      </c>
    </row>
    <row r="12" spans="1:5">
      <c r="B12" s="27" t="s">
        <v>69</v>
      </c>
      <c r="C12" s="30">
        <v>0.35</v>
      </c>
      <c r="D12" s="7"/>
    </row>
    <row r="13" spans="1:5">
      <c r="B13" s="27" t="s">
        <v>70</v>
      </c>
      <c r="C13" s="31">
        <v>0.24</v>
      </c>
      <c r="D13" s="7" t="str">
        <f>Currency&amp;"/kWh"</f>
        <v>GBP/kWh</v>
      </c>
    </row>
    <row r="14" spans="1:5">
      <c r="B14" s="27" t="s">
        <v>71</v>
      </c>
      <c r="C14" s="28" t="s">
        <v>72</v>
      </c>
      <c r="D14" s="28"/>
    </row>
    <row r="15" spans="1:5">
      <c r="B15" s="27" t="s">
        <v>73</v>
      </c>
      <c r="C15" s="29">
        <v>95</v>
      </c>
      <c r="D15" s="7" t="str">
        <f>Currency&amp;"/"&amp;AreaUnit&amp;"/yr"</f>
        <v>GBP/m²/yr</v>
      </c>
    </row>
    <row r="17" spans="2:4" ht="35.4" customHeight="1">
      <c r="B17" s="25" t="s">
        <v>74</v>
      </c>
      <c r="C17" s="25"/>
      <c r="D17" s="25"/>
    </row>
  </sheetData>
  <mergeCells count="9">
    <mergeCell ref="A1:E1"/>
    <mergeCell ref="B2:C2"/>
    <mergeCell ref="D2:E2"/>
    <mergeCell ref="B4:D4"/>
    <mergeCell ref="C6:D6"/>
    <mergeCell ref="C7:D7"/>
    <mergeCell ref="B9:D9"/>
    <mergeCell ref="C14:D14"/>
    <mergeCell ref="B17:D17"/>
  </mergeCells>
  <dataValidations count="7">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every amount, e.g. USD, EUR, GBP, INR, MXN. No exchange rate is applied. Text up to 12 characters." sqref="C7">
      <formula1>0</formula1>
      <formula2>12</formula2>
    </dataValidation>
    <dataValidation type="decimal" allowBlank="1" showInputMessage="1" showErrorMessage="1" errorTitle="Check this entry" error="Enter a number from 0 to 10,000." promptTitle="Operator rate, loaded" prompt="Wage plus payroll taxes and benefits per paid hour of one operator. The Labor Cost template builds one. Enter a number from 0 to 10,000." sqref="C11">
      <formula1>0</formula1>
      <formula2>10000</formula2>
    </dataValidation>
    <dataValidation type="decimal" allowBlank="1" showInputMessage="1" showErrorMessage="1" errorTitle="Check this entry" error="Enter a percentage from 0% to 500% (type 85% or 0.85)." promptTitle="Overhead uplift on the loaded..." prompt="Factory and office overhead not in the machine costs (supervision, quality, buildings services, admin), as a share of the loaded rate. 0% if you recover overhead elsewhere. Enter a percentage from 0% to 500% (type 85% or 0.85)." sqref="C12">
      <formula1>0</formula1>
      <formula2>5</formula2>
    </dataValidation>
    <dataValidation type="decimal" allowBlank="1" showInputMessage="1" showErrorMessage="1" errorTitle="Check this entry" error="Enter a number from 0 to 100." promptTitle="Electricity price" prompt="All-in price per kWh from your bill (energy, network and standing charges divided by kWh used). Enter a number from 0 to 100." sqref="C13">
      <formula1>0</formula1>
      <formula2>100</formula2>
    </dataValidation>
    <dataValidation type="list" allowBlank="1" showInputMessage="1" showErrorMessage="1" errorTitle="Check this entry" error="Pick one of: m², ft²." promptTitle="Floor area unit" prompt="Unit of the floor areas on Rates and of the space cost below. Nothing is converted: type both in the same unit. Pick one of: m², ft²." sqref="C14">
      <formula1>"m²,ft²"</formula1>
    </dataValidation>
    <dataValidation type="decimal" allowBlank="1" showInputMessage="1" showErrorMessage="1" errorTitle="Check this entry" error="Enter a number from 0 to 100,000." promptTitle="Space cost per year" prompt="Rent or depreciation of the building, rates, heating, lighting and cleaning per year, divided by the floor area. Enter a number from 0 to 100,000." sqref="C15">
      <formula1>0</formula1>
      <formula2>100000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Machine Hour Rate&amp;R&amp;8&amp;A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N40"/>
  <sheetViews>
    <sheetView showGridLines="0" workbookViewId="0"/>
  </sheetViews>
  <sheetFormatPr defaultRowHeight="15"/>
  <cols>
    <col min="1" max="1" width="2.7109375" customWidth="1"/>
    <col min="2" max="2" width="40.7109375" customWidth="1"/>
    <col min="3" max="3" width="13.7109375" customWidth="1"/>
    <col min="4" max="13" width="12.28515625" customWidth="1"/>
    <col min="14" max="14" width="13.28515625" customWidth="1"/>
  </cols>
  <sheetData>
    <row r="1" spans="1:14" ht="30" customHeight="1">
      <c r="A1" s="1" t="s">
        <v>0</v>
      </c>
      <c r="B1" s="1"/>
      <c r="C1" s="1"/>
      <c r="D1" s="1"/>
      <c r="E1" s="1"/>
      <c r="F1" s="1"/>
      <c r="G1" s="1"/>
      <c r="H1" s="1"/>
      <c r="I1" s="1"/>
      <c r="J1" s="1"/>
      <c r="K1" s="1"/>
      <c r="L1" s="1"/>
      <c r="M1" s="1"/>
      <c r="N1" s="1"/>
    </row>
    <row r="2" spans="1:14" ht="21" customHeight="1">
      <c r="B2" s="2" t="s">
        <v>22</v>
      </c>
      <c r="C2" s="2"/>
      <c r="D2" s="2"/>
      <c r="E2" s="2"/>
      <c r="F2" s="2"/>
      <c r="G2" s="2"/>
      <c r="H2" s="2"/>
      <c r="I2" s="2"/>
      <c r="J2" s="2"/>
      <c r="K2" s="2"/>
      <c r="L2" s="2"/>
      <c r="M2" s="2"/>
      <c r="N2" s="3" t="s">
        <v>2</v>
      </c>
    </row>
    <row r="3" spans="1:14" ht="6" customHeight="1"/>
    <row r="4" spans="1:14" ht="21" customHeight="1">
      <c r="B4" s="32" t="s">
        <v>75</v>
      </c>
      <c r="C4" s="32"/>
      <c r="D4" s="32"/>
      <c r="E4" s="32"/>
      <c r="F4" s="32"/>
      <c r="G4" s="32"/>
      <c r="H4" s="32"/>
      <c r="I4" s="32"/>
      <c r="J4" s="32"/>
      <c r="K4" s="32"/>
      <c r="L4" s="32"/>
      <c r="M4" s="32"/>
      <c r="N4" s="32"/>
    </row>
    <row r="6" spans="1:14">
      <c r="B6" s="33" t="s">
        <v>76</v>
      </c>
      <c r="C6" s="34" t="s">
        <v>77</v>
      </c>
      <c r="D6" s="35" t="s">
        <v>78</v>
      </c>
      <c r="E6" s="35" t="s">
        <v>79</v>
      </c>
      <c r="F6" s="35" t="s">
        <v>80</v>
      </c>
      <c r="G6" s="35" t="s">
        <v>81</v>
      </c>
      <c r="H6" s="35" t="s">
        <v>82</v>
      </c>
      <c r="I6" s="35" t="s">
        <v>83</v>
      </c>
      <c r="J6" s="35" t="s">
        <v>84</v>
      </c>
      <c r="K6" s="35" t="s">
        <v>85</v>
      </c>
      <c r="L6" s="35" t="s">
        <v>86</v>
      </c>
      <c r="M6" s="35" t="s">
        <v>87</v>
      </c>
      <c r="N6" s="34" t="s">
        <v>88</v>
      </c>
    </row>
    <row r="7" spans="1:14">
      <c r="B7" s="27" t="s">
        <v>89</v>
      </c>
      <c r="C7" s="7" t="str">
        <f>Currency</f>
        <v>GBP</v>
      </c>
      <c r="D7" s="36">
        <v>145000</v>
      </c>
      <c r="E7" s="36">
        <v>260000</v>
      </c>
      <c r="F7" s="36">
        <v>95000</v>
      </c>
      <c r="G7" s="36">
        <v>95000</v>
      </c>
      <c r="H7" s="36">
        <v>420000</v>
      </c>
      <c r="I7" s="36">
        <v>380000</v>
      </c>
      <c r="J7" s="36">
        <v>120000</v>
      </c>
      <c r="K7" s="36">
        <v>180000</v>
      </c>
      <c r="L7" s="36">
        <v>160000</v>
      </c>
      <c r="M7" s="36">
        <v>110000</v>
      </c>
    </row>
    <row r="8" spans="1:14">
      <c r="B8" s="27" t="s">
        <v>90</v>
      </c>
      <c r="C8" s="7" t="str">
        <f>Currency</f>
        <v>GBP</v>
      </c>
      <c r="D8" s="36">
        <v>15000</v>
      </c>
      <c r="E8" s="36">
        <v>30000</v>
      </c>
      <c r="F8" s="36">
        <v>10000</v>
      </c>
      <c r="G8" s="36">
        <v>10000</v>
      </c>
      <c r="H8" s="36">
        <v>60000</v>
      </c>
      <c r="I8" s="36">
        <v>40000</v>
      </c>
      <c r="J8" s="36">
        <v>12000</v>
      </c>
      <c r="K8" s="36">
        <v>15000</v>
      </c>
      <c r="L8" s="36">
        <v>20000</v>
      </c>
      <c r="M8" s="36">
        <v>10000</v>
      </c>
    </row>
    <row r="9" spans="1:14">
      <c r="B9" s="27" t="s">
        <v>91</v>
      </c>
      <c r="C9" s="7" t="s">
        <v>92</v>
      </c>
      <c r="D9" s="37">
        <v>10</v>
      </c>
      <c r="E9" s="37">
        <v>10</v>
      </c>
      <c r="F9" s="37">
        <v>8</v>
      </c>
      <c r="G9" s="37">
        <v>8</v>
      </c>
      <c r="H9" s="37">
        <v>10</v>
      </c>
      <c r="I9" s="37">
        <v>8</v>
      </c>
      <c r="J9" s="37">
        <v>12</v>
      </c>
      <c r="K9" s="37">
        <v>8</v>
      </c>
      <c r="L9" s="37">
        <v>15</v>
      </c>
      <c r="M9" s="37">
        <v>10</v>
      </c>
    </row>
    <row r="10" spans="1:14">
      <c r="B10" s="27" t="s">
        <v>93</v>
      </c>
      <c r="C10" s="7" t="s">
        <v>94</v>
      </c>
      <c r="D10" s="30">
        <v>0.07000000000000001</v>
      </c>
      <c r="E10" s="30">
        <v>0.07000000000000001</v>
      </c>
      <c r="F10" s="30">
        <v>0.07000000000000001</v>
      </c>
      <c r="G10" s="30">
        <v>0.07000000000000001</v>
      </c>
      <c r="H10" s="30">
        <v>0.07000000000000001</v>
      </c>
      <c r="I10" s="30">
        <v>0.07000000000000001</v>
      </c>
      <c r="J10" s="30">
        <v>0.07000000000000001</v>
      </c>
      <c r="K10" s="30">
        <v>0.07000000000000001</v>
      </c>
      <c r="L10" s="30">
        <v>0.07000000000000001</v>
      </c>
      <c r="M10" s="30">
        <v>0.07000000000000001</v>
      </c>
    </row>
    <row r="11" spans="1:14">
      <c r="B11" s="27" t="s">
        <v>95</v>
      </c>
      <c r="C11" s="7" t="str">
        <f>AreaUnit</f>
        <v>m²</v>
      </c>
      <c r="D11" s="37">
        <v>18</v>
      </c>
      <c r="E11" s="37">
        <v>12</v>
      </c>
      <c r="F11" s="37">
        <v>20</v>
      </c>
      <c r="G11" s="37">
        <v>20</v>
      </c>
      <c r="H11" s="37">
        <v>30</v>
      </c>
      <c r="I11" s="37">
        <v>60</v>
      </c>
      <c r="J11" s="37">
        <v>25</v>
      </c>
      <c r="K11" s="37">
        <v>35</v>
      </c>
      <c r="L11" s="37">
        <v>15</v>
      </c>
      <c r="M11" s="37">
        <v>20</v>
      </c>
    </row>
    <row r="12" spans="1:14">
      <c r="B12" s="27" t="s">
        <v>96</v>
      </c>
      <c r="C12" s="7" t="s">
        <v>97</v>
      </c>
      <c r="D12" s="37">
        <v>18</v>
      </c>
      <c r="E12" s="37">
        <v>15</v>
      </c>
      <c r="F12" s="37">
        <v>20</v>
      </c>
      <c r="G12" s="37">
        <v>20</v>
      </c>
      <c r="H12" s="37">
        <v>35</v>
      </c>
      <c r="I12" s="37">
        <v>45</v>
      </c>
      <c r="J12" s="37">
        <v>15</v>
      </c>
      <c r="K12" s="37">
        <v>25</v>
      </c>
      <c r="L12" s="37">
        <v>18</v>
      </c>
      <c r="M12" s="37">
        <v>3</v>
      </c>
    </row>
    <row r="13" spans="1:14">
      <c r="B13" s="27" t="s">
        <v>98</v>
      </c>
      <c r="C13" s="7" t="s">
        <v>99</v>
      </c>
      <c r="D13" s="38">
        <v>0.45</v>
      </c>
      <c r="E13" s="38">
        <v>0.4</v>
      </c>
      <c r="F13" s="38">
        <v>0.35</v>
      </c>
      <c r="G13" s="38">
        <v>0.35</v>
      </c>
      <c r="H13" s="38">
        <v>0.4</v>
      </c>
      <c r="I13" s="38">
        <v>0.55</v>
      </c>
      <c r="J13" s="38">
        <v>0.3</v>
      </c>
      <c r="K13" s="38">
        <v>0.5</v>
      </c>
      <c r="L13" s="38">
        <v>0.4</v>
      </c>
      <c r="M13" s="38">
        <v>0.6</v>
      </c>
    </row>
    <row r="14" spans="1:14">
      <c r="B14" s="27" t="s">
        <v>100</v>
      </c>
      <c r="C14" s="7" t="str">
        <f>Currency&amp;"/yr"</f>
        <v>GBP/yr</v>
      </c>
      <c r="D14" s="36">
        <v>4200</v>
      </c>
      <c r="E14" s="36">
        <v>6500</v>
      </c>
      <c r="F14" s="36">
        <v>3500</v>
      </c>
      <c r="G14" s="36">
        <v>3500</v>
      </c>
      <c r="H14" s="36">
        <v>12000</v>
      </c>
      <c r="I14" s="36">
        <v>15000</v>
      </c>
      <c r="J14" s="36">
        <v>3000</v>
      </c>
      <c r="K14" s="36">
        <v>5500</v>
      </c>
      <c r="L14" s="36">
        <v>4000</v>
      </c>
      <c r="M14" s="36">
        <v>3800</v>
      </c>
    </row>
    <row r="15" spans="1:14">
      <c r="B15" s="27" t="s">
        <v>101</v>
      </c>
      <c r="C15" s="7" t="str">
        <f>Currency&amp;"/yr"</f>
        <v>GBP/yr</v>
      </c>
      <c r="D15" s="36">
        <v>6500</v>
      </c>
      <c r="E15" s="36">
        <v>9000</v>
      </c>
      <c r="F15" s="36">
        <v>5000</v>
      </c>
      <c r="G15" s="36">
        <v>2500</v>
      </c>
      <c r="H15" s="36">
        <v>14000</v>
      </c>
      <c r="I15" s="36">
        <v>12000</v>
      </c>
      <c r="J15" s="36">
        <v>1500</v>
      </c>
      <c r="K15" s="36">
        <v>7000</v>
      </c>
      <c r="L15" s="36">
        <v>3500</v>
      </c>
      <c r="M15" s="36">
        <v>500</v>
      </c>
    </row>
    <row r="16" spans="1:14">
      <c r="B16" s="27" t="s">
        <v>102</v>
      </c>
      <c r="C16" s="7" t="str">
        <f>Currency&amp;"/yr"</f>
        <v>GBP/yr</v>
      </c>
      <c r="D16" s="36">
        <v>1100</v>
      </c>
      <c r="E16" s="36">
        <v>1800</v>
      </c>
      <c r="F16" s="36">
        <v>800</v>
      </c>
      <c r="G16" s="36">
        <v>800</v>
      </c>
      <c r="H16" s="36">
        <v>3200</v>
      </c>
      <c r="I16" s="36">
        <v>2900</v>
      </c>
      <c r="J16" s="36">
        <v>900</v>
      </c>
      <c r="K16" s="36">
        <v>1400</v>
      </c>
      <c r="L16" s="36">
        <v>1200</v>
      </c>
      <c r="M16" s="36">
        <v>900</v>
      </c>
    </row>
    <row r="17" spans="2:14">
      <c r="B17" s="27" t="s">
        <v>103</v>
      </c>
      <c r="C17" s="7" t="s">
        <v>104</v>
      </c>
      <c r="D17" s="37">
        <v>2</v>
      </c>
      <c r="E17" s="37">
        <v>2</v>
      </c>
      <c r="F17" s="37">
        <v>2</v>
      </c>
      <c r="G17" s="37">
        <v>1</v>
      </c>
      <c r="H17" s="37">
        <v>2</v>
      </c>
      <c r="I17" s="37">
        <v>2</v>
      </c>
      <c r="J17" s="37">
        <v>1</v>
      </c>
      <c r="K17" s="37">
        <v>2</v>
      </c>
      <c r="L17" s="37">
        <v>1</v>
      </c>
      <c r="M17" s="37">
        <v>1</v>
      </c>
    </row>
    <row r="18" spans="2:14">
      <c r="B18" s="27" t="s">
        <v>105</v>
      </c>
      <c r="C18" s="7" t="s">
        <v>106</v>
      </c>
      <c r="D18" s="37">
        <v>8</v>
      </c>
      <c r="E18" s="37">
        <v>8</v>
      </c>
      <c r="F18" s="37">
        <v>8</v>
      </c>
      <c r="G18" s="37">
        <v>8</v>
      </c>
      <c r="H18" s="37">
        <v>8</v>
      </c>
      <c r="I18" s="37">
        <v>8</v>
      </c>
      <c r="J18" s="37">
        <v>8</v>
      </c>
      <c r="K18" s="37">
        <v>8</v>
      </c>
      <c r="L18" s="37">
        <v>8</v>
      </c>
      <c r="M18" s="37">
        <v>8</v>
      </c>
    </row>
    <row r="19" spans="2:14">
      <c r="B19" s="27" t="s">
        <v>107</v>
      </c>
      <c r="C19" s="7" t="s">
        <v>108</v>
      </c>
      <c r="D19" s="36">
        <v>235</v>
      </c>
      <c r="E19" s="36">
        <v>235</v>
      </c>
      <c r="F19" s="36">
        <v>235</v>
      </c>
      <c r="G19" s="36">
        <v>235</v>
      </c>
      <c r="H19" s="36">
        <v>235</v>
      </c>
      <c r="I19" s="36">
        <v>235</v>
      </c>
      <c r="J19" s="36">
        <v>235</v>
      </c>
      <c r="K19" s="36">
        <v>235</v>
      </c>
      <c r="L19" s="36">
        <v>235</v>
      </c>
      <c r="M19" s="36">
        <v>235</v>
      </c>
    </row>
    <row r="20" spans="2:14">
      <c r="B20" s="27" t="s">
        <v>109</v>
      </c>
      <c r="C20" s="7" t="s">
        <v>110</v>
      </c>
      <c r="D20" s="38">
        <v>0.72</v>
      </c>
      <c r="E20" s="38">
        <v>0.68</v>
      </c>
      <c r="F20" s="38">
        <v>0.75</v>
      </c>
      <c r="G20" s="38">
        <v>0.7</v>
      </c>
      <c r="H20" s="38">
        <v>0.55</v>
      </c>
      <c r="I20" s="38">
        <v>0.6</v>
      </c>
      <c r="J20" s="38">
        <v>0.6</v>
      </c>
      <c r="K20" s="38">
        <v>0.65</v>
      </c>
      <c r="L20" s="38">
        <v>0.6</v>
      </c>
      <c r="M20" s="38">
        <v>0.5</v>
      </c>
    </row>
    <row r="21" spans="2:14">
      <c r="B21" s="27" t="s">
        <v>111</v>
      </c>
      <c r="C21" s="7" t="s">
        <v>112</v>
      </c>
      <c r="D21" s="29">
        <v>0.5</v>
      </c>
      <c r="E21" s="29">
        <v>0.33</v>
      </c>
      <c r="F21" s="29">
        <v>0.5</v>
      </c>
      <c r="G21" s="29">
        <v>1</v>
      </c>
      <c r="H21" s="29">
        <v>0.5</v>
      </c>
      <c r="I21" s="29">
        <v>0.5</v>
      </c>
      <c r="J21" s="29">
        <v>1</v>
      </c>
      <c r="K21" s="29">
        <v>0.5</v>
      </c>
      <c r="L21" s="29">
        <v>1</v>
      </c>
      <c r="M21" s="29">
        <v>1</v>
      </c>
    </row>
    <row r="22" spans="2:14">
      <c r="B22" s="27" t="s">
        <v>113</v>
      </c>
      <c r="C22" s="7" t="str">
        <f>Currency&amp;"/h"</f>
        <v>GBP/h</v>
      </c>
      <c r="D22" s="29">
        <v>45</v>
      </c>
      <c r="E22" s="29">
        <v>48</v>
      </c>
      <c r="F22" s="29">
        <v>38</v>
      </c>
      <c r="G22" s="29">
        <v>38</v>
      </c>
      <c r="H22" s="29">
        <v>72</v>
      </c>
      <c r="I22" s="29">
        <v>79</v>
      </c>
      <c r="J22" s="29">
        <v>60</v>
      </c>
      <c r="K22" s="29">
        <v>50</v>
      </c>
      <c r="L22" s="29">
        <v>62</v>
      </c>
      <c r="M22" s="29">
        <v>55</v>
      </c>
    </row>
    <row r="23" spans="2:14">
      <c r="B23" s="27" t="s">
        <v>114</v>
      </c>
      <c r="C23" s="7" t="str">
        <f>Currency&amp;"/yr"</f>
        <v>GBP/yr</v>
      </c>
      <c r="D23" s="39">
        <f>IF($D$6="","",IF($D$9&gt;0,($D$7-$D$8)/$D$9,0))</f>
        <v>13000</v>
      </c>
      <c r="E23" s="39">
        <f>IF($E$6="","",IF($E$9&gt;0,($E$7-$E$8)/$E$9,0))</f>
        <v>23000</v>
      </c>
      <c r="F23" s="39">
        <f>IF($F$6="","",IF($F$9&gt;0,($F$7-$F$8)/$F$9,0))</f>
        <v>10625</v>
      </c>
      <c r="G23" s="39">
        <f>IF($G$6="","",IF($G$9&gt;0,($G$7-$G$8)/$G$9,0))</f>
        <v>10625</v>
      </c>
      <c r="H23" s="39">
        <f>IF($H$6="","",IF($H$9&gt;0,($H$7-$H$8)/$H$9,0))</f>
        <v>36000</v>
      </c>
      <c r="I23" s="39">
        <f>IF($I$6="","",IF($I$9&gt;0,($I$7-$I$8)/$I$9,0))</f>
        <v>42500</v>
      </c>
      <c r="J23" s="39">
        <f>IF($J$6="","",IF($J$9&gt;0,($J$7-$J$8)/$J$9,0))</f>
        <v>9000</v>
      </c>
      <c r="K23" s="39">
        <f>IF($K$6="","",IF($K$9&gt;0,($K$7-$K$8)/$K$9,0))</f>
        <v>20625</v>
      </c>
      <c r="L23" s="39">
        <f>IF($L$6="","",IF($L$9&gt;0,($L$7-$L$8)/$L$9,0))</f>
        <v>9333.33333333333</v>
      </c>
      <c r="M23" s="39">
        <f>IF($M$6="","",IF($M$9&gt;0,($M$7-$M$8)/$M$9,0))</f>
        <v>10000</v>
      </c>
    </row>
    <row r="24" spans="2:14">
      <c r="B24" s="27" t="s">
        <v>115</v>
      </c>
      <c r="C24" s="7" t="str">
        <f>Currency&amp;"/yr"</f>
        <v>GBP/yr</v>
      </c>
      <c r="D24" s="39">
        <f>IF($D$6="","",($D$7+$D$8)/2*$D$10)</f>
        <v>5600</v>
      </c>
      <c r="E24" s="39">
        <f>IF($E$6="","",($E$7+$E$8)/2*$E$10)</f>
        <v>10150</v>
      </c>
      <c r="F24" s="39">
        <f>IF($F$6="","",($F$7+$F$8)/2*$F$10)</f>
        <v>3675</v>
      </c>
      <c r="G24" s="39">
        <f>IF($G$6="","",($G$7+$G$8)/2*$G$10)</f>
        <v>3675</v>
      </c>
      <c r="H24" s="39">
        <f>IF($H$6="","",($H$7+$H$8)/2*$H$10)</f>
        <v>16800</v>
      </c>
      <c r="I24" s="39">
        <f>IF($I$6="","",($I$7+$I$8)/2*$I$10)</f>
        <v>14700</v>
      </c>
      <c r="J24" s="39">
        <f>IF($J$6="","",($J$7+$J$8)/2*$J$10)</f>
        <v>4620</v>
      </c>
      <c r="K24" s="39">
        <f>IF($K$6="","",($K$7+$K$8)/2*$K$10)</f>
        <v>6825</v>
      </c>
      <c r="L24" s="39">
        <f>IF($L$6="","",($L$7+$L$8)/2*$L$10)</f>
        <v>6300</v>
      </c>
      <c r="M24" s="39">
        <f>IF($M$6="","",($M$7+$M$8)/2*$M$10)</f>
        <v>4200</v>
      </c>
    </row>
    <row r="25" spans="2:14">
      <c r="B25" s="27" t="s">
        <v>116</v>
      </c>
      <c r="C25" s="7" t="str">
        <f>Currency&amp;"/yr"</f>
        <v>GBP/yr</v>
      </c>
      <c r="D25" s="39">
        <f>IF($D$6="","",$D$11*SpaceRate)</f>
        <v>1710</v>
      </c>
      <c r="E25" s="39">
        <f>IF($E$6="","",$E$11*SpaceRate)</f>
        <v>1140</v>
      </c>
      <c r="F25" s="39">
        <f>IF($F$6="","",$F$11*SpaceRate)</f>
        <v>1900</v>
      </c>
      <c r="G25" s="39">
        <f>IF($G$6="","",$G$11*SpaceRate)</f>
        <v>1900</v>
      </c>
      <c r="H25" s="39">
        <f>IF($H$6="","",$H$11*SpaceRate)</f>
        <v>2850</v>
      </c>
      <c r="I25" s="39">
        <f>IF($I$6="","",$I$11*SpaceRate)</f>
        <v>5700</v>
      </c>
      <c r="J25" s="39">
        <f>IF($J$6="","",$J$11*SpaceRate)</f>
        <v>2375</v>
      </c>
      <c r="K25" s="39">
        <f>IF($K$6="","",$K$11*SpaceRate)</f>
        <v>3325</v>
      </c>
      <c r="L25" s="39">
        <f>IF($L$6="","",$L$11*SpaceRate)</f>
        <v>1425</v>
      </c>
      <c r="M25" s="39">
        <f>IF($M$6="","",$M$11*SpaceRate)</f>
        <v>1900</v>
      </c>
    </row>
    <row r="26" spans="2:14">
      <c r="B26" s="27" t="s">
        <v>117</v>
      </c>
      <c r="C26" s="7" t="s">
        <v>118</v>
      </c>
      <c r="D26" s="39">
        <f>IF($D$6="","",$D$17*$D$18*$D$19)</f>
        <v>3760</v>
      </c>
      <c r="E26" s="39">
        <f>IF($E$6="","",$E$17*$E$18*$E$19)</f>
        <v>3760</v>
      </c>
      <c r="F26" s="39">
        <f>IF($F$6="","",$F$17*$F$18*$F$19)</f>
        <v>3760</v>
      </c>
      <c r="G26" s="39">
        <f>IF($G$6="","",$G$17*$G$18*$G$19)</f>
        <v>1880</v>
      </c>
      <c r="H26" s="39">
        <f>IF($H$6="","",$H$17*$H$18*$H$19)</f>
        <v>3760</v>
      </c>
      <c r="I26" s="39">
        <f>IF($I$6="","",$I$17*$I$18*$I$19)</f>
        <v>3760</v>
      </c>
      <c r="J26" s="39">
        <f>IF($J$6="","",$J$17*$J$18*$J$19)</f>
        <v>1880</v>
      </c>
      <c r="K26" s="39">
        <f>IF($K$6="","",$K$17*$K$18*$K$19)</f>
        <v>3760</v>
      </c>
      <c r="L26" s="39">
        <f>IF($L$6="","",$L$17*$L$18*$L$19)</f>
        <v>1880</v>
      </c>
      <c r="M26" s="39">
        <f>IF($M$6="","",$M$17*$M$18*$M$19)</f>
        <v>1880</v>
      </c>
    </row>
    <row r="27" spans="2:14">
      <c r="B27" s="27" t="s">
        <v>119</v>
      </c>
      <c r="C27" s="7" t="s">
        <v>118</v>
      </c>
      <c r="D27" s="40">
        <f>IF($D$6="","",$D$26*$D$20)</f>
        <v>2707.2</v>
      </c>
      <c r="E27" s="40">
        <f>IF($E$6="","",$E$26*$E$20)</f>
        <v>2556.8</v>
      </c>
      <c r="F27" s="40">
        <f>IF($F$6="","",$F$26*$F$20)</f>
        <v>2820</v>
      </c>
      <c r="G27" s="40">
        <f>IF($G$6="","",$G$26*$G$20)</f>
        <v>1316</v>
      </c>
      <c r="H27" s="40">
        <f>IF($H$6="","",$H$26*$H$20)</f>
        <v>2068</v>
      </c>
      <c r="I27" s="40">
        <f>IF($I$6="","",$I$26*$I$20)</f>
        <v>2256</v>
      </c>
      <c r="J27" s="40">
        <f>IF($J$6="","",$J$26*$J$20)</f>
        <v>1128</v>
      </c>
      <c r="K27" s="40">
        <f>IF($K$6="","",$K$26*$K$20)</f>
        <v>2444</v>
      </c>
      <c r="L27" s="40">
        <f>IF($L$6="","",$L$26*$L$20)</f>
        <v>1128</v>
      </c>
      <c r="M27" s="40">
        <f>IF($M$6="","",$M$26*$M$20)</f>
        <v>940</v>
      </c>
      <c r="N27" s="41">
        <f>SUM($D$27:$M$27)</f>
        <v>19364</v>
      </c>
    </row>
    <row r="28" spans="2:14">
      <c r="B28" s="27" t="s">
        <v>120</v>
      </c>
      <c r="C28" s="7" t="str">
        <f>Currency&amp;"/yr"</f>
        <v>GBP/yr</v>
      </c>
      <c r="D28" s="39">
        <f>IF($D$6="","",$D$12*$D$13*$D$27*EnergyPrice)</f>
        <v>5262.7968</v>
      </c>
      <c r="E28" s="39">
        <f>IF($E$6="","",$E$12*$E$13*$E$27*EnergyPrice)</f>
        <v>3681.792</v>
      </c>
      <c r="F28" s="39">
        <f>IF($F$6="","",$F$12*$F$13*$F$27*EnergyPrice)</f>
        <v>4737.6</v>
      </c>
      <c r="G28" s="39">
        <f>IF($G$6="","",$G$12*$G$13*$G$27*EnergyPrice)</f>
        <v>2210.88</v>
      </c>
      <c r="H28" s="39">
        <f>IF($H$6="","",$H$12*$H$13*$H$27*EnergyPrice)</f>
        <v>6948.48</v>
      </c>
      <c r="I28" s="39">
        <f>IF($I$6="","",$I$12*$I$13*$I$27*EnergyPrice)</f>
        <v>13400.64</v>
      </c>
      <c r="J28" s="39">
        <f>IF($J$6="","",$J$12*$J$13*$J$27*EnergyPrice)</f>
        <v>1218.24</v>
      </c>
      <c r="K28" s="39">
        <f>IF($K$6="","",$K$12*$K$13*$K$27*EnergyPrice)</f>
        <v>7332</v>
      </c>
      <c r="L28" s="39">
        <f>IF($L$6="","",$L$12*$L$13*$L$27*EnergyPrice)</f>
        <v>1949.184</v>
      </c>
      <c r="M28" s="39">
        <f>IF($M$6="","",$M$12*$M$13*$M$27*EnergyPrice)</f>
        <v>406.08</v>
      </c>
    </row>
    <row r="29" spans="2:14">
      <c r="B29" s="27" t="s">
        <v>121</v>
      </c>
      <c r="C29" s="7" t="str">
        <f>Currency&amp;"/yr"</f>
        <v>GBP/yr</v>
      </c>
      <c r="D29" s="40">
        <f>IF($D$6="","",$D$23+$D$24+$D$25+$D$28+$D$14+$D$15+$D$16)</f>
        <v>37372.7968</v>
      </c>
      <c r="E29" s="40">
        <f>IF($E$6="","",$E$23+$E$24+$E$25+$E$28+$E$14+$E$15+$E$16)</f>
        <v>55271.792</v>
      </c>
      <c r="F29" s="40">
        <f>IF($F$6="","",$F$23+$F$24+$F$25+$F$28+$F$14+$F$15+$F$16)</f>
        <v>30237.6</v>
      </c>
      <c r="G29" s="40">
        <f>IF($G$6="","",$G$23+$G$24+$G$25+$G$28+$G$14+$G$15+$G$16)</f>
        <v>25210.88</v>
      </c>
      <c r="H29" s="40">
        <f>IF($H$6="","",$H$23+$H$24+$H$25+$H$28+$H$14+$H$15+$H$16)</f>
        <v>91798.48</v>
      </c>
      <c r="I29" s="40">
        <f>IF($I$6="","",$I$23+$I$24+$I$25+$I$28+$I$14+$I$15+$I$16)</f>
        <v>106200.64</v>
      </c>
      <c r="J29" s="40">
        <f>IF($J$6="","",$J$23+$J$24+$J$25+$J$28+$J$14+$J$15+$J$16)</f>
        <v>22613.24</v>
      </c>
      <c r="K29" s="40">
        <f>IF($K$6="","",$K$23+$K$24+$K$25+$K$28+$K$14+$K$15+$K$16)</f>
        <v>52007</v>
      </c>
      <c r="L29" s="40">
        <f>IF($L$6="","",$L$23+$L$24+$L$25+$L$28+$L$14+$L$15+$L$16)</f>
        <v>27707.5173333333</v>
      </c>
      <c r="M29" s="40">
        <f>IF($M$6="","",$M$23+$M$24+$M$25+$M$28+$M$14+$M$15+$M$16)</f>
        <v>21706.08</v>
      </c>
      <c r="N29" s="41">
        <f>SUM($D$29:$M$29)</f>
        <v>470126.026133333</v>
      </c>
    </row>
    <row r="30" spans="2:14">
      <c r="B30" s="27" t="s">
        <v>122</v>
      </c>
      <c r="C30" s="7" t="str">
        <f>Currency&amp;"/h"</f>
        <v>GBP/h</v>
      </c>
      <c r="D30" s="42">
        <f>IF($D$6="","",IF(($D$27)=0,"",($D$29)/($D$27)))</f>
        <v>13.804963356974</v>
      </c>
      <c r="E30" s="42">
        <f>IF($E$6="","",IF(($E$27)=0,"",($E$29)/($E$27)))</f>
        <v>21.6175657071339</v>
      </c>
      <c r="F30" s="42">
        <f>IF($F$6="","",IF(($F$27)=0,"",($F$29)/($F$27)))</f>
        <v>10.7225531914894</v>
      </c>
      <c r="G30" s="42">
        <f>IF($G$6="","",IF(($G$27)=0,"",($G$29)/($G$27)))</f>
        <v>19.1572036474164</v>
      </c>
      <c r="H30" s="42">
        <f>IF($H$6="","",IF(($H$27)=0,"",($H$29)/($H$27)))</f>
        <v>44.3899806576402</v>
      </c>
      <c r="I30" s="42">
        <f>IF($I$6="","",IF(($I$27)=0,"",($I$29)/($I$27)))</f>
        <v>47.0747517730497</v>
      </c>
      <c r="J30" s="42">
        <f>IF($J$6="","",IF(($J$27)=0,"",($J$29)/($J$27)))</f>
        <v>20.0471985815603</v>
      </c>
      <c r="K30" s="42">
        <f>IF($K$6="","",IF(($K$27)=0,"",($K$29)/($K$27)))</f>
        <v>21.2794599018003</v>
      </c>
      <c r="L30" s="42">
        <f>IF($L$6="","",IF(($L$27)=0,"",($L$29)/($L$27)))</f>
        <v>24.563401891253</v>
      </c>
      <c r="M30" s="42">
        <f>IF($M$6="","",IF(($M$27)=0,"",($M$29)/($M$27)))</f>
        <v>23.0915744680851</v>
      </c>
    </row>
    <row r="31" spans="2:14">
      <c r="B31" s="27" t="s">
        <v>123</v>
      </c>
      <c r="C31" s="7" t="str">
        <f>Currency&amp;"/h"</f>
        <v>GBP/h</v>
      </c>
      <c r="D31" s="42">
        <f>IF($D$6="","",$D$21*LabourRate)</f>
        <v>13</v>
      </c>
      <c r="E31" s="42">
        <f>IF($E$6="","",$E$21*LabourRate)</f>
        <v>8.58</v>
      </c>
      <c r="F31" s="42">
        <f>IF($F$6="","",$F$21*LabourRate)</f>
        <v>13</v>
      </c>
      <c r="G31" s="42">
        <f>IF($G$6="","",$G$21*LabourRate)</f>
        <v>26</v>
      </c>
      <c r="H31" s="42">
        <f>IF($H$6="","",$H$21*LabourRate)</f>
        <v>13</v>
      </c>
      <c r="I31" s="42">
        <f>IF($I$6="","",$I$21*LabourRate)</f>
        <v>13</v>
      </c>
      <c r="J31" s="42">
        <f>IF($J$6="","",$J$21*LabourRate)</f>
        <v>26</v>
      </c>
      <c r="K31" s="42">
        <f>IF($K$6="","",$K$21*LabourRate)</f>
        <v>13</v>
      </c>
      <c r="L31" s="42">
        <f>IF($L$6="","",$L$21*LabourRate)</f>
        <v>26</v>
      </c>
      <c r="M31" s="42">
        <f>IF($M$6="","",$M$21*LabourRate)</f>
        <v>26</v>
      </c>
    </row>
    <row r="32" spans="2:14">
      <c r="B32" s="27" t="s">
        <v>124</v>
      </c>
      <c r="C32" s="7" t="str">
        <f>Currency&amp;"/h"</f>
        <v>GBP/h</v>
      </c>
      <c r="D32" s="43">
        <f>IF($D$6="","",IF($D$30="","",$D$30+$D$31))</f>
        <v>26.804963356974</v>
      </c>
      <c r="E32" s="43">
        <f>IF($E$6="","",IF($E$30="","",$E$30+$E$31))</f>
        <v>30.1975657071339</v>
      </c>
      <c r="F32" s="43">
        <f>IF($F$6="","",IF($F$30="","",$F$30+$F$31))</f>
        <v>23.7225531914894</v>
      </c>
      <c r="G32" s="43">
        <f>IF($G$6="","",IF($G$30="","",$G$30+$G$31))</f>
        <v>45.1572036474164</v>
      </c>
      <c r="H32" s="43">
        <f>IF($H$6="","",IF($H$30="","",$H$30+$H$31))</f>
        <v>57.3899806576402</v>
      </c>
      <c r="I32" s="43">
        <f>IF($I$6="","",IF($I$30="","",$I$30+$I$31))</f>
        <v>60.0747517730497</v>
      </c>
      <c r="J32" s="43">
        <f>IF($J$6="","",IF($J$30="","",$J$30+$J$31))</f>
        <v>46.0471985815603</v>
      </c>
      <c r="K32" s="43">
        <f>IF($K$6="","",IF($K$30="","",$K$30+$K$31))</f>
        <v>34.2794599018003</v>
      </c>
      <c r="L32" s="43">
        <f>IF($L$6="","",IF($L$30="","",$L$30+$L$31))</f>
        <v>50.563401891253</v>
      </c>
      <c r="M32" s="43">
        <f>IF($M$6="","",IF($M$30="","",$M$30+$M$31))</f>
        <v>49.0915744680851</v>
      </c>
    </row>
    <row r="33" spans="2:14">
      <c r="B33" s="27" t="s">
        <v>125</v>
      </c>
      <c r="C33" s="7" t="s">
        <v>126</v>
      </c>
      <c r="D33" s="44">
        <f>IF($D$6="","",IF(N($D$32)=0,"",$D$31/$D$32))</f>
        <v>0.484984807734039</v>
      </c>
      <c r="E33" s="44">
        <f>IF($E$6="","",IF(N($E$32)=0,"",$E$31/$E$32))</f>
        <v>0.284128862677598</v>
      </c>
      <c r="F33" s="44">
        <f>IF($F$6="","",IF(N($F$32)=0,"",$F$31/$F$32))</f>
        <v>0.548001722034871</v>
      </c>
      <c r="G33" s="44">
        <f>IF($G$6="","",IF(N($G$32)=0,"",$G$31/$G$32))</f>
        <v>0.575766387197174</v>
      </c>
      <c r="H33" s="44">
        <f>IF($H$6="","",IF(N($H$32)=0,"",$H$31/$H$32))</f>
        <v>0.226520376048765</v>
      </c>
      <c r="I33" s="44">
        <f>IF($I$6="","",IF(N($I$32)=0,"",$I$31/$I$32))</f>
        <v>0.216397065594401</v>
      </c>
      <c r="J33" s="44">
        <f>IF($J$6="","",IF(N($J$32)=0,"",$J$31/$J$32))</f>
        <v>0.564638040986315</v>
      </c>
      <c r="K33" s="44">
        <f>IF($K$6="","",IF(N($K$32)=0,"",$K$31/$K$32))</f>
        <v>0.379235846691892</v>
      </c>
      <c r="L33" s="44">
        <f>IF($L$6="","",IF(N($L$32)=0,"",$L$31/$L$32))</f>
        <v>0.514205908374567</v>
      </c>
      <c r="M33" s="44">
        <f>IF($M$6="","",IF(N($M$32)=0,"",$M$31/$M$32))</f>
        <v>0.529622451137778</v>
      </c>
    </row>
    <row r="34" spans="2:14">
      <c r="B34" s="27" t="s">
        <v>127</v>
      </c>
      <c r="C34" s="7" t="str">
        <f>Currency&amp;"/h"</f>
        <v>GBP/h</v>
      </c>
      <c r="D34" s="45">
        <f>IF($D$6="","",IF($D$32="","",$D$32*(1+OverheadPct)))</f>
        <v>36.1867005319149</v>
      </c>
      <c r="E34" s="45">
        <f>IF($E$6="","",IF($E$32="","",$E$32*(1+OverheadPct)))</f>
        <v>40.7667137046308</v>
      </c>
      <c r="F34" s="45">
        <f>IF($F$6="","",IF($F$32="","",$F$32*(1+OverheadPct)))</f>
        <v>32.0254468085106</v>
      </c>
      <c r="G34" s="45">
        <f>IF($G$6="","",IF($G$32="","",$G$32*(1+OverheadPct)))</f>
        <v>60.9622249240122</v>
      </c>
      <c r="H34" s="45">
        <f>IF($H$6="","",IF($H$32="","",$H$32*(1+OverheadPct)))</f>
        <v>77.4764738878143</v>
      </c>
      <c r="I34" s="45">
        <f>IF($I$6="","",IF($I$32="","",$I$32*(1+OverheadPct)))</f>
        <v>81.100914893617</v>
      </c>
      <c r="J34" s="45">
        <f>IF($J$6="","",IF($J$32="","",$J$32*(1+OverheadPct)))</f>
        <v>62.1637180851064</v>
      </c>
      <c r="K34" s="45">
        <f>IF($K$6="","",IF($K$32="","",$K$32*(1+OverheadPct)))</f>
        <v>46.2772708674304</v>
      </c>
      <c r="L34" s="45">
        <f>IF($L$6="","",IF($L$32="","",$L$32*(1+OverheadPct)))</f>
        <v>68.2605925531915</v>
      </c>
      <c r="M34" s="45">
        <f>IF($M$6="","",IF($M$32="","",$M$32*(1+OverheadPct)))</f>
        <v>66.2736255319149</v>
      </c>
    </row>
    <row r="35" spans="2:14">
      <c r="B35" s="27" t="s">
        <v>128</v>
      </c>
      <c r="C35" s="7" t="str">
        <f>Currency&amp;"/h"</f>
        <v>GBP/h</v>
      </c>
      <c r="D35" s="42">
        <f>IF($D$6="","",IF(OR(N($D$22)=0,$D$34=""),"",$D$22-$D$34))</f>
        <v>8.81329946808511</v>
      </c>
      <c r="E35" s="42">
        <f>IF($E$6="","",IF(OR(N($E$22)=0,$E$34=""),"",$E$22-$E$34))</f>
        <v>7.2332862953692</v>
      </c>
      <c r="F35" s="42">
        <f>IF($F$6="","",IF(OR(N($F$22)=0,$F$34=""),"",$F$22-$F$34))</f>
        <v>5.97455319148936</v>
      </c>
      <c r="G35" s="42">
        <f>IF($G$6="","",IF(OR(N($G$22)=0,$G$34=""),"",$G$22-$G$34))</f>
        <v>-22.9622249240122</v>
      </c>
      <c r="H35" s="42">
        <f>IF($H$6="","",IF(OR(N($H$22)=0,$H$34=""),"",$H$22-$H$34))</f>
        <v>-5.47647388781432</v>
      </c>
      <c r="I35" s="42">
        <f>IF($I$6="","",IF(OR(N($I$22)=0,$I$34=""),"",$I$22-$I$34))</f>
        <v>-2.10091489361703</v>
      </c>
      <c r="J35" s="42">
        <f>IF($J$6="","",IF(OR(N($J$22)=0,$J$34=""),"",$J$22-$J$34))</f>
        <v>-2.16371808510638</v>
      </c>
      <c r="K35" s="42">
        <f>IF($K$6="","",IF(OR(N($K$22)=0,$K$34=""),"",$K$22-$K$34))</f>
        <v>3.72272913256956</v>
      </c>
      <c r="L35" s="42">
        <f>IF($L$6="","",IF(OR(N($L$22)=0,$L$34=""),"",$L$22-$L$34))</f>
        <v>-6.2605925531915</v>
      </c>
      <c r="M35" s="42">
        <f>IF($M$6="","",IF(OR(N($M$22)=0,$M$34=""),"",$M$22-$M$34))</f>
        <v>-11.2736255319149</v>
      </c>
    </row>
    <row r="36" spans="2:14">
      <c r="B36" s="27" t="s">
        <v>129</v>
      </c>
      <c r="C36" s="7"/>
      <c r="D36" s="46" t="str">
        <f>IF($D$6="","",IF($D$35="","",IF($D$22&gt;=$D$34,"On target",IF($D$22&gt;=$D$34*(1-0.05),"Near target","Below target"))))</f>
        <v>On target</v>
      </c>
      <c r="E36" s="46" t="str">
        <f>IF($E$6="","",IF($E$35="","",IF($E$22&gt;=$E$34,"On target",IF($E$22&gt;=$E$34*(1-0.05),"Near target","Below target"))))</f>
        <v>On target</v>
      </c>
      <c r="F36" s="46" t="str">
        <f>IF($F$6="","",IF($F$35="","",IF($F$22&gt;=$F$34,"On target",IF($F$22&gt;=$F$34*(1-0.05),"Near target","Below target"))))</f>
        <v>On target</v>
      </c>
      <c r="G36" s="46" t="str">
        <f>IF($G$6="","",IF($G$35="","",IF($G$22&gt;=$G$34,"On target",IF($G$22&gt;=$G$34*(1-0.05),"Near target","Below target"))))</f>
        <v>Below target</v>
      </c>
      <c r="H36" s="46" t="str">
        <f>IF($H$6="","",IF($H$35="","",IF($H$22&gt;=$H$34,"On target",IF($H$22&gt;=$H$34*(1-0.05),"Near target","Below target"))))</f>
        <v>Below target</v>
      </c>
      <c r="I36" s="46" t="str">
        <f>IF($I$6="","",IF($I$35="","",IF($I$22&gt;=$I$34,"On target",IF($I$22&gt;=$I$34*(1-0.05),"Near target","Below target"))))</f>
        <v>Near target</v>
      </c>
      <c r="J36" s="46" t="str">
        <f>IF($J$6="","",IF($J$35="","",IF($J$22&gt;=$J$34,"On target",IF($J$22&gt;=$J$34*(1-0.05),"Near target","Below target"))))</f>
        <v>Near target</v>
      </c>
      <c r="K36" s="46" t="str">
        <f>IF($K$6="","",IF($K$35="","",IF($K$22&gt;=$K$34,"On target",IF($K$22&gt;=$K$34*(1-0.05),"Near target","Below target"))))</f>
        <v>On target</v>
      </c>
      <c r="L36" s="46" t="str">
        <f>IF($L$6="","",IF($L$35="","",IF($L$22&gt;=$L$34,"On target",IF($L$22&gt;=$L$34*(1-0.05),"Near target","Below target"))))</f>
        <v>Below target</v>
      </c>
      <c r="M36" s="46" t="str">
        <f>IF($M$6="","",IF($M$35="","",IF($M$22&gt;=$M$34,"On target",IF($M$22&gt;=$M$34*(1-0.05),"Near target","Below target"))))</f>
        <v>Below target</v>
      </c>
    </row>
    <row r="37" spans="2:14">
      <c r="B37" s="27" t="s">
        <v>130</v>
      </c>
      <c r="C37" s="7" t="str">
        <f>Currency&amp;"/yr"</f>
        <v>GBP/yr</v>
      </c>
      <c r="D37" s="39">
        <f>IF($D$6="","",IF($D$35="","",$D$35*$D$27))</f>
        <v>23859.36432</v>
      </c>
      <c r="E37" s="39">
        <f>IF($E$6="","",IF($E$35="","",$E$35*$E$27))</f>
        <v>18494.0664</v>
      </c>
      <c r="F37" s="39">
        <f>IF($F$6="","",IF($F$35="","",$F$35*$F$27))</f>
        <v>16848.24</v>
      </c>
      <c r="G37" s="39">
        <f>IF($G$6="","",IF($G$35="","",$G$35*$G$27))</f>
        <v>-30218.288</v>
      </c>
      <c r="H37" s="39">
        <f>IF($H$6="","",IF($H$35="","",$H$35*$H$27))</f>
        <v>-11325.348</v>
      </c>
      <c r="I37" s="39">
        <f>IF($I$6="","",IF($I$35="","",$I$35*$I$27))</f>
        <v>-4739.66400000002</v>
      </c>
      <c r="J37" s="39">
        <f>IF($J$6="","",IF($J$35="","",$J$35*$J$27))</f>
        <v>-2440.674</v>
      </c>
      <c r="K37" s="39">
        <f>IF($K$6="","",IF($K$35="","",$K$35*$K$27))</f>
        <v>9098.35000000001</v>
      </c>
      <c r="L37" s="39">
        <f>IF($L$6="","",IF($L$35="","",$L$35*$L$27))</f>
        <v>-7061.94840000001</v>
      </c>
      <c r="M37" s="39">
        <f>IF($M$6="","",IF($M$35="","",$M$35*$M$27))</f>
        <v>-10597.208</v>
      </c>
      <c r="N37" s="41">
        <f>SUM($D$37:$M$37)</f>
        <v>1916.89031999994</v>
      </c>
    </row>
    <row r="38" spans="2:14">
      <c r="B38" s="27" t="s">
        <v>131</v>
      </c>
      <c r="C38" s="7"/>
      <c r="D38" s="46" t="str">
        <f>IF($D$6="","",IF(AND($D$7&gt;0,N($D$9)&lt;=0),"Missing useful life",IF($D$8&gt;$D$7,"Residual above purchase cost",IF($D$17*$D$18&gt;24,"More than 24 hours a day",IF($D$19&gt;366,"More than 366 days a year",IF($D$20&gt;1,"Utilisation above 100%",IF(N($D$27)&lt;=0,"No productive hours","OK")))))))</f>
        <v>OK</v>
      </c>
      <c r="E38" s="46" t="str">
        <f>IF($E$6="","",IF(AND($E$7&gt;0,N($E$9)&lt;=0),"Missing useful life",IF($E$8&gt;$E$7,"Residual above purchase cost",IF($E$17*$E$18&gt;24,"More than 24 hours a day",IF($E$19&gt;366,"More than 366 days a year",IF($E$20&gt;1,"Utilisation above 100%",IF(N($E$27)&lt;=0,"No productive hours","OK")))))))</f>
        <v>OK</v>
      </c>
      <c r="F38" s="46" t="str">
        <f>IF($F$6="","",IF(AND($F$7&gt;0,N($F$9)&lt;=0),"Missing useful life",IF($F$8&gt;$F$7,"Residual above purchase cost",IF($F$17*$F$18&gt;24,"More than 24 hours a day",IF($F$19&gt;366,"More than 366 days a year",IF($F$20&gt;1,"Utilisation above 100%",IF(N($F$27)&lt;=0,"No productive hours","OK")))))))</f>
        <v>OK</v>
      </c>
      <c r="G38" s="46" t="str">
        <f>IF($G$6="","",IF(AND($G$7&gt;0,N($G$9)&lt;=0),"Missing useful life",IF($G$8&gt;$G$7,"Residual above purchase cost",IF($G$17*$G$18&gt;24,"More than 24 hours a day",IF($G$19&gt;366,"More than 366 days a year",IF($G$20&gt;1,"Utilisation above 100%",IF(N($G$27)&lt;=0,"No productive hours","OK")))))))</f>
        <v>OK</v>
      </c>
      <c r="H38" s="46" t="str">
        <f>IF($H$6="","",IF(AND($H$7&gt;0,N($H$9)&lt;=0),"Missing useful life",IF($H$8&gt;$H$7,"Residual above purchase cost",IF($H$17*$H$18&gt;24,"More than 24 hours a day",IF($H$19&gt;366,"More than 366 days a year",IF($H$20&gt;1,"Utilisation above 100%",IF(N($H$27)&lt;=0,"No productive hours","OK")))))))</f>
        <v>OK</v>
      </c>
      <c r="I38" s="46" t="str">
        <f>IF($I$6="","",IF(AND($I$7&gt;0,N($I$9)&lt;=0),"Missing useful life",IF($I$8&gt;$I$7,"Residual above purchase cost",IF($I$17*$I$18&gt;24,"More than 24 hours a day",IF($I$19&gt;366,"More than 366 days a year",IF($I$20&gt;1,"Utilisation above 100%",IF(N($I$27)&lt;=0,"No productive hours","OK")))))))</f>
        <v>OK</v>
      </c>
      <c r="J38" s="46" t="str">
        <f>IF($J$6="","",IF(AND($J$7&gt;0,N($J$9)&lt;=0),"Missing useful life",IF($J$8&gt;$J$7,"Residual above purchase cost",IF($J$17*$J$18&gt;24,"More than 24 hours a day",IF($J$19&gt;366,"More than 366 days a year",IF($J$20&gt;1,"Utilisation above 100%",IF(N($J$27)&lt;=0,"No productive hours","OK")))))))</f>
        <v>OK</v>
      </c>
      <c r="K38" s="46" t="str">
        <f>IF($K$6="","",IF(AND($K$7&gt;0,N($K$9)&lt;=0),"Missing useful life",IF($K$8&gt;$K$7,"Residual above purchase cost",IF($K$17*$K$18&gt;24,"More than 24 hours a day",IF($K$19&gt;366,"More than 366 days a year",IF($K$20&gt;1,"Utilisation above 100%",IF(N($K$27)&lt;=0,"No productive hours","OK")))))))</f>
        <v>OK</v>
      </c>
      <c r="L38" s="46" t="str">
        <f>IF($L$6="","",IF(AND($L$7&gt;0,N($L$9)&lt;=0),"Missing useful life",IF($L$8&gt;$L$7,"Residual above purchase cost",IF($L$17*$L$18&gt;24,"More than 24 hours a day",IF($L$19&gt;366,"More than 366 days a year",IF($L$20&gt;1,"Utilisation above 100%",IF(N($L$27)&lt;=0,"No productive hours","OK")))))))</f>
        <v>OK</v>
      </c>
      <c r="M38" s="46" t="str">
        <f>IF($M$6="","",IF(AND($M$7&gt;0,N($M$9)&lt;=0),"Missing useful life",IF($M$8&gt;$M$7,"Residual above purchase cost",IF($M$17*$M$18&gt;24,"More than 24 hours a day",IF($M$19&gt;366,"More than 366 days a year",IF($M$20&gt;1,"Utilisation above 100%",IF(N($M$27)&lt;=0,"No productive hours","OK")))))))</f>
        <v>OK</v>
      </c>
    </row>
    <row r="40" spans="2:14" ht="26.76" customHeight="1">
      <c r="B40" s="21" t="s">
        <v>132</v>
      </c>
      <c r="C40" s="21"/>
      <c r="D40" s="21"/>
      <c r="E40" s="21"/>
      <c r="F40" s="21"/>
      <c r="G40" s="21"/>
      <c r="H40" s="21"/>
      <c r="I40" s="21"/>
      <c r="J40" s="21"/>
      <c r="K40" s="21"/>
      <c r="L40" s="21"/>
      <c r="M40" s="21"/>
      <c r="N40" s="21"/>
    </row>
  </sheetData>
  <mergeCells count="4">
    <mergeCell ref="A1:N1"/>
    <mergeCell ref="B2:M2"/>
    <mergeCell ref="B4:N4"/>
    <mergeCell ref="B40:N40"/>
  </mergeCells>
  <conditionalFormatting sqref="D36:M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8">
    <cfRule type="expression" dxfId="3" priority="21">
      <formula>$D38="OK"</formula>
    </cfRule>
    <cfRule type="expression" dxfId="1" priority="22">
      <formula>AND($D38&lt;&gt;"",$D38&lt;&gt;"OK")</formula>
    </cfRule>
  </conditionalFormatting>
  <conditionalFormatting sqref="E38">
    <cfRule type="expression" dxfId="3" priority="23">
      <formula>$E38="OK"</formula>
    </cfRule>
    <cfRule type="expression" dxfId="1" priority="24">
      <formula>AND($E38&lt;&gt;"",$E38&lt;&gt;"OK")</formula>
    </cfRule>
  </conditionalFormatting>
  <conditionalFormatting sqref="F38">
    <cfRule type="expression" dxfId="3" priority="25">
      <formula>$F38="OK"</formula>
    </cfRule>
    <cfRule type="expression" dxfId="1" priority="26">
      <formula>AND($F38&lt;&gt;"",$F38&lt;&gt;"OK")</formula>
    </cfRule>
  </conditionalFormatting>
  <conditionalFormatting sqref="G38">
    <cfRule type="expression" dxfId="3" priority="27">
      <formula>$G38="OK"</formula>
    </cfRule>
    <cfRule type="expression" dxfId="1" priority="28">
      <formula>AND($G38&lt;&gt;"",$G38&lt;&gt;"OK")</formula>
    </cfRule>
  </conditionalFormatting>
  <conditionalFormatting sqref="H38">
    <cfRule type="expression" dxfId="3" priority="29">
      <formula>$H38="OK"</formula>
    </cfRule>
    <cfRule type="expression" dxfId="1" priority="30">
      <formula>AND($H38&lt;&gt;"",$H38&lt;&gt;"OK")</formula>
    </cfRule>
  </conditionalFormatting>
  <conditionalFormatting sqref="I38">
    <cfRule type="expression" dxfId="3" priority="31">
      <formula>$I38="OK"</formula>
    </cfRule>
    <cfRule type="expression" dxfId="1" priority="32">
      <formula>AND($I38&lt;&gt;"",$I38&lt;&gt;"OK")</formula>
    </cfRule>
  </conditionalFormatting>
  <conditionalFormatting sqref="J38">
    <cfRule type="expression" dxfId="3" priority="33">
      <formula>$J38="OK"</formula>
    </cfRule>
    <cfRule type="expression" dxfId="1" priority="34">
      <formula>AND($J38&lt;&gt;"",$J38&lt;&gt;"OK")</formula>
    </cfRule>
  </conditionalFormatting>
  <conditionalFormatting sqref="K38">
    <cfRule type="expression" dxfId="3" priority="35">
      <formula>$K38="OK"</formula>
    </cfRule>
    <cfRule type="expression" dxfId="1" priority="36">
      <formula>AND($K38&lt;&gt;"",$K38&lt;&gt;"OK")</formula>
    </cfRule>
  </conditionalFormatting>
  <conditionalFormatting sqref="L38">
    <cfRule type="expression" dxfId="3" priority="37">
      <formula>$L38="OK"</formula>
    </cfRule>
    <cfRule type="expression" dxfId="1" priority="38">
      <formula>AND($L38&lt;&gt;"",$L38&lt;&gt;"OK")</formula>
    </cfRule>
  </conditionalFormatting>
  <conditionalFormatting sqref="M38">
    <cfRule type="expression" dxfId="3" priority="39">
      <formula>$M38="OK"</formula>
    </cfRule>
    <cfRule type="expression" dxfId="1" priority="40">
      <formula>AND($M38&lt;&gt;"",$M38&lt;&gt;"OK")</formula>
    </cfRule>
  </conditionalFormatting>
  <dataValidations count="170">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D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E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F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G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H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I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J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K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L6">
      <formula1>0</formula1>
      <formula2>14</formula2>
    </dataValidation>
    <dataValidation type="textLength" allowBlank="1" showInputMessage="1" showErrorMessage="1" errorTitle="Check this entry" error="Text up to 14 characters." promptTitle="Machine name" prompt="A short machine name (up to 14 characters, to fit the column). Clear it to leave the column out. Text up to 14 characters." sqref="M6">
      <formula1>0</formula1>
      <formula2>14</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D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E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F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G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H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I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J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K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L7">
      <formula1>0</formula1>
      <formula2>10000000000.0</formula2>
    </dataValidation>
    <dataValidation type="decimal" allowBlank="1" showInputMessage="1" showErrorMessage="1" errorTitle="Check this entry" error="Enter a number of at least 0." promptTitle="Purchase cost, installed" prompt="Price paid plus delivery, rigging, installation and commissioning. Enter a number of at least 0." sqref="M7">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D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E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F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G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H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I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J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K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L8">
      <formula1>0</formula1>
      <formula2>10000000000.0</formula2>
    </dataValidation>
    <dataValidation type="decimal" allowBlank="1" showInputMessage="1" showErrorMessage="1" errorTitle="Check this entry" error="Enter a number of at least 0." promptTitle="Residual value at end of life" prompt="Expected resale or scrap value when you replace it. 0 if none. Enter a number of at least 0." sqref="M8">
      <formula1>0</formula1>
      <formula2>10000000000.0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D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E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F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G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H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I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J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K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L9">
      <formula1>0</formula1>
      <formula2>50</formula2>
    </dataValidation>
    <dataValidation type="decimal" allowBlank="1" showInputMessage="1" showErrorMessage="1" errorTitle="Check this entry" error="Enter a number from 0 to 50." promptTitle="Useful life" prompt="Years you expect to use it (your depreciation policy or a realistic replacement plan). Enter a number from 0 to 50." sqref="M9">
      <formula1>0</formula1>
      <formula2>50</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D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E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F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G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H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I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J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K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L10">
      <formula1>0</formula1>
      <formula2>0.5</formula2>
    </dataValidation>
    <dataValidation type="decimal" allowBlank="1" showInputMessage="1" showErrorMessage="1" errorTitle="Check this entry" error="Enter a percentage from 0% to 50% (type 85% or 0.85)." promptTitle="Interest on capital" prompt="Your loan rate or cost of capital, charged on the average capital tied up. 0% to leave interest out (as the live calculator does). Enter a percentage from 0% to 50% (type 85% or 0.85)." sqref="M10">
      <formula1>0</formula1>
      <formula2>0.5</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D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E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F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G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H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I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J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K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L11">
      <formula1>0</formula1>
      <formula2>1000000.0</formula2>
    </dataValidation>
    <dataValidation type="decimal" allowBlank="1" showInputMessage="1" showErrorMessage="1" errorTitle="Check this entry" error="Enter a number from 0 to 1,000,000." promptTitle="Floor area incl. aisle and st..." prompt="Footprint plus its share of aisles, staging and service space. Enter a number from 0 to 1,000,000." sqref="M11">
      <formula1>0</formula1>
      <formula2>1000000.0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D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E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F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G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H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I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J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K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L12">
      <formula1>0</formula1>
      <formula2>100000</formula2>
    </dataValidation>
    <dataValidation type="decimal" allowBlank="1" showInputMessage="1" showErrorMessage="1" errorTitle="Check this entry" error="Enter a number from 0 to 100,000." promptTitle="Rated power" prompt="Connected power from the nameplate, including chiller and extraction. Enter a number from 0 to 100,000." sqref="M12">
      <formula1>0</formula1>
      <formula2>100000</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D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E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F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G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H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I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J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K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L13">
      <formula1>0</formula1>
      <formula2>1</formula2>
    </dataValidation>
    <dataValidation type="decimal" allowBlank="1" showInputMessage="1" showErrorMessage="1" errorTitle="Check this entry" error="Enter a percentage from 0% to 100% (type 85% or 0.85)." promptTitle="Average load while running" prompt="Average draw as a share of rated power while it runs; a clamp meter or the machine's energy log gives it. Enter a percentage from 0% to 100% (type 85% or 0.85)." sqref="M13">
      <formula1>0</formula1>
      <formula2>1</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D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E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F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G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H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I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J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K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L14">
      <formula1>0</formula1>
      <formula2>1000000000.0</formula2>
    </dataValidation>
    <dataValidation type="decimal" allowBlank="1" showInputMessage="1" showErrorMessage="1" errorTitle="Check this entry" error="Enter a number of at least 0." promptTitle="Maintenance and repairs" prompt="Planned maintenance, service contracts, spares and repairs per year. Enter a number of at least 0." sqref="M14">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D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E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F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G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H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I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J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K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L15">
      <formula1>0</formula1>
      <formula2>1000000000.0</formula2>
    </dataValidation>
    <dataValidation type="decimal" allowBlank="1" showInputMessage="1" showErrorMessage="1" errorTitle="Check this entry" error="Enter a number of at least 0." promptTitle="Tooling and consumables" prompt="Tools, nozzles, lenses, wire, gas, coolant and filters per year that are not charged to jobs. Enter a number of at least 0." sqref="M15">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D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E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F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G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H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I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J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K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L16">
      <formula1>0</formula1>
      <formula2>1000000000.0</formula2>
    </dataValidation>
    <dataValidation type="decimal" allowBlank="1" showInputMessage="1" showErrorMessage="1" errorTitle="Check this entry" error="Enter a number of at least 0." promptTitle="Insurance, lease and other" prompt="Insurance, software licences and, for a leased machine, the lease payments (then purchase cost 0). Enter a number of at least 0." sqref="M16">
      <formula1>0</formula1>
      <formula2>1000000000.0</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D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E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F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G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H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I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J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K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L17">
      <formula1>0</formula1>
      <formula2>4</formula2>
    </dataValidation>
    <dataValidation type="decimal" allowBlank="1" showInputMessage="1" showErrorMessage="1" errorTitle="Check this entry" error="Enter a number from 0 to 4." promptTitle="Shifts per day" prompt="Shifts the machine is staffed or scheduled per working day. Enter a number from 0 to 4." sqref="M17">
      <formula1>0</formula1>
      <formula2>4</formula2>
    </dataValidation>
    <dataValidation type="decimal" allowBlank="1" showInputMessage="1" showErrorMessage="1" errorTitle="Check this entry" error="Enter a number from 0 to 24." promptTitle="Paid hours per shift" prompt="Length of a shift in hours. Enter a number from 0 to 24." sqref="D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E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F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G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H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I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J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K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L18">
      <formula1>0</formula1>
      <formula2>24</formula2>
    </dataValidation>
    <dataValidation type="decimal" allowBlank="1" showInputMessage="1" showErrorMessage="1" errorTitle="Check this entry" error="Enter a number from 0 to 24." promptTitle="Paid hours per shift" prompt="Length of a shift in hours. Enter a number from 0 to 24." sqref="M18">
      <formula1>0</formula1>
      <formula2>24</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D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E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F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G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H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I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J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K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L19">
      <formula1>0</formula1>
      <formula2>366</formula2>
    </dataValidation>
    <dataValidation type="decimal" allowBlank="1" showInputMessage="1" showErrorMessage="1" errorTitle="Check this entry" error="Enter a number from 0 to 366." promptTitle="Working days per year" prompt="Days the plant works per year after weekends, holidays and shutdowns. Enter a number from 0 to 366." sqref="M19">
      <formula1>0</formula1>
      <formula2>366</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D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E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F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G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H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I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J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K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L20">
      <formula1>0</formula1>
      <formula2>1</formula2>
    </dataValidation>
    <dataValidation type="decimal" allowBlank="1" showInputMessage="1" showErrorMessage="1" errorTitle="Check this entry" error="Enter a percentage from 0% to 100% (type 85% or 0.85)." promptTitle="Utilisation" prompt="Share of scheduled hours the machine actually makes saleable parts: your OEE availability or booked hours / scheduled hours. Enter a percentage from 0% to 100% (type 85% or 0.85)." sqref="M20">
      <formula1>0</formula1>
      <formula2>1</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D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E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F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G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H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I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J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K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L21">
      <formula1>0</formula1>
      <formula2>20</formula2>
    </dataValidation>
    <dataValidation type="decimal" allowBlank="1" showInputMessage="1" showErrorMessage="1" errorTitle="Check this entry" error="Enter a number from 0 to 20." promptTitle="Operators per machine" prompt="People per machine while it runs: 1 = one operator; 0.5 = one operator runs two machines; 0 = unattended. Enter a number from 0 to 20." sqref="M21">
      <formula1>0</formula1>
      <formula2>20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D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E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F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G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H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I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J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K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L22">
      <formula1>0</formula1>
      <formula2>1000000.0</formula2>
    </dataValidation>
    <dataValidation type="decimal" allowBlank="1" showInputMessage="1" showErrorMessage="1" errorTitle="Check this entry" error="Enter a number from 0 to 1,000,000." promptTitle="Rate you charge today" prompt="The hourly rate your quotes use for this machine, operator included. Leave blank if not set. Enter a number from 0 to 1,000,000." sqref="M22">
      <formula1>0</formula1>
      <formula2>1000000.0</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Machine Hour Rate&amp;R&amp;8&amp;A</oddHeader>
    <oddFooter>&amp;L&amp;8mfgcalcs.com - free manufacturing templates&amp;R&amp;8Page &amp;P of &amp;N</oddFooter>
  </headerFooter>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9"/>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27" t="s">
        <v>133</v>
      </c>
      <c r="C4" s="28"/>
      <c r="D4" s="28"/>
      <c r="E4" s="28"/>
    </row>
    <row r="5" spans="1:12">
      <c r="B5" s="47" t="str">
        <f>"Curve shows: "&amp;INDEX(Rates!$D$6:$M$6,SelIdx)&amp;", now "&amp;FIXED(N(INDEX(Rates!$D$20:$M$20,SelIdx))*100,0)&amp;"% utilised, full cost rate "&amp;IF(INDEX(Rates!$D$34:$M$34,SelIdx)="","not set",FIXED(INDEX(Rates!$D$34:$M$34,SelIdx),2)&amp;" "&amp;Currency&amp;"/h")&amp;". Pick another machine in the yellow cell."</f>
        <v>Curve shows: CNC lathe, now 72% utilised, full cost rate 36.19 GBP/h. Pick another machine in the yellow cell.</v>
      </c>
      <c r="C5" s="47"/>
      <c r="D5" s="47"/>
      <c r="E5" s="47"/>
      <c r="F5" s="47"/>
      <c r="G5" s="47"/>
      <c r="H5" s="47"/>
      <c r="I5" s="47"/>
      <c r="J5" s="47"/>
      <c r="K5" s="47"/>
      <c r="L5" s="47"/>
    </row>
    <row r="7" spans="1:12" ht="18" customHeight="1">
      <c r="B7" s="48" t="str">
        <f>"ANNUAL MACHINE COST ("&amp;Currency&amp;")"</f>
        <v>ANNUAL MACHINE COST (GBP)</v>
      </c>
      <c r="C7" s="48"/>
      <c r="D7" s="48" t="str">
        <f>"AVERAGE FULL COST RATE ("&amp;Currency&amp;"/H)"</f>
        <v>AVERAGE FULL COST RATE (GBP/H)</v>
      </c>
      <c r="E7" s="48"/>
      <c r="F7" s="48"/>
      <c r="G7" s="48" t="s">
        <v>134</v>
      </c>
      <c r="H7" s="48"/>
      <c r="I7" s="48"/>
      <c r="J7" s="48" t="str">
        <f>"UNDER-RECOVERY PER YEAR ("&amp;Currency&amp;", EST.)"</f>
        <v>UNDER-RECOVERY PER YEAR (GBP, EST.)</v>
      </c>
      <c r="K7" s="48"/>
      <c r="L7" s="48"/>
    </row>
    <row r="8" spans="1:12" ht="21" customHeight="1">
      <c r="B8" s="49">
        <f>SUM(Rates!$D$29:$M$29)</f>
        <v>470126.026133333</v>
      </c>
      <c r="C8" s="49"/>
      <c r="D8" s="50">
        <f>IF(SUM(Rates!$D$27:$M$27)=0,"",SUMPRODUCT(Rates!$D$34:$M$34,Rates!$D$27:$M$27)/SUM(Rates!$D$27:$M$27))</f>
        <v>53.627221115472</v>
      </c>
      <c r="E8" s="50"/>
      <c r="F8" s="50"/>
      <c r="G8" s="49">
        <f>COUNTIF(Rates!$D$36:$M$36,"Below target")</f>
        <v>4</v>
      </c>
      <c r="H8" s="49"/>
      <c r="I8" s="49"/>
      <c r="J8" s="49">
        <f>-SUMIF(Rates!$D$37:$M$37,"&lt;0")</f>
        <v>66383.1304000001</v>
      </c>
      <c r="K8" s="49"/>
      <c r="L8" s="49"/>
    </row>
    <row r="9" spans="1:12" ht="21" customHeight="1">
      <c r="B9" s="49"/>
      <c r="C9" s="49"/>
      <c r="D9" s="50"/>
      <c r="E9" s="50"/>
      <c r="F9" s="50"/>
      <c r="G9" s="49"/>
      <c r="H9" s="49"/>
      <c r="I9" s="49"/>
      <c r="J9" s="49"/>
      <c r="K9" s="49"/>
      <c r="L9" s="49"/>
    </row>
    <row r="10" spans="1:12">
      <c r="B10" s="51" t="s">
        <v>135</v>
      </c>
      <c r="C10" s="51"/>
      <c r="D10" s="51" t="s">
        <v>136</v>
      </c>
      <c r="E10" s="51"/>
      <c r="F10" s="51"/>
      <c r="G10" s="51" t="s">
        <v>137</v>
      </c>
      <c r="H10" s="51"/>
      <c r="I10" s="51"/>
      <c r="J10" s="51" t="s">
        <v>138</v>
      </c>
      <c r="K10" s="51"/>
      <c r="L10" s="51"/>
    </row>
    <row r="11" spans="1:12" ht="18" customHeight="1">
      <c r="B11" s="52"/>
      <c r="C11" s="52"/>
      <c r="D11" s="52"/>
      <c r="E11" s="52"/>
      <c r="F11" s="52"/>
      <c r="G11" s="52"/>
      <c r="H11" s="52"/>
      <c r="I11" s="52"/>
      <c r="J11" s="52"/>
      <c r="K11" s="52"/>
      <c r="L11" s="52"/>
    </row>
    <row r="29" spans="2:12">
      <c r="B29" s="53" t="s">
        <v>139</v>
      </c>
      <c r="C29" s="53"/>
      <c r="D29" s="53"/>
      <c r="E29" s="53"/>
      <c r="F29" s="53"/>
      <c r="G29" s="53"/>
      <c r="H29" s="53"/>
      <c r="I29" s="53"/>
      <c r="J29" s="53"/>
      <c r="K29" s="53"/>
      <c r="L29" s="53"/>
    </row>
    <row r="30" spans="2:12" ht="32" customHeight="1">
      <c r="B30" s="33" t="s">
        <v>76</v>
      </c>
      <c r="C30" s="34" t="s">
        <v>119</v>
      </c>
      <c r="D30" s="34" t="s">
        <v>121</v>
      </c>
      <c r="E30" s="34" t="s">
        <v>140</v>
      </c>
      <c r="F30" s="34" t="s">
        <v>141</v>
      </c>
      <c r="G30" s="34" t="s">
        <v>142</v>
      </c>
      <c r="H30" s="34" t="s">
        <v>143</v>
      </c>
      <c r="I30" s="34" t="s">
        <v>129</v>
      </c>
      <c r="J30" s="34"/>
      <c r="K30" s="34" t="s">
        <v>144</v>
      </c>
      <c r="L30" s="34"/>
    </row>
    <row r="31" spans="2:12" ht="14" customHeight="1">
      <c r="B31" s="54"/>
      <c r="C31" s="54" t="s">
        <v>118</v>
      </c>
      <c r="D31" s="54" t="str">
        <f>Currency&amp;"/yr"</f>
        <v>GBP/yr</v>
      </c>
      <c r="E31" s="54" t="str">
        <f>Currency&amp;"/h"</f>
        <v>GBP/h</v>
      </c>
      <c r="F31" s="54" t="str">
        <f>Currency&amp;"/h"</f>
        <v>GBP/h</v>
      </c>
      <c r="G31" s="54" t="str">
        <f>Currency&amp;"/h"</f>
        <v>GBP/h</v>
      </c>
      <c r="H31" s="54" t="str">
        <f>Currency&amp;"/h"</f>
        <v>GBP/h</v>
      </c>
      <c r="I31" s="54"/>
      <c r="J31" s="54"/>
      <c r="K31" s="54" t="str">
        <f>Currency&amp;"/yr"</f>
        <v>GBP/yr</v>
      </c>
      <c r="L31" s="54"/>
    </row>
    <row r="32" spans="2:12">
      <c r="B32" s="55" t="str">
        <f>IF(INDEX(Rates!$D$6:$M$6,1)="","",INDEX(Rates!$D$6:$M$6,1))</f>
        <v>CNC lathe</v>
      </c>
      <c r="C32" s="39">
        <f>IF($B$32="","",Rates!$D$27)</f>
        <v>2707.2</v>
      </c>
      <c r="D32" s="39">
        <f>IF($B$32="","",Rates!$D$29)</f>
        <v>37372.7968</v>
      </c>
      <c r="E32" s="42">
        <f>IF($B$32="","",Rates!$D$32)</f>
        <v>26.804963356974</v>
      </c>
      <c r="F32" s="43">
        <f>IF($B$32="","",Rates!$D$34)</f>
        <v>36.1867005319149</v>
      </c>
      <c r="G32" s="42">
        <f>IF($B$32="","",IF(N(Rates!$D$22)=0,"",Rates!$D$22))</f>
        <v>45</v>
      </c>
      <c r="H32" s="42">
        <f>IF($B$32="","",Rates!$D$35)</f>
        <v>8.81329946808511</v>
      </c>
      <c r="I32" s="46" t="str">
        <f>IF($B$32="","",Rates!$D$36)</f>
        <v>On target</v>
      </c>
      <c r="J32" s="46"/>
      <c r="K32" s="39">
        <f>IF($B$32="","",Rates!$D$37)</f>
        <v>23859.36432</v>
      </c>
      <c r="L32" s="39"/>
    </row>
    <row r="33" spans="2:12">
      <c r="B33" s="55" t="str">
        <f>IF(INDEX(Rates!$D$6:$M$6,2)="","",INDEX(Rates!$D$6:$M$6,2))</f>
        <v>Swiss lathe</v>
      </c>
      <c r="C33" s="39">
        <f>IF($B$33="","",Rates!$E$27)</f>
        <v>2556.8</v>
      </c>
      <c r="D33" s="39">
        <f>IF($B$33="","",Rates!$E$29)</f>
        <v>55271.792</v>
      </c>
      <c r="E33" s="42">
        <f>IF($B$33="","",Rates!$E$32)</f>
        <v>30.1975657071339</v>
      </c>
      <c r="F33" s="43">
        <f>IF($B$33="","",Rates!$E$34)</f>
        <v>40.7667137046308</v>
      </c>
      <c r="G33" s="42">
        <f>IF($B$33="","",IF(N(Rates!$E$22)=0,"",Rates!$E$22))</f>
        <v>48</v>
      </c>
      <c r="H33" s="42">
        <f>IF($B$33="","",Rates!$E$35)</f>
        <v>7.2332862953692</v>
      </c>
      <c r="I33" s="46" t="str">
        <f>IF($B$33="","",Rates!$E$36)</f>
        <v>On target</v>
      </c>
      <c r="J33" s="46"/>
      <c r="K33" s="39">
        <f>IF($B$33="","",Rates!$E$37)</f>
        <v>18494.0664</v>
      </c>
      <c r="L33" s="39"/>
    </row>
    <row r="34" spans="2:12">
      <c r="B34" s="55" t="str">
        <f>IF(INDEX(Rates!$D$6:$M$6,3)="","",INDEX(Rates!$D$6:$M$6,3))</f>
        <v>VMC 1</v>
      </c>
      <c r="C34" s="39">
        <f>IF($B$34="","",Rates!$F$27)</f>
        <v>2820</v>
      </c>
      <c r="D34" s="39">
        <f>IF($B$34="","",Rates!$F$29)</f>
        <v>30237.6</v>
      </c>
      <c r="E34" s="42">
        <f>IF($B$34="","",Rates!$F$32)</f>
        <v>23.7225531914894</v>
      </c>
      <c r="F34" s="43">
        <f>IF($B$34="","",Rates!$F$34)</f>
        <v>32.0254468085106</v>
      </c>
      <c r="G34" s="42">
        <f>IF($B$34="","",IF(N(Rates!$F$22)=0,"",Rates!$F$22))</f>
        <v>38</v>
      </c>
      <c r="H34" s="42">
        <f>IF($B$34="","",Rates!$F$35)</f>
        <v>5.97455319148936</v>
      </c>
      <c r="I34" s="46" t="str">
        <f>IF($B$34="","",Rates!$F$36)</f>
        <v>On target</v>
      </c>
      <c r="J34" s="46"/>
      <c r="K34" s="39">
        <f>IF($B$34="","",Rates!$F$37)</f>
        <v>16848.24</v>
      </c>
      <c r="L34" s="39"/>
    </row>
    <row r="35" spans="2:12">
      <c r="B35" s="55" t="str">
        <f>IF(INDEX(Rates!$D$6:$M$6,4)="","",INDEX(Rates!$D$6:$M$6,4))</f>
        <v>VMC 2</v>
      </c>
      <c r="C35" s="39">
        <f>IF($B$35="","",Rates!$G$27)</f>
        <v>1316</v>
      </c>
      <c r="D35" s="39">
        <f>IF($B$35="","",Rates!$G$29)</f>
        <v>25210.88</v>
      </c>
      <c r="E35" s="42">
        <f>IF($B$35="","",Rates!$G$32)</f>
        <v>45.1572036474164</v>
      </c>
      <c r="F35" s="43">
        <f>IF($B$35="","",Rates!$G$34)</f>
        <v>60.9622249240122</v>
      </c>
      <c r="G35" s="42">
        <f>IF($B$35="","",IF(N(Rates!$G$22)=0,"",Rates!$G$22))</f>
        <v>38</v>
      </c>
      <c r="H35" s="42">
        <f>IF($B$35="","",Rates!$G$35)</f>
        <v>-22.9622249240122</v>
      </c>
      <c r="I35" s="46" t="str">
        <f>IF($B$35="","",Rates!$G$36)</f>
        <v>Below target</v>
      </c>
      <c r="J35" s="46"/>
      <c r="K35" s="39">
        <f>IF($B$35="","",Rates!$G$37)</f>
        <v>-30218.288</v>
      </c>
      <c r="L35" s="39"/>
    </row>
    <row r="36" spans="2:12">
      <c r="B36" s="55" t="str">
        <f>IF(INDEX(Rates!$D$6:$M$6,5)="","",INDEX(Rates!$D$6:$M$6,5))</f>
        <v>5-axis mill</v>
      </c>
      <c r="C36" s="39">
        <f>IF($B$36="","",Rates!$H$27)</f>
        <v>2068</v>
      </c>
      <c r="D36" s="39">
        <f>IF($B$36="","",Rates!$H$29)</f>
        <v>91798.48</v>
      </c>
      <c r="E36" s="42">
        <f>IF($B$36="","",Rates!$H$32)</f>
        <v>57.3899806576402</v>
      </c>
      <c r="F36" s="43">
        <f>IF($B$36="","",Rates!$H$34)</f>
        <v>77.4764738878143</v>
      </c>
      <c r="G36" s="42">
        <f>IF($B$36="","",IF(N(Rates!$H$22)=0,"",Rates!$H$22))</f>
        <v>72</v>
      </c>
      <c r="H36" s="42">
        <f>IF($B$36="","",Rates!$H$35)</f>
        <v>-5.47647388781432</v>
      </c>
      <c r="I36" s="46" t="str">
        <f>IF($B$36="","",Rates!$H$36)</f>
        <v>Below target</v>
      </c>
      <c r="J36" s="46"/>
      <c r="K36" s="39">
        <f>IF($B$36="","",Rates!$H$37)</f>
        <v>-11325.348</v>
      </c>
      <c r="L36" s="39"/>
    </row>
    <row r="37" spans="2:12">
      <c r="B37" s="55" t="str">
        <f>IF(INDEX(Rates!$D$6:$M$6,6)="","",INDEX(Rates!$D$6:$M$6,6))</f>
        <v>Fibre laser</v>
      </c>
      <c r="C37" s="39">
        <f>IF($B$37="","",Rates!$I$27)</f>
        <v>2256</v>
      </c>
      <c r="D37" s="39">
        <f>IF($B$37="","",Rates!$I$29)</f>
        <v>106200.64</v>
      </c>
      <c r="E37" s="42">
        <f>IF($B$37="","",Rates!$I$32)</f>
        <v>60.0747517730497</v>
      </c>
      <c r="F37" s="43">
        <f>IF($B$37="","",Rates!$I$34)</f>
        <v>81.100914893617</v>
      </c>
      <c r="G37" s="42">
        <f>IF($B$37="","",IF(N(Rates!$I$22)=0,"",Rates!$I$22))</f>
        <v>79</v>
      </c>
      <c r="H37" s="42">
        <f>IF($B$37="","",Rates!$I$35)</f>
        <v>-2.10091489361703</v>
      </c>
      <c r="I37" s="46" t="str">
        <f>IF($B$37="","",Rates!$I$36)</f>
        <v>Near target</v>
      </c>
      <c r="J37" s="46"/>
      <c r="K37" s="39">
        <f>IF($B$37="","",Rates!$I$37)</f>
        <v>-4739.66400000002</v>
      </c>
      <c r="L37" s="39"/>
    </row>
    <row r="38" spans="2:12">
      <c r="B38" s="55" t="str">
        <f>IF(INDEX(Rates!$D$6:$M$6,7)="","",INDEX(Rates!$D$6:$M$6,7))</f>
        <v>Press brake</v>
      </c>
      <c r="C38" s="39">
        <f>IF($B$38="","",Rates!$J$27)</f>
        <v>1128</v>
      </c>
      <c r="D38" s="39">
        <f>IF($B$38="","",Rates!$J$29)</f>
        <v>22613.24</v>
      </c>
      <c r="E38" s="42">
        <f>IF($B$38="","",Rates!$J$32)</f>
        <v>46.0471985815603</v>
      </c>
      <c r="F38" s="43">
        <f>IF($B$38="","",Rates!$J$34)</f>
        <v>62.1637180851064</v>
      </c>
      <c r="G38" s="42">
        <f>IF($B$38="","",IF(N(Rates!$J$22)=0,"",Rates!$J$22))</f>
        <v>60</v>
      </c>
      <c r="H38" s="42">
        <f>IF($B$38="","",Rates!$J$35)</f>
        <v>-2.16371808510638</v>
      </c>
      <c r="I38" s="46" t="str">
        <f>IF($B$38="","",Rates!$J$36)</f>
        <v>Near target</v>
      </c>
      <c r="J38" s="46"/>
      <c r="K38" s="39">
        <f>IF($B$38="","",Rates!$J$37)</f>
        <v>-2440.674</v>
      </c>
      <c r="L38" s="39"/>
    </row>
    <row r="39" spans="2:12">
      <c r="B39" s="55" t="str">
        <f>IF(INDEX(Rates!$D$6:$M$6,8)="","",INDEX(Rates!$D$6:$M$6,8))</f>
        <v>Weld cell</v>
      </c>
      <c r="C39" s="39">
        <f>IF($B$39="","",Rates!$K$27)</f>
        <v>2444</v>
      </c>
      <c r="D39" s="39">
        <f>IF($B$39="","",Rates!$K$29)</f>
        <v>52007</v>
      </c>
      <c r="E39" s="42">
        <f>IF($B$39="","",Rates!$K$32)</f>
        <v>34.2794599018003</v>
      </c>
      <c r="F39" s="43">
        <f>IF($B$39="","",Rates!$K$34)</f>
        <v>46.2772708674304</v>
      </c>
      <c r="G39" s="42">
        <f>IF($B$39="","",IF(N(Rates!$K$22)=0,"",Rates!$K$22))</f>
        <v>50</v>
      </c>
      <c r="H39" s="42">
        <f>IF($B$39="","",Rates!$K$35)</f>
        <v>3.72272913256956</v>
      </c>
      <c r="I39" s="46" t="str">
        <f>IF($B$39="","",Rates!$K$36)</f>
        <v>On target</v>
      </c>
      <c r="J39" s="46"/>
      <c r="K39" s="39">
        <f>IF($B$39="","",Rates!$K$37)</f>
        <v>9098.35000000001</v>
      </c>
      <c r="L39" s="39"/>
    </row>
    <row r="40" spans="2:12">
      <c r="B40" s="55" t="str">
        <f>IF(INDEX(Rates!$D$6:$M$6,9)="","",INDEX(Rates!$D$6:$M$6,9))</f>
        <v>Grinder</v>
      </c>
      <c r="C40" s="39">
        <f>IF($B$40="","",Rates!$L$27)</f>
        <v>1128</v>
      </c>
      <c r="D40" s="39">
        <f>IF($B$40="","",Rates!$L$29)</f>
        <v>27707.5173333333</v>
      </c>
      <c r="E40" s="42">
        <f>IF($B$40="","",Rates!$L$32)</f>
        <v>50.563401891253</v>
      </c>
      <c r="F40" s="43">
        <f>IF($B$40="","",Rates!$L$34)</f>
        <v>68.2605925531915</v>
      </c>
      <c r="G40" s="42">
        <f>IF($B$40="","",IF(N(Rates!$L$22)=0,"",Rates!$L$22))</f>
        <v>62</v>
      </c>
      <c r="H40" s="42">
        <f>IF($B$40="","",Rates!$L$35)</f>
        <v>-6.2605925531915</v>
      </c>
      <c r="I40" s="46" t="str">
        <f>IF($B$40="","",Rates!$L$36)</f>
        <v>Below target</v>
      </c>
      <c r="J40" s="46"/>
      <c r="K40" s="39">
        <f>IF($B$40="","",Rates!$L$37)</f>
        <v>-7061.94840000001</v>
      </c>
      <c r="L40" s="39"/>
    </row>
    <row r="41" spans="2:12">
      <c r="B41" s="55" t="str">
        <f>IF(INDEX(Rates!$D$6:$M$6,10)="","",INDEX(Rates!$D$6:$M$6,10))</f>
        <v>CMM</v>
      </c>
      <c r="C41" s="39">
        <f>IF($B$41="","",Rates!$M$27)</f>
        <v>940</v>
      </c>
      <c r="D41" s="39">
        <f>IF($B$41="","",Rates!$M$29)</f>
        <v>21706.08</v>
      </c>
      <c r="E41" s="42">
        <f>IF($B$41="","",Rates!$M$32)</f>
        <v>49.0915744680851</v>
      </c>
      <c r="F41" s="43">
        <f>IF($B$41="","",Rates!$M$34)</f>
        <v>66.2736255319149</v>
      </c>
      <c r="G41" s="42">
        <f>IF($B$41="","",IF(N(Rates!$M$22)=0,"",Rates!$M$22))</f>
        <v>55</v>
      </c>
      <c r="H41" s="42">
        <f>IF($B$41="","",Rates!$M$35)</f>
        <v>-11.2736255319149</v>
      </c>
      <c r="I41" s="46" t="str">
        <f>IF($B$41="","",Rates!$M$36)</f>
        <v>Below target</v>
      </c>
      <c r="J41" s="46"/>
      <c r="K41" s="39">
        <f>IF($B$41="","",Rates!$M$37)</f>
        <v>-10597.208</v>
      </c>
      <c r="L41" s="39"/>
    </row>
    <row r="43" spans="2:12">
      <c r="B43" s="53" t="s">
        <v>145</v>
      </c>
      <c r="C43" s="53"/>
      <c r="D43" s="53"/>
      <c r="E43" s="53"/>
      <c r="F43" s="53"/>
      <c r="G43" s="53"/>
    </row>
    <row r="44" spans="2:12" ht="20" customHeight="1">
      <c r="B44" s="33" t="s">
        <v>109</v>
      </c>
      <c r="C44" s="34" t="s">
        <v>146</v>
      </c>
      <c r="D44" s="34"/>
      <c r="E44" s="34"/>
      <c r="F44" s="34" t="s">
        <v>147</v>
      </c>
      <c r="G44" s="34"/>
    </row>
    <row r="45" spans="2:12" ht="14" customHeight="1">
      <c r="B45" s="54"/>
      <c r="C45" s="54" t="str">
        <f>Currency&amp;"/h"</f>
        <v>GBP/h</v>
      </c>
      <c r="D45" s="54"/>
      <c r="E45" s="54"/>
      <c r="F45" s="54" t="str">
        <f>Currency&amp;"/h"</f>
        <v>GBP/h</v>
      </c>
      <c r="G45" s="54"/>
    </row>
    <row r="46" spans="2:12">
      <c r="B46" s="56">
        <v>0.3</v>
      </c>
      <c r="C46" s="42">
        <f>IF(N(INDEX(Rates!$D$26:$M$26,SelIdx))=0,"",((INDEX(Rates!$D$29:$M$29,SelIdx)-INDEX(Rates!$D$28:$M$28,SelIdx))/(INDEX(Rates!$D$26:$M$26,SelIdx)*$B$46)+INDEX(Rates!$D$12:$M$12,SelIdx)*INDEX(Rates!$D$13:$M$13,SelIdx)*EnergyPrice+INDEX(Rates!$D$31:$M$31,SelIdx))*(1+OverheadPct))</f>
        <v>58.6039212765957</v>
      </c>
      <c r="D46" s="42"/>
      <c r="E46" s="42"/>
      <c r="F46" s="57">
        <f>N(INDEX(Rates!$D$22:$M$22,SelIdx))</f>
        <v>45</v>
      </c>
      <c r="G46" s="57"/>
    </row>
    <row r="47" spans="2:12">
      <c r="B47" s="56">
        <f>$B$46+0.1</f>
        <v>0.4</v>
      </c>
      <c r="C47" s="42">
        <f>IF(N(INDEX(Rates!$D$26:$M$26,SelIdx))=0,"",((INDEX(Rates!$D$29:$M$29,SelIdx)-INDEX(Rates!$D$28:$M$28,SelIdx))/(INDEX(Rates!$D$26:$M$26,SelIdx)*$B$47)+INDEX(Rates!$D$12:$M$12,SelIdx)*INDEX(Rates!$D$13:$M$13,SelIdx)*EnergyPrice+INDEX(Rates!$D$31:$M$31,SelIdx))*(1+OverheadPct))</f>
        <v>48.9965409574468</v>
      </c>
      <c r="D47" s="42"/>
      <c r="E47" s="42"/>
      <c r="F47" s="57">
        <f>N(INDEX(Rates!$D$22:$M$22,SelIdx))</f>
        <v>45</v>
      </c>
      <c r="G47" s="57"/>
    </row>
    <row r="48" spans="2:12">
      <c r="B48" s="56">
        <f>$B$47+0.1</f>
        <v>0.5</v>
      </c>
      <c r="C48" s="42">
        <f>IF(N(INDEX(Rates!$D$26:$M$26,SelIdx))=0,"",((INDEX(Rates!$D$29:$M$29,SelIdx)-INDEX(Rates!$D$28:$M$28,SelIdx))/(INDEX(Rates!$D$26:$M$26,SelIdx)*$B$48)+INDEX(Rates!$D$12:$M$12,SelIdx)*INDEX(Rates!$D$13:$M$13,SelIdx)*EnergyPrice+INDEX(Rates!$D$31:$M$31,SelIdx))*(1+OverheadPct))</f>
        <v>43.2321127659574</v>
      </c>
      <c r="D48" s="42"/>
      <c r="E48" s="42"/>
      <c r="F48" s="57">
        <f>N(INDEX(Rates!$D$22:$M$22,SelIdx))</f>
        <v>45</v>
      </c>
      <c r="G48" s="57"/>
    </row>
    <row r="49" spans="2:9">
      <c r="B49" s="56">
        <f>$B$48+0.1</f>
        <v>0.6</v>
      </c>
      <c r="C49" s="42">
        <f>IF(N(INDEX(Rates!$D$26:$M$26,SelIdx))=0,"",((INDEX(Rates!$D$29:$M$29,SelIdx)-INDEX(Rates!$D$28:$M$28,SelIdx))/(INDEX(Rates!$D$26:$M$26,SelIdx)*$B$49)+INDEX(Rates!$D$12:$M$12,SelIdx)*INDEX(Rates!$D$13:$M$13,SelIdx)*EnergyPrice+INDEX(Rates!$D$31:$M$31,SelIdx))*(1+OverheadPct))</f>
        <v>39.3891606382979</v>
      </c>
      <c r="D49" s="42"/>
      <c r="E49" s="42"/>
      <c r="F49" s="57">
        <f>N(INDEX(Rates!$D$22:$M$22,SelIdx))</f>
        <v>45</v>
      </c>
      <c r="G49" s="57"/>
    </row>
    <row r="50" spans="2:9">
      <c r="B50" s="56">
        <f>$B$49+0.1</f>
        <v>0.7</v>
      </c>
      <c r="C50" s="42">
        <f>IF(N(INDEX(Rates!$D$26:$M$26,SelIdx))=0,"",((INDEX(Rates!$D$29:$M$29,SelIdx)-INDEX(Rates!$D$28:$M$28,SelIdx))/(INDEX(Rates!$D$26:$M$26,SelIdx)*$B$50)+INDEX(Rates!$D$12:$M$12,SelIdx)*INDEX(Rates!$D$13:$M$13,SelIdx)*EnergyPrice+INDEX(Rates!$D$31:$M$31,SelIdx))*(1+OverheadPct))</f>
        <v>36.6441948328268</v>
      </c>
      <c r="D50" s="42"/>
      <c r="E50" s="42"/>
      <c r="F50" s="57">
        <f>N(INDEX(Rates!$D$22:$M$22,SelIdx))</f>
        <v>45</v>
      </c>
      <c r="G50" s="57"/>
    </row>
    <row r="51" spans="2:9">
      <c r="B51" s="56">
        <f>$B$50+0.1</f>
        <v>0.8</v>
      </c>
      <c r="C51" s="42">
        <f>IF(N(INDEX(Rates!$D$26:$M$26,SelIdx))=0,"",((INDEX(Rates!$D$29:$M$29,SelIdx)-INDEX(Rates!$D$28:$M$28,SelIdx))/(INDEX(Rates!$D$26:$M$26,SelIdx)*$B$51)+INDEX(Rates!$D$12:$M$12,SelIdx)*INDEX(Rates!$D$13:$M$13,SelIdx)*EnergyPrice+INDEX(Rates!$D$31:$M$31,SelIdx))*(1+OverheadPct))</f>
        <v>34.5854704787234</v>
      </c>
      <c r="D51" s="42"/>
      <c r="E51" s="42"/>
      <c r="F51" s="57">
        <f>N(INDEX(Rates!$D$22:$M$22,SelIdx))</f>
        <v>45</v>
      </c>
      <c r="G51" s="57"/>
    </row>
    <row r="52" spans="2:9">
      <c r="B52" s="56">
        <f>$B$51+0.1</f>
        <v>0.9</v>
      </c>
      <c r="C52" s="42">
        <f>IF(N(INDEX(Rates!$D$26:$M$26,SelIdx))=0,"",((INDEX(Rates!$D$29:$M$29,SelIdx)-INDEX(Rates!$D$28:$M$28,SelIdx))/(INDEX(Rates!$D$26:$M$26,SelIdx)*$B$52)+INDEX(Rates!$D$12:$M$12,SelIdx)*INDEX(Rates!$D$13:$M$13,SelIdx)*EnergyPrice+INDEX(Rates!$D$31:$M$31,SelIdx))*(1+OverheadPct))</f>
        <v>32.9842404255319</v>
      </c>
      <c r="D52" s="42"/>
      <c r="E52" s="42"/>
      <c r="F52" s="57">
        <f>N(INDEX(Rates!$D$22:$M$22,SelIdx))</f>
        <v>45</v>
      </c>
      <c r="G52" s="57"/>
    </row>
    <row r="53" spans="2:9">
      <c r="B53" s="56">
        <f>$B$52+0.1</f>
        <v>1</v>
      </c>
      <c r="C53" s="42">
        <f>IF(N(INDEX(Rates!$D$26:$M$26,SelIdx))=0,"",((INDEX(Rates!$D$29:$M$29,SelIdx)-INDEX(Rates!$D$28:$M$28,SelIdx))/(INDEX(Rates!$D$26:$M$26,SelIdx)*$B$53)+INDEX(Rates!$D$12:$M$12,SelIdx)*INDEX(Rates!$D$13:$M$13,SelIdx)*EnergyPrice+INDEX(Rates!$D$31:$M$31,SelIdx))*(1+OverheadPct))</f>
        <v>31.7032563829787</v>
      </c>
      <c r="D53" s="42"/>
      <c r="E53" s="42"/>
      <c r="F53" s="57">
        <f>N(INDEX(Rates!$D$22:$M$22,SelIdx))</f>
        <v>45</v>
      </c>
      <c r="G53" s="57"/>
    </row>
    <row r="55" spans="2:9">
      <c r="B55" s="53" t="s">
        <v>148</v>
      </c>
      <c r="C55" s="53"/>
      <c r="D55" s="53"/>
      <c r="E55" s="53"/>
      <c r="F55" s="53"/>
      <c r="G55" s="53"/>
      <c r="H55" s="53"/>
      <c r="I55" s="53"/>
    </row>
    <row r="56" spans="2:9" ht="45.5" customHeight="1">
      <c r="B56" s="33" t="s">
        <v>76</v>
      </c>
      <c r="C56" s="34" t="s">
        <v>149</v>
      </c>
      <c r="D56" s="34" t="s">
        <v>116</v>
      </c>
      <c r="E56" s="34" t="s">
        <v>120</v>
      </c>
      <c r="F56" s="34" t="s">
        <v>150</v>
      </c>
      <c r="G56" s="34" t="s">
        <v>151</v>
      </c>
      <c r="H56" s="34" t="s">
        <v>152</v>
      </c>
      <c r="I56" s="34" t="s">
        <v>141</v>
      </c>
    </row>
    <row r="57" spans="2:9" ht="14" customHeight="1">
      <c r="B57" s="54"/>
      <c r="C57" s="54" t="str">
        <f>Currency&amp;"/h"</f>
        <v>GBP/h</v>
      </c>
      <c r="D57" s="54" t="str">
        <f>Currency&amp;"/h"</f>
        <v>GBP/h</v>
      </c>
      <c r="E57" s="54" t="str">
        <f>Currency&amp;"/h"</f>
        <v>GBP/h</v>
      </c>
      <c r="F57" s="54" t="str">
        <f>Currency&amp;"/h"</f>
        <v>GBP/h</v>
      </c>
      <c r="G57" s="54" t="str">
        <f>Currency&amp;"/h"</f>
        <v>GBP/h</v>
      </c>
      <c r="H57" s="54" t="str">
        <f>Currency&amp;"/h"</f>
        <v>GBP/h</v>
      </c>
      <c r="I57" s="54" t="str">
        <f>Currency&amp;"/h"</f>
        <v>GBP/h</v>
      </c>
    </row>
    <row r="58" spans="2:9">
      <c r="B58" s="55" t="str">
        <f>IF(INDEX(Rates!$D$6:$M$6,1)="","",INDEX(Rates!$D$6:$M$6,1))</f>
        <v>CNC lathe</v>
      </c>
      <c r="C58" s="42">
        <f>IF($B$58="","",IF(N(Rates!$D$27)=0,"",(Rates!$D$23+Rates!$D$24)/Rates!$D$27))</f>
        <v>6.87056737588653</v>
      </c>
      <c r="D58" s="42">
        <f>IF($B$58="","",IF(N(Rates!$D$27)=0,"",Rates!$D$25/Rates!$D$27))</f>
        <v>0.631648936170213</v>
      </c>
      <c r="E58" s="42">
        <f>IF($B$58="","",IF(N(Rates!$D$27)=0,"",Rates!$D$28/Rates!$D$27))</f>
        <v>1.944</v>
      </c>
      <c r="F58" s="42">
        <f>IF($B$58="","",IF(N(Rates!$D$27)=0,"",(Rates!$D$14+Rates!$D$15+Rates!$D$16)/Rates!$D$27))</f>
        <v>4.35874704491726</v>
      </c>
      <c r="G58" s="42">
        <f>IF($B$58="","",IF(N(Rates!$D$27)=0,"",Rates!$D$31))</f>
        <v>13</v>
      </c>
      <c r="H58" s="42">
        <f>IF($B$58="","",IF(N(Rates!$D$27)=0,"",Rates!$D$32*OverheadPct))</f>
        <v>9.3817371749409</v>
      </c>
      <c r="I58" s="43">
        <f>IF($B$58="","",Rates!$D$34)</f>
        <v>36.1867005319149</v>
      </c>
    </row>
    <row r="59" spans="2:9">
      <c r="B59" s="55" t="str">
        <f>IF(INDEX(Rates!$D$6:$M$6,2)="","",INDEX(Rates!$D$6:$M$6,2))</f>
        <v>Swiss lathe</v>
      </c>
      <c r="C59" s="42">
        <f>IF($B$59="","",IF(N(Rates!$E$27)=0,"",(Rates!$E$23+Rates!$E$24)/Rates!$E$27))</f>
        <v>12.9654255319149</v>
      </c>
      <c r="D59" s="42">
        <f>IF($B$59="","",IF(N(Rates!$E$27)=0,"",Rates!$E$25/Rates!$E$27))</f>
        <v>0.445869837296621</v>
      </c>
      <c r="E59" s="42">
        <f>IF($B$59="","",IF(N(Rates!$E$27)=0,"",Rates!$E$28/Rates!$E$27))</f>
        <v>1.44</v>
      </c>
      <c r="F59" s="42">
        <f>IF($B$59="","",IF(N(Rates!$E$27)=0,"",(Rates!$E$14+Rates!$E$15+Rates!$E$16)/Rates!$E$27))</f>
        <v>6.7662703379224</v>
      </c>
      <c r="G59" s="42">
        <f>IF($B$59="","",IF(N(Rates!$E$27)=0,"",Rates!$E$31))</f>
        <v>8.58</v>
      </c>
      <c r="H59" s="42">
        <f>IF($B$59="","",IF(N(Rates!$E$27)=0,"",Rates!$E$32*OverheadPct))</f>
        <v>10.5691479974969</v>
      </c>
      <c r="I59" s="43">
        <f>IF($B$59="","",Rates!$E$34)</f>
        <v>40.7667137046308</v>
      </c>
    </row>
    <row r="60" spans="2:9">
      <c r="B60" s="55" t="str">
        <f>IF(INDEX(Rates!$D$6:$M$6,3)="","",INDEX(Rates!$D$6:$M$6,3))</f>
        <v>VMC 1</v>
      </c>
      <c r="C60" s="42">
        <f>IF($B$60="","",IF(N(Rates!$F$27)=0,"",(Rates!$F$23+Rates!$F$24)/Rates!$F$27))</f>
        <v>5.0709219858156</v>
      </c>
      <c r="D60" s="42">
        <f>IF($B$60="","",IF(N(Rates!$F$27)=0,"",Rates!$F$25/Rates!$F$27))</f>
        <v>0.673758865248227</v>
      </c>
      <c r="E60" s="42">
        <f>IF($B$60="","",IF(N(Rates!$F$27)=0,"",Rates!$F$28/Rates!$F$27))</f>
        <v>1.68</v>
      </c>
      <c r="F60" s="42">
        <f>IF($B$60="","",IF(N(Rates!$F$27)=0,"",(Rates!$F$14+Rates!$F$15+Rates!$F$16)/Rates!$F$27))</f>
        <v>3.29787234042553</v>
      </c>
      <c r="G60" s="42">
        <f>IF($B$60="","",IF(N(Rates!$F$27)=0,"",Rates!$F$31))</f>
        <v>13</v>
      </c>
      <c r="H60" s="42">
        <f>IF($B$60="","",IF(N(Rates!$F$27)=0,"",Rates!$F$32*OverheadPct))</f>
        <v>8.30289361702128</v>
      </c>
      <c r="I60" s="43">
        <f>IF($B$60="","",Rates!$F$34)</f>
        <v>32.0254468085106</v>
      </c>
    </row>
    <row r="61" spans="2:9">
      <c r="B61" s="55" t="str">
        <f>IF(INDEX(Rates!$D$6:$M$6,4)="","",INDEX(Rates!$D$6:$M$6,4))</f>
        <v>VMC 2</v>
      </c>
      <c r="C61" s="42">
        <f>IF($B$61="","",IF(N(Rates!$G$27)=0,"",(Rates!$G$23+Rates!$G$24)/Rates!$G$27))</f>
        <v>10.8662613981763</v>
      </c>
      <c r="D61" s="42">
        <f>IF($B$61="","",IF(N(Rates!$G$27)=0,"",Rates!$G$25/Rates!$G$27))</f>
        <v>1.44376899696049</v>
      </c>
      <c r="E61" s="42">
        <f>IF($B$61="","",IF(N(Rates!$G$27)=0,"",Rates!$G$28/Rates!$G$27))</f>
        <v>1.68</v>
      </c>
      <c r="F61" s="42">
        <f>IF($B$61="","",IF(N(Rates!$G$27)=0,"",(Rates!$G$14+Rates!$G$15+Rates!$G$16)/Rates!$G$27))</f>
        <v>5.16717325227964</v>
      </c>
      <c r="G61" s="42">
        <f>IF($B$61="","",IF(N(Rates!$G$27)=0,"",Rates!$G$31))</f>
        <v>26</v>
      </c>
      <c r="H61" s="42">
        <f>IF($B$61="","",IF(N(Rates!$G$27)=0,"",Rates!$G$32*OverheadPct))</f>
        <v>15.8050212765957</v>
      </c>
      <c r="I61" s="43">
        <f>IF($B$61="","",Rates!$G$34)</f>
        <v>60.9622249240122</v>
      </c>
    </row>
    <row r="62" spans="2:9">
      <c r="B62" s="55" t="str">
        <f>IF(INDEX(Rates!$D$6:$M$6,5)="","",INDEX(Rates!$D$6:$M$6,5))</f>
        <v>5-axis mill</v>
      </c>
      <c r="C62" s="42">
        <f>IF($B$62="","",IF(N(Rates!$H$27)=0,"",(Rates!$H$23+Rates!$H$24)/Rates!$H$27))</f>
        <v>25.531914893617</v>
      </c>
      <c r="D62" s="42">
        <f>IF($B$62="","",IF(N(Rates!$H$27)=0,"",Rates!$H$25/Rates!$H$27))</f>
        <v>1.37814313346228</v>
      </c>
      <c r="E62" s="42">
        <f>IF($B$62="","",IF(N(Rates!$H$27)=0,"",Rates!$H$28/Rates!$H$27))</f>
        <v>3.36</v>
      </c>
      <c r="F62" s="42">
        <f>IF($B$62="","",IF(N(Rates!$H$27)=0,"",(Rates!$H$14+Rates!$H$15+Rates!$H$16)/Rates!$H$27))</f>
        <v>14.1199226305609</v>
      </c>
      <c r="G62" s="42">
        <f>IF($B$62="","",IF(N(Rates!$H$27)=0,"",Rates!$H$31))</f>
        <v>13</v>
      </c>
      <c r="H62" s="42">
        <f>IF($B$62="","",IF(N(Rates!$H$27)=0,"",Rates!$H$32*OverheadPct))</f>
        <v>20.0864932301741</v>
      </c>
      <c r="I62" s="43">
        <f>IF($B$62="","",Rates!$H$34)</f>
        <v>77.4764738878143</v>
      </c>
    </row>
    <row r="63" spans="2:9">
      <c r="B63" s="55" t="str">
        <f>IF(INDEX(Rates!$D$6:$M$6,6)="","",INDEX(Rates!$D$6:$M$6,6))</f>
        <v>Fibre laser</v>
      </c>
      <c r="C63" s="42">
        <f>IF($B$63="","",IF(N(Rates!$I$27)=0,"",(Rates!$I$23+Rates!$I$24)/Rates!$I$27))</f>
        <v>25.354609929078</v>
      </c>
      <c r="D63" s="42">
        <f>IF($B$63="","",IF(N(Rates!$I$27)=0,"",Rates!$I$25/Rates!$I$27))</f>
        <v>2.52659574468085</v>
      </c>
      <c r="E63" s="42">
        <f>IF($B$63="","",IF(N(Rates!$I$27)=0,"",Rates!$I$28/Rates!$I$27))</f>
        <v>5.94</v>
      </c>
      <c r="F63" s="42">
        <f>IF($B$63="","",IF(N(Rates!$I$27)=0,"",(Rates!$I$14+Rates!$I$15+Rates!$I$16)/Rates!$I$27))</f>
        <v>13.2535460992908</v>
      </c>
      <c r="G63" s="42">
        <f>IF($B$63="","",IF(N(Rates!$I$27)=0,"",Rates!$I$31))</f>
        <v>13</v>
      </c>
      <c r="H63" s="42">
        <f>IF($B$63="","",IF(N(Rates!$I$27)=0,"",Rates!$I$32*OverheadPct))</f>
        <v>21.0261631205674</v>
      </c>
      <c r="I63" s="43">
        <f>IF($B$63="","",Rates!$I$34)</f>
        <v>81.100914893617</v>
      </c>
    </row>
    <row r="64" spans="2:9">
      <c r="B64" s="55" t="str">
        <f>IF(INDEX(Rates!$D$6:$M$6,7)="","",INDEX(Rates!$D$6:$M$6,7))</f>
        <v>Press brake</v>
      </c>
      <c r="C64" s="42">
        <f>IF($B$64="","",IF(N(Rates!$J$27)=0,"",(Rates!$J$23+Rates!$J$24)/Rates!$J$27))</f>
        <v>12.0744680851064</v>
      </c>
      <c r="D64" s="42">
        <f>IF($B$64="","",IF(N(Rates!$J$27)=0,"",Rates!$J$25/Rates!$J$27))</f>
        <v>2.10549645390071</v>
      </c>
      <c r="E64" s="42">
        <f>IF($B$64="","",IF(N(Rates!$J$27)=0,"",Rates!$J$28/Rates!$J$27))</f>
        <v>1.08</v>
      </c>
      <c r="F64" s="42">
        <f>IF($B$64="","",IF(N(Rates!$J$27)=0,"",(Rates!$J$14+Rates!$J$15+Rates!$J$16)/Rates!$J$27))</f>
        <v>4.78723404255319</v>
      </c>
      <c r="G64" s="42">
        <f>IF($B$64="","",IF(N(Rates!$J$27)=0,"",Rates!$J$31))</f>
        <v>26</v>
      </c>
      <c r="H64" s="42">
        <f>IF($B$64="","",IF(N(Rates!$J$27)=0,"",Rates!$J$32*OverheadPct))</f>
        <v>16.1165195035461</v>
      </c>
      <c r="I64" s="43">
        <f>IF($B$64="","",Rates!$J$34)</f>
        <v>62.1637180851064</v>
      </c>
    </row>
    <row r="65" spans="2:12">
      <c r="B65" s="55" t="str">
        <f>IF(INDEX(Rates!$D$6:$M$6,8)="","",INDEX(Rates!$D$6:$M$6,8))</f>
        <v>Weld cell</v>
      </c>
      <c r="C65" s="42">
        <f>IF($B$65="","",IF(N(Rates!$K$27)=0,"",(Rates!$K$23+Rates!$K$24)/Rates!$K$27))</f>
        <v>11.2315875613748</v>
      </c>
      <c r="D65" s="42">
        <f>IF($B$65="","",IF(N(Rates!$K$27)=0,"",Rates!$K$25/Rates!$K$27))</f>
        <v>1.36047463175123</v>
      </c>
      <c r="E65" s="42">
        <f>IF($B$65="","",IF(N(Rates!$K$27)=0,"",Rates!$K$28/Rates!$K$27))</f>
        <v>3</v>
      </c>
      <c r="F65" s="42">
        <f>IF($B$65="","",IF(N(Rates!$K$27)=0,"",(Rates!$K$14+Rates!$K$15+Rates!$K$16)/Rates!$K$27))</f>
        <v>5.68739770867431</v>
      </c>
      <c r="G65" s="42">
        <f>IF($B$65="","",IF(N(Rates!$K$27)=0,"",Rates!$K$31))</f>
        <v>13</v>
      </c>
      <c r="H65" s="42">
        <f>IF($B$65="","",IF(N(Rates!$K$27)=0,"",Rates!$K$32*OverheadPct))</f>
        <v>11.9978109656301</v>
      </c>
      <c r="I65" s="43">
        <f>IF($B$65="","",Rates!$K$34)</f>
        <v>46.2772708674304</v>
      </c>
    </row>
    <row r="66" spans="2:12">
      <c r="B66" s="55" t="str">
        <f>IF(INDEX(Rates!$D$6:$M$6,9)="","",INDEX(Rates!$D$6:$M$6,9))</f>
        <v>Grinder</v>
      </c>
      <c r="C66" s="42">
        <f>IF($B$66="","",IF(N(Rates!$L$27)=0,"",(Rates!$L$23+Rates!$L$24)/Rates!$L$27))</f>
        <v>13.8593380614657</v>
      </c>
      <c r="D66" s="42">
        <f>IF($B$66="","",IF(N(Rates!$L$27)=0,"",Rates!$L$25/Rates!$L$27))</f>
        <v>1.26329787234043</v>
      </c>
      <c r="E66" s="42">
        <f>IF($B$66="","",IF(N(Rates!$L$27)=0,"",Rates!$L$28/Rates!$L$27))</f>
        <v>1.728</v>
      </c>
      <c r="F66" s="42">
        <f>IF($B$66="","",IF(N(Rates!$L$27)=0,"",(Rates!$L$14+Rates!$L$15+Rates!$L$16)/Rates!$L$27))</f>
        <v>7.71276595744681</v>
      </c>
      <c r="G66" s="42">
        <f>IF($B$66="","",IF(N(Rates!$L$27)=0,"",Rates!$L$31))</f>
        <v>26</v>
      </c>
      <c r="H66" s="42">
        <f>IF($B$66="","",IF(N(Rates!$L$27)=0,"",Rates!$L$32*OverheadPct))</f>
        <v>17.6971906619385</v>
      </c>
      <c r="I66" s="43">
        <f>IF($B$66="","",Rates!$L$34)</f>
        <v>68.2605925531915</v>
      </c>
    </row>
    <row r="67" spans="2:12">
      <c r="B67" s="55" t="str">
        <f>IF(INDEX(Rates!$D$6:$M$6,10)="","",INDEX(Rates!$D$6:$M$6,10))</f>
        <v>CMM</v>
      </c>
      <c r="C67" s="42">
        <f>IF($B$67="","",IF(N(Rates!$M$27)=0,"",(Rates!$M$23+Rates!$M$24)/Rates!$M$27))</f>
        <v>15.1063829787234</v>
      </c>
      <c r="D67" s="42">
        <f>IF($B$67="","",IF(N(Rates!$M$27)=0,"",Rates!$M$25/Rates!$M$27))</f>
        <v>2.02127659574468</v>
      </c>
      <c r="E67" s="42">
        <f>IF($B$67="","",IF(N(Rates!$M$27)=0,"",Rates!$M$28/Rates!$M$27))</f>
        <v>0.432</v>
      </c>
      <c r="F67" s="42">
        <f>IF($B$67="","",IF(N(Rates!$M$27)=0,"",(Rates!$M$14+Rates!$M$15+Rates!$M$16)/Rates!$M$27))</f>
        <v>5.53191489361702</v>
      </c>
      <c r="G67" s="42">
        <f>IF($B$67="","",IF(N(Rates!$M$27)=0,"",Rates!$M$31))</f>
        <v>26</v>
      </c>
      <c r="H67" s="42">
        <f>IF($B$67="","",IF(N(Rates!$M$27)=0,"",Rates!$M$32*OverheadPct))</f>
        <v>17.1820510638298</v>
      </c>
      <c r="I67" s="43">
        <f>IF($B$67="","",Rates!$M$34)</f>
        <v>66.2736255319149</v>
      </c>
    </row>
    <row r="68" spans="2:12" ht="8" customHeight="1"/>
    <row r="69" spans="2:12" ht="26.76" customHeight="1">
      <c r="B69" s="21" t="s">
        <v>153</v>
      </c>
      <c r="C69" s="21"/>
      <c r="D69" s="21"/>
      <c r="E69" s="21"/>
      <c r="F69" s="21"/>
      <c r="G69" s="21"/>
      <c r="H69" s="21"/>
      <c r="I69" s="21"/>
      <c r="J69" s="21"/>
      <c r="K69" s="21"/>
      <c r="L69" s="21"/>
    </row>
  </sheetData>
  <sheetProtection sheet="1" formatColumns="0" formatRows="0"/>
  <mergeCells count="69">
    <mergeCell ref="A1:L1"/>
    <mergeCell ref="B2:J2"/>
    <mergeCell ref="K2:L2"/>
    <mergeCell ref="C4:E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L29"/>
    <mergeCell ref="I30:J30"/>
    <mergeCell ref="K30:L30"/>
    <mergeCell ref="I31:J31"/>
    <mergeCell ref="K31:L31"/>
    <mergeCell ref="I32:J32"/>
    <mergeCell ref="I33:J33"/>
    <mergeCell ref="I34:J34"/>
    <mergeCell ref="I35:J35"/>
    <mergeCell ref="I36:J36"/>
    <mergeCell ref="I37:J37"/>
    <mergeCell ref="I38:J38"/>
    <mergeCell ref="I39:J39"/>
    <mergeCell ref="I40:J40"/>
    <mergeCell ref="I41:J41"/>
    <mergeCell ref="K32:L32"/>
    <mergeCell ref="K33:L33"/>
    <mergeCell ref="K34:L34"/>
    <mergeCell ref="K35:L35"/>
    <mergeCell ref="K36:L36"/>
    <mergeCell ref="K37:L37"/>
    <mergeCell ref="K38:L38"/>
    <mergeCell ref="K39:L39"/>
    <mergeCell ref="K40:L40"/>
    <mergeCell ref="K41:L41"/>
    <mergeCell ref="B43:G43"/>
    <mergeCell ref="C44:E44"/>
    <mergeCell ref="F44:G44"/>
    <mergeCell ref="C45:E45"/>
    <mergeCell ref="F45:G45"/>
    <mergeCell ref="C46:E46"/>
    <mergeCell ref="C47:E47"/>
    <mergeCell ref="C48:E48"/>
    <mergeCell ref="C49:E49"/>
    <mergeCell ref="C50:E50"/>
    <mergeCell ref="C51:E51"/>
    <mergeCell ref="C52:E52"/>
    <mergeCell ref="C53:E53"/>
    <mergeCell ref="F46:G46"/>
    <mergeCell ref="F47:G47"/>
    <mergeCell ref="F48:G48"/>
    <mergeCell ref="F49:G49"/>
    <mergeCell ref="F50:G50"/>
    <mergeCell ref="F51:G51"/>
    <mergeCell ref="F52:G52"/>
    <mergeCell ref="F53:G53"/>
    <mergeCell ref="B55:I55"/>
    <mergeCell ref="B69:L69"/>
  </mergeCells>
  <conditionalFormatting sqref="I32:I4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MachineList)." promptTitle="Machine shown" prompt="The machine the rate-by-utilisation chart shows. Leave blank for the first machine. Pick from the list (edit the list on Setup: MachineList)." sqref="C4">
      <formula1>MachineList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Machine Hour Rate&amp;R&amp;8&amp;A</oddHeader>
    <oddFooter>&amp;L&amp;8mfgcalcs.com - free manufacturing templates&amp;R&amp;8Page &amp;P of &amp;N</oddFooter>
  </headerFooter>
  <rowBreaks count="2" manualBreakCount="2">
    <brk id="28" max="16383" man="1"/>
    <brk id="54"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154</v>
      </c>
      <c r="C4" s="8"/>
      <c r="D4" s="8"/>
    </row>
    <row r="5" spans="1:4" ht="5" customHeight="1"/>
    <row r="6" spans="1:4" ht="69" customHeight="1">
      <c r="B6" s="10" t="s">
        <v>155</v>
      </c>
      <c r="C6" s="10"/>
      <c r="D6" s="10"/>
    </row>
    <row r="8" spans="1:4" ht="21" customHeight="1">
      <c r="B8" s="8" t="s">
        <v>156</v>
      </c>
      <c r="C8" s="8"/>
      <c r="D8" s="8"/>
    </row>
    <row r="9" spans="1:4" ht="5" customHeight="1"/>
    <row r="10" spans="1:4" ht="20" customHeight="1">
      <c r="B10" s="33" t="s">
        <v>157</v>
      </c>
      <c r="C10" s="33" t="s">
        <v>158</v>
      </c>
      <c r="D10" s="34" t="s">
        <v>159</v>
      </c>
    </row>
    <row r="11" spans="1:4" ht="17.2" customHeight="1">
      <c r="B11" s="58" t="s">
        <v>114</v>
      </c>
      <c r="C11" s="59" t="s">
        <v>160</v>
      </c>
      <c r="D11" s="60" t="s">
        <v>161</v>
      </c>
    </row>
    <row r="12" spans="1:4" ht="17.2" customHeight="1">
      <c r="B12" s="58" t="s">
        <v>115</v>
      </c>
      <c r="C12" s="59" t="s">
        <v>162</v>
      </c>
      <c r="D12" s="60" t="s">
        <v>161</v>
      </c>
    </row>
    <row r="13" spans="1:4" ht="17.2" customHeight="1">
      <c r="B13" s="58" t="s">
        <v>116</v>
      </c>
      <c r="C13" s="59" t="s">
        <v>163</v>
      </c>
      <c r="D13" s="60" t="s">
        <v>161</v>
      </c>
    </row>
    <row r="14" spans="1:4" ht="17.2" customHeight="1">
      <c r="B14" s="58" t="s">
        <v>164</v>
      </c>
      <c r="C14" s="59" t="s">
        <v>165</v>
      </c>
      <c r="D14" s="60" t="s">
        <v>118</v>
      </c>
    </row>
    <row r="15" spans="1:4" ht="17.2" customHeight="1">
      <c r="B15" s="58" t="s">
        <v>120</v>
      </c>
      <c r="C15" s="59" t="s">
        <v>166</v>
      </c>
      <c r="D15" s="60" t="s">
        <v>161</v>
      </c>
    </row>
    <row r="16" spans="1:4" ht="30.4" customHeight="1">
      <c r="B16" s="58" t="s">
        <v>121</v>
      </c>
      <c r="C16" s="59" t="s">
        <v>167</v>
      </c>
      <c r="D16" s="60" t="s">
        <v>161</v>
      </c>
    </row>
    <row r="17" spans="2:4" ht="17.2" customHeight="1">
      <c r="B17" s="58" t="s">
        <v>122</v>
      </c>
      <c r="C17" s="59" t="s">
        <v>168</v>
      </c>
      <c r="D17" s="60" t="s">
        <v>169</v>
      </c>
    </row>
    <row r="18" spans="2:4" ht="17.2" customHeight="1">
      <c r="B18" s="58" t="s">
        <v>123</v>
      </c>
      <c r="C18" s="59" t="s">
        <v>170</v>
      </c>
      <c r="D18" s="60" t="s">
        <v>169</v>
      </c>
    </row>
    <row r="19" spans="2:4" ht="17.2" customHeight="1">
      <c r="B19" s="58" t="s">
        <v>171</v>
      </c>
      <c r="C19" s="59" t="s">
        <v>172</v>
      </c>
      <c r="D19" s="60" t="s">
        <v>173</v>
      </c>
    </row>
    <row r="20" spans="2:4" ht="17.2" customHeight="1">
      <c r="B20" s="58" t="s">
        <v>141</v>
      </c>
      <c r="C20" s="59" t="s">
        <v>174</v>
      </c>
      <c r="D20" s="60" t="s">
        <v>169</v>
      </c>
    </row>
    <row r="21" spans="2:4" ht="43.6" customHeight="1">
      <c r="B21" s="58" t="s">
        <v>175</v>
      </c>
      <c r="C21" s="59" t="s">
        <v>176</v>
      </c>
      <c r="D21" s="60" t="s">
        <v>169</v>
      </c>
    </row>
    <row r="22" spans="2:4" ht="30.4" customHeight="1">
      <c r="B22" s="58" t="s">
        <v>177</v>
      </c>
      <c r="C22" s="59" t="s">
        <v>178</v>
      </c>
      <c r="D22" s="60" t="s">
        <v>179</v>
      </c>
    </row>
    <row r="23" spans="2:4" ht="30.4" customHeight="1">
      <c r="B23" s="58" t="s">
        <v>180</v>
      </c>
      <c r="C23" s="59" t="s">
        <v>181</v>
      </c>
      <c r="D23" s="60" t="s">
        <v>169</v>
      </c>
    </row>
    <row r="25" spans="2:4" ht="21" customHeight="1">
      <c r="B25" s="8" t="s">
        <v>182</v>
      </c>
      <c r="C25" s="8"/>
      <c r="D25" s="8"/>
    </row>
    <row r="26" spans="2:4" ht="5" customHeight="1"/>
    <row r="27" spans="2:4" ht="29.4" customHeight="1">
      <c r="B27" s="26" t="s">
        <v>55</v>
      </c>
      <c r="C27" s="10" t="s">
        <v>183</v>
      </c>
      <c r="D27" s="10"/>
    </row>
    <row r="28" spans="2:4" ht="29.4" customHeight="1">
      <c r="B28" s="26" t="s">
        <v>55</v>
      </c>
      <c r="C28" s="10" t="s">
        <v>184</v>
      </c>
      <c r="D28" s="10"/>
    </row>
    <row r="29" spans="2:4" ht="29.4" customHeight="1">
      <c r="B29" s="26" t="s">
        <v>55</v>
      </c>
      <c r="C29" s="10" t="s">
        <v>185</v>
      </c>
      <c r="D29" s="10"/>
    </row>
    <row r="30" spans="2:4" ht="29.4" customHeight="1">
      <c r="B30" s="26" t="s">
        <v>55</v>
      </c>
      <c r="C30" s="10" t="s">
        <v>186</v>
      </c>
      <c r="D30" s="10"/>
    </row>
    <row r="32" spans="2:4" ht="21" customHeight="1">
      <c r="B32" s="8" t="s">
        <v>187</v>
      </c>
      <c r="C32" s="8"/>
      <c r="D32" s="8"/>
    </row>
    <row r="33" spans="2:4" ht="5" customHeight="1"/>
    <row r="34" spans="2:4" ht="29.4" customHeight="1">
      <c r="B34" s="26" t="s">
        <v>55</v>
      </c>
      <c r="C34" s="10" t="s">
        <v>188</v>
      </c>
      <c r="D34" s="10"/>
    </row>
    <row r="35" spans="2:4" ht="29.4" customHeight="1">
      <c r="B35" s="26" t="s">
        <v>55</v>
      </c>
      <c r="C35" s="10" t="s">
        <v>189</v>
      </c>
      <c r="D35" s="10"/>
    </row>
    <row r="36" spans="2:4" ht="16.2" customHeight="1">
      <c r="B36" s="26" t="s">
        <v>55</v>
      </c>
      <c r="C36" s="10" t="s">
        <v>190</v>
      </c>
      <c r="D36" s="10"/>
    </row>
    <row r="37" spans="2:4" ht="29.4" customHeight="1">
      <c r="B37" s="26" t="s">
        <v>55</v>
      </c>
      <c r="C37" s="10" t="s">
        <v>191</v>
      </c>
      <c r="D37" s="10"/>
    </row>
    <row r="39" spans="2:4" ht="21" customHeight="1">
      <c r="B39" s="8" t="s">
        <v>192</v>
      </c>
      <c r="C39" s="8"/>
      <c r="D39" s="8"/>
    </row>
    <row r="40" spans="2:4" ht="5" customHeight="1"/>
    <row r="41" spans="2:4" ht="95.4" customHeight="1">
      <c r="B41" s="10" t="s">
        <v>193</v>
      </c>
      <c r="C41" s="10"/>
      <c r="D41" s="10"/>
    </row>
    <row r="42" spans="2:4">
      <c r="B42" s="24" t="s">
        <v>194</v>
      </c>
      <c r="C42" s="24"/>
      <c r="D42" s="24"/>
    </row>
    <row r="44" spans="2:4" ht="21" customHeight="1">
      <c r="B44" s="8" t="s">
        <v>42</v>
      </c>
      <c r="C44" s="8"/>
      <c r="D44" s="8"/>
    </row>
    <row r="45" spans="2:4" ht="5" customHeight="1"/>
    <row r="46" spans="2:4" ht="42.6" customHeight="1">
      <c r="B46" s="10" t="s">
        <v>195</v>
      </c>
      <c r="C46" s="10"/>
      <c r="D46" s="10"/>
    </row>
    <row r="48" spans="2:4" ht="21" customHeight="1">
      <c r="B48" s="8" t="s">
        <v>196</v>
      </c>
      <c r="C48" s="8"/>
      <c r="D48" s="8"/>
    </row>
    <row r="49" spans="2:4" ht="5" customHeight="1"/>
    <row r="50" spans="2:4" ht="29.4" customHeight="1">
      <c r="B50" s="26" t="s">
        <v>55</v>
      </c>
      <c r="C50" s="10" t="s">
        <v>197</v>
      </c>
      <c r="D50" s="10"/>
    </row>
    <row r="51" spans="2:4" ht="29.4" customHeight="1">
      <c r="B51" s="26" t="s">
        <v>55</v>
      </c>
      <c r="C51" s="10" t="s">
        <v>198</v>
      </c>
      <c r="D51" s="10"/>
    </row>
    <row r="52" spans="2:4" ht="29.4" customHeight="1">
      <c r="B52" s="26" t="s">
        <v>55</v>
      </c>
      <c r="C52" s="10" t="s">
        <v>199</v>
      </c>
      <c r="D52" s="10"/>
    </row>
    <row r="53" spans="2:4">
      <c r="B53" s="21" t="s">
        <v>200</v>
      </c>
      <c r="C53" s="21"/>
      <c r="D53" s="21"/>
    </row>
    <row r="55" spans="2:4" ht="21" customHeight="1">
      <c r="B55" s="8" t="s">
        <v>201</v>
      </c>
      <c r="C55" s="8"/>
      <c r="D55" s="8"/>
    </row>
    <row r="56" spans="2:4" ht="5" customHeight="1"/>
    <row r="57" spans="2:4">
      <c r="B57" s="33" t="s">
        <v>50</v>
      </c>
      <c r="C57" s="33" t="s">
        <v>202</v>
      </c>
      <c r="D57" s="34" t="s">
        <v>203</v>
      </c>
    </row>
    <row r="58" spans="2:4" ht="16.2" customHeight="1">
      <c r="B58" s="61" t="s">
        <v>204</v>
      </c>
      <c r="C58" s="62" t="s">
        <v>205</v>
      </c>
      <c r="D58" s="63" t="s">
        <v>206</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Machine Hour Rate&amp;R&amp;8&amp;A</oddHeader>
    <oddFooter>&amp;L&amp;8mfgcalcs.com - free manufacturing templates&amp;R&amp;8Page &amp;P of &amp;N</oddFooter>
  </headerFooter>
  <rowBreaks count="2" manualBreakCount="2">
    <brk id="24"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P95"/>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28</v>
      </c>
      <c r="C2" s="2"/>
      <c r="D2" s="2"/>
      <c r="E2" s="2"/>
      <c r="F2" s="2"/>
      <c r="G2" s="2"/>
      <c r="H2" s="2"/>
      <c r="I2" s="2"/>
      <c r="J2" s="2"/>
      <c r="K2" s="2"/>
      <c r="L2" s="2"/>
      <c r="M2" s="2"/>
      <c r="N2" s="2"/>
      <c r="O2" s="2"/>
      <c r="P2" s="3" t="s">
        <v>2</v>
      </c>
    </row>
    <row r="3" spans="1:16" ht="6" customHeight="1"/>
    <row r="4" spans="1:16" ht="30" customHeight="1">
      <c r="B4" s="64" t="s">
        <v>207</v>
      </c>
      <c r="C4" s="64"/>
      <c r="D4" s="22" t="str">
        <f>IF(COUNTIF($K$11:$K$38,"PASS")=28,"PASS","FAIL")</f>
        <v>PASS</v>
      </c>
      <c r="E4" s="22"/>
      <c r="F4" s="23" t="str">
        <f>COUNTIF($K$11:$K$38,"PASS")&amp;" of 28 checks pass"</f>
        <v>28 of 28 checks pass</v>
      </c>
      <c r="G4" s="23"/>
      <c r="H4" s="23"/>
      <c r="I4" s="23"/>
      <c r="J4" s="23"/>
    </row>
    <row r="6" spans="1:16" ht="29.4" customHeight="1">
      <c r="B6" s="10" t="s">
        <v>208</v>
      </c>
      <c r="C6" s="10"/>
      <c r="D6" s="10"/>
      <c r="E6" s="10"/>
      <c r="F6" s="10"/>
      <c r="G6" s="10"/>
      <c r="H6" s="10"/>
      <c r="I6" s="10"/>
      <c r="J6" s="10"/>
      <c r="K6" s="10"/>
      <c r="L6" s="10"/>
    </row>
    <row r="8" spans="1:16" ht="21" customHeight="1">
      <c r="B8" s="8" t="s">
        <v>209</v>
      </c>
      <c r="C8" s="8"/>
      <c r="D8" s="8"/>
      <c r="E8" s="8"/>
      <c r="F8" s="8"/>
      <c r="G8" s="8"/>
      <c r="H8" s="8"/>
      <c r="I8" s="8"/>
      <c r="J8" s="8"/>
      <c r="K8" s="8"/>
      <c r="L8" s="8"/>
    </row>
    <row r="9" spans="1:16" ht="5" customHeight="1"/>
    <row r="10" spans="1:16" ht="30" customHeight="1">
      <c r="B10" s="34" t="s">
        <v>210</v>
      </c>
      <c r="C10" s="33" t="s">
        <v>131</v>
      </c>
      <c r="D10" s="33"/>
      <c r="E10" s="33"/>
      <c r="F10" s="33"/>
      <c r="G10" s="34" t="s">
        <v>211</v>
      </c>
      <c r="H10" s="34" t="s">
        <v>212</v>
      </c>
      <c r="I10" s="34" t="s">
        <v>213</v>
      </c>
      <c r="J10" s="34" t="s">
        <v>214</v>
      </c>
      <c r="K10" s="34" t="s">
        <v>215</v>
      </c>
    </row>
    <row r="11" spans="1:16" ht="29.4" customHeight="1">
      <c r="B11" s="65">
        <v>1</v>
      </c>
      <c r="C11" s="62" t="s">
        <v>216</v>
      </c>
      <c r="D11" s="62"/>
      <c r="E11" s="62"/>
      <c r="F11" s="62"/>
      <c r="G11" s="57">
        <v>52214.28571428571</v>
      </c>
      <c r="H11" s="42">
        <f>$F$74</f>
        <v>52214.2857142857</v>
      </c>
      <c r="I11" s="66">
        <f>IF(AND(ISNUMBER($G$11),ISNUMBER($H$11)),ABS($H$11-$G$11),"")</f>
        <v>0</v>
      </c>
      <c r="J11" s="67">
        <v>1E-09</v>
      </c>
      <c r="K11" s="46" t="str">
        <f>IF(AND(ISNUMBER($G$11),ISNUMBER($H$11)),IF(ABS($H$11-$G$11)&lt;=$J$11,"PASS","FAIL"),"FAIL")</f>
        <v>PASS</v>
      </c>
    </row>
    <row r="12" spans="1:16" ht="16.2" customHeight="1">
      <c r="B12" s="65">
        <v>2</v>
      </c>
      <c r="C12" s="62" t="s">
        <v>217</v>
      </c>
      <c r="D12" s="62"/>
      <c r="E12" s="62"/>
      <c r="F12" s="62"/>
      <c r="G12" s="68">
        <v>16.31696428571428</v>
      </c>
      <c r="H12" s="69">
        <f>$F$75</f>
        <v>16.3169642857143</v>
      </c>
      <c r="I12" s="66">
        <f>IF(AND(ISNUMBER($G$12),ISNUMBER($H$12)),ABS($H$12-$G$12),"")</f>
        <v>0</v>
      </c>
      <c r="J12" s="67">
        <v>1E-09</v>
      </c>
      <c r="K12" s="46" t="str">
        <f>IF(AND(ISNUMBER($G$12),ISNUMBER($H$12)),IF(ABS($H$12-$G$12)&lt;=$J$12,"PASS","FAIL"),"FAIL")</f>
        <v>PASS</v>
      </c>
    </row>
    <row r="13" spans="1:16" ht="16.2" customHeight="1">
      <c r="B13" s="65">
        <v>3</v>
      </c>
      <c r="C13" s="62" t="s">
        <v>218</v>
      </c>
      <c r="D13" s="62"/>
      <c r="E13" s="62"/>
      <c r="F13" s="62"/>
      <c r="G13" s="68">
        <v>50.31696428571428</v>
      </c>
      <c r="H13" s="69">
        <f>$F$77</f>
        <v>50.3169642857143</v>
      </c>
      <c r="I13" s="66">
        <f>IF(AND(ISNUMBER($G$13),ISNUMBER($H$13)),ABS($H$13-$G$13),"")</f>
        <v>0</v>
      </c>
      <c r="J13" s="67">
        <v>1E-09</v>
      </c>
      <c r="K13" s="46" t="str">
        <f>IF(AND(ISNUMBER($G$13),ISNUMBER($H$13)),IF(ABS($H$13-$G$13)&lt;=$J$13,"PASS","FAIL"),"FAIL")</f>
        <v>PASS</v>
      </c>
    </row>
    <row r="14" spans="1:16" ht="16.2" customHeight="1">
      <c r="B14" s="65">
        <v>4</v>
      </c>
      <c r="C14" s="62" t="s">
        <v>219</v>
      </c>
      <c r="D14" s="62"/>
      <c r="E14" s="62"/>
      <c r="F14" s="62"/>
      <c r="G14" s="70">
        <v>0.6757164404223228</v>
      </c>
      <c r="H14" s="71">
        <f>$F$78</f>
        <v>0.675716440422323</v>
      </c>
      <c r="I14" s="66">
        <f>IF(AND(ISNUMBER($G$14),ISNUMBER($H$14)),ABS($H$14-$G$14),"")</f>
        <v>0</v>
      </c>
      <c r="J14" s="67">
        <v>1E-09</v>
      </c>
      <c r="K14" s="46" t="str">
        <f>IF(AND(ISNUMBER($G$14),ISNUMBER($H$14)),IF(ABS($H$14-$G$14)&lt;=$J$14,"PASS","FAIL"),"FAIL")</f>
        <v>PASS</v>
      </c>
    </row>
    <row r="15" spans="1:16" ht="16.2" customHeight="1">
      <c r="B15" s="65">
        <v>5</v>
      </c>
      <c r="C15" s="62" t="s">
        <v>220</v>
      </c>
      <c r="D15" s="62"/>
      <c r="E15" s="62"/>
      <c r="F15" s="62"/>
      <c r="G15" s="68">
        <v>65.41205357142857</v>
      </c>
      <c r="H15" s="69">
        <f>$F$79</f>
        <v>65.4120535714286</v>
      </c>
      <c r="I15" s="66">
        <f>IF(AND(ISNUMBER($G$15),ISNUMBER($H$15)),ABS($H$15-$G$15),"")</f>
        <v>0</v>
      </c>
      <c r="J15" s="67">
        <v>1E-09</v>
      </c>
      <c r="K15" s="46" t="str">
        <f>IF(AND(ISNUMBER($G$15),ISNUMBER($H$15)),IF(ABS($H$15-$G$15)&lt;=$J$15,"PASS","FAIL"),"FAIL")</f>
        <v>PASS</v>
      </c>
    </row>
    <row r="16" spans="1:16" ht="16.2" customHeight="1">
      <c r="B16" s="65">
        <v>6</v>
      </c>
      <c r="C16" s="62" t="s">
        <v>221</v>
      </c>
      <c r="D16" s="62"/>
      <c r="E16" s="62"/>
      <c r="F16" s="62"/>
      <c r="G16" s="61" t="s">
        <v>222</v>
      </c>
      <c r="H16" s="72" t="str">
        <f>$F$81</f>
        <v>Below target</v>
      </c>
      <c r="I16" s="72"/>
      <c r="J16" s="63" t="s">
        <v>223</v>
      </c>
      <c r="K16" s="46" t="str">
        <f>IF($H$16&amp;""=$G$16&amp;"","PASS","FAIL")</f>
        <v>PASS</v>
      </c>
    </row>
    <row r="17" spans="2:11" ht="16.2" customHeight="1">
      <c r="B17" s="65">
        <v>7</v>
      </c>
      <c r="C17" s="62" t="s">
        <v>224</v>
      </c>
      <c r="D17" s="62"/>
      <c r="E17" s="62"/>
      <c r="F17" s="62"/>
      <c r="G17" s="57">
        <v>22500</v>
      </c>
      <c r="H17" s="42">
        <f>$G$68</f>
        <v>22500</v>
      </c>
      <c r="I17" s="66">
        <f>IF(AND(ISNUMBER($G$17),ISNUMBER($H$17)),ABS($H$17-$G$17),"")</f>
        <v>0</v>
      </c>
      <c r="J17" s="67">
        <v>1E-09</v>
      </c>
      <c r="K17" s="46" t="str">
        <f>IF(AND(ISNUMBER($G$17),ISNUMBER($H$17)),IF(ABS($H$17-$G$17)&lt;=$J$17,"PASS","FAIL"),"FAIL")</f>
        <v>PASS</v>
      </c>
    </row>
    <row r="18" spans="2:11" ht="16.2" customHeight="1">
      <c r="B18" s="65">
        <v>8</v>
      </c>
      <c r="C18" s="62" t="s">
        <v>225</v>
      </c>
      <c r="D18" s="62"/>
      <c r="E18" s="62"/>
      <c r="F18" s="62"/>
      <c r="G18" s="57">
        <v>8250</v>
      </c>
      <c r="H18" s="42">
        <f>$G$69</f>
        <v>8250</v>
      </c>
      <c r="I18" s="66">
        <f>IF(AND(ISNUMBER($G$18),ISNUMBER($H$18)),ABS($H$18-$G$18),"")</f>
        <v>0</v>
      </c>
      <c r="J18" s="67">
        <v>1E-09</v>
      </c>
      <c r="K18" s="46" t="str">
        <f>IF(AND(ISNUMBER($G$18),ISNUMBER($H$18)),IF(ABS($H$18-$G$18)&lt;=$J$18,"PASS","FAIL"),"FAIL")</f>
        <v>PASS</v>
      </c>
    </row>
    <row r="19" spans="2:11" ht="16.2" customHeight="1">
      <c r="B19" s="65">
        <v>9</v>
      </c>
      <c r="C19" s="62" t="s">
        <v>226</v>
      </c>
      <c r="D19" s="62"/>
      <c r="E19" s="62"/>
      <c r="F19" s="62"/>
      <c r="G19" s="57">
        <v>4000</v>
      </c>
      <c r="H19" s="42">
        <f>$G$70</f>
        <v>4000</v>
      </c>
      <c r="I19" s="66">
        <f>IF(AND(ISNUMBER($G$19),ISNUMBER($H$19)),ABS($H$19-$G$19),"")</f>
        <v>0</v>
      </c>
      <c r="J19" s="67">
        <v>1E-09</v>
      </c>
      <c r="K19" s="46" t="str">
        <f>IF(AND(ISNUMBER($G$19),ISNUMBER($H$19)),IF(ABS($H$19-$G$19)&lt;=$J$19,"PASS","FAIL"),"FAIL")</f>
        <v>PASS</v>
      </c>
    </row>
    <row r="20" spans="2:11" ht="16.2" customHeight="1">
      <c r="B20" s="65">
        <v>10</v>
      </c>
      <c r="C20" s="62" t="s">
        <v>227</v>
      </c>
      <c r="D20" s="62"/>
      <c r="E20" s="62"/>
      <c r="F20" s="62"/>
      <c r="G20" s="73">
        <v>2760</v>
      </c>
      <c r="H20" s="74">
        <f>$G$72</f>
        <v>2760</v>
      </c>
      <c r="I20" s="66">
        <f>IF(AND(ISNUMBER($G$20),ISNUMBER($H$20)),ABS($H$20-$G$20),"")</f>
        <v>0</v>
      </c>
      <c r="J20" s="67">
        <v>1E-09</v>
      </c>
      <c r="K20" s="46" t="str">
        <f>IF(AND(ISNUMBER($G$20),ISNUMBER($H$20)),IF(ABS($H$20-$G$20)&lt;=$J$20,"PASS","FAIL"),"FAIL")</f>
        <v>PASS</v>
      </c>
    </row>
    <row r="21" spans="2:11" ht="16.2" customHeight="1">
      <c r="B21" s="65">
        <v>11</v>
      </c>
      <c r="C21" s="62" t="s">
        <v>228</v>
      </c>
      <c r="D21" s="62"/>
      <c r="E21" s="62"/>
      <c r="F21" s="62"/>
      <c r="G21" s="57">
        <v>7286.400000000001</v>
      </c>
      <c r="H21" s="42">
        <f>$G$73</f>
        <v>7286.4</v>
      </c>
      <c r="I21" s="66">
        <f>IF(AND(ISNUMBER($G$21),ISNUMBER($H$21)),ABS($H$21-$G$21),"")</f>
        <v>0</v>
      </c>
      <c r="J21" s="67">
        <v>1E-09</v>
      </c>
      <c r="K21" s="46" t="str">
        <f>IF(AND(ISNUMBER($G$21),ISNUMBER($H$21)),IF(ABS($H$21-$G$21)&lt;=$J$21,"PASS","FAIL"),"FAIL")</f>
        <v>PASS</v>
      </c>
    </row>
    <row r="22" spans="2:11" ht="16.2" customHeight="1">
      <c r="B22" s="65">
        <v>12</v>
      </c>
      <c r="C22" s="62" t="s">
        <v>229</v>
      </c>
      <c r="D22" s="62"/>
      <c r="E22" s="62"/>
      <c r="F22" s="62"/>
      <c r="G22" s="57">
        <v>53536.4</v>
      </c>
      <c r="H22" s="42">
        <f>$G$74</f>
        <v>53536.4</v>
      </c>
      <c r="I22" s="66">
        <f>IF(AND(ISNUMBER($G$22),ISNUMBER($H$22)),ABS($H$22-$G$22),"")</f>
        <v>0</v>
      </c>
      <c r="J22" s="67">
        <v>1E-09</v>
      </c>
      <c r="K22" s="46" t="str">
        <f>IF(AND(ISNUMBER($G$22),ISNUMBER($H$22)),IF(ABS($H$22-$G$22)&lt;=$J$22,"PASS","FAIL"),"FAIL")</f>
        <v>PASS</v>
      </c>
    </row>
    <row r="23" spans="2:11" ht="16.2" customHeight="1">
      <c r="B23" s="65">
        <v>13</v>
      </c>
      <c r="C23" s="62" t="s">
        <v>230</v>
      </c>
      <c r="D23" s="62"/>
      <c r="E23" s="62"/>
      <c r="F23" s="62"/>
      <c r="G23" s="68">
        <v>17</v>
      </c>
      <c r="H23" s="69">
        <f>$G$76</f>
        <v>17</v>
      </c>
      <c r="I23" s="66">
        <f>IF(AND(ISNUMBER($G$23),ISNUMBER($H$23)),ABS($H$23-$G$23),"")</f>
        <v>0</v>
      </c>
      <c r="J23" s="67">
        <v>1E-09</v>
      </c>
      <c r="K23" s="46" t="str">
        <f>IF(AND(ISNUMBER($G$23),ISNUMBER($H$23)),IF(ABS($H$23-$G$23)&lt;=$J$23,"PASS","FAIL"),"FAIL")</f>
        <v>PASS</v>
      </c>
    </row>
    <row r="24" spans="2:11" ht="16.2" customHeight="1">
      <c r="B24" s="65">
        <v>14</v>
      </c>
      <c r="C24" s="62" t="s">
        <v>231</v>
      </c>
      <c r="D24" s="62"/>
      <c r="E24" s="62"/>
      <c r="F24" s="62"/>
      <c r="G24" s="68">
        <v>47.31642028985507</v>
      </c>
      <c r="H24" s="69">
        <f>$G$79</f>
        <v>47.3164202898551</v>
      </c>
      <c r="I24" s="66">
        <f>IF(AND(ISNUMBER($G$24),ISNUMBER($H$24)),ABS($H$24-$G$24),"")</f>
        <v>0</v>
      </c>
      <c r="J24" s="67">
        <v>1E-09</v>
      </c>
      <c r="K24" s="46" t="str">
        <f>IF(AND(ISNUMBER($G$24),ISNUMBER($H$24)),IF(ABS($H$24-$G$24)&lt;=$J$24,"PASS","FAIL"),"FAIL")</f>
        <v>PASS</v>
      </c>
    </row>
    <row r="25" spans="2:11" ht="16.2" customHeight="1">
      <c r="B25" s="65">
        <v>15</v>
      </c>
      <c r="C25" s="62" t="s">
        <v>232</v>
      </c>
      <c r="D25" s="62"/>
      <c r="E25" s="62"/>
      <c r="F25" s="62"/>
      <c r="G25" s="68">
        <v>22.68357971014493</v>
      </c>
      <c r="H25" s="69">
        <f>$G$80</f>
        <v>22.6835797101449</v>
      </c>
      <c r="I25" s="66">
        <f>IF(AND(ISNUMBER($G$25),ISNUMBER($H$25)),ABS($H$25-$G$25),"")</f>
        <v>0</v>
      </c>
      <c r="J25" s="67">
        <v>1E-09</v>
      </c>
      <c r="K25" s="46" t="str">
        <f>IF(AND(ISNUMBER($G$25),ISNUMBER($H$25)),IF(ABS($H$25-$G$25)&lt;=$J$25,"PASS","FAIL"),"FAIL")</f>
        <v>PASS</v>
      </c>
    </row>
    <row r="26" spans="2:11" ht="16.2" customHeight="1">
      <c r="B26" s="65">
        <v>16</v>
      </c>
      <c r="C26" s="62" t="s">
        <v>233</v>
      </c>
      <c r="D26" s="62"/>
      <c r="E26" s="62"/>
      <c r="F26" s="62"/>
      <c r="G26" s="61" t="s">
        <v>234</v>
      </c>
      <c r="H26" s="72" t="str">
        <f>$G$81</f>
        <v>On target</v>
      </c>
      <c r="I26" s="72"/>
      <c r="J26" s="63" t="s">
        <v>223</v>
      </c>
      <c r="K26" s="46" t="str">
        <f>IF($H$26&amp;""=$G$26&amp;"","PASS","FAIL")</f>
        <v>PASS</v>
      </c>
    </row>
    <row r="27" spans="2:11" ht="16.2" customHeight="1">
      <c r="B27" s="65">
        <v>17</v>
      </c>
      <c r="C27" s="62" t="s">
        <v>235</v>
      </c>
      <c r="D27" s="62"/>
      <c r="E27" s="62"/>
      <c r="F27" s="62"/>
      <c r="G27" s="57">
        <v>62606.67999999999</v>
      </c>
      <c r="H27" s="42">
        <f>$G$82</f>
        <v>62606.68</v>
      </c>
      <c r="I27" s="66">
        <f>IF(AND(ISNUMBER($G$27),ISNUMBER($H$27)),ABS($H$27-$G$27),"")</f>
        <v>0</v>
      </c>
      <c r="J27" s="67">
        <v>1E-06</v>
      </c>
      <c r="K27" s="46" t="str">
        <f>IF(AND(ISNUMBER($G$27),ISNUMBER($H$27)),IF(ABS($H$27-$G$27)&lt;=$J$27,"PASS","FAIL"),"FAIL")</f>
        <v>PASS</v>
      </c>
    </row>
    <row r="28" spans="2:11" ht="16.2" customHeight="1">
      <c r="B28" s="65">
        <v>18</v>
      </c>
      <c r="C28" s="62" t="s">
        <v>236</v>
      </c>
      <c r="D28" s="62"/>
      <c r="E28" s="62"/>
      <c r="F28" s="62"/>
      <c r="G28" s="61" t="s">
        <v>237</v>
      </c>
      <c r="H28" s="72" t="str">
        <f>$H$83</f>
        <v>Residual above purchase cost</v>
      </c>
      <c r="I28" s="72"/>
      <c r="J28" s="63" t="s">
        <v>223</v>
      </c>
      <c r="K28" s="46" t="str">
        <f>IF($H$28&amp;""=$G$28&amp;"","PASS","FAIL")</f>
        <v>PASS</v>
      </c>
    </row>
    <row r="29" spans="2:11" ht="16.2" customHeight="1">
      <c r="B29" s="65">
        <v>19</v>
      </c>
      <c r="C29" s="62" t="s">
        <v>238</v>
      </c>
      <c r="D29" s="62"/>
      <c r="E29" s="62"/>
      <c r="F29" s="62"/>
      <c r="G29" s="61" t="s">
        <v>239</v>
      </c>
      <c r="H29" s="72" t="str">
        <f>$I$83</f>
        <v>More than 24 hours a day</v>
      </c>
      <c r="I29" s="72"/>
      <c r="J29" s="63" t="s">
        <v>223</v>
      </c>
      <c r="K29" s="46" t="str">
        <f>IF($H$29&amp;""=$G$29&amp;"","PASS","FAIL")</f>
        <v>PASS</v>
      </c>
    </row>
    <row r="30" spans="2:11" ht="16.2" customHeight="1">
      <c r="B30" s="65">
        <v>20</v>
      </c>
      <c r="C30" s="62" t="s">
        <v>240</v>
      </c>
      <c r="D30" s="62"/>
      <c r="E30" s="62"/>
      <c r="F30" s="62"/>
      <c r="G30" s="61" t="s">
        <v>241</v>
      </c>
      <c r="H30" s="72" t="str">
        <f>$J$83</f>
        <v>No productive hours</v>
      </c>
      <c r="I30" s="72"/>
      <c r="J30" s="63" t="s">
        <v>223</v>
      </c>
      <c r="K30" s="46" t="str">
        <f>IF($H$30&amp;""=$G$30&amp;"","PASS","FAIL")</f>
        <v>PASS</v>
      </c>
    </row>
    <row r="31" spans="2:11" ht="16.2" customHeight="1">
      <c r="B31" s="65">
        <v>21</v>
      </c>
      <c r="C31" s="62" t="s">
        <v>242</v>
      </c>
      <c r="D31" s="62"/>
      <c r="E31" s="62"/>
      <c r="F31" s="62"/>
      <c r="G31" s="61" t="s">
        <v>243</v>
      </c>
      <c r="H31" s="72">
        <f>$J$79</f>
        <v/>
      </c>
      <c r="I31" s="72"/>
      <c r="J31" s="63" t="s">
        <v>223</v>
      </c>
      <c r="K31" s="46" t="str">
        <f>IF($H$31&amp;""=$G$31&amp;"","PASS","FAIL")</f>
        <v>PASS</v>
      </c>
    </row>
    <row r="32" spans="2:11" ht="16.2" customHeight="1">
      <c r="B32" s="65">
        <v>22</v>
      </c>
      <c r="C32" s="62" t="s">
        <v>244</v>
      </c>
      <c r="D32" s="62"/>
      <c r="E32" s="62"/>
      <c r="F32" s="62"/>
      <c r="G32" s="61" t="s">
        <v>243</v>
      </c>
      <c r="H32" s="72">
        <f>$L$74</f>
        <v/>
      </c>
      <c r="I32" s="72"/>
      <c r="J32" s="63" t="s">
        <v>223</v>
      </c>
      <c r="K32" s="46" t="str">
        <f>IF($H$32&amp;""=$G$32&amp;"","PASS","FAIL")</f>
        <v>PASS</v>
      </c>
    </row>
    <row r="33" spans="2:12" ht="16.2" customHeight="1">
      <c r="B33" s="65">
        <v>23</v>
      </c>
      <c r="C33" s="62" t="s">
        <v>245</v>
      </c>
      <c r="D33" s="62"/>
      <c r="E33" s="62"/>
      <c r="F33" s="62"/>
      <c r="G33" s="57">
        <v>135554.6857142857</v>
      </c>
      <c r="H33" s="42">
        <f>SUM($F$74:$O$74)</f>
        <v>135554.685714286</v>
      </c>
      <c r="I33" s="66">
        <f>IF(AND(ISNUMBER($G$33),ISNUMBER($H$33)),ABS($H$33-$G$33),"")</f>
        <v>0</v>
      </c>
      <c r="J33" s="67">
        <v>1E-06</v>
      </c>
      <c r="K33" s="46" t="str">
        <f>IF(AND(ISNUMBER($G$33),ISNUMBER($H$33)),IF(ABS($H$33-$G$33)&lt;=$J$33,"PASS","FAIL"),"FAIL")</f>
        <v>PASS</v>
      </c>
    </row>
    <row r="34" spans="2:12" ht="16.2" customHeight="1">
      <c r="B34" s="65">
        <v>24</v>
      </c>
      <c r="C34" s="62" t="s">
        <v>246</v>
      </c>
      <c r="D34" s="62"/>
      <c r="E34" s="62"/>
      <c r="F34" s="62"/>
      <c r="G34" s="68">
        <v>53.78508716639407</v>
      </c>
      <c r="H34" s="69">
        <f>IF(SUM($F$72:$O$72)=0,"",SUMPRODUCT($F$79:$O$79,$F$72:$O$72)/SUM($F$72:$O$72))</f>
        <v>53.7850871663941</v>
      </c>
      <c r="I34" s="66">
        <f>IF(AND(ISNUMBER($G$34),ISNUMBER($H$34)),ABS($H$34-$G$34),"")</f>
        <v>0</v>
      </c>
      <c r="J34" s="67">
        <v>1E-06</v>
      </c>
      <c r="K34" s="46" t="str">
        <f>IF(AND(ISNUMBER($G$34),ISNUMBER($H$34)),IF(ABS($H$34-$G$34)&lt;=$J$34,"PASS","FAIL"),"FAIL")</f>
        <v>PASS</v>
      </c>
    </row>
    <row r="35" spans="2:12" ht="16.2" customHeight="1">
      <c r="B35" s="65">
        <v>25</v>
      </c>
      <c r="C35" s="62" t="s">
        <v>247</v>
      </c>
      <c r="D35" s="62"/>
      <c r="E35" s="62"/>
      <c r="F35" s="62"/>
      <c r="G35" s="75">
        <v>2</v>
      </c>
      <c r="H35" s="39">
        <f>COUNTIF($F$81:$O$81,"Below target")</f>
        <v>2</v>
      </c>
      <c r="I35" s="66">
        <f>IF(AND(ISNUMBER($G$35),ISNUMBER($H$35)),ABS($H$35-$G$35),"")</f>
        <v>0</v>
      </c>
      <c r="J35" s="67">
        <v>1E-09</v>
      </c>
      <c r="K35" s="46" t="str">
        <f>IF(AND(ISNUMBER($G$35),ISNUMBER($H$35)),IF(ABS($H$35-$G$35)&lt;=$J$35,"PASS","FAIL"),"FAIL")</f>
        <v>PASS</v>
      </c>
    </row>
    <row r="36" spans="2:12" ht="16.2" customHeight="1">
      <c r="B36" s="65">
        <v>26</v>
      </c>
      <c r="C36" s="62" t="s">
        <v>248</v>
      </c>
      <c r="D36" s="62"/>
      <c r="E36" s="62"/>
      <c r="F36" s="62"/>
      <c r="G36" s="57">
        <v>57071.07142857142</v>
      </c>
      <c r="H36" s="42">
        <f>-SUMIF($F$82:$O$82,"&lt;0")</f>
        <v>57071.0714285714</v>
      </c>
      <c r="I36" s="66">
        <f>IF(AND(ISNUMBER($G$36),ISNUMBER($H$36)),ABS($H$36-$G$36),"")</f>
        <v>0</v>
      </c>
      <c r="J36" s="67">
        <v>1E-06</v>
      </c>
      <c r="K36" s="46" t="str">
        <f>IF(AND(ISNUMBER($G$36),ISNUMBER($H$36)),IF(ABS($H$36-$G$36)&lt;=$J$36,"PASS","FAIL"),"FAIL")</f>
        <v>PASS</v>
      </c>
    </row>
    <row r="37" spans="2:12" ht="16.2" customHeight="1">
      <c r="B37" s="65">
        <v>27</v>
      </c>
      <c r="C37" s="62" t="s">
        <v>249</v>
      </c>
      <c r="D37" s="62"/>
      <c r="E37" s="62"/>
      <c r="F37" s="62"/>
      <c r="G37" s="68">
        <v>58.20863043478261</v>
      </c>
      <c r="H37" s="69">
        <f>$C$90</f>
        <v>58.2086304347826</v>
      </c>
      <c r="I37" s="66">
        <f>IF(AND(ISNUMBER($G$37),ISNUMBER($H$37)),ABS($H$37-$G$37),"")</f>
        <v>0</v>
      </c>
      <c r="J37" s="67">
        <v>1E-09</v>
      </c>
      <c r="K37" s="46" t="str">
        <f>IF(AND(ISNUMBER($G$37),ISNUMBER($H$37)),IF(ABS($H$37-$G$37)&lt;=$J$37,"PASS","FAIL"),"FAIL")</f>
        <v>PASS</v>
      </c>
    </row>
    <row r="38" spans="2:12" ht="16.2" customHeight="1">
      <c r="B38" s="65">
        <v>28</v>
      </c>
      <c r="C38" s="62" t="s">
        <v>250</v>
      </c>
      <c r="D38" s="62"/>
      <c r="E38" s="62"/>
      <c r="F38" s="62"/>
      <c r="G38" s="68">
        <v>41.87031521739131</v>
      </c>
      <c r="H38" s="69">
        <f>$C$95</f>
        <v>41.8703152173913</v>
      </c>
      <c r="I38" s="66">
        <f>IF(AND(ISNUMBER($G$38),ISNUMBER($H$38)),ABS($H$38-$G$38),"")</f>
        <v>0</v>
      </c>
      <c r="J38" s="67">
        <v>1E-09</v>
      </c>
      <c r="K38" s="46" t="str">
        <f>IF(AND(ISNUMBER($G$38),ISNUMBER($H$38)),IF(ABS($H$38-$G$38)&lt;=$J$38,"PASS","FAIL"),"FAIL")</f>
        <v>PASS</v>
      </c>
    </row>
    <row r="40" spans="2:12" ht="21" customHeight="1">
      <c r="B40" s="8" t="s">
        <v>251</v>
      </c>
      <c r="C40" s="8"/>
      <c r="D40" s="8"/>
      <c r="E40" s="8"/>
      <c r="F40" s="8"/>
      <c r="G40" s="8"/>
      <c r="H40" s="8"/>
      <c r="I40" s="8"/>
      <c r="J40" s="8"/>
      <c r="K40" s="8"/>
      <c r="L40" s="8"/>
    </row>
    <row r="41" spans="2:12" ht="5" customHeight="1"/>
    <row r="42" spans="2:12">
      <c r="B42" s="21" t="s">
        <v>252</v>
      </c>
      <c r="C42" s="21"/>
      <c r="D42" s="21"/>
      <c r="E42" s="21"/>
      <c r="F42" s="21"/>
      <c r="G42" s="21"/>
      <c r="H42" s="21"/>
      <c r="I42" s="21"/>
      <c r="J42" s="21"/>
      <c r="K42" s="21"/>
      <c r="L42" s="21"/>
    </row>
    <row r="43" spans="2:12">
      <c r="B43" s="53" t="s">
        <v>253</v>
      </c>
      <c r="C43" s="53"/>
      <c r="D43" s="53"/>
      <c r="E43" s="53"/>
      <c r="F43" s="53"/>
    </row>
    <row r="44" spans="2:12">
      <c r="B44" s="27" t="s">
        <v>68</v>
      </c>
      <c r="C44" s="27"/>
      <c r="D44" s="27"/>
      <c r="E44" s="57">
        <v>34</v>
      </c>
      <c r="F44" s="7"/>
    </row>
    <row r="45" spans="2:12">
      <c r="B45" s="27" t="s">
        <v>152</v>
      </c>
      <c r="C45" s="27"/>
      <c r="D45" s="27"/>
      <c r="E45" s="76">
        <v>0.3</v>
      </c>
      <c r="F45" s="7"/>
    </row>
    <row r="46" spans="2:12">
      <c r="B46" s="27" t="s">
        <v>70</v>
      </c>
      <c r="C46" s="27"/>
      <c r="D46" s="27"/>
      <c r="E46" s="68">
        <v>0.2</v>
      </c>
      <c r="F46" s="7"/>
    </row>
    <row r="47" spans="2:12">
      <c r="B47" s="27" t="s">
        <v>254</v>
      </c>
      <c r="C47" s="27"/>
      <c r="D47" s="27"/>
      <c r="E47" s="57">
        <v>100</v>
      </c>
      <c r="F47" s="7"/>
    </row>
    <row r="48" spans="2:12">
      <c r="B48" s="27" t="s">
        <v>255</v>
      </c>
      <c r="C48" s="27"/>
      <c r="D48" s="27"/>
      <c r="E48" s="75">
        <v>2</v>
      </c>
      <c r="F48" s="7"/>
    </row>
    <row r="50" spans="2:16">
      <c r="B50" s="53" t="s">
        <v>256</v>
      </c>
      <c r="C50" s="53"/>
      <c r="D50" s="53"/>
      <c r="E50" s="53"/>
      <c r="F50" s="53"/>
      <c r="G50" s="53"/>
      <c r="H50" s="53"/>
      <c r="I50" s="53"/>
      <c r="J50" s="53"/>
      <c r="K50" s="53"/>
      <c r="L50" s="53"/>
    </row>
    <row r="51" spans="2:16">
      <c r="B51" s="33" t="s">
        <v>76</v>
      </c>
      <c r="C51" s="33"/>
      <c r="D51" s="33"/>
      <c r="E51" s="34" t="s">
        <v>77</v>
      </c>
      <c r="F51" s="61" t="s">
        <v>257</v>
      </c>
      <c r="G51" s="61" t="s">
        <v>258</v>
      </c>
      <c r="H51" s="61" t="s">
        <v>259</v>
      </c>
      <c r="I51" s="61" t="s">
        <v>260</v>
      </c>
      <c r="J51" s="61" t="s">
        <v>261</v>
      </c>
      <c r="K51" s="61"/>
      <c r="L51" s="61"/>
      <c r="M51" s="61"/>
      <c r="N51" s="61"/>
      <c r="O51" s="61"/>
      <c r="P51" s="34" t="s">
        <v>88</v>
      </c>
    </row>
    <row r="52" spans="2:16">
      <c r="B52" s="27" t="s">
        <v>89</v>
      </c>
      <c r="C52" s="27"/>
      <c r="D52" s="27"/>
      <c r="E52" s="7" t="str">
        <f>Currency</f>
        <v>GBP</v>
      </c>
      <c r="F52" s="75">
        <v>180000</v>
      </c>
      <c r="G52" s="75">
        <v>250000</v>
      </c>
      <c r="H52" s="75">
        <v>50000</v>
      </c>
      <c r="I52" s="75">
        <v>80000</v>
      </c>
      <c r="J52" s="75">
        <v>60000</v>
      </c>
      <c r="K52" s="75"/>
      <c r="L52" s="75"/>
      <c r="M52" s="75"/>
      <c r="N52" s="75"/>
      <c r="O52" s="75"/>
    </row>
    <row r="53" spans="2:16">
      <c r="B53" s="27" t="s">
        <v>90</v>
      </c>
      <c r="C53" s="27"/>
      <c r="D53" s="27"/>
      <c r="E53" s="7" t="str">
        <f>Currency</f>
        <v>GBP</v>
      </c>
      <c r="F53" s="75">
        <v>0</v>
      </c>
      <c r="G53" s="75">
        <v>25000</v>
      </c>
      <c r="H53" s="75">
        <v>60000</v>
      </c>
      <c r="I53" s="75">
        <v>0</v>
      </c>
      <c r="J53" s="75">
        <v>5000</v>
      </c>
      <c r="K53" s="75"/>
      <c r="L53" s="75"/>
      <c r="M53" s="75"/>
      <c r="N53" s="75"/>
      <c r="O53" s="75"/>
    </row>
    <row r="54" spans="2:16">
      <c r="B54" s="27" t="s">
        <v>91</v>
      </c>
      <c r="C54" s="27"/>
      <c r="D54" s="27"/>
      <c r="E54" s="7" t="s">
        <v>92</v>
      </c>
      <c r="F54" s="73">
        <v>7</v>
      </c>
      <c r="G54" s="73">
        <v>10</v>
      </c>
      <c r="H54" s="73">
        <v>5</v>
      </c>
      <c r="I54" s="73">
        <v>8</v>
      </c>
      <c r="J54" s="73">
        <v>10</v>
      </c>
      <c r="K54" s="73"/>
      <c r="L54" s="73"/>
      <c r="M54" s="73"/>
      <c r="N54" s="73"/>
      <c r="O54" s="73"/>
    </row>
    <row r="55" spans="2:16">
      <c r="B55" s="27" t="s">
        <v>93</v>
      </c>
      <c r="C55" s="27"/>
      <c r="D55" s="27"/>
      <c r="E55" s="7" t="s">
        <v>94</v>
      </c>
      <c r="F55" s="76">
        <v>0</v>
      </c>
      <c r="G55" s="76">
        <v>0.06</v>
      </c>
      <c r="H55" s="76">
        <v>0</v>
      </c>
      <c r="I55" s="76">
        <v>0.05</v>
      </c>
      <c r="J55" s="76">
        <v>0.05</v>
      </c>
      <c r="K55" s="76"/>
      <c r="L55" s="76"/>
      <c r="M55" s="76"/>
      <c r="N55" s="76"/>
      <c r="O55" s="76"/>
    </row>
    <row r="56" spans="2:16">
      <c r="B56" s="27" t="s">
        <v>95</v>
      </c>
      <c r="C56" s="27"/>
      <c r="D56" s="27"/>
      <c r="E56" s="7" t="str">
        <f>AreaUnit</f>
        <v>m²</v>
      </c>
      <c r="F56" s="73">
        <v>0</v>
      </c>
      <c r="G56" s="73">
        <v>40</v>
      </c>
      <c r="H56" s="73">
        <v>10</v>
      </c>
      <c r="I56" s="73">
        <v>15</v>
      </c>
      <c r="J56" s="73">
        <v>12</v>
      </c>
      <c r="K56" s="73"/>
      <c r="L56" s="73"/>
      <c r="M56" s="73"/>
      <c r="N56" s="73"/>
      <c r="O56" s="73"/>
    </row>
    <row r="57" spans="2:16">
      <c r="B57" s="27" t="s">
        <v>96</v>
      </c>
      <c r="C57" s="27"/>
      <c r="D57" s="27"/>
      <c r="E57" s="7" t="s">
        <v>97</v>
      </c>
      <c r="F57" s="73">
        <v>0</v>
      </c>
      <c r="G57" s="73">
        <v>22</v>
      </c>
      <c r="H57" s="73">
        <v>5</v>
      </c>
      <c r="I57" s="73">
        <v>10</v>
      </c>
      <c r="J57" s="73">
        <v>8</v>
      </c>
      <c r="K57" s="73"/>
      <c r="L57" s="73"/>
      <c r="M57" s="73"/>
      <c r="N57" s="73"/>
      <c r="O57" s="73"/>
    </row>
    <row r="58" spans="2:16">
      <c r="B58" s="27" t="s">
        <v>98</v>
      </c>
      <c r="C58" s="27"/>
      <c r="D58" s="27"/>
      <c r="E58" s="7" t="s">
        <v>99</v>
      </c>
      <c r="F58" s="77">
        <v>0</v>
      </c>
      <c r="G58" s="77">
        <v>0.6</v>
      </c>
      <c r="H58" s="77">
        <v>0.5</v>
      </c>
      <c r="I58" s="77">
        <v>0.5</v>
      </c>
      <c r="J58" s="77">
        <v>0.4</v>
      </c>
      <c r="K58" s="77"/>
      <c r="L58" s="77"/>
      <c r="M58" s="77"/>
      <c r="N58" s="77"/>
      <c r="O58" s="77"/>
    </row>
    <row r="59" spans="2:16">
      <c r="B59" s="27" t="s">
        <v>100</v>
      </c>
      <c r="C59" s="27"/>
      <c r="D59" s="27"/>
      <c r="E59" s="7" t="str">
        <f>Currency&amp;"/yr"</f>
        <v>GBP/yr</v>
      </c>
      <c r="F59" s="75">
        <v>26500</v>
      </c>
      <c r="G59" s="75">
        <v>6000</v>
      </c>
      <c r="H59" s="75">
        <v>1000</v>
      </c>
      <c r="I59" s="75">
        <v>2000</v>
      </c>
      <c r="J59" s="75">
        <v>900</v>
      </c>
      <c r="K59" s="75"/>
      <c r="L59" s="75"/>
      <c r="M59" s="75"/>
      <c r="N59" s="75"/>
      <c r="O59" s="75"/>
    </row>
    <row r="60" spans="2:16">
      <c r="B60" s="27" t="s">
        <v>101</v>
      </c>
      <c r="C60" s="27"/>
      <c r="D60" s="27"/>
      <c r="E60" s="7" t="str">
        <f>Currency&amp;"/yr"</f>
        <v>GBP/yr</v>
      </c>
      <c r="F60" s="75">
        <v>0</v>
      </c>
      <c r="G60" s="75">
        <v>4000</v>
      </c>
      <c r="H60" s="75">
        <v>0</v>
      </c>
      <c r="I60" s="75">
        <v>500</v>
      </c>
      <c r="J60" s="75">
        <v>0</v>
      </c>
      <c r="K60" s="75"/>
      <c r="L60" s="75"/>
      <c r="M60" s="75"/>
      <c r="N60" s="75"/>
      <c r="O60" s="75"/>
    </row>
    <row r="61" spans="2:16">
      <c r="B61" s="27" t="s">
        <v>102</v>
      </c>
      <c r="C61" s="27"/>
      <c r="D61" s="27"/>
      <c r="E61" s="7" t="str">
        <f>Currency&amp;"/yr"</f>
        <v>GBP/yr</v>
      </c>
      <c r="F61" s="75">
        <v>0</v>
      </c>
      <c r="G61" s="75">
        <v>1500</v>
      </c>
      <c r="H61" s="75">
        <v>0</v>
      </c>
      <c r="I61" s="75">
        <v>300</v>
      </c>
      <c r="J61" s="75">
        <v>200</v>
      </c>
      <c r="K61" s="75"/>
      <c r="L61" s="75"/>
      <c r="M61" s="75"/>
      <c r="N61" s="75"/>
      <c r="O61" s="75"/>
    </row>
    <row r="62" spans="2:16">
      <c r="B62" s="27" t="s">
        <v>103</v>
      </c>
      <c r="C62" s="27"/>
      <c r="D62" s="27"/>
      <c r="E62" s="7" t="s">
        <v>104</v>
      </c>
      <c r="F62" s="73">
        <v>2</v>
      </c>
      <c r="G62" s="73">
        <v>2</v>
      </c>
      <c r="H62" s="73">
        <v>1</v>
      </c>
      <c r="I62" s="73">
        <v>3</v>
      </c>
      <c r="J62" s="73">
        <v>1</v>
      </c>
      <c r="K62" s="73"/>
      <c r="L62" s="73"/>
      <c r="M62" s="73"/>
      <c r="N62" s="73"/>
      <c r="O62" s="73"/>
    </row>
    <row r="63" spans="2:16">
      <c r="B63" s="27" t="s">
        <v>105</v>
      </c>
      <c r="C63" s="27"/>
      <c r="D63" s="27"/>
      <c r="E63" s="7" t="s">
        <v>106</v>
      </c>
      <c r="F63" s="73">
        <v>8</v>
      </c>
      <c r="G63" s="73">
        <v>8</v>
      </c>
      <c r="H63" s="73">
        <v>8</v>
      </c>
      <c r="I63" s="73">
        <v>9</v>
      </c>
      <c r="J63" s="73">
        <v>8</v>
      </c>
      <c r="K63" s="73"/>
      <c r="L63" s="73"/>
      <c r="M63" s="73"/>
      <c r="N63" s="73"/>
      <c r="O63" s="73"/>
    </row>
    <row r="64" spans="2:16">
      <c r="B64" s="27" t="s">
        <v>107</v>
      </c>
      <c r="C64" s="27"/>
      <c r="D64" s="27"/>
      <c r="E64" s="7" t="s">
        <v>108</v>
      </c>
      <c r="F64" s="75">
        <v>200</v>
      </c>
      <c r="G64" s="75">
        <v>230</v>
      </c>
      <c r="H64" s="75">
        <v>220</v>
      </c>
      <c r="I64" s="75">
        <v>250</v>
      </c>
      <c r="J64" s="75">
        <v>230</v>
      </c>
      <c r="K64" s="75"/>
      <c r="L64" s="75"/>
      <c r="M64" s="75"/>
      <c r="N64" s="75"/>
      <c r="O64" s="75"/>
    </row>
    <row r="65" spans="2:16">
      <c r="B65" s="27" t="s">
        <v>109</v>
      </c>
      <c r="C65" s="27"/>
      <c r="D65" s="27"/>
      <c r="E65" s="7" t="s">
        <v>110</v>
      </c>
      <c r="F65" s="77">
        <v>1</v>
      </c>
      <c r="G65" s="77">
        <v>0.75</v>
      </c>
      <c r="H65" s="77">
        <v>0.8</v>
      </c>
      <c r="I65" s="77">
        <v>0.5</v>
      </c>
      <c r="J65" s="77">
        <v>0</v>
      </c>
      <c r="K65" s="77"/>
      <c r="L65" s="77"/>
      <c r="M65" s="77"/>
      <c r="N65" s="77"/>
      <c r="O65" s="77"/>
    </row>
    <row r="66" spans="2:16">
      <c r="B66" s="27" t="s">
        <v>111</v>
      </c>
      <c r="C66" s="27"/>
      <c r="D66" s="27"/>
      <c r="E66" s="7" t="s">
        <v>112</v>
      </c>
      <c r="F66" s="57">
        <v>1</v>
      </c>
      <c r="G66" s="57">
        <v>0.5</v>
      </c>
      <c r="H66" s="57">
        <v>1</v>
      </c>
      <c r="I66" s="57">
        <v>1</v>
      </c>
      <c r="J66" s="57">
        <v>1</v>
      </c>
      <c r="K66" s="57"/>
      <c r="L66" s="57"/>
      <c r="M66" s="57"/>
      <c r="N66" s="57"/>
      <c r="O66" s="57"/>
    </row>
    <row r="67" spans="2:16">
      <c r="B67" s="27" t="s">
        <v>113</v>
      </c>
      <c r="C67" s="27"/>
      <c r="D67" s="27"/>
      <c r="E67" s="7" t="str">
        <f>Currency&amp;"/h"</f>
        <v>GBP/h</v>
      </c>
      <c r="F67" s="57">
        <v>60</v>
      </c>
      <c r="G67" s="57">
        <v>70</v>
      </c>
      <c r="H67" s="57">
        <v>50</v>
      </c>
      <c r="I67" s="57">
        <v>40</v>
      </c>
      <c r="J67" s="57">
        <v>45</v>
      </c>
      <c r="K67" s="57"/>
      <c r="L67" s="57"/>
      <c r="M67" s="57"/>
      <c r="N67" s="57"/>
      <c r="O67" s="57"/>
    </row>
    <row r="68" spans="2:16">
      <c r="B68" s="27" t="s">
        <v>114</v>
      </c>
      <c r="C68" s="27"/>
      <c r="D68" s="27"/>
      <c r="E68" s="7" t="str">
        <f>Currency&amp;"/yr"</f>
        <v>GBP/yr</v>
      </c>
      <c r="F68" s="39">
        <f>IF($F$51="","",IF($F$54&gt;0,($F$52-$F$53)/$F$54,0))</f>
        <v>25714.2857142857</v>
      </c>
      <c r="G68" s="39">
        <f>IF($G$51="","",IF($G$54&gt;0,($G$52-$G$53)/$G$54,0))</f>
        <v>22500</v>
      </c>
      <c r="H68" s="39">
        <f>IF($H$51="","",IF($H$54&gt;0,($H$52-$H$53)/$H$54,0))</f>
        <v>-2000</v>
      </c>
      <c r="I68" s="39">
        <f>IF($I$51="","",IF($I$54&gt;0,($I$52-$I$53)/$I$54,0))</f>
        <v>10000</v>
      </c>
      <c r="J68" s="39">
        <f>IF($J$51="","",IF($J$54&gt;0,($J$52-$J$53)/$J$54,0))</f>
        <v>5500</v>
      </c>
      <c r="K68" s="39">
        <f>IF($K$51="","",IF($K$54&gt;0,($K$52-$K$53)/$K$54,0))</f>
        <v/>
      </c>
      <c r="L68" s="39">
        <f>IF($L$51="","",IF($L$54&gt;0,($L$52-$L$53)/$L$54,0))</f>
        <v/>
      </c>
      <c r="M68" s="39">
        <f>IF($M$51="","",IF($M$54&gt;0,($M$52-$M$53)/$M$54,0))</f>
        <v/>
      </c>
      <c r="N68" s="39">
        <f>IF($N$51="","",IF($N$54&gt;0,($N$52-$N$53)/$N$54,0))</f>
        <v/>
      </c>
      <c r="O68" s="39">
        <f>IF($O$51="","",IF($O$54&gt;0,($O$52-$O$53)/$O$54,0))</f>
        <v/>
      </c>
    </row>
    <row r="69" spans="2:16">
      <c r="B69" s="27" t="s">
        <v>115</v>
      </c>
      <c r="C69" s="27"/>
      <c r="D69" s="27"/>
      <c r="E69" s="7" t="str">
        <f>Currency&amp;"/yr"</f>
        <v>GBP/yr</v>
      </c>
      <c r="F69" s="39">
        <f>IF($F$51="","",($F$52+$F$53)/2*$F$55)</f>
        <v>0</v>
      </c>
      <c r="G69" s="39">
        <f>IF($G$51="","",($G$52+$G$53)/2*$G$55)</f>
        <v>8250</v>
      </c>
      <c r="H69" s="39">
        <f>IF($H$51="","",($H$52+$H$53)/2*$H$55)</f>
        <v>0</v>
      </c>
      <c r="I69" s="39">
        <f>IF($I$51="","",($I$52+$I$53)/2*$I$55)</f>
        <v>2000</v>
      </c>
      <c r="J69" s="39">
        <f>IF($J$51="","",($J$52+$J$53)/2*$J$55)</f>
        <v>1625</v>
      </c>
      <c r="K69" s="39">
        <f>IF($K$51="","",($K$52+$K$53)/2*$K$55)</f>
        <v/>
      </c>
      <c r="L69" s="39">
        <f>IF($L$51="","",($L$52+$L$53)/2*$L$55)</f>
        <v/>
      </c>
      <c r="M69" s="39">
        <f>IF($M$51="","",($M$52+$M$53)/2*$M$55)</f>
        <v/>
      </c>
      <c r="N69" s="39">
        <f>IF($N$51="","",($N$52+$N$53)/2*$N$55)</f>
        <v/>
      </c>
      <c r="O69" s="39">
        <f>IF($O$51="","",($O$52+$O$53)/2*$O$55)</f>
        <v/>
      </c>
    </row>
    <row r="70" spans="2:16">
      <c r="B70" s="27" t="s">
        <v>116</v>
      </c>
      <c r="C70" s="27"/>
      <c r="D70" s="27"/>
      <c r="E70" s="7" t="str">
        <f>Currency&amp;"/yr"</f>
        <v>GBP/yr</v>
      </c>
      <c r="F70" s="39">
        <f>IF($F$51="","",$F$56*$E$47)</f>
        <v>0</v>
      </c>
      <c r="G70" s="39">
        <f>IF($G$51="","",$G$56*$E$47)</f>
        <v>4000</v>
      </c>
      <c r="H70" s="39">
        <f>IF($H$51="","",$H$56*$E$47)</f>
        <v>1000</v>
      </c>
      <c r="I70" s="39">
        <f>IF($I$51="","",$I$56*$E$47)</f>
        <v>1500</v>
      </c>
      <c r="J70" s="39">
        <f>IF($J$51="","",$J$56*$E$47)</f>
        <v>1200</v>
      </c>
      <c r="K70" s="39">
        <f>IF($K$51="","",$K$56*$E$47)</f>
        <v/>
      </c>
      <c r="L70" s="39">
        <f>IF($L$51="","",$L$56*$E$47)</f>
        <v/>
      </c>
      <c r="M70" s="39">
        <f>IF($M$51="","",$M$56*$E$47)</f>
        <v/>
      </c>
      <c r="N70" s="39">
        <f>IF($N$51="","",$N$56*$E$47)</f>
        <v/>
      </c>
      <c r="O70" s="39">
        <f>IF($O$51="","",$O$56*$E$47)</f>
        <v/>
      </c>
    </row>
    <row r="71" spans="2:16">
      <c r="B71" s="27" t="s">
        <v>117</v>
      </c>
      <c r="C71" s="27"/>
      <c r="D71" s="27"/>
      <c r="E71" s="7" t="s">
        <v>118</v>
      </c>
      <c r="F71" s="39">
        <f>IF($F$51="","",$F$62*$F$63*$F$64)</f>
        <v>3200</v>
      </c>
      <c r="G71" s="39">
        <f>IF($G$51="","",$G$62*$G$63*$G$64)</f>
        <v>3680</v>
      </c>
      <c r="H71" s="39">
        <f>IF($H$51="","",$H$62*$H$63*$H$64)</f>
        <v>1760</v>
      </c>
      <c r="I71" s="39">
        <f>IF($I$51="","",$I$62*$I$63*$I$64)</f>
        <v>6750</v>
      </c>
      <c r="J71" s="39">
        <f>IF($J$51="","",$J$62*$J$63*$J$64)</f>
        <v>1840</v>
      </c>
      <c r="K71" s="39">
        <f>IF($K$51="","",$K$62*$K$63*$K$64)</f>
        <v/>
      </c>
      <c r="L71" s="39">
        <f>IF($L$51="","",$L$62*$L$63*$L$64)</f>
        <v/>
      </c>
      <c r="M71" s="39">
        <f>IF($M$51="","",$M$62*$M$63*$M$64)</f>
        <v/>
      </c>
      <c r="N71" s="39">
        <f>IF($N$51="","",$N$62*$N$63*$N$64)</f>
        <v/>
      </c>
      <c r="O71" s="39">
        <f>IF($O$51="","",$O$62*$O$63*$O$64)</f>
        <v/>
      </c>
    </row>
    <row r="72" spans="2:16">
      <c r="B72" s="27" t="s">
        <v>119</v>
      </c>
      <c r="C72" s="27"/>
      <c r="D72" s="27"/>
      <c r="E72" s="7" t="s">
        <v>118</v>
      </c>
      <c r="F72" s="40">
        <f>IF($F$51="","",$F$71*$F$65)</f>
        <v>3200</v>
      </c>
      <c r="G72" s="40">
        <f>IF($G$51="","",$G$71*$G$65)</f>
        <v>2760</v>
      </c>
      <c r="H72" s="40">
        <f>IF($H$51="","",$H$71*$H$65)</f>
        <v>1408</v>
      </c>
      <c r="I72" s="40">
        <f>IF($I$51="","",$I$71*$I$65)</f>
        <v>3375</v>
      </c>
      <c r="J72" s="40">
        <f>IF($J$51="","",$J$71*$J$65)</f>
        <v>0</v>
      </c>
      <c r="K72" s="40">
        <f>IF($K$51="","",$K$71*$K$65)</f>
        <v/>
      </c>
      <c r="L72" s="40">
        <f>IF($L$51="","",$L$71*$L$65)</f>
        <v/>
      </c>
      <c r="M72" s="40">
        <f>IF($M$51="","",$M$71*$M$65)</f>
        <v/>
      </c>
      <c r="N72" s="40">
        <f>IF($N$51="","",$N$71*$N$65)</f>
        <v/>
      </c>
      <c r="O72" s="40">
        <f>IF($O$51="","",$O$71*$O$65)</f>
        <v/>
      </c>
      <c r="P72" s="41">
        <f>SUM($F$72:$O$72)</f>
        <v>10743</v>
      </c>
    </row>
    <row r="73" spans="2:16">
      <c r="B73" s="27" t="s">
        <v>120</v>
      </c>
      <c r="C73" s="27"/>
      <c r="D73" s="27"/>
      <c r="E73" s="7" t="str">
        <f>Currency&amp;"/yr"</f>
        <v>GBP/yr</v>
      </c>
      <c r="F73" s="39">
        <f>IF($F$51="","",$F$57*$F$58*$F$72*$E$46)</f>
        <v>0</v>
      </c>
      <c r="G73" s="39">
        <f>IF($G$51="","",$G$57*$G$58*$G$72*$E$46)</f>
        <v>7286.4</v>
      </c>
      <c r="H73" s="39">
        <f>IF($H$51="","",$H$57*$H$58*$H$72*$E$46)</f>
        <v>704</v>
      </c>
      <c r="I73" s="39">
        <f>IF($I$51="","",$I$57*$I$58*$I$72*$E$46)</f>
        <v>3375</v>
      </c>
      <c r="J73" s="39">
        <f>IF($J$51="","",$J$57*$J$58*$J$72*$E$46)</f>
        <v>0</v>
      </c>
      <c r="K73" s="39">
        <f>IF($K$51="","",$K$57*$K$58*$K$72*$E$46)</f>
        <v/>
      </c>
      <c r="L73" s="39">
        <f>IF($L$51="","",$L$57*$L$58*$L$72*$E$46)</f>
        <v/>
      </c>
      <c r="M73" s="39">
        <f>IF($M$51="","",$M$57*$M$58*$M$72*$E$46)</f>
        <v/>
      </c>
      <c r="N73" s="39">
        <f>IF($N$51="","",$N$57*$N$58*$N$72*$E$46)</f>
        <v/>
      </c>
      <c r="O73" s="39">
        <f>IF($O$51="","",$O$57*$O$58*$O$72*$E$46)</f>
        <v/>
      </c>
    </row>
    <row r="74" spans="2:16">
      <c r="B74" s="27" t="s">
        <v>121</v>
      </c>
      <c r="C74" s="27"/>
      <c r="D74" s="27"/>
      <c r="E74" s="7" t="str">
        <f>Currency&amp;"/yr"</f>
        <v>GBP/yr</v>
      </c>
      <c r="F74" s="40">
        <f>IF($F$51="","",$F$68+$F$69+$F$70+$F$73+$F$59+$F$60+$F$61)</f>
        <v>52214.2857142857</v>
      </c>
      <c r="G74" s="40">
        <f>IF($G$51="","",$G$68+$G$69+$G$70+$G$73+$G$59+$G$60+$G$61)</f>
        <v>53536.4</v>
      </c>
      <c r="H74" s="40">
        <f>IF($H$51="","",$H$68+$H$69+$H$70+$H$73+$H$59+$H$60+$H$61)</f>
        <v>704</v>
      </c>
      <c r="I74" s="40">
        <f>IF($I$51="","",$I$68+$I$69+$I$70+$I$73+$I$59+$I$60+$I$61)</f>
        <v>19675</v>
      </c>
      <c r="J74" s="40">
        <f>IF($J$51="","",$J$68+$J$69+$J$70+$J$73+$J$59+$J$60+$J$61)</f>
        <v>9425</v>
      </c>
      <c r="K74" s="40">
        <f>IF($K$51="","",$K$68+$K$69+$K$70+$K$73+$K$59+$K$60+$K$61)</f>
        <v/>
      </c>
      <c r="L74" s="40">
        <f>IF($L$51="","",$L$68+$L$69+$L$70+$L$73+$L$59+$L$60+$L$61)</f>
        <v/>
      </c>
      <c r="M74" s="40">
        <f>IF($M$51="","",$M$68+$M$69+$M$70+$M$73+$M$59+$M$60+$M$61)</f>
        <v/>
      </c>
      <c r="N74" s="40">
        <f>IF($N$51="","",$N$68+$N$69+$N$70+$N$73+$N$59+$N$60+$N$61)</f>
        <v/>
      </c>
      <c r="O74" s="40">
        <f>IF($O$51="","",$O$68+$O$69+$O$70+$O$73+$O$59+$O$60+$O$61)</f>
        <v/>
      </c>
      <c r="P74" s="41">
        <f>SUM($F$74:$O$74)</f>
        <v>135554.685714286</v>
      </c>
    </row>
    <row r="75" spans="2:16">
      <c r="B75" s="27" t="s">
        <v>122</v>
      </c>
      <c r="C75" s="27"/>
      <c r="D75" s="27"/>
      <c r="E75" s="7" t="str">
        <f>Currency&amp;"/h"</f>
        <v>GBP/h</v>
      </c>
      <c r="F75" s="42">
        <f>IF($F$51="","",IF(($F$72)=0,"",($F$74)/($F$72)))</f>
        <v>16.3169642857143</v>
      </c>
      <c r="G75" s="42">
        <f>IF($G$51="","",IF(($G$72)=0,"",($G$74)/($G$72)))</f>
        <v>19.3972463768116</v>
      </c>
      <c r="H75" s="42">
        <f>IF($H$51="","",IF(($H$72)=0,"",($H$74)/($H$72)))</f>
        <v>0.5</v>
      </c>
      <c r="I75" s="42">
        <f>IF($I$51="","",IF(($I$72)=0,"",($I$74)/($I$72)))</f>
        <v>5.82962962962963</v>
      </c>
      <c r="J75" s="42">
        <f>IF($J$51="","",IF(($J$72)=0,"",($J$74)/($J$72)))</f>
        <v/>
      </c>
      <c r="K75" s="42">
        <f>IF($K$51="","",IF(($K$72)=0,"",($K$74)/($K$72)))</f>
        <v/>
      </c>
      <c r="L75" s="42">
        <f>IF($L$51="","",IF(($L$72)=0,"",($L$74)/($L$72)))</f>
        <v/>
      </c>
      <c r="M75" s="42">
        <f>IF($M$51="","",IF(($M$72)=0,"",($M$74)/($M$72)))</f>
        <v/>
      </c>
      <c r="N75" s="42">
        <f>IF($N$51="","",IF(($N$72)=0,"",($N$74)/($N$72)))</f>
        <v/>
      </c>
      <c r="O75" s="42">
        <f>IF($O$51="","",IF(($O$72)=0,"",($O$74)/($O$72)))</f>
        <v/>
      </c>
    </row>
    <row r="76" spans="2:16">
      <c r="B76" s="27" t="s">
        <v>123</v>
      </c>
      <c r="C76" s="27"/>
      <c r="D76" s="27"/>
      <c r="E76" s="7" t="str">
        <f>Currency&amp;"/h"</f>
        <v>GBP/h</v>
      </c>
      <c r="F76" s="42">
        <f>IF($F$51="","",$F$66*$E$44)</f>
        <v>34</v>
      </c>
      <c r="G76" s="42">
        <f>IF($G$51="","",$G$66*$E$44)</f>
        <v>17</v>
      </c>
      <c r="H76" s="42">
        <f>IF($H$51="","",$H$66*$E$44)</f>
        <v>34</v>
      </c>
      <c r="I76" s="42">
        <f>IF($I$51="","",$I$66*$E$44)</f>
        <v>34</v>
      </c>
      <c r="J76" s="42">
        <f>IF($J$51="","",$J$66*$E$44)</f>
        <v>34</v>
      </c>
      <c r="K76" s="42">
        <f>IF($K$51="","",$K$66*$E$44)</f>
        <v/>
      </c>
      <c r="L76" s="42">
        <f>IF($L$51="","",$L$66*$E$44)</f>
        <v/>
      </c>
      <c r="M76" s="42">
        <f>IF($M$51="","",$M$66*$E$44)</f>
        <v/>
      </c>
      <c r="N76" s="42">
        <f>IF($N$51="","",$N$66*$E$44)</f>
        <v/>
      </c>
      <c r="O76" s="42">
        <f>IF($O$51="","",$O$66*$E$44)</f>
        <v/>
      </c>
    </row>
    <row r="77" spans="2:16">
      <c r="B77" s="27" t="s">
        <v>124</v>
      </c>
      <c r="C77" s="27"/>
      <c r="D77" s="27"/>
      <c r="E77" s="7" t="str">
        <f>Currency&amp;"/h"</f>
        <v>GBP/h</v>
      </c>
      <c r="F77" s="43">
        <f>IF($F$51="","",IF($F$75="","",$F$75+$F$76))</f>
        <v>50.3169642857143</v>
      </c>
      <c r="G77" s="43">
        <f>IF($G$51="","",IF($G$75="","",$G$75+$G$76))</f>
        <v>36.3972463768116</v>
      </c>
      <c r="H77" s="43">
        <f>IF($H$51="","",IF($H$75="","",$H$75+$H$76))</f>
        <v>34.5</v>
      </c>
      <c r="I77" s="43">
        <f>IF($I$51="","",IF($I$75="","",$I$75+$I$76))</f>
        <v>39.8296296296296</v>
      </c>
      <c r="J77" s="43">
        <f>IF($J$51="","",IF($J$75="","",$J$75+$J$76))</f>
        <v/>
      </c>
      <c r="K77" s="43">
        <f>IF($K$51="","",IF($K$75="","",$K$75+$K$76))</f>
        <v/>
      </c>
      <c r="L77" s="43">
        <f>IF($L$51="","",IF($L$75="","",$L$75+$L$76))</f>
        <v/>
      </c>
      <c r="M77" s="43">
        <f>IF($M$51="","",IF($M$75="","",$M$75+$M$76))</f>
        <v/>
      </c>
      <c r="N77" s="43">
        <f>IF($N$51="","",IF($N$75="","",$N$75+$N$76))</f>
        <v/>
      </c>
      <c r="O77" s="43">
        <f>IF($O$51="","",IF($O$75="","",$O$75+$O$76))</f>
        <v/>
      </c>
    </row>
    <row r="78" spans="2:16">
      <c r="B78" s="27" t="s">
        <v>125</v>
      </c>
      <c r="C78" s="27"/>
      <c r="D78" s="27"/>
      <c r="E78" s="7" t="s">
        <v>126</v>
      </c>
      <c r="F78" s="44">
        <f>IF($F$51="","",IF(N($F$77)=0,"",$F$76/$F$77))</f>
        <v>0.675716440422323</v>
      </c>
      <c r="G78" s="44">
        <f>IF($G$51="","",IF(N($G$77)=0,"",$G$76/$G$77))</f>
        <v>0.467068300277533</v>
      </c>
      <c r="H78" s="44">
        <f>IF($H$51="","",IF(N($H$77)=0,"",$H$76/$H$77))</f>
        <v>0.985507246376812</v>
      </c>
      <c r="I78" s="44">
        <f>IF($I$51="","",IF(N($I$77)=0,"",$I$76/$I$77))</f>
        <v>0.853635856425516</v>
      </c>
      <c r="J78" s="44">
        <f>IF($J$51="","",IF(N($J$77)=0,"",$J$76/$J$77))</f>
        <v/>
      </c>
      <c r="K78" s="44">
        <f>IF($K$51="","",IF(N($K$77)=0,"",$K$76/$K$77))</f>
        <v/>
      </c>
      <c r="L78" s="44">
        <f>IF($L$51="","",IF(N($L$77)=0,"",$L$76/$L$77))</f>
        <v/>
      </c>
      <c r="M78" s="44">
        <f>IF($M$51="","",IF(N($M$77)=0,"",$M$76/$M$77))</f>
        <v/>
      </c>
      <c r="N78" s="44">
        <f>IF($N$51="","",IF(N($N$77)=0,"",$N$76/$N$77))</f>
        <v/>
      </c>
      <c r="O78" s="44">
        <f>IF($O$51="","",IF(N($O$77)=0,"",$O$76/$O$77))</f>
        <v/>
      </c>
    </row>
    <row r="79" spans="2:16">
      <c r="B79" s="27" t="s">
        <v>127</v>
      </c>
      <c r="C79" s="27"/>
      <c r="D79" s="27"/>
      <c r="E79" s="7" t="str">
        <f>Currency&amp;"/h"</f>
        <v>GBP/h</v>
      </c>
      <c r="F79" s="45">
        <f>IF($F$51="","",IF($F$77="","",$F$77*(1+$E$45)))</f>
        <v>65.4120535714286</v>
      </c>
      <c r="G79" s="45">
        <f>IF($G$51="","",IF($G$77="","",$G$77*(1+$E$45)))</f>
        <v>47.3164202898551</v>
      </c>
      <c r="H79" s="45">
        <f>IF($H$51="","",IF($H$77="","",$H$77*(1+$E$45)))</f>
        <v>44.85</v>
      </c>
      <c r="I79" s="45">
        <f>IF($I$51="","",IF($I$77="","",$I$77*(1+$E$45)))</f>
        <v>51.7785185185185</v>
      </c>
      <c r="J79" s="45">
        <f>IF($J$51="","",IF($J$77="","",$J$77*(1+$E$45)))</f>
        <v/>
      </c>
      <c r="K79" s="45">
        <f>IF($K$51="","",IF($K$77="","",$K$77*(1+$E$45)))</f>
        <v/>
      </c>
      <c r="L79" s="45">
        <f>IF($L$51="","",IF($L$77="","",$L$77*(1+$E$45)))</f>
        <v/>
      </c>
      <c r="M79" s="45">
        <f>IF($M$51="","",IF($M$77="","",$M$77*(1+$E$45)))</f>
        <v/>
      </c>
      <c r="N79" s="45">
        <f>IF($N$51="","",IF($N$77="","",$N$77*(1+$E$45)))</f>
        <v/>
      </c>
      <c r="O79" s="45">
        <f>IF($O$51="","",IF($O$77="","",$O$77*(1+$E$45)))</f>
        <v/>
      </c>
    </row>
    <row r="80" spans="2:16">
      <c r="B80" s="27" t="s">
        <v>128</v>
      </c>
      <c r="C80" s="27"/>
      <c r="D80" s="27"/>
      <c r="E80" s="7" t="str">
        <f>Currency&amp;"/h"</f>
        <v>GBP/h</v>
      </c>
      <c r="F80" s="42">
        <f>IF($F$51="","",IF(OR(N($F$67)=0,$F$79=""),"",$F$67-$F$79))</f>
        <v>-5.41205357142857</v>
      </c>
      <c r="G80" s="42">
        <f>IF($G$51="","",IF(OR(N($G$67)=0,$G$79=""),"",$G$67-$G$79))</f>
        <v>22.6835797101449</v>
      </c>
      <c r="H80" s="42">
        <f>IF($H$51="","",IF(OR(N($H$67)=0,$H$79=""),"",$H$67-$H$79))</f>
        <v>5.15</v>
      </c>
      <c r="I80" s="42">
        <f>IF($I$51="","",IF(OR(N($I$67)=0,$I$79=""),"",$I$67-$I$79))</f>
        <v>-11.7785185185185</v>
      </c>
      <c r="J80" s="42">
        <f>IF($J$51="","",IF(OR(N($J$67)=0,$J$79=""),"",$J$67-$J$79))</f>
        <v/>
      </c>
      <c r="K80" s="42">
        <f>IF($K$51="","",IF(OR(N($K$67)=0,$K$79=""),"",$K$67-$K$79))</f>
        <v/>
      </c>
      <c r="L80" s="42">
        <f>IF($L$51="","",IF(OR(N($L$67)=0,$L$79=""),"",$L$67-$L$79))</f>
        <v/>
      </c>
      <c r="M80" s="42">
        <f>IF($M$51="","",IF(OR(N($M$67)=0,$M$79=""),"",$M$67-$M$79))</f>
        <v/>
      </c>
      <c r="N80" s="42">
        <f>IF($N$51="","",IF(OR(N($N$67)=0,$N$79=""),"",$N$67-$N$79))</f>
        <v/>
      </c>
      <c r="O80" s="42">
        <f>IF($O$51="","",IF(OR(N($O$67)=0,$O$79=""),"",$O$67-$O$79))</f>
        <v/>
      </c>
    </row>
    <row r="81" spans="2:16">
      <c r="B81" s="27" t="s">
        <v>129</v>
      </c>
      <c r="C81" s="27"/>
      <c r="D81" s="27"/>
      <c r="E81" s="7"/>
      <c r="F81" s="46" t="str">
        <f>IF($F$51="","",IF($F$80="","",IF($F$67&gt;=$F$79,"On target",IF($F$67&gt;=$F$79*(1-0.05),"Near target","Below target"))))</f>
        <v>Below target</v>
      </c>
      <c r="G81" s="46" t="str">
        <f>IF($G$51="","",IF($G$80="","",IF($G$67&gt;=$G$79,"On target",IF($G$67&gt;=$G$79*(1-0.05),"Near target","Below target"))))</f>
        <v>On target</v>
      </c>
      <c r="H81" s="46" t="str">
        <f>IF($H$51="","",IF($H$80="","",IF($H$67&gt;=$H$79,"On target",IF($H$67&gt;=$H$79*(1-0.05),"Near target","Below target"))))</f>
        <v>On target</v>
      </c>
      <c r="I81" s="46" t="str">
        <f>IF($I$51="","",IF($I$80="","",IF($I$67&gt;=$I$79,"On target",IF($I$67&gt;=$I$79*(1-0.05),"Near target","Below target"))))</f>
        <v>Below target</v>
      </c>
      <c r="J81" s="46">
        <f>IF($J$51="","",IF($J$80="","",IF($J$67&gt;=$J$79,"On target",IF($J$67&gt;=$J$79*(1-0.05),"Near target","Below target"))))</f>
        <v/>
      </c>
      <c r="K81" s="46">
        <f>IF($K$51="","",IF($K$80="","",IF($K$67&gt;=$K$79,"On target",IF($K$67&gt;=$K$79*(1-0.05),"Near target","Below target"))))</f>
        <v/>
      </c>
      <c r="L81" s="46">
        <f>IF($L$51="","",IF($L$80="","",IF($L$67&gt;=$L$79,"On target",IF($L$67&gt;=$L$79*(1-0.05),"Near target","Below target"))))</f>
        <v/>
      </c>
      <c r="M81" s="46">
        <f>IF($M$51="","",IF($M$80="","",IF($M$67&gt;=$M$79,"On target",IF($M$67&gt;=$M$79*(1-0.05),"Near target","Below target"))))</f>
        <v/>
      </c>
      <c r="N81" s="46">
        <f>IF($N$51="","",IF($N$80="","",IF($N$67&gt;=$N$79,"On target",IF($N$67&gt;=$N$79*(1-0.05),"Near target","Below target"))))</f>
        <v/>
      </c>
      <c r="O81" s="46">
        <f>IF($O$51="","",IF($O$80="","",IF($O$67&gt;=$O$79,"On target",IF($O$67&gt;=$O$79*(1-0.05),"Near target","Below target"))))</f>
        <v/>
      </c>
    </row>
    <row r="82" spans="2:16">
      <c r="B82" s="27" t="s">
        <v>130</v>
      </c>
      <c r="C82" s="27"/>
      <c r="D82" s="27"/>
      <c r="E82" s="7" t="str">
        <f>Currency&amp;"/yr"</f>
        <v>GBP/yr</v>
      </c>
      <c r="F82" s="39">
        <f>IF($F$51="","",IF($F$80="","",$F$80*$F$72))</f>
        <v>-17318.5714285714</v>
      </c>
      <c r="G82" s="39">
        <f>IF($G$51="","",IF($G$80="","",$G$80*$G$72))</f>
        <v>62606.68</v>
      </c>
      <c r="H82" s="39">
        <f>IF($H$51="","",IF($H$80="","",$H$80*$H$72))</f>
        <v>7251.2</v>
      </c>
      <c r="I82" s="39">
        <f>IF($I$51="","",IF($I$80="","",$I$80*$I$72))</f>
        <v>-39752.5</v>
      </c>
      <c r="J82" s="39">
        <f>IF($J$51="","",IF($J$80="","",$J$80*$J$72))</f>
        <v/>
      </c>
      <c r="K82" s="39">
        <f>IF($K$51="","",IF($K$80="","",$K$80*$K$72))</f>
        <v/>
      </c>
      <c r="L82" s="39">
        <f>IF($L$51="","",IF($L$80="","",$L$80*$L$72))</f>
        <v/>
      </c>
      <c r="M82" s="39">
        <f>IF($M$51="","",IF($M$80="","",$M$80*$M$72))</f>
        <v/>
      </c>
      <c r="N82" s="39">
        <f>IF($N$51="","",IF($N$80="","",$N$80*$N$72))</f>
        <v/>
      </c>
      <c r="O82" s="39">
        <f>IF($O$51="","",IF($O$80="","",$O$80*$O$72))</f>
        <v/>
      </c>
      <c r="P82" s="41">
        <f>SUM($F$82:$O$82)</f>
        <v>12786.8085714286</v>
      </c>
    </row>
    <row r="83" spans="2:16">
      <c r="B83" s="27" t="s">
        <v>131</v>
      </c>
      <c r="C83" s="27"/>
      <c r="D83" s="27"/>
      <c r="E83" s="7"/>
      <c r="F83" s="46" t="str">
        <f>IF($F$51="","",IF(AND($F$52&gt;0,N($F$54)&lt;=0),"Missing useful life",IF($F$53&gt;$F$52,"Residual above purchase cost",IF($F$62*$F$63&gt;24,"More than 24 hours a day",IF($F$64&gt;366,"More than 366 days a year",IF($F$65&gt;1,"Utilisation above 100%",IF(N($F$72)&lt;=0,"No productive hours","OK")))))))</f>
        <v>OK</v>
      </c>
      <c r="G83" s="46" t="str">
        <f>IF($G$51="","",IF(AND($G$52&gt;0,N($G$54)&lt;=0),"Missing useful life",IF($G$53&gt;$G$52,"Residual above purchase cost",IF($G$62*$G$63&gt;24,"More than 24 hours a day",IF($G$64&gt;366,"More than 366 days a year",IF($G$65&gt;1,"Utilisation above 100%",IF(N($G$72)&lt;=0,"No productive hours","OK")))))))</f>
        <v>OK</v>
      </c>
      <c r="H83" s="46" t="str">
        <f>IF($H$51="","",IF(AND($H$52&gt;0,N($H$54)&lt;=0),"Missing useful life",IF($H$53&gt;$H$52,"Residual above purchase cost",IF($H$62*$H$63&gt;24,"More than 24 hours a day",IF($H$64&gt;366,"More than 366 days a year",IF($H$65&gt;1,"Utilisation above 100%",IF(N($H$72)&lt;=0,"No productive hours","OK")))))))</f>
        <v>Residual above purchase cost</v>
      </c>
      <c r="I83" s="46" t="str">
        <f>IF($I$51="","",IF(AND($I$52&gt;0,N($I$54)&lt;=0),"Missing useful life",IF($I$53&gt;$I$52,"Residual above purchase cost",IF($I$62*$I$63&gt;24,"More than 24 hours a day",IF($I$64&gt;366,"More than 366 days a year",IF($I$65&gt;1,"Utilisation above 100%",IF(N($I$72)&lt;=0,"No productive hours","OK")))))))</f>
        <v>More than 24 hours a day</v>
      </c>
      <c r="J83" s="46" t="str">
        <f>IF($J$51="","",IF(AND($J$52&gt;0,N($J$54)&lt;=0),"Missing useful life",IF($J$53&gt;$J$52,"Residual above purchase cost",IF($J$62*$J$63&gt;24,"More than 24 hours a day",IF($J$64&gt;366,"More than 366 days a year",IF($J$65&gt;1,"Utilisation above 100%",IF(N($J$72)&lt;=0,"No productive hours","OK")))))))</f>
        <v>No productive hours</v>
      </c>
      <c r="K83" s="46">
        <f>IF($K$51="","",IF(AND($K$52&gt;0,N($K$54)&lt;=0),"Missing useful life",IF($K$53&gt;$K$52,"Residual above purchase cost",IF($K$62*$K$63&gt;24,"More than 24 hours a day",IF($K$64&gt;366,"More than 366 days a year",IF($K$65&gt;1,"Utilisation above 100%",IF(N($K$72)&lt;=0,"No productive hours","OK")))))))</f>
        <v/>
      </c>
      <c r="L83" s="46">
        <f>IF($L$51="","",IF(AND($L$52&gt;0,N($L$54)&lt;=0),"Missing useful life",IF($L$53&gt;$L$52,"Residual above purchase cost",IF($L$62*$L$63&gt;24,"More than 24 hours a day",IF($L$64&gt;366,"More than 366 days a year",IF($L$65&gt;1,"Utilisation above 100%",IF(N($L$72)&lt;=0,"No productive hours","OK")))))))</f>
        <v/>
      </c>
      <c r="M83" s="46">
        <f>IF($M$51="","",IF(AND($M$52&gt;0,N($M$54)&lt;=0),"Missing useful life",IF($M$53&gt;$M$52,"Residual above purchase cost",IF($M$62*$M$63&gt;24,"More than 24 hours a day",IF($M$64&gt;366,"More than 366 days a year",IF($M$65&gt;1,"Utilisation above 100%",IF(N($M$72)&lt;=0,"No productive hours","OK")))))))</f>
        <v/>
      </c>
      <c r="N83" s="46">
        <f>IF($N$51="","",IF(AND($N$52&gt;0,N($N$54)&lt;=0),"Missing useful life",IF($N$53&gt;$N$52,"Residual above purchase cost",IF($N$62*$N$63&gt;24,"More than 24 hours a day",IF($N$64&gt;366,"More than 366 days a year",IF($N$65&gt;1,"Utilisation above 100%",IF(N($N$72)&lt;=0,"No productive hours","OK")))))))</f>
        <v/>
      </c>
      <c r="O83" s="46">
        <f>IF($O$51="","",IF(AND($O$52&gt;0,N($O$54)&lt;=0),"Missing useful life",IF($O$53&gt;$O$52,"Residual above purchase cost",IF($O$62*$O$63&gt;24,"More than 24 hours a day",IF($O$64&gt;366,"More than 366 days a year",IF($O$65&gt;1,"Utilisation above 100%",IF(N($O$72)&lt;=0,"No productive hours","OK")))))))</f>
        <v/>
      </c>
    </row>
    <row r="85" spans="2:16">
      <c r="B85" s="53" t="s">
        <v>262</v>
      </c>
      <c r="C85" s="53"/>
      <c r="D85" s="53"/>
      <c r="E85" s="53"/>
      <c r="F85" s="53"/>
      <c r="G85" s="53"/>
      <c r="H85" s="53"/>
      <c r="I85" s="53"/>
      <c r="J85" s="53"/>
      <c r="K85" s="53"/>
      <c r="L85" s="53"/>
    </row>
    <row r="86" spans="2:16" ht="20" customHeight="1">
      <c r="B86" s="33" t="s">
        <v>109</v>
      </c>
      <c r="C86" s="34" t="s">
        <v>146</v>
      </c>
      <c r="D86" s="34"/>
      <c r="E86" s="34"/>
      <c r="F86" s="34" t="s">
        <v>147</v>
      </c>
      <c r="G86" s="34"/>
    </row>
    <row r="87" spans="2:16" ht="14" customHeight="1">
      <c r="B87" s="54"/>
      <c r="C87" s="54" t="str">
        <f>Currency&amp;"/h"</f>
        <v>GBP/h</v>
      </c>
      <c r="D87" s="54"/>
      <c r="E87" s="54"/>
      <c r="F87" s="54" t="str">
        <f>Currency&amp;"/h"</f>
        <v>GBP/h</v>
      </c>
      <c r="G87" s="54"/>
    </row>
    <row r="88" spans="2:16">
      <c r="B88" s="56">
        <v>0.3</v>
      </c>
      <c r="C88" s="42">
        <f>IF(N(INDEX($F$71:$O$71,$E$48))=0,"",((INDEX($F$74:$O$74,$E$48)-INDEX($F$73:$O$73,$E$48))/(INDEX($F$71:$O$71,$E$48)*$B$88)+INDEX($F$57:$O$57,$E$48)*INDEX($F$58:$O$58,$E$48)*$E$46+INDEX($F$76:$O$76,$E$48))*(1+$E$45))</f>
        <v>79.9930507246377</v>
      </c>
      <c r="D88" s="42"/>
      <c r="E88" s="42"/>
      <c r="F88" s="57">
        <f>N(INDEX($F$67:$O$67,$E$48))</f>
        <v>70</v>
      </c>
      <c r="G88" s="57"/>
    </row>
    <row r="89" spans="2:16">
      <c r="B89" s="56">
        <f>$B$88+0.1</f>
        <v>0.4</v>
      </c>
      <c r="C89" s="42">
        <f>IF(N(INDEX($F$71:$O$71,$E$48))=0,"",((INDEX($F$74:$O$74,$E$48)-INDEX($F$73:$O$73,$E$48))/(INDEX($F$71:$O$71,$E$48)*$B$89)+INDEX($F$57:$O$57,$E$48)*INDEX($F$58:$O$58,$E$48)*$E$46+INDEX($F$76:$O$76,$E$48))*(1+$E$45))</f>
        <v>66.3777880434783</v>
      </c>
      <c r="D89" s="42"/>
      <c r="E89" s="42"/>
      <c r="F89" s="57">
        <f>N(INDEX($F$67:$O$67,$E$48))</f>
        <v>70</v>
      </c>
      <c r="G89" s="57"/>
    </row>
    <row r="90" spans="2:16">
      <c r="B90" s="56">
        <f>$B$89+0.1</f>
        <v>0.5</v>
      </c>
      <c r="C90" s="42">
        <f>IF(N(INDEX($F$71:$O$71,$E$48))=0,"",((INDEX($F$74:$O$74,$E$48)-INDEX($F$73:$O$73,$E$48))/(INDEX($F$71:$O$71,$E$48)*$B$90)+INDEX($F$57:$O$57,$E$48)*INDEX($F$58:$O$58,$E$48)*$E$46+INDEX($F$76:$O$76,$E$48))*(1+$E$45))</f>
        <v>58.2086304347826</v>
      </c>
      <c r="D90" s="42"/>
      <c r="E90" s="42"/>
      <c r="F90" s="57">
        <f>N(INDEX($F$67:$O$67,$E$48))</f>
        <v>70</v>
      </c>
      <c r="G90" s="57"/>
    </row>
    <row r="91" spans="2:16">
      <c r="B91" s="56">
        <f>$B$90+0.1</f>
        <v>0.6</v>
      </c>
      <c r="C91" s="42">
        <f>IF(N(INDEX($F$71:$O$71,$E$48))=0,"",((INDEX($F$74:$O$74,$E$48)-INDEX($F$73:$O$73,$E$48))/(INDEX($F$71:$O$71,$E$48)*$B$91)+INDEX($F$57:$O$57,$E$48)*INDEX($F$58:$O$58,$E$48)*$E$46+INDEX($F$76:$O$76,$E$48))*(1+$E$45))</f>
        <v>52.7625253623188</v>
      </c>
      <c r="D91" s="42"/>
      <c r="E91" s="42"/>
      <c r="F91" s="57">
        <f>N(INDEX($F$67:$O$67,$E$48))</f>
        <v>70</v>
      </c>
      <c r="G91" s="57"/>
    </row>
    <row r="92" spans="2:16">
      <c r="B92" s="56">
        <f>$B$91+0.1</f>
        <v>0.7</v>
      </c>
      <c r="C92" s="42">
        <f>IF(N(INDEX($F$71:$O$71,$E$48))=0,"",((INDEX($F$74:$O$74,$E$48)-INDEX($F$73:$O$73,$E$48))/(INDEX($F$71:$O$71,$E$48)*$B$92)+INDEX($F$57:$O$57,$E$48)*INDEX($F$58:$O$58,$E$48)*$E$46+INDEX($F$76:$O$76,$E$48))*(1+$E$45))</f>
        <v>48.872450310559</v>
      </c>
      <c r="D92" s="42"/>
      <c r="E92" s="42"/>
      <c r="F92" s="57">
        <f>N(INDEX($F$67:$O$67,$E$48))</f>
        <v>70</v>
      </c>
      <c r="G92" s="57"/>
    </row>
    <row r="93" spans="2:16">
      <c r="B93" s="56">
        <f>$B$92+0.1</f>
        <v>0.8</v>
      </c>
      <c r="C93" s="42">
        <f>IF(N(INDEX($F$71:$O$71,$E$48))=0,"",((INDEX($F$74:$O$74,$E$48)-INDEX($F$73:$O$73,$E$48))/(INDEX($F$71:$O$71,$E$48)*$B$93)+INDEX($F$57:$O$57,$E$48)*INDEX($F$58:$O$58,$E$48)*$E$46+INDEX($F$76:$O$76,$E$48))*(1+$E$45))</f>
        <v>45.9548940217391</v>
      </c>
      <c r="D93" s="42"/>
      <c r="E93" s="42"/>
      <c r="F93" s="57">
        <f>N(INDEX($F$67:$O$67,$E$48))</f>
        <v>70</v>
      </c>
      <c r="G93" s="57"/>
    </row>
    <row r="94" spans="2:16">
      <c r="B94" s="56">
        <f>$B$93+0.1</f>
        <v>0.9</v>
      </c>
      <c r="C94" s="42">
        <f>IF(N(INDEX($F$71:$O$71,$E$48))=0,"",((INDEX($F$74:$O$74,$E$48)-INDEX($F$73:$O$73,$E$48))/(INDEX($F$71:$O$71,$E$48)*$B$94)+INDEX($F$57:$O$57,$E$48)*INDEX($F$58:$O$58,$E$48)*$E$46+INDEX($F$76:$O$76,$E$48))*(1+$E$45))</f>
        <v>43.6856835748792</v>
      </c>
      <c r="D94" s="42"/>
      <c r="E94" s="42"/>
      <c r="F94" s="57">
        <f>N(INDEX($F$67:$O$67,$E$48))</f>
        <v>70</v>
      </c>
      <c r="G94" s="57"/>
    </row>
    <row r="95" spans="2:16">
      <c r="B95" s="56">
        <f>$B$94+0.1</f>
        <v>1</v>
      </c>
      <c r="C95" s="42">
        <f>IF(N(INDEX($F$71:$O$71,$E$48))=0,"",((INDEX($F$74:$O$74,$E$48)-INDEX($F$73:$O$73,$E$48))/(INDEX($F$71:$O$71,$E$48)*$B$95)+INDEX($F$57:$O$57,$E$48)*INDEX($F$58:$O$58,$E$48)*$E$46+INDEX($F$76:$O$76,$E$48))*(1+$E$45))</f>
        <v>41.8703152173913</v>
      </c>
      <c r="D95" s="42"/>
      <c r="E95" s="42"/>
      <c r="F95" s="57">
        <f>N(INDEX($F$67:$O$67,$E$48))</f>
        <v>70</v>
      </c>
      <c r="G95" s="57"/>
    </row>
  </sheetData>
  <sheetProtection sheet="1" formatColumns="0" formatRows="0"/>
  <mergeCells count="99">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B40:L40"/>
    <mergeCell ref="B42:L42"/>
    <mergeCell ref="B43:F43"/>
    <mergeCell ref="B44:D44"/>
    <mergeCell ref="B45:D45"/>
    <mergeCell ref="B46:D46"/>
    <mergeCell ref="B47:D47"/>
    <mergeCell ref="B48:D48"/>
    <mergeCell ref="B50:L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5:L85"/>
    <mergeCell ref="C86:E86"/>
    <mergeCell ref="F86:G86"/>
    <mergeCell ref="C87:E87"/>
    <mergeCell ref="F87:G87"/>
    <mergeCell ref="C88:E88"/>
    <mergeCell ref="C89:E89"/>
    <mergeCell ref="C90:E90"/>
    <mergeCell ref="C91:E91"/>
    <mergeCell ref="C92:E92"/>
    <mergeCell ref="C93:E93"/>
    <mergeCell ref="C94:E94"/>
    <mergeCell ref="C95:E95"/>
    <mergeCell ref="F88:G88"/>
    <mergeCell ref="F89:G89"/>
    <mergeCell ref="F90:G90"/>
    <mergeCell ref="F91:G91"/>
    <mergeCell ref="F92:G92"/>
    <mergeCell ref="F93:G93"/>
    <mergeCell ref="F94:G94"/>
    <mergeCell ref="F95:G9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81:O8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K11:K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Machine Hour Rate&amp;R&amp;8&amp;A</oddHeader>
    <oddFooter>&amp;L&amp;8mfgcalcs.com - free manufacturing templates&amp;R&amp;8Page &amp;P of &amp;N</oddFooter>
  </headerFooter>
  <rowBreaks count="3" manualBreakCount="3">
    <brk id="37" max="16383" man="1"/>
    <brk id="49" max="16383" man="1"/>
    <brk id="8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Start Here</vt:lpstr>
      <vt:lpstr>Setup</vt:lpstr>
      <vt:lpstr>Rates</vt:lpstr>
      <vt:lpstr>Dashboard</vt:lpstr>
      <vt:lpstr>Method</vt:lpstr>
      <vt:lpstr>Verify</vt:lpstr>
      <vt:lpstr>AreaUnit</vt:lpstr>
      <vt:lpstr>CoName</vt:lpstr>
      <vt:lpstr>Currency</vt:lpstr>
      <vt:lpstr>DashMachine</vt:lpstr>
      <vt:lpstr>EnergyPrice</vt:lpstr>
      <vt:lpstr>KpiAnnual</vt:lpstr>
      <vt:lpstr>KpiAvg</vt:lpstr>
      <vt:lpstr>KpiBelow</vt:lpstr>
      <vt:lpstr>KpiUnder</vt:lpstr>
      <vt:lpstr>LabourRate</vt:lpstr>
      <vt:lpstr>MachineList</vt:lpstr>
      <vt:lpstr>OverheadPct</vt:lpstr>
      <vt:lpstr>Dashboard!Print_Area</vt:lpstr>
      <vt:lpstr>Method!Print_Area</vt:lpstr>
      <vt:lpstr>Rates!Print_Area</vt:lpstr>
      <vt:lpstr>Setup!Print_Area</vt:lpstr>
      <vt:lpstr>'Start Here'!Print_Area</vt:lpstr>
      <vt:lpstr>Verify!Print_Area</vt:lpstr>
      <vt:lpstr>Method!Print_Titles</vt:lpstr>
      <vt:lpstr>SelfCheck</vt:lpstr>
      <vt:lpstr>SelfCheckSummary</vt:lpstr>
      <vt:lpstr>SelIdx</vt:lpstr>
      <vt:lpstr>SpaceRate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Machine Hour Rate - free Excel template from MFG Calcs</dc:title>
  <dc:subject>Build a defensible hourly rate for every machine from ownership, space, energy, upkeep and productive hours, and see which machines are charged below their full cost.</dc:subject>
  <dc:creator>MFG Calcs</dc:creator>
  <cp:keywords>machine hour rate, machine rate, shop rate, burden rate, depreciation, cost per hour, utilisation, cost recovery</cp:keywords>
  <dc:description>https://www.mfgcalcs.com/templates/machine-hour-rate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machine-hour-rate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https://www.mfgcalcs.com/templates/machine-hour-rate</vt:lpwstr>
  </property>
  <property fmtid="{D5CDD505-2E9C-101B-9397-08002B2CF9AE}" pid="7" name="Template sheet roles">
    <vt:lpwstr>Start Here=start;Setup=setup;Rates=form;Dashboard=dashboard;Method=method;Verify=verify</vt:lpwstr>
  </property>
</Properties>
</file>