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Budget" sheetId="3" r:id="rId3"/>
    <sheet name="Spend Log" sheetId="4" r:id="rId4"/>
    <sheet name="Dashboard" sheetId="5" r:id="rId5"/>
    <sheet name="Method" sheetId="6" r:id="rId6"/>
    <sheet name="Verify" sheetId="7" r:id="rId7"/>
  </sheets>
  <definedNames>
    <definedName name="Areas">tblAreas[Area]</definedName>
    <definedName name="AsOf">Setup!$C$10</definedName>
    <definedName name="Categories">tblBudget[Category]</definedName>
    <definedName name="Currency">Setup!$C$7</definedName>
    <definedName name="Elapsed">Setup!$C$11</definedName>
    <definedName name="KpiActual">Dashboard!$D$7</definedName>
    <definedName name="KpiAnnual">Dashboard!$B$7</definedName>
    <definedName name="KpiCommitted">Dashboard!$D$29</definedName>
    <definedName name="KpiElapsed">Dashboard!$J$29</definedName>
    <definedName name="KpiOver">Dashboard!$G$29</definedName>
    <definedName name="KpiRemaining">Dashboard!$G$7</definedName>
    <definedName name="KpiUsed">Dashboard!$J$7</definedName>
    <definedName name="KpiVariance">Dashboard!$B$29</definedName>
    <definedName name="NearAt">Setup!$C$13</definedName>
    <definedName name="PlantName">Setup!$C$6</definedName>
    <definedName name="_xlnm.Print_Area" localSheetId="2">Budget!$A$1:$AA$17</definedName>
    <definedName name="_xlnm.Print_Area" localSheetId="4">Dashboard!$A$1:$L$70</definedName>
    <definedName name="_xlnm.Print_Area" localSheetId="5">Method!$A$1:$D$60</definedName>
    <definedName name="_xlnm.Print_Area" localSheetId="1">Setup!$A$1:$E$27</definedName>
    <definedName name="_xlnm.Print_Area" localSheetId="3">'Spend Log'!$A$1:$K$126</definedName>
    <definedName name="_xlnm.Print_Area" localSheetId="0">'Start Here'!$A$1:$F$56</definedName>
    <definedName name="_xlnm.Print_Area" localSheetId="6">Verify!$A$1:$AA$89</definedName>
    <definedName name="_xlnm.Print_Titles" localSheetId="2">Budget!$1:$9</definedName>
    <definedName name="_xlnm.Print_Titles" localSheetId="5">Method!$1:$2</definedName>
    <definedName name="_xlnm.Print_Titles" localSheetId="3">'Spend Log'!$1:$6</definedName>
    <definedName name="SelfCheck">Verify!$D$4</definedName>
    <definedName name="SelfCheckSummary">Verify!$F$4</definedName>
    <definedName name="YearStart">Setup!$C$9</definedName>
  </definedNames>
  <calcPr calcId="124519" fullCalcOnLoad="1"/>
</workbook>
</file>

<file path=xl/sharedStrings.xml><?xml version="1.0" encoding="utf-8"?>
<sst xmlns="http://schemas.openxmlformats.org/spreadsheetml/2006/main" count="1274" uniqueCount="462">
  <si>
    <t>Maintenance Budget Tracker</t>
  </si>
  <si>
    <t>Read this first: what the workbook does and how to use it.</t>
  </si>
  <si>
    <t>mfgcalcs.com</t>
  </si>
  <si>
    <t>Phase the maintenance budget by month and category, log spend, accruals and open orders, and see what is left, what is over and how the year is tracking.</t>
  </si>
  <si>
    <t>For: Maintenance managers, plant engineers, plant controllers and finance business partners.</t>
  </si>
  <si>
    <t>Version 1.0.0  ·  updated 15 October 2026</t>
  </si>
  <si>
    <t>Quick start</t>
  </si>
  <si>
    <t>1.</t>
  </si>
  <si>
    <t>On Setup, set the first month of your budget year, the date spend is recorded to, your currency label and the areas you book spend to.</t>
  </si>
  <si>
    <t>2.</t>
  </si>
  <si>
    <t>On Budget, type one row per cost category with its phased budget for each of the twelve months.</t>
  </si>
  <si>
    <t>3.</t>
  </si>
  <si>
    <t>On Spend Log, add every invoice (Posted), cost incurred but not yet invoiced (Accrued) and open purchase order (Committed).</t>
  </si>
  <si>
    <t>4.</t>
  </si>
  <si>
    <t>Read the Check columns, move the reporting date forward each month, then open the Dashboard.</t>
  </si>
  <si>
    <t>What is in this workbook</t>
  </si>
  <si>
    <t>Start Here</t>
  </si>
  <si>
    <t>Setup</t>
  </si>
  <si>
    <t>Budget year, reporting date, currency, the budget-used check threshold and the areas spend is booked to.</t>
  </si>
  <si>
    <t>Budget</t>
  </si>
  <si>
    <t>One row per cost category: the phased budget for each month, and what has been spent, accrued and committed against it.</t>
  </si>
  <si>
    <t>Spend Log</t>
  </si>
  <si>
    <t>One row per invoice, accrual or open purchase order, with its budget category and area.</t>
  </si>
  <si>
    <t>Dashboard</t>
  </si>
  <si>
    <t>Budget against actual by month and by category: what is spent, committed and left for the year.</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</si>
  <si>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</si>
  <si>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</si>
  <si>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</si>
  <si>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</si>
  <si>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</si>
  <si>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</si>
  <si>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</si>
  <si>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</si>
  <si>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</si>
  <si>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</si>
  <si>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</si>
  <si>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</si>
  <si>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</si>
  <si>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</si>
  <si>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</si>
  <si>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</si>
  <si>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</si>
  <si>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</si>
  <si>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</si>
  <si>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</si>
  <si>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Maintenance Budget Variance Calculator on mfgcalcs.com</t>
  </si>
  <si>
    <t>Latest version</t>
  </si>
  <si>
    <t>mfgcalcs.com/templates/maintenance-budget</t>
  </si>
  <si>
    <t>More free templates</t>
  </si>
  <si>
    <t>mfgcalcs.com/templates</t>
  </si>
  <si>
    <t>Version</t>
  </si>
  <si>
    <t>1.0.0 (updated 15 October 2026)</t>
  </si>
  <si>
    <t>About the example data</t>
  </si>
  <si>
    <t>Every number already in this workbook is example data for Marlow Extrusions, a fictional business invented for this template, so the dashboard and charts show something meaningful on day one. It covers an April 2026 to March 2027 budget year with six months closed (to 30 September 2026), eight cost categories and six areas,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</si>
  <si>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</si>
  <si>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</si>
  <si>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</si>
  <si>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</si>
  <si>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</si>
  <si>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</si>
  <si>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</si>
  <si>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</si>
  <si>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Area</t>
  </si>
  <si>
    <t>Cost centre</t>
  </si>
  <si>
    <t>Notes</t>
  </si>
  <si>
    <t>Plant and budget year</t>
  </si>
  <si>
    <t>Plant or site name</t>
  </si>
  <si>
    <t>Marlow Extrusions (example)</t>
  </si>
  <si>
    <t>Currency label</t>
  </si>
  <si>
    <t>GBP</t>
  </si>
  <si>
    <t>Budget year starts</t>
  </si>
  <si>
    <t>Spend recorded to</t>
  </si>
  <si>
    <t>Months closed</t>
  </si>
  <si>
    <t>of 12</t>
  </si>
  <si>
    <t>Check a category above</t>
  </si>
  <si>
    <t>The threshold is yours to set; nothing here assumes a benchmark. Budget used = (posted + accrued + committed) / annual budget: up to the threshold a category reads Within limits, above it up to 100% Check, above 100% Out of limits.</t>
  </si>
  <si>
    <t>Areas spend is booked to</t>
  </si>
  <si>
    <t>Edit, add or remove rows; the Spend Log's Area dropdown reads this list. The cost categories are the rows of the Budget sheet: add a category there and it appears in the Spend Log's Category dropdown.</t>
  </si>
  <si>
    <t>Areas</t>
  </si>
  <si>
    <t>Line 1</t>
  </si>
  <si>
    <t>CC100</t>
  </si>
  <si>
    <t>110 mm pipe extrusion line</t>
  </si>
  <si>
    <t>Line 2</t>
  </si>
  <si>
    <t>CC110</t>
  </si>
  <si>
    <t>250 mm pipe extrusion line</t>
  </si>
  <si>
    <t>Line 3</t>
  </si>
  <si>
    <t>CC120</t>
  </si>
  <si>
    <t>Fittings moulding cell</t>
  </si>
  <si>
    <t>Utilities</t>
  </si>
  <si>
    <t>CC130</t>
  </si>
  <si>
    <t>Chillers, compressors, cooling tower</t>
  </si>
  <si>
    <t>Site</t>
  </si>
  <si>
    <t>CC140</t>
  </si>
  <si>
    <t>Building, yard, fire systems</t>
  </si>
  <si>
    <t>General</t>
  </si>
  <si>
    <t>CC150</t>
  </si>
  <si>
    <t>Not one area: payroll, stores, shared costs</t>
  </si>
  <si>
    <t>Category</t>
  </si>
  <si>
    <t>GL code</t>
  </si>
  <si>
    <t>M1</t>
  </si>
  <si>
    <t>M2</t>
  </si>
  <si>
    <t>M3</t>
  </si>
  <si>
    <t>M4</t>
  </si>
  <si>
    <t>M5</t>
  </si>
  <si>
    <t>M6</t>
  </si>
  <si>
    <t>M7</t>
  </si>
  <si>
    <t>M8</t>
  </si>
  <si>
    <t>M9</t>
  </si>
  <si>
    <t>M10</t>
  </si>
  <si>
    <t>M11</t>
  </si>
  <si>
    <t>M12</t>
  </si>
  <si>
    <t>Annual budget</t>
  </si>
  <si>
    <t>Budget to date</t>
  </si>
  <si>
    <t>Posted</t>
  </si>
  <si>
    <t>Accrued</t>
  </si>
  <si>
    <t>Committed</t>
  </si>
  <si>
    <t>Actual to date</t>
  </si>
  <si>
    <t>Variance to date</t>
  </si>
  <si>
    <t>Spent + committed</t>
  </si>
  <si>
    <t>Remaining</t>
  </si>
  <si>
    <t>Budget used</t>
  </si>
  <si>
    <t>Status</t>
  </si>
  <si>
    <t>Check</t>
  </si>
  <si>
    <t>Budget month</t>
  </si>
  <si>
    <t>Month</t>
  </si>
  <si>
    <t>Example budget for Marlow Extrusions (fictional), April 2026 to March 2027. Type your own phased budget; add a row for a new category. Posted, accrued and committed are summed from the Spend Log.</t>
  </si>
  <si>
    <t>In-house labour</t>
  </si>
  <si>
    <t>6100</t>
  </si>
  <si>
    <t>Overtime</t>
  </si>
  <si>
    <t>6105</t>
  </si>
  <si>
    <t>Contractors</t>
  </si>
  <si>
    <t>6110</t>
  </si>
  <si>
    <t>Spare parts</t>
  </si>
  <si>
    <t>6120</t>
  </si>
  <si>
    <t>Consumables and oils</t>
  </si>
  <si>
    <t>6130</t>
  </si>
  <si>
    <t>Tooling and dies</t>
  </si>
  <si>
    <t>6140</t>
  </si>
  <si>
    <t>Inspections</t>
  </si>
  <si>
    <t>6150</t>
  </si>
  <si>
    <t>Planned shutdown</t>
  </si>
  <si>
    <t>6160</t>
  </si>
  <si>
    <t>Date</t>
  </si>
  <si>
    <t>Description</t>
  </si>
  <si>
    <t>Supplier</t>
  </si>
  <si>
    <t>Reference</t>
  </si>
  <si>
    <t>Amount</t>
  </si>
  <si>
    <t>Month no.</t>
  </si>
  <si>
    <t>Example spend for Marlow Extrusions (fictional); suppliers are examples. Replace it with your own: select the example rows, right-click, Delete &gt; Table Rows. Keep the year's rows here; start a new copy each year.</t>
  </si>
  <si>
    <t>Vacuum pump spares</t>
  </si>
  <si>
    <t>Example Bearings Co</t>
  </si>
  <si>
    <t>INV-1010</t>
  </si>
  <si>
    <t>PPE for maintenance</t>
  </si>
  <si>
    <t>Example Industrial Supply</t>
  </si>
  <si>
    <t>INV-1012</t>
  </si>
  <si>
    <t>Filters</t>
  </si>
  <si>
    <t>INV-1014</t>
  </si>
  <si>
    <t>Bearings and seals</t>
  </si>
  <si>
    <t>INV-1006</t>
  </si>
  <si>
    <t>Haul-off belts</t>
  </si>
  <si>
    <t>INV-1005</t>
  </si>
  <si>
    <t>Heater bands and thermocouples</t>
  </si>
  <si>
    <t>INV-1009</t>
  </si>
  <si>
    <t>Cleaning and degreaser</t>
  </si>
  <si>
    <t>INV-1013</t>
  </si>
  <si>
    <t>Mechanical fitter call-out</t>
  </si>
  <si>
    <t>Example Lifting</t>
  </si>
  <si>
    <t>INV-1002</t>
  </si>
  <si>
    <t>Motor and drive spares</t>
  </si>
  <si>
    <t>Example Drives</t>
  </si>
  <si>
    <t>INV-1003</t>
  </si>
  <si>
    <t>Example Electrical Ltd</t>
  </si>
  <si>
    <t>INV-1001</t>
  </si>
  <si>
    <t>INV-1004</t>
  </si>
  <si>
    <t>Lifting equipment thorough examination</t>
  </si>
  <si>
    <t>Example Inspection Services</t>
  </si>
  <si>
    <t>INV-1301</t>
  </si>
  <si>
    <t>INV-1008</t>
  </si>
  <si>
    <t>Die head refurbishment</t>
  </si>
  <si>
    <t>Example Tooling</t>
  </si>
  <si>
    <t>INV-1015</t>
  </si>
  <si>
    <t>INV-1007</t>
  </si>
  <si>
    <t>INV-1011</t>
  </si>
  <si>
    <t>Overtime and call-outs, April</t>
  </si>
  <si>
    <t>Payroll</t>
  </si>
  <si>
    <t>OT-01</t>
  </si>
  <si>
    <t>Maintenance team payroll, April</t>
  </si>
  <si>
    <t>PAY-01</t>
  </si>
  <si>
    <t>INV-1024</t>
  </si>
  <si>
    <t>Lubricants and grease</t>
  </si>
  <si>
    <t>INV-1026</t>
  </si>
  <si>
    <t>INV-1028</t>
  </si>
  <si>
    <t>INV-1018</t>
  </si>
  <si>
    <t>Puller pads</t>
  </si>
  <si>
    <t>INV-1021</t>
  </si>
  <si>
    <t>Chiller spares</t>
  </si>
  <si>
    <t>INV-1019</t>
  </si>
  <si>
    <t>INV-1022</t>
  </si>
  <si>
    <t>Refrigeration engineer</t>
  </si>
  <si>
    <t>INV-1016</t>
  </si>
  <si>
    <t>INV-1027</t>
  </si>
  <si>
    <t>Pressure vessel examination</t>
  </si>
  <si>
    <t>INV-1302</t>
  </si>
  <si>
    <t>INV-1025</t>
  </si>
  <si>
    <t>Hydraulic hoses</t>
  </si>
  <si>
    <t>INV-1020</t>
  </si>
  <si>
    <t>INV-1023</t>
  </si>
  <si>
    <t>INV-1017</t>
  </si>
  <si>
    <t>Overtime and call-outs, May</t>
  </si>
  <si>
    <t>OT-02</t>
  </si>
  <si>
    <t>Maintenance team payroll, May</t>
  </si>
  <si>
    <t>PAY-02</t>
  </si>
  <si>
    <t>Saw blades</t>
  </si>
  <si>
    <t>INV-1040</t>
  </si>
  <si>
    <t>Crane hire and rigging</t>
  </si>
  <si>
    <t>INV-1029</t>
  </si>
  <si>
    <t>INV-1038</t>
  </si>
  <si>
    <t>INV-1032</t>
  </si>
  <si>
    <t>INV-1036</t>
  </si>
  <si>
    <t>INV-1033</t>
  </si>
  <si>
    <t>INV-1041</t>
  </si>
  <si>
    <t>INV-1034</t>
  </si>
  <si>
    <t>Fire alarm panel replacement (insurer requirement)</t>
  </si>
  <si>
    <t>Example Fire Systems</t>
  </si>
  <si>
    <t>INV-1303</t>
  </si>
  <si>
    <t>INV-1030</t>
  </si>
  <si>
    <t>INV-1039</t>
  </si>
  <si>
    <t>Electrical contractor</t>
  </si>
  <si>
    <t>Example Mechanical Services</t>
  </si>
  <si>
    <t>INV-1031</t>
  </si>
  <si>
    <t>INV-1035</t>
  </si>
  <si>
    <t>Fasteners and fixings</t>
  </si>
  <si>
    <t>INV-1043</t>
  </si>
  <si>
    <t>INV-1044</t>
  </si>
  <si>
    <t>INV-1037</t>
  </si>
  <si>
    <t>INV-1042</t>
  </si>
  <si>
    <t>Overtime and call-outs, June</t>
  </si>
  <si>
    <t>OT-03</t>
  </si>
  <si>
    <t>Maintenance team payroll, June</t>
  </si>
  <si>
    <t>PAY-03</t>
  </si>
  <si>
    <t>INV-1059</t>
  </si>
  <si>
    <t>INV-1049</t>
  </si>
  <si>
    <t>INV-1058</t>
  </si>
  <si>
    <t>Extruder gearbox, exchange unit</t>
  </si>
  <si>
    <t>INV-1401</t>
  </si>
  <si>
    <t>INV-1045</t>
  </si>
  <si>
    <t>INV-1055</t>
  </si>
  <si>
    <t>Gearbox change: rigging and fitting</t>
  </si>
  <si>
    <t>INV-1402</t>
  </si>
  <si>
    <t>INV-1050</t>
  </si>
  <si>
    <t>INV-1046</t>
  </si>
  <si>
    <t>Sprinkler valve set replacement</t>
  </si>
  <si>
    <t>INV-1304</t>
  </si>
  <si>
    <t>Specialist drive engineer</t>
  </si>
  <si>
    <t>INV-1047</t>
  </si>
  <si>
    <t>INV-1057</t>
  </si>
  <si>
    <t>INV-1051</t>
  </si>
  <si>
    <t>INV-1054</t>
  </si>
  <si>
    <t>INV-1048</t>
  </si>
  <si>
    <t>INV-1060</t>
  </si>
  <si>
    <t>INV-1052</t>
  </si>
  <si>
    <t>INV-1056</t>
  </si>
  <si>
    <t>INV-1053</t>
  </si>
  <si>
    <t>Overtime and call-outs, July</t>
  </si>
  <si>
    <t>OT-04</t>
  </si>
  <si>
    <t>Maintenance team payroll, July</t>
  </si>
  <si>
    <t>PAY-04</t>
  </si>
  <si>
    <t>INV-1067</t>
  </si>
  <si>
    <t>INV-1063</t>
  </si>
  <si>
    <t>INV-1064</t>
  </si>
  <si>
    <t>INV-1072</t>
  </si>
  <si>
    <t>INV-1062</t>
  </si>
  <si>
    <t>INV-1065</t>
  </si>
  <si>
    <t>Shutdown: Line 1 barrel and screw inspection</t>
  </si>
  <si>
    <t>INV-1501</t>
  </si>
  <si>
    <t>INV-1071</t>
  </si>
  <si>
    <t>Electrical thermography survey</t>
  </si>
  <si>
    <t>INV-1305</t>
  </si>
  <si>
    <t>Screen changer seals</t>
  </si>
  <si>
    <t>INV-1069</t>
  </si>
  <si>
    <t>INV-1070</t>
  </si>
  <si>
    <t>INV-1075</t>
  </si>
  <si>
    <t>Shutdown: Line 2 alignment and cooling bath rebuild</t>
  </si>
  <si>
    <t>INV-1502</t>
  </si>
  <si>
    <t>INV-1066</t>
  </si>
  <si>
    <t>INV-1068</t>
  </si>
  <si>
    <t>INV-1061</t>
  </si>
  <si>
    <t>INV-1074</t>
  </si>
  <si>
    <t>INV-1073</t>
  </si>
  <si>
    <t>Shutdown: cooling tower clean and chemical dosing</t>
  </si>
  <si>
    <t>Example Water Treatment</t>
  </si>
  <si>
    <t>INV-1503</t>
  </si>
  <si>
    <t>Overtime and call-outs, August</t>
  </si>
  <si>
    <t>OT-05</t>
  </si>
  <si>
    <t>Maintenance team payroll, August</t>
  </si>
  <si>
    <t>PAY-05</t>
  </si>
  <si>
    <t>INV-1087</t>
  </si>
  <si>
    <t>INV-1076</t>
  </si>
  <si>
    <t>INV-1084</t>
  </si>
  <si>
    <t>Second gearbox held as a critical spare</t>
  </si>
  <si>
    <t>PO-5521</t>
  </si>
  <si>
    <t>INV-1077</t>
  </si>
  <si>
    <t>INV-1078</t>
  </si>
  <si>
    <t>Bearings for October PMs</t>
  </si>
  <si>
    <t>PO-5534</t>
  </si>
  <si>
    <t>Chiller service contract, October</t>
  </si>
  <si>
    <t>Example Refrigeration</t>
  </si>
  <si>
    <t>PO-5540</t>
  </si>
  <si>
    <t>INV-1083</t>
  </si>
  <si>
    <t>Fire extinguisher annual service</t>
  </si>
  <si>
    <t>INV-1306</t>
  </si>
  <si>
    <t>INV-1088</t>
  </si>
  <si>
    <t>INV-1089</t>
  </si>
  <si>
    <t>Mould repair, fittings cell</t>
  </si>
  <si>
    <t>PO-5547</t>
  </si>
  <si>
    <t>INV-1082</t>
  </si>
  <si>
    <t>INV-1086</t>
  </si>
  <si>
    <t>Emergency lighting test and certificate</t>
  </si>
  <si>
    <t>PO-5552</t>
  </si>
  <si>
    <t>INV-1079</t>
  </si>
  <si>
    <t>INV-1081</t>
  </si>
  <si>
    <t>INV-1080</t>
  </si>
  <si>
    <t>INV-1085</t>
  </si>
  <si>
    <t>December shutdown: screw refurbishment</t>
  </si>
  <si>
    <t>PO-5560</t>
  </si>
  <si>
    <t>Accrual: September electrical works, not invoiced</t>
  </si>
  <si>
    <t>ACC-0901</t>
  </si>
  <si>
    <t>Accrual: parts received, invoice pending</t>
  </si>
  <si>
    <t>ACC-0902</t>
  </si>
  <si>
    <t>Overtime and call-outs, September</t>
  </si>
  <si>
    <t>OT-06</t>
  </si>
  <si>
    <t>Maintenance team payroll, September</t>
  </si>
  <si>
    <t>PAY-06</t>
  </si>
  <si>
    <t>BUDGET USED</t>
  </si>
  <si>
    <t>Sum of the phased months</t>
  </si>
  <si>
    <t>Posted invoices + accruals</t>
  </si>
  <si>
    <t>After spend, accruals and open orders</t>
  </si>
  <si>
    <t>CATEGORIES OVER BUDGET</t>
  </si>
  <si>
    <t>MONTHS CLOSED</t>
  </si>
  <si>
    <t>Phased budget - actual: + under, - over</t>
  </si>
  <si>
    <t>Committed, not yet invoiced</t>
  </si>
  <si>
    <t>Spent + committed above the year's budget</t>
  </si>
  <si>
    <t>Of 12, to the spend-recorded-to date</t>
  </si>
  <si>
    <t>By category (year to date and whole year)</t>
  </si>
  <si>
    <t>Used</t>
  </si>
  <si>
    <t>By month (actual blank for months not yet closed)</t>
  </si>
  <si>
    <t>Actual</t>
  </si>
  <si>
    <t>Variance</t>
  </si>
  <si>
    <t>Cumulative budget</t>
  </si>
  <si>
    <t>Cumulative actual</t>
  </si>
  <si>
    <t>Spend by area (share of the actual booked to an area)</t>
  </si>
  <si>
    <t>Share</t>
  </si>
  <si>
    <t>The Dashboard shows the 8 budget categories and 6 areas of the example. If you add more, extend those blocks (see Method) or they will not appear here.</t>
  </si>
  <si>
    <t>What this workbook calculates</t>
  </si>
  <si>
    <t>The year's maintenance budget is phased by month and cost category on the Budget sheet. Every invoice, accrual and open purchase order goes on the Spend Log with its category, and falls into a month of the budget year by its date. For each category the workbook compares the budget phased up to the last closed month with what has actually been spent (posted invoices plus accruals), and compares the whole year's budget with what is spent plus already committed, which is what is really left to spend.</t>
  </si>
  <si>
    <t>Calculations</t>
  </si>
  <si>
    <t>Quantity</t>
  </si>
  <si>
    <t>How it is calculated</t>
  </si>
  <si>
    <t>Units</t>
  </si>
  <si>
    <t>Months from the first month of the budget year to the spend-recorded-to date, counted inclusive and kept between 0 and 12.</t>
  </si>
  <si>
    <t>months</t>
  </si>
  <si>
    <t>Month of the budget year for a Spend Log row: (year of date - start year) x 12 + month of date - start month + 1.</t>
  </si>
  <si>
    <t>1-12</t>
  </si>
  <si>
    <t>Sum of the twelve phased months of the category.</t>
  </si>
  <si>
    <t>currency</t>
  </si>
  <si>
    <t>Sum of the phased months up to months closed.</t>
  </si>
  <si>
    <t>Posted, Accrued, Committed</t>
  </si>
  <si>
    <t>SUMIFS of the Spend Log amounts for the category with that status and a month no. from 1 to 12.</t>
  </si>
  <si>
    <t>Posted + accrued: cost incurred whether or not it is invoiced.</t>
  </si>
  <si>
    <t>Budget to date - actual to date. Positive is under the phased budget.</t>
  </si>
  <si>
    <t>Posted + accrued + committed: the calculator's actual and committed exposure.</t>
  </si>
  <si>
    <t>Annual budget - spent + committed (the Maintenance Budget Variance calculator's budget remaining).</t>
  </si>
  <si>
    <t>Spent + committed / annual budget. Status: Within limits up to the Setup threshold, Check above it up to 100%, Out of limits above 100%.</t>
  </si>
  <si>
    <t>%</t>
  </si>
  <si>
    <t>Monthly actual</t>
  </si>
  <si>
    <t>Posted + accrued amounts whose month no. is that month; blank for months not yet closed.</t>
  </si>
  <si>
    <t>Cumulative budget and actual</t>
  </si>
  <si>
    <t>Running sums of the monthly budget and the monthly actual.</t>
  </si>
  <si>
    <t>Spend by area</t>
  </si>
  <si>
    <t>Posted + accrued amounts booked to each area, and its share of actual to date.</t>
  </si>
  <si>
    <t>currency, %</t>
  </si>
  <si>
    <t>Assumptions</t>
  </si>
  <si>
    <t>Amounts are net of recoverable tax, in one currency (the label on Setup); nothing is converted.</t>
  </si>
  <si>
    <t>An accrual is cost incurred and not yet invoiced; when the invoice arrives, change the row to Posted (or reverse the accrual) so it is not counted twice.</t>
  </si>
  <si>
    <t>A committed purchase order is future cost; when it is invoiced, change its status to Posted and its date to the invoice date.</t>
  </si>
  <si>
    <t>Spend dated outside the budget year is left out of every total and flagged by the Check column.</t>
  </si>
  <si>
    <t>Limitations</t>
  </si>
  <si>
    <t>No forecast to year end is made; Remaining assumes no further spend beyond what is committed.</t>
  </si>
  <si>
    <t>In-house labour is whatever you post (for example a monthly payroll allocation); hours are not costed here.</t>
  </si>
  <si>
    <t>One budget year per copy of the workbook: start a new copy for the next year.</t>
  </si>
  <si>
    <t>The Dashboard has fixed blocks for 8 categories and 6 areas; longer lists need the blocks extended, and the Dashboard warns when a list is longer.</t>
  </si>
  <si>
    <t>Agreement with the live calculator</t>
  </si>
  <si>
    <t>For a category, or for the whole budget, the workbook and the live Maintenance Budget Variance calculator use the same model: budget remaining = approved budget - (actual spend + unaccrued open commitments + accruals and reserves), utilisation = that exposure / budget. Here actual spend is the posted invoices, open commitments the committed purchase orders and accruals the accrued rows of the Spend Log. The workbook adds the monthly phasing, variance to date and the Dashboard. The template's reference implementation is checked against the calculator's engine on every build for its own example (1,200,000 budget, 1,120,000 spent, 45,000 committed, 15,000 accrued: 20,000 remaining, 98.3% used) and for the example plant's totals.</t>
  </si>
  <si>
    <t>Open the Maintenance Budget Variance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</si>
  <si>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</si>
  <si>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</si>
  <si>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EN 15341:2019, Maintenance - Maintenance Key Performance Indicators (economic indicators), by name.</t>
  </si>
  <si>
    <t>Accrual accounting as practised in management accounts (cost recognised when incurred), by principle.</t>
  </si>
  <si>
    <t>MFG Calcs Maintenance Budget Variance calculator (maintenance-budget-variance): remaining budget and utilisation.</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</si>
  <si>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</si>
  <si>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</si>
  <si>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</si>
  <si>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</si>
  <si>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</si>
  <si>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</si>
  <si>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</si>
  <si>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</si>
  <si>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</si>
  <si>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</si>
  <si>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</si>
  <si>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</si>
  <si>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</si>
  <si>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</si>
  <si>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</si>
  <si>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Months closed (January start, 30 June)</t>
  </si>
  <si>
    <t>Spend row 7: month no. of last year's invoice</t>
  </si>
  <si>
    <t>Spend row 7: Check reports date outside the year</t>
  </si>
  <si>
    <t>Date outside the budget year</t>
  </si>
  <si>
    <t>exact</t>
  </si>
  <si>
    <t>Spend row 10: Check reports category not on the Budget sheet</t>
  </si>
  <si>
    <t>Category not on the Budget sheet</t>
  </si>
  <si>
    <t>Calculator example: annual budget</t>
  </si>
  <si>
    <t>Calculator example: budget to date (6 months)</t>
  </si>
  <si>
    <t>Calculator example: spent + committed</t>
  </si>
  <si>
    <t>Calculator example: remaining</t>
  </si>
  <si>
    <t>Calculator example: budget used</t>
  </si>
  <si>
    <t>Calculator example: status at 98.3%</t>
  </si>
  <si>
    <t>Within limits: posted excludes last year's invoice</t>
  </si>
  <si>
    <t>Within limits: variance to date</t>
  </si>
  <si>
    <t>Within limits: status</t>
  </si>
  <si>
    <t>Within limits</t>
  </si>
  <si>
    <t>Over budget: status above 100%</t>
  </si>
  <si>
    <t>Out of limits</t>
  </si>
  <si>
    <t>No budget: Check reports spend but no budget</t>
  </si>
  <si>
    <t>Spend but no budget</t>
  </si>
  <si>
    <t>Month 6: actual (posted + accrued)</t>
  </si>
  <si>
    <t>Month 7: not closed, actual blank</t>
  </si>
  <si>
    <t/>
  </si>
  <si>
    <t>Month 6: cumulative budget</t>
  </si>
  <si>
    <t>Month 6: cumulative actual</t>
  </si>
  <si>
    <t>All categories: budget remaining (Dashboard formula)</t>
  </si>
  <si>
    <t>All categories: budget used (Dashboard formula)</t>
  </si>
  <si>
    <t>All categories: variance to date (Dashboard formula)</t>
  </si>
  <si>
    <t>Categories over budget (Dashboard formula)</t>
  </si>
  <si>
    <t>Fixed test inputs</t>
  </si>
  <si>
    <t>White cells are fixed test inputs; blue cells are the workbook's formulas evaluated on them.</t>
  </si>
  <si>
    <t>Parameters</t>
  </si>
  <si>
    <t>Test budget year: January to December, six months closed</t>
  </si>
  <si>
    <t>Test list: Areas</t>
  </si>
  <si>
    <t>L1</t>
  </si>
  <si>
    <t>Test table: Budget</t>
  </si>
  <si>
    <t>Calculator example</t>
  </si>
  <si>
    <t>Over budget</t>
  </si>
  <si>
    <t>No budget</t>
  </si>
  <si>
    <t>Test table: Spend</t>
  </si>
  <si>
    <t>Open order</t>
  </si>
  <si>
    <t>Accrual</t>
  </si>
  <si>
    <t>Last year's invoice</t>
  </si>
  <si>
    <t>Unknown</t>
  </si>
  <si>
    <t>Check case</t>
  </si>
  <si>
    <t>Test calendar</t>
  </si>
  <si>
    <t>Test months</t>
  </si>
</sst>
</file>

<file path=xl/styles.xml><?xml version="1.0" encoding="utf-8"?>
<styleSheet xmlns="http://schemas.openxmlformats.org/spreadsheetml/2006/main">
  <numFmts count="10">
    <numFmt numFmtId="164" formatCode="d mmm yyyy"/>
    <numFmt numFmtId="165" formatCode="#,##0"/>
    <numFmt numFmtId="166" formatCode="0.0%"/>
    <numFmt numFmtId="167" formatCode="mmm yyyy"/>
    <numFmt numFmtId="168" formatCode="+#,##0;-#,##0;0"/>
    <numFmt numFmtId="169" formatCode="#,##0.00"/>
    <numFmt numFmtId="170" formatCode="&quot;Limit &quot;0.0%"/>
    <numFmt numFmtId="171" formatCode="0%"/>
    <numFmt numFmtId="172" formatCode="0.0E+00"/>
    <numFmt numFmtId="173" formatCode="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thin">
        <color rgb="FFD6DBE3"/>
      </top>
      <bottom style="thin">
        <color rgb="FFD6DBE3"/>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s>
  <cellStyleXfs count="1">
    <xf numFmtId="0" fontId="0" fillId="0" borderId="0"/>
  </cellStyleXfs>
  <cellXfs count="75">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9" fillId="4" borderId="3" xfId="0" applyNumberFormat="1" applyFont="1" applyFill="1" applyBorder="1" applyAlignment="1">
      <alignment vertical="center"/>
    </xf>
    <xf numFmtId="166"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8" fillId="2" borderId="5" xfId="0" applyFont="1" applyFill="1" applyBorder="1" applyAlignment="1">
      <alignment horizontal="left" vertical="center" wrapText="1"/>
    </xf>
    <xf numFmtId="167" fontId="9" fillId="0" borderId="6" xfId="0" applyNumberFormat="1" applyFont="1" applyBorder="1" applyAlignment="1">
      <alignment horizontal="center" vertical="center"/>
    </xf>
    <xf numFmtId="0" fontId="10" fillId="4" borderId="3" xfId="0" applyFont="1" applyFill="1" applyBorder="1" applyAlignment="1">
      <alignment horizontal="center" vertical="center"/>
    </xf>
    <xf numFmtId="0" fontId="19" fillId="7" borderId="2" xfId="0" applyFont="1" applyFill="1" applyBorder="1" applyAlignment="1">
      <alignment vertical="center" wrapText="1"/>
    </xf>
    <xf numFmtId="0" fontId="20" fillId="0" borderId="0" xfId="0" applyFont="1" applyAlignment="1">
      <alignment horizontal="center" vertical="center"/>
    </xf>
    <xf numFmtId="165" fontId="10" fillId="3" borderId="2" xfId="0" applyNumberFormat="1" applyFont="1" applyFill="1" applyBorder="1" applyAlignment="1" applyProtection="1">
      <alignment vertical="center"/>
      <protection locked="0"/>
    </xf>
    <xf numFmtId="165"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0" fontId="21"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169" fontId="10" fillId="3" borderId="2" xfId="0" applyNumberFormat="1" applyFont="1" applyFill="1" applyBorder="1" applyAlignment="1" applyProtection="1">
      <alignment vertical="center"/>
      <protection locked="0"/>
    </xf>
    <xf numFmtId="0" fontId="20" fillId="0" borderId="0" xfId="0" applyFont="1" applyAlignment="1">
      <alignment vertical="center"/>
    </xf>
    <xf numFmtId="0" fontId="22" fillId="9" borderId="7" xfId="0" applyFont="1" applyFill="1" applyBorder="1" applyAlignment="1">
      <alignment vertical="center" wrapText="1"/>
    </xf>
    <xf numFmtId="165" fontId="4" fillId="9" borderId="8" xfId="0" applyNumberFormat="1" applyFont="1" applyFill="1" applyBorder="1" applyAlignment="1">
      <alignment horizontal="left" vertical="center"/>
    </xf>
    <xf numFmtId="168" fontId="4" fillId="9" borderId="8" xfId="0" applyNumberFormat="1" applyFont="1" applyFill="1" applyBorder="1" applyAlignment="1">
      <alignment horizontal="left" vertical="center"/>
    </xf>
    <xf numFmtId="166" fontId="4" fillId="9" borderId="8" xfId="0" applyNumberFormat="1" applyFont="1" applyFill="1" applyBorder="1" applyAlignment="1">
      <alignment horizontal="left" vertical="center"/>
    </xf>
    <xf numFmtId="0" fontId="23" fillId="9" borderId="8" xfId="0" applyFont="1" applyFill="1" applyBorder="1" applyAlignment="1">
      <alignment vertical="center"/>
    </xf>
    <xf numFmtId="170" fontId="23" fillId="9" borderId="8" xfId="0" applyNumberFormat="1" applyFont="1" applyFill="1" applyBorder="1" applyAlignment="1">
      <alignment horizontal="left" vertical="center"/>
    </xf>
    <xf numFmtId="0" fontId="22" fillId="9" borderId="9" xfId="0" applyFont="1" applyFill="1" applyBorder="1" applyAlignment="1">
      <alignment vertical="center"/>
    </xf>
    <xf numFmtId="0" fontId="9" fillId="0" borderId="6" xfId="0" applyFont="1" applyBorder="1" applyAlignment="1">
      <alignment vertical="center"/>
    </xf>
    <xf numFmtId="171" fontId="10" fillId="4" borderId="3" xfId="0" applyNumberFormat="1" applyFont="1" applyFill="1" applyBorder="1" applyAlignment="1">
      <alignment vertical="center"/>
    </xf>
    <xf numFmtId="167" fontId="9" fillId="0" borderId="6" xfId="0" applyNumberFormat="1" applyFont="1" applyBorder="1" applyAlignment="1">
      <alignment vertical="center"/>
    </xf>
    <xf numFmtId="0" fontId="13" fillId="0" borderId="0" xfId="0" applyFont="1" applyAlignment="1">
      <alignment vertical="center"/>
    </xf>
    <xf numFmtId="0" fontId="9" fillId="0" borderId="6" xfId="0" applyFont="1" applyBorder="1" applyAlignment="1">
      <alignment vertical="top" wrapText="1"/>
    </xf>
    <xf numFmtId="0" fontId="10" fillId="0" borderId="6" xfId="0" applyFont="1" applyBorder="1" applyAlignment="1">
      <alignment vertical="top" wrapText="1"/>
    </xf>
    <xf numFmtId="0" fontId="10" fillId="0" borderId="6" xfId="0" applyFont="1" applyBorder="1" applyAlignment="1">
      <alignment horizontal="center" vertical="top"/>
    </xf>
    <xf numFmtId="0" fontId="10" fillId="0" borderId="6" xfId="0" applyFont="1" applyBorder="1" applyAlignment="1">
      <alignment vertical="center"/>
    </xf>
    <xf numFmtId="0" fontId="10" fillId="0" borderId="6" xfId="0" applyFont="1" applyBorder="1" applyAlignment="1">
      <alignment vertical="center" wrapText="1"/>
    </xf>
    <xf numFmtId="0" fontId="10" fillId="0" borderId="6" xfId="0" applyFont="1" applyBorder="1" applyAlignment="1">
      <alignment horizontal="center" vertical="center"/>
    </xf>
    <xf numFmtId="0" fontId="8" fillId="0" borderId="0" xfId="0" applyFont="1" applyAlignment="1">
      <alignment vertical="center"/>
    </xf>
    <xf numFmtId="165" fontId="9" fillId="0" borderId="6" xfId="0" applyNumberFormat="1" applyFont="1" applyBorder="1" applyAlignment="1">
      <alignment horizontal="center" vertical="center"/>
    </xf>
    <xf numFmtId="165" fontId="10" fillId="0" borderId="6" xfId="0" applyNumberFormat="1" applyFont="1" applyBorder="1" applyAlignment="1">
      <alignment vertical="center"/>
    </xf>
    <xf numFmtId="172" fontId="10" fillId="4" borderId="3" xfId="0" applyNumberFormat="1" applyFont="1" applyFill="1" applyBorder="1" applyAlignment="1">
      <alignment vertical="center"/>
    </xf>
    <xf numFmtId="172" fontId="10" fillId="0" borderId="6" xfId="0" applyNumberFormat="1" applyFont="1" applyBorder="1" applyAlignment="1">
      <alignment vertical="center"/>
    </xf>
    <xf numFmtId="0" fontId="10" fillId="4" borderId="3" xfId="0" applyFont="1" applyFill="1" applyBorder="1" applyAlignment="1">
      <alignment vertical="center"/>
    </xf>
    <xf numFmtId="173" fontId="10" fillId="0" borderId="6" xfId="0" applyNumberFormat="1" applyFont="1" applyBorder="1" applyAlignment="1">
      <alignment vertical="center"/>
    </xf>
    <xf numFmtId="173" fontId="10" fillId="4" borderId="3" xfId="0" applyNumberFormat="1" applyFont="1" applyFill="1" applyBorder="1" applyAlignment="1">
      <alignment vertical="center"/>
    </xf>
    <xf numFmtId="166" fontId="10" fillId="0" borderId="6" xfId="0" applyNumberFormat="1" applyFont="1" applyBorder="1" applyAlignment="1">
      <alignment vertical="center"/>
    </xf>
    <xf numFmtId="164" fontId="10" fillId="0" borderId="6" xfId="0" applyNumberFormat="1" applyFont="1" applyBorder="1" applyAlignment="1">
      <alignment vertical="center"/>
    </xf>
    <xf numFmtId="169" fontId="10" fillId="0" borderId="6"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Budget and actual by month</a:t>
            </a:r>
          </a:p>
        </c:rich>
      </c:tx>
      <c:layout/>
    </c:title>
    <c:plotArea>
      <c:layout/>
      <c:barChart>
        <c:barDir val="col"/>
        <c:grouping val="clustered"/>
        <c:ser>
          <c:idx val="0"/>
          <c:order val="0"/>
          <c:tx>
            <c:v>Budget</c:v>
          </c:tx>
          <c:spPr>
            <a:solidFill>
              <a:srgbClr val="3B64D8"/>
            </a:solidFill>
            <a:ln w="9525">
              <a:solidFill>
                <a:srgbClr val="FFFFFF"/>
              </a:solidFill>
            </a:ln>
          </c:spPr>
          <c:cat>
            <c:numRef>
              <c:f>Dashboard!$B$47:$B$58</c:f>
              <c:numCache>
                <c:formatCode>General</c:formatCode>
                <c:ptCount val="12"/>
                <c:pt idx="0">
                  <c:v>46113</c:v>
                </c:pt>
                <c:pt idx="1">
                  <c:v>46143</c:v>
                </c:pt>
                <c:pt idx="2">
                  <c:v>46174</c:v>
                </c:pt>
                <c:pt idx="3">
                  <c:v>46204</c:v>
                </c:pt>
                <c:pt idx="4">
                  <c:v>46235</c:v>
                </c:pt>
                <c:pt idx="5">
                  <c:v>46266</c:v>
                </c:pt>
                <c:pt idx="6">
                  <c:v>46296</c:v>
                </c:pt>
                <c:pt idx="7">
                  <c:v>46327</c:v>
                </c:pt>
                <c:pt idx="8">
                  <c:v>46357</c:v>
                </c:pt>
                <c:pt idx="9">
                  <c:v>46388</c:v>
                </c:pt>
                <c:pt idx="10">
                  <c:v>46419</c:v>
                </c:pt>
                <c:pt idx="11">
                  <c:v>46447</c:v>
                </c:pt>
              </c:numCache>
            </c:numRef>
          </c:cat>
          <c:val>
            <c:numRef>
              <c:f>Dashboard!$C$47:$C$58</c:f>
              <c:numCache>
                <c:formatCode>General</c:formatCode>
                <c:ptCount val="12"/>
                <c:pt idx="0">
                  <c:v>61500</c:v>
                </c:pt>
                <c:pt idx="1">
                  <c:v>61500</c:v>
                </c:pt>
                <c:pt idx="2">
                  <c:v>61500</c:v>
                </c:pt>
                <c:pt idx="3">
                  <c:v>61500</c:v>
                </c:pt>
                <c:pt idx="4">
                  <c:v>133500</c:v>
                </c:pt>
                <c:pt idx="5">
                  <c:v>61500</c:v>
                </c:pt>
                <c:pt idx="6">
                  <c:v>61500</c:v>
                </c:pt>
                <c:pt idx="7">
                  <c:v>61500</c:v>
                </c:pt>
                <c:pt idx="8">
                  <c:v>81500</c:v>
                </c:pt>
                <c:pt idx="9">
                  <c:v>67500</c:v>
                </c:pt>
                <c:pt idx="10">
                  <c:v>61500</c:v>
                </c:pt>
                <c:pt idx="11">
                  <c:v>61500</c:v>
                </c:pt>
              </c:numCache>
            </c:numRef>
          </c:val>
        </c:ser>
        <c:ser>
          <c:idx val="1"/>
          <c:order val="1"/>
          <c:tx>
            <c:v>Actual</c:v>
          </c:tx>
          <c:spPr>
            <a:solidFill>
              <a:srgbClr val="E8702A"/>
            </a:solidFill>
            <a:ln w="9525">
              <a:solidFill>
                <a:srgbClr val="FFFFFF"/>
              </a:solidFill>
            </a:ln>
          </c:spPr>
          <c:cat>
            <c:numRef>
              <c:f>Dashboard!$B$47:$B$58</c:f>
              <c:numCache>
                <c:formatCode>General</c:formatCode>
                <c:ptCount val="12"/>
                <c:pt idx="0">
                  <c:v>46113</c:v>
                </c:pt>
                <c:pt idx="1">
                  <c:v>46143</c:v>
                </c:pt>
                <c:pt idx="2">
                  <c:v>46174</c:v>
                </c:pt>
                <c:pt idx="3">
                  <c:v>46204</c:v>
                </c:pt>
                <c:pt idx="4">
                  <c:v>46235</c:v>
                </c:pt>
                <c:pt idx="5">
                  <c:v>46266</c:v>
                </c:pt>
                <c:pt idx="6">
                  <c:v>46296</c:v>
                </c:pt>
                <c:pt idx="7">
                  <c:v>46327</c:v>
                </c:pt>
                <c:pt idx="8">
                  <c:v>46357</c:v>
                </c:pt>
                <c:pt idx="9">
                  <c:v>46388</c:v>
                </c:pt>
                <c:pt idx="10">
                  <c:v>46419</c:v>
                </c:pt>
                <c:pt idx="11">
                  <c:v>46447</c:v>
                </c:pt>
              </c:numCache>
            </c:numRef>
          </c:cat>
          <c:val>
            <c:numRef>
              <c:f>Dashboard!$F$47:$F$58</c:f>
              <c:numCache>
                <c:formatCode>General</c:formatCode>
                <c:ptCount val="12"/>
                <c:pt idx="0">
                  <c:v>62447</c:v>
                </c:pt>
                <c:pt idx="1">
                  <c:v>53947</c:v>
                </c:pt>
                <c:pt idx="2">
                  <c:v>71843</c:v>
                </c:pt>
                <c:pt idx="3">
                  <c:v>97134</c:v>
                </c:pt>
                <c:pt idx="4">
                  <c:v>108642</c:v>
                </c:pt>
                <c:pt idx="5">
                  <c:v>57145</c:v>
                </c:pt>
                <c:pt idx="6">
                  <c:v>0</c:v>
                </c:pt>
                <c:pt idx="7">
                  <c:v>0</c:v>
                </c:pt>
                <c:pt idx="8">
                  <c:v>0</c:v>
                </c:pt>
                <c:pt idx="9">
                  <c:v>0</c:v>
                </c:pt>
                <c:pt idx="10">
                  <c:v>0</c:v>
                </c:pt>
                <c:pt idx="11">
                  <c:v>0</c:v>
                </c:pt>
              </c:numCache>
            </c:numRef>
          </c:val>
        </c:ser>
        <c:gapWidth val="50"/>
        <c:overlap val="-10"/>
        <c:axId val="50010001"/>
        <c:axId val="50010002"/>
      </c:barChart>
      <c:catAx>
        <c:axId val="50010001"/>
        <c:scaling>
          <c:orientation val="minMax"/>
        </c:scaling>
        <c:axPos val="b"/>
        <c:numFmt formatCode="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Annual budget and spent + committed, by category</a:t>
            </a:r>
          </a:p>
        </c:rich>
      </c:tx>
      <c:layout/>
    </c:title>
    <c:plotArea>
      <c:layout/>
      <c:barChart>
        <c:barDir val="bar"/>
        <c:grouping val="clustered"/>
        <c:ser>
          <c:idx val="0"/>
          <c:order val="0"/>
          <c:tx>
            <c:v>Annual budget</c:v>
          </c:tx>
          <c:spPr>
            <a:solidFill>
              <a:srgbClr val="3B64D8"/>
            </a:solidFill>
            <a:ln w="9525">
              <a:solidFill>
                <a:srgbClr val="FFFFFF"/>
              </a:solidFill>
            </a:ln>
          </c:spPr>
          <c:cat>
            <c:strRef>
              <c:f>Dashboard!$B$36:$B$43</c:f>
              <c:strCache>
                <c:ptCount val="8"/>
                <c:pt idx="0">
                  <c:v>In-house labour</c:v>
                </c:pt>
                <c:pt idx="1">
                  <c:v>Overtime</c:v>
                </c:pt>
                <c:pt idx="2">
                  <c:v>Contractors</c:v>
                </c:pt>
                <c:pt idx="3">
                  <c:v>Spare parts</c:v>
                </c:pt>
                <c:pt idx="4">
                  <c:v>Consumables and oils</c:v>
                </c:pt>
                <c:pt idx="5">
                  <c:v>Tooling and dies</c:v>
                </c:pt>
                <c:pt idx="6">
                  <c:v>Inspections</c:v>
                </c:pt>
                <c:pt idx="7">
                  <c:v>Planned shutdown</c:v>
                </c:pt>
              </c:strCache>
            </c:strRef>
          </c:cat>
          <c:val>
            <c:numRef>
              <c:f>Dashboard!$C$36:$C$43</c:f>
              <c:numCache>
                <c:formatCode>General</c:formatCode>
                <c:ptCount val="8"/>
                <c:pt idx="0">
                  <c:v>360000</c:v>
                </c:pt>
                <c:pt idx="1">
                  <c:v>42000</c:v>
                </c:pt>
                <c:pt idx="2">
                  <c:v>90000</c:v>
                </c:pt>
                <c:pt idx="3">
                  <c:v>150000</c:v>
                </c:pt>
                <c:pt idx="4">
                  <c:v>30000</c:v>
                </c:pt>
                <c:pt idx="5">
                  <c:v>60000</c:v>
                </c:pt>
                <c:pt idx="6">
                  <c:v>24000</c:v>
                </c:pt>
                <c:pt idx="7">
                  <c:v>80000</c:v>
                </c:pt>
              </c:numCache>
            </c:numRef>
          </c:val>
        </c:ser>
        <c:ser>
          <c:idx val="1"/>
          <c:order val="1"/>
          <c:tx>
            <c:v>Spent + committed</c:v>
          </c:tx>
          <c:spPr>
            <a:solidFill>
              <a:srgbClr val="E8702A"/>
            </a:solidFill>
            <a:ln w="9525">
              <a:solidFill>
                <a:srgbClr val="FFFFFF"/>
              </a:solidFill>
            </a:ln>
          </c:spPr>
          <c:cat>
            <c:strRef>
              <c:f>Dashboard!$B$36:$B$43</c:f>
              <c:strCache>
                <c:ptCount val="8"/>
                <c:pt idx="0">
                  <c:v>In-house labour</c:v>
                </c:pt>
                <c:pt idx="1">
                  <c:v>Overtime</c:v>
                </c:pt>
                <c:pt idx="2">
                  <c:v>Contractors</c:v>
                </c:pt>
                <c:pt idx="3">
                  <c:v>Spare parts</c:v>
                </c:pt>
                <c:pt idx="4">
                  <c:v>Consumables and oils</c:v>
                </c:pt>
                <c:pt idx="5">
                  <c:v>Tooling and dies</c:v>
                </c:pt>
                <c:pt idx="6">
                  <c:v>Inspections</c:v>
                </c:pt>
                <c:pt idx="7">
                  <c:v>Planned shutdown</c:v>
                </c:pt>
              </c:strCache>
            </c:strRef>
          </c:cat>
          <c:val>
            <c:numRef>
              <c:f>Dashboard!$G$36:$G$43</c:f>
              <c:numCache>
                <c:formatCode>General</c:formatCode>
                <c:ptCount val="8"/>
                <c:pt idx="0">
                  <c:v>182048</c:v>
                </c:pt>
                <c:pt idx="1">
                  <c:v>26463</c:v>
                </c:pt>
                <c:pt idx="2">
                  <c:v>37908</c:v>
                </c:pt>
                <c:pt idx="3">
                  <c:v>120718</c:v>
                </c:pt>
                <c:pt idx="4">
                  <c:v>10455</c:v>
                </c:pt>
                <c:pt idx="5">
                  <c:v>31766</c:v>
                </c:pt>
                <c:pt idx="6">
                  <c:v>26500</c:v>
                </c:pt>
                <c:pt idx="7">
                  <c:v>59500</c:v>
                </c:pt>
              </c:numCache>
            </c:numRef>
          </c:val>
        </c:ser>
        <c:gapWidth val="50"/>
        <c:overlap val="-10"/>
        <c:axId val="50020001"/>
        <c:axId val="50020002"/>
      </c:barChart>
      <c:catAx>
        <c:axId val="5002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676275</xdr:colOff>
      <xdr:row>25</xdr:row>
      <xdr:rowOff>152400</xdr:rowOff>
    </xdr:to>
    <xdr:graphicFrame macro="">
      <xdr:nvGraphicFramePr>
        <xdr:cNvPr id="2" name="Chart 1" descr="Clustered column chart of the phased budget and the actual spend (posted plus accrued) for each month of the budget year; months not yet closed show the budget only."/>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676275</xdr:colOff>
      <xdr:row>25</xdr:row>
      <xdr:rowOff>152400</xdr:rowOff>
    </xdr:to>
    <xdr:graphicFrame macro="">
      <xdr:nvGraphicFramePr>
        <xdr:cNvPr id="3" name="Chart 2" descr="Horizontal clustered bar chart comparing each category's annual budget with its spend so far plus open commitments; a longer orange bar means the category is over its annual budge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Areas" displayName="tblAreas" ref="B21:D27" totalsRowShown="0">
  <autoFilter ref="B21:D27"/>
  <tableColumns count="3">
    <tableColumn id="1" name="Area"/>
    <tableColumn id="2" name="Cost centre"/>
    <tableColumn id="3" name="Notes"/>
  </tableColumns>
  <tableStyleInfo name="TableStyleLight1" showFirstColumn="0" showLastColumn="0" showRowStripes="0" showColumnStripes="0"/>
</table>
</file>

<file path=xl/tables/table2.xml><?xml version="1.0" encoding="utf-8"?>
<table xmlns="http://schemas.openxmlformats.org/spreadsheetml/2006/main" id="2" name="tblBudget" displayName="tblBudget" ref="B9:AA17" totalsRowShown="0">
  <autoFilter ref="B9:AA17"/>
  <tableColumns count="26">
    <tableColumn id="1" name="Category"/>
    <tableColumn id="2" name="GL code"/>
    <tableColumn id="3" name="M1"/>
    <tableColumn id="4" name="M2"/>
    <tableColumn id="5" name="M3"/>
    <tableColumn id="6" name="M4"/>
    <tableColumn id="7" name="M5"/>
    <tableColumn id="8" name="M6"/>
    <tableColumn id="9" name="M7"/>
    <tableColumn id="10" name="M8"/>
    <tableColumn id="11" name="M9"/>
    <tableColumn id="12" name="M10"/>
    <tableColumn id="13" name="M11"/>
    <tableColumn id="14" name="M12"/>
    <tableColumn id="15" name="Annual budget">
      <calculatedColumnFormula>IF(tblBudget[[#This Row],[Category]]="","",SUM(tblBudget[[#This Row],[M1]],tblBudget[[#This Row],[M2]],tblBudget[[#This Row],[M3]],tblBudget[[#This Row],[M4]],tblBudget[[#This Row],[M5]],tblBudget[[#This Row],[M6]],tblBudget[[#This Row],[M7]],tblBudget[[#This Row],[M8]],tblBudget[[#This Row],[M9]],tblBudget[[#This Row],[M10]],tblBudget[[#This Row],[M11]],tblBudget[[#This Row],[M12]]))</calculatedColumnFormula>
    </tableColumn>
    <tableColumn id="16" name="Budget to date">
      <calculatedColumnFormula>IF(tblBudget[[#This Row],[Category]]="","",tblBudget[[#This Row],[M1]]*(Elapsed&gt;=1)+tblBudget[[#This Row],[M2]]*(Elapsed&gt;=2)+tblBudget[[#This Row],[M3]]*(Elapsed&gt;=3)+tblBudget[[#This Row],[M4]]*(Elapsed&gt;=4)+tblBudget[[#This Row],[M5]]*(Elapsed&gt;=5)+tblBudget[[#This Row],[M6]]*(Elapsed&gt;=6)+tblBudget[[#This Row],[M7]]*(Elapsed&gt;=7)+tblBudget[[#This Row],[M8]]*(Elapsed&gt;=8)+tblBudget[[#This Row],[M9]]*(Elapsed&gt;=9)+tblBudget[[#This Row],[M10]]*(Elapsed&gt;=10)+tblBudget[[#This Row],[M11]]*(Elapsed&gt;=11)+tblBudget[[#This Row],[M12]]*(Elapsed&gt;=12))</calculatedColumnFormula>
    </tableColumn>
    <tableColumn id="17" name="Posted">
      <calculatedColumnFormula>IF(tblBudget[[#This Row],[Category]]="","",SUMIFS(tblSpend[Amount],tblSpend[Category],tblBudget[[#This Row],[Category]],tblSpend[Status],"Posted",tblSpend[Month no.],"&gt;=1",tblSpend[Month no.],"&lt;=12"))</calculatedColumnFormula>
    </tableColumn>
    <tableColumn id="18" name="Accrued">
      <calculatedColumnFormula>IF(tblBudget[[#This Row],[Category]]="","",SUMIFS(tblSpend[Amount],tblSpend[Category],tblBudget[[#This Row],[Category]],tblSpend[Status],"Accrued",tblSpend[Month no.],"&gt;=1",tblSpend[Month no.],"&lt;=12"))</calculatedColumnFormula>
    </tableColumn>
    <tableColumn id="19" name="Committed">
      <calculatedColumnFormula>IF(tblBudget[[#This Row],[Category]]="","",SUMIFS(tblSpend[Amount],tblSpend[Category],tblBudget[[#This Row],[Category]],tblSpend[Status],"Committed",tblSpend[Month no.],"&gt;=1",tblSpend[Month no.],"&lt;=12"))</calculatedColumnFormula>
    </tableColumn>
    <tableColumn id="20" name="Actual to date">
      <calculatedColumnFormula>IF(tblBudget[[#This Row],[Category]]="","",tblBudget[[#This Row],[Posted]]+tblBudget[[#This Row],[Accrued]])</calculatedColumnFormula>
    </tableColumn>
    <tableColumn id="21" name="Variance to date">
      <calculatedColumnFormula>IF(tblBudget[[#This Row],[Category]]="","",tblBudget[[#This Row],[Budget to date]]-tblBudget[[#This Row],[Actual to date]])</calculatedColumnFormula>
    </tableColumn>
    <tableColumn id="22" name="Spent + committed">
      <calculatedColumnFormula>IF(tblBudget[[#This Row],[Category]]="","",tblBudget[[#This Row],[Actual to date]]+tblBudget[[#This Row],[Committed]])</calculatedColumnFormula>
    </tableColumn>
    <tableColumn id="23" name="Remaining">
      <calculatedColumnFormula>IF(tblBudget[[#This Row],[Category]]="","",tblBudget[[#This Row],[Annual budget]]-tblBudget[[#This Row],[Spent + committed]])</calculatedColumnFormula>
    </tableColumn>
    <tableColumn id="24" name="Budget used">
      <calculatedColumnFormula>IF(tblBudget[[#This Row],[Category]]="","",IF(tblBudget[[#This Row],[Annual budget]]&gt;0,tblBudget[[#This Row],[Spent + committed]]/tblBudget[[#This Row],[Annual budget]],""))</calculatedColumnFormula>
    </tableColumn>
    <tableColumn id="25" name="Status">
      <calculatedColumnFormula>IF(tblBudget[[#This Row],[Category]]="","",IF(NOT(ISNUMBER(tblBudget[[#This Row],[Budget used]])),"",IF(tblBudget[[#This Row],[Budget used]]&gt;1,"Out of limits",IF(tblBudget[[#This Row],[Budget used]]&gt;NearAt,"Check","Within limits"))))</calculatedColumnFormula>
    </tableColumn>
    <tableColumn id="26" name="Check">
      <calculatedColumnFormula>IF(tblBudget[[#This Row],[Category]]="","",IF(COUNTIF(tblBudget[Category],tblBudget[[#This Row],[Category]])&gt;1,"Duplicate category",IF(AND(tblBudget[[#This Row],[Annual budget]]=0,tblBudget[[#This Row],[Spent + committed]]&lt;&gt;0),"Spend but no budget","OK")))</calculatedColumnFormula>
    </tableColumn>
  </tableColumns>
  <tableStyleInfo name="TableStyleLight1" showFirstColumn="0" showLastColumn="0" showRowStripes="0" showColumnStripes="0"/>
</table>
</file>

<file path=xl/tables/table3.xml><?xml version="1.0" encoding="utf-8"?>
<table xmlns="http://schemas.openxmlformats.org/spreadsheetml/2006/main" id="3" name="tblSpend" displayName="tblSpend" ref="B6:K126" totalsRowShown="0">
  <autoFilter ref="B6:K126"/>
  <tableColumns count="10">
    <tableColumn id="1" name="Date"/>
    <tableColumn id="2" name="Category"/>
    <tableColumn id="3" name="Area"/>
    <tableColumn id="4" name="Description"/>
    <tableColumn id="5" name="Supplier"/>
    <tableColumn id="6" name="Reference"/>
    <tableColumn id="7" name="Amount"/>
    <tableColumn id="8" name="Status"/>
    <tableColumn id="9" name="Month no.">
      <calculatedColumnFormula>IF(tblSpend[[#This Row],[Date]]="","",(YEAR(tblSpend[[#This Row],[Date]])-YEAR(YearStart))*12+MONTH(tblSpend[[#This Row],[Date]])-MONTH(YearStart)+1)</calculatedColumnFormula>
    </tableColumn>
    <tableColumn id="10" name="Check">
      <calculatedColumnFormula>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calculatedColumnFormula>
    </tableColumn>
  </tableColumns>
  <tableStyleInfo name="TableStyleLight1" showFirstColumn="0" showLastColumn="0" showRowStripes="0" showColumnStripes="0"/>
</table>
</file>

<file path=xl/tables/table4.xml><?xml version="1.0" encoding="utf-8"?>
<table xmlns="http://schemas.openxmlformats.org/spreadsheetml/2006/main" id="4" name="tblVerifyAreas" displayName="tblVerifyAreas" ref="B47:D48" totalsRowShown="0">
  <tableColumns count="3">
    <tableColumn id="1" name="Area"/>
    <tableColumn id="2" name="Cost centre"/>
    <tableColumn id="3" name="Notes"/>
  </tableColumns>
  <tableStyleInfo name="TableStyleLight1" showFirstColumn="0" showLastColumn="0" showRowStripes="0" showColumnStripes="0"/>
</table>
</file>

<file path=xl/tables/table5.xml><?xml version="1.0" encoding="utf-8"?>
<table xmlns="http://schemas.openxmlformats.org/spreadsheetml/2006/main" id="5" name="tblVerifyBudget" displayName="tblVerifyBudget" ref="B52:AA56" totalsRowShown="0">
  <tableColumns count="26">
    <tableColumn id="1" name="Category"/>
    <tableColumn id="2" name="GL code"/>
    <tableColumn id="3" name="M1"/>
    <tableColumn id="4" name="M2"/>
    <tableColumn id="5" name="M3"/>
    <tableColumn id="6" name="M4"/>
    <tableColumn id="7" name="M5"/>
    <tableColumn id="8" name="M6"/>
    <tableColumn id="9" name="M7"/>
    <tableColumn id="10" name="M8"/>
    <tableColumn id="11" name="M9"/>
    <tableColumn id="12" name="M10"/>
    <tableColumn id="13" name="M11"/>
    <tableColumn id="14" name="M12"/>
    <tableColumn id="15" name="Annual budget">
      <calculatedColumnFormula>IF(tblVerifyBudget[[#This Row],[Category]]="","",SUM(tblVerifyBudget[[#This Row],[M1]],tblVerifyBudget[[#This Row],[M2]],tblVerifyBudget[[#This Row],[M3]],tblVerifyBudget[[#This Row],[M4]],tblVerifyBudget[[#This Row],[M5]],tblVerifyBudget[[#This Row],[M6]],tblVerifyBudget[[#This Row],[M7]],tblVerifyBudget[[#This Row],[M8]],tblVerifyBudget[[#This Row],[M9]],tblVerifyBudget[[#This Row],[M10]],tblVerifyBudget[[#This Row],[M11]],tblVerifyBudget[[#This Row],[M12]]))</calculatedColumnFormula>
    </tableColumn>
    <tableColumn id="16" name="Budget to date">
      <calculatedColumnFormula>IF(tblVerifyBudget[[#This Row],[Category]]="","",tblVerifyBudget[[#This Row],[M1]]*($E$44&gt;=1)+tblVerifyBudget[[#This Row],[M2]]*($E$44&gt;=2)+tblVerifyBudget[[#This Row],[M3]]*($E$44&gt;=3)+tblVerifyBudget[[#This Row],[M4]]*($E$44&gt;=4)+tblVerifyBudget[[#This Row],[M5]]*($E$44&gt;=5)+tblVerifyBudget[[#This Row],[M6]]*($E$44&gt;=6)+tblVerifyBudget[[#This Row],[M7]]*($E$44&gt;=7)+tblVerifyBudget[[#This Row],[M8]]*($E$44&gt;=8)+tblVerifyBudget[[#This Row],[M9]]*($E$44&gt;=9)+tblVerifyBudget[[#This Row],[M10]]*($E$44&gt;=10)+tblVerifyBudget[[#This Row],[M11]]*($E$44&gt;=11)+tblVerifyBudget[[#This Row],[M12]]*($E$44&gt;=12))</calculatedColumnFormula>
    </tableColumn>
    <tableColumn id="17" name="Posted">
      <calculatedColumnFormula>IF(tblVerifyBudget[[#This Row],[Category]]="","",SUMIFS(tblVerifySpend[Amount],tblVerifySpend[Category],tblVerifyBudget[[#This Row],[Category]],tblVerifySpend[Status],"Posted",tblVerifySpend[Month no.],"&gt;=1",tblVerifySpend[Month no.],"&lt;=12"))</calculatedColumnFormula>
    </tableColumn>
    <tableColumn id="18" name="Accrued">
      <calculatedColumnFormula>IF(tblVerifyBudget[[#This Row],[Category]]="","",SUMIFS(tblVerifySpend[Amount],tblVerifySpend[Category],tblVerifyBudget[[#This Row],[Category]],tblVerifySpend[Status],"Accrued",tblVerifySpend[Month no.],"&gt;=1",tblVerifySpend[Month no.],"&lt;=12"))</calculatedColumnFormula>
    </tableColumn>
    <tableColumn id="19" name="Committed">
      <calculatedColumnFormula>IF(tblVerifyBudget[[#This Row],[Category]]="","",SUMIFS(tblVerifySpend[Amount],tblVerifySpend[Category],tblVerifyBudget[[#This Row],[Category]],tblVerifySpend[Status],"Committed",tblVerifySpend[Month no.],"&gt;=1",tblVerifySpend[Month no.],"&lt;=12"))</calculatedColumnFormula>
    </tableColumn>
    <tableColumn id="20" name="Actual to date">
      <calculatedColumnFormula>IF(tblVerifyBudget[[#This Row],[Category]]="","",tblVerifyBudget[[#This Row],[Posted]]+tblVerifyBudget[[#This Row],[Accrued]])</calculatedColumnFormula>
    </tableColumn>
    <tableColumn id="21" name="Variance to date">
      <calculatedColumnFormula>IF(tblVerifyBudget[[#This Row],[Category]]="","",tblVerifyBudget[[#This Row],[Budget to date]]-tblVerifyBudget[[#This Row],[Actual to date]])</calculatedColumnFormula>
    </tableColumn>
    <tableColumn id="22" name="Spent + committed">
      <calculatedColumnFormula>IF(tblVerifyBudget[[#This Row],[Category]]="","",tblVerifyBudget[[#This Row],[Actual to date]]+tblVerifyBudget[[#This Row],[Committed]])</calculatedColumnFormula>
    </tableColumn>
    <tableColumn id="23" name="Remaining">
      <calculatedColumnFormula>IF(tblVerifyBudget[[#This Row],[Category]]="","",tblVerifyBudget[[#This Row],[Annual budget]]-tblVerifyBudget[[#This Row],[Spent + committed]])</calculatedColumnFormula>
    </tableColumn>
    <tableColumn id="24" name="Budget used">
      <calculatedColumnFormula>IF(tblVerifyBudget[[#This Row],[Category]]="","",IF(tblVerifyBudget[[#This Row],[Annual budget]]&gt;0,tblVerifyBudget[[#This Row],[Spent + committed]]/tblVerifyBudget[[#This Row],[Annual budget]],""))</calculatedColumnFormula>
    </tableColumn>
    <tableColumn id="25" name="Status">
      <calculatedColumnFormula>IF(tblVerifyBudget[[#This Row],[Category]]="","",IF(NOT(ISNUMBER(tblVerifyBudget[[#This Row],[Budget used]])),"",IF(tblVerifyBudget[[#This Row],[Budget used]]&gt;1,"Out of limits",IF(tblVerifyBudget[[#This Row],[Budget used]]&gt;$E$39,"Check","Within limits"))))</calculatedColumnFormula>
    </tableColumn>
    <tableColumn id="26" name="Check">
      <calculatedColumnFormula>IF(tblVerifyBudget[[#This Row],[Category]]="","",IF(COUNTIF(tblVerifyBudget[Category],tblVerifyBudget[[#This Row],[Category]])&gt;1,"Duplicate category",IF(AND(tblVerifyBudget[[#This Row],[Annual budget]]=0,tblVerifyBudget[[#This Row],[Spent + committed]]&lt;&gt;0),"Spend but no budget","OK")))</calculatedColumnFormula>
    </tableColumn>
  </tableColumns>
  <tableStyleInfo name="TableStyleLight1" showFirstColumn="0" showLastColumn="0" showRowStripes="0" showColumnStripes="0"/>
</table>
</file>

<file path=xl/tables/table6.xml><?xml version="1.0" encoding="utf-8"?>
<table xmlns="http://schemas.openxmlformats.org/spreadsheetml/2006/main" id="6" name="tblVerifySpend" displayName="tblVerifySpend" ref="B60:K70" totalsRowShown="0">
  <tableColumns count="10">
    <tableColumn id="1" name="Date"/>
    <tableColumn id="2" name="Category"/>
    <tableColumn id="3" name="Area"/>
    <tableColumn id="4" name="Description"/>
    <tableColumn id="5" name="Supplier"/>
    <tableColumn id="6" name="Reference"/>
    <tableColumn id="7" name="Amount"/>
    <tableColumn id="8" name="Status"/>
    <tableColumn id="9" name="Month no.">
      <calculatedColumnFormula>IF(tblVerifySpend[[#This Row],[Date]]="","",(YEAR(tblVerifySpend[[#This Row],[Date]])-YEAR($E$42))*12+MONTH(tblVerifySpend[[#This Row],[Date]])-MONTH($E$42)+1)</calculatedColumnFormula>
    </tableColumn>
    <tableColumn id="10" name="Check">
      <calculatedColumnFormula>IF(tblVerifySpend[[#This Row],[Date]]="","",IF(tblVerifySpend[[#This Row],[Category]]="","Missing category",IF(tblVerifySpend[[#This Row],[Amount]]="","Missing amount",IF(tblVerifySpend[[#This Row],[Status]]="","Missing status",IF(COUNTIF(tblVerifyBudget[Category],tblVerifySpend[[#This Row],[Category]])=0,"Category not on the Budget sheet",IF(AND(tblVerifySpend[[#This Row],[Area]]&lt;&gt;"",COUNTIF(tblVerifyAreas[Area],tblVerifySpend[[#This Row],[Area]])=0),"Area not on Setup list",IF(OR(tblVerifySpend[[#This Row],[Month no.]]&lt;1,tblVerifySpend[[#This Row],[Month no.]]&gt;12),"Date outside the budget year",IF(tblVerifySpend[[#This Row],[Date]]&gt;$E$43,"Date after the spend-recorded-to date","OK"))))))))</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intenance-budget" TargetMode="External"/><Relationship Id="rId2" Type="http://schemas.openxmlformats.org/officeDocument/2006/relationships/hyperlink" Target="https://www.mfgcalcs.com/calculators/maintenance-reliability-downtime/maintenance-budget-variance?utm_source=mfgcalcs-template&amp;utm_medium=xlsx&amp;utm_campaign=maintenance-budget" TargetMode="External"/><Relationship Id="rId3" Type="http://schemas.openxmlformats.org/officeDocument/2006/relationships/hyperlink" Target="https://www.mfgcalcs.com/templates/maintenance-budget?utm_source=mfgcalcs-template&amp;utm_medium=xlsx&amp;utm_campaign=maintenance-budget" TargetMode="External"/><Relationship Id="rId4" Type="http://schemas.openxmlformats.org/officeDocument/2006/relationships/hyperlink" Target="https://www.mfgcalcs.com/templates?utm_source=mfgcalcs-template&amp;utm_medium=xlsx&amp;utm_campaign=maintenance-budget"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intenance-budget"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intenance-budget"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intenance-budget" TargetMode="External"/><Relationship Id="rId2"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intenance-budget"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intenance-budget" TargetMode="External"/><Relationship Id="rId2" Type="http://schemas.openxmlformats.org/officeDocument/2006/relationships/hyperlink" Target="https://www.mfgcalcs.com/calculators/maintenance-reliability-downtime/maintenance-budget-variance?utm_source=mfgcalcs-template&amp;utm_medium=xlsx&amp;utm_campaign=maintenance-budget"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intenance-budget" TargetMode="External"/><Relationship Id="rId2" Type="http://schemas.openxmlformats.org/officeDocument/2006/relationships/table" Target="../tables/table4.xml"/><Relationship Id="rId3" Type="http://schemas.openxmlformats.org/officeDocument/2006/relationships/table" Target="../tables/table5.xml"/><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29.4" customHeight="1">
      <c r="B14" s="9" t="s">
        <v>11</v>
      </c>
      <c r="C14" s="10" t="s">
        <v>12</v>
      </c>
      <c r="D14" s="10"/>
      <c r="E14" s="10"/>
      <c r="F14" s="10"/>
    </row>
    <row r="15" spans="1:6" ht="16.2"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29.4" customHeight="1">
      <c r="B21" s="11"/>
      <c r="C21" s="12" t="s">
        <v>19</v>
      </c>
      <c r="D21" s="10" t="s">
        <v>20</v>
      </c>
      <c r="E21" s="10"/>
      <c r="F21" s="10"/>
    </row>
    <row r="22" spans="2:6" ht="16.2"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23 of 23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Budget!A1" tooltip="Go to Budget" display="Budget"/>
    <hyperlink ref="C22" location="'Spend Log'!A1" tooltip="Go to Spend Log" display="Spend Log"/>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Maintenance Budget Tracker&amp;R&amp;8&amp;A</oddHeader>
    <oddFooter>&amp;L&amp;8mfgcalcs.com - free manufacturing templates&amp;R&amp;8Page &amp;P of &amp;N</oddFooter>
  </headerFooter>
  <rowBreaks count="1" manualBreakCount="1">
    <brk id="26"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27"/>
  <sheetViews>
    <sheetView showGridLines="0" workbookViewId="0"/>
  </sheetViews>
  <sheetFormatPr defaultRowHeight="15"/>
  <cols>
    <col min="1" max="1" width="2.7109375" customWidth="1"/>
    <col min="2" max="2" width="32.7109375" customWidth="1"/>
    <col min="3" max="3" width="18.7109375" customWidth="1"/>
    <col min="4" max="4" width="54.7109375" customWidth="1"/>
  </cols>
  <sheetData>
    <row r="1" spans="1:5" ht="30" customHeight="1">
      <c r="A1" s="1" t="s">
        <v>0</v>
      </c>
      <c r="B1" s="1"/>
      <c r="C1" s="1"/>
      <c r="D1" s="1"/>
      <c r="E1" s="1"/>
    </row>
    <row r="2" spans="1:5" ht="32.4" customHeight="1">
      <c r="B2" s="2" t="s">
        <v>18</v>
      </c>
      <c r="C2" s="2"/>
      <c r="D2" s="3" t="s">
        <v>2</v>
      </c>
      <c r="E2" s="3"/>
    </row>
    <row r="3" spans="1:5" ht="6" customHeight="1"/>
    <row r="4" spans="1:5" ht="21" customHeight="1">
      <c r="B4" s="8" t="s">
        <v>65</v>
      </c>
      <c r="C4" s="8"/>
      <c r="D4" s="8"/>
    </row>
    <row r="5" spans="1:5" ht="5" customHeight="1"/>
    <row r="6" spans="1:5">
      <c r="B6" s="27" t="s">
        <v>66</v>
      </c>
      <c r="C6" s="28" t="s">
        <v>67</v>
      </c>
      <c r="D6" s="28"/>
    </row>
    <row r="7" spans="1:5">
      <c r="B7" s="27" t="s">
        <v>68</v>
      </c>
      <c r="C7" s="28" t="s">
        <v>69</v>
      </c>
      <c r="D7" s="28"/>
    </row>
    <row r="9" spans="1:5">
      <c r="B9" s="27" t="s">
        <v>70</v>
      </c>
      <c r="C9" s="29">
        <v>46113</v>
      </c>
      <c r="D9" s="7"/>
    </row>
    <row r="10" spans="1:5">
      <c r="B10" s="27" t="s">
        <v>71</v>
      </c>
      <c r="C10" s="29">
        <v>46295</v>
      </c>
      <c r="D10" s="7"/>
    </row>
    <row r="11" spans="1:5">
      <c r="B11" s="17" t="s">
        <v>72</v>
      </c>
      <c r="C11" s="30">
        <f>MAX(0,MIN(12,(YEAR(AsOf)-YEAR(YearStart))*12+MONTH(AsOf)-MONTH(YearStart)+1))</f>
        <v>6</v>
      </c>
      <c r="D11" s="7" t="s">
        <v>73</v>
      </c>
    </row>
    <row r="13" spans="1:5">
      <c r="B13" s="27" t="s">
        <v>74</v>
      </c>
      <c r="C13" s="31">
        <v>0.95</v>
      </c>
      <c r="D13" s="7"/>
    </row>
    <row r="15" spans="1:5" ht="35.4" customHeight="1">
      <c r="B15" s="25" t="s">
        <v>75</v>
      </c>
      <c r="C15" s="25"/>
      <c r="D15" s="25"/>
    </row>
    <row r="17" spans="2:4" ht="21" customHeight="1">
      <c r="B17" s="8" t="s">
        <v>76</v>
      </c>
      <c r="C17" s="8"/>
      <c r="D17" s="8"/>
    </row>
    <row r="18" spans="2:4" ht="5" customHeight="1"/>
    <row r="19" spans="2:4" ht="26.76" customHeight="1">
      <c r="B19" s="21" t="s">
        <v>77</v>
      </c>
      <c r="C19" s="21"/>
      <c r="D19" s="21"/>
    </row>
    <row r="20" spans="2:4">
      <c r="B20" s="32" t="s">
        <v>78</v>
      </c>
      <c r="C20" s="32"/>
      <c r="D20" s="32"/>
    </row>
    <row r="21" spans="2:4" ht="20" customHeight="1">
      <c r="B21" s="33" t="s">
        <v>62</v>
      </c>
      <c r="C21" s="33" t="s">
        <v>63</v>
      </c>
      <c r="D21" s="33" t="s">
        <v>64</v>
      </c>
    </row>
    <row r="22" spans="2:4">
      <c r="B22" s="28" t="s">
        <v>79</v>
      </c>
      <c r="C22" s="28" t="s">
        <v>80</v>
      </c>
      <c r="D22" s="28" t="s">
        <v>81</v>
      </c>
    </row>
    <row r="23" spans="2:4">
      <c r="B23" s="28" t="s">
        <v>82</v>
      </c>
      <c r="C23" s="28" t="s">
        <v>83</v>
      </c>
      <c r="D23" s="28" t="s">
        <v>84</v>
      </c>
    </row>
    <row r="24" spans="2:4">
      <c r="B24" s="28" t="s">
        <v>85</v>
      </c>
      <c r="C24" s="28" t="s">
        <v>86</v>
      </c>
      <c r="D24" s="28" t="s">
        <v>87</v>
      </c>
    </row>
    <row r="25" spans="2:4">
      <c r="B25" s="28" t="s">
        <v>88</v>
      </c>
      <c r="C25" s="28" t="s">
        <v>89</v>
      </c>
      <c r="D25" s="28" t="s">
        <v>90</v>
      </c>
    </row>
    <row r="26" spans="2:4">
      <c r="B26" s="28" t="s">
        <v>91</v>
      </c>
      <c r="C26" s="28" t="s">
        <v>92</v>
      </c>
      <c r="D26" s="28" t="s">
        <v>93</v>
      </c>
    </row>
    <row r="27" spans="2:4">
      <c r="B27" s="28" t="s">
        <v>94</v>
      </c>
      <c r="C27" s="28" t="s">
        <v>95</v>
      </c>
      <c r="D27" s="28" t="s">
        <v>96</v>
      </c>
    </row>
  </sheetData>
  <mergeCells count="10">
    <mergeCell ref="A1:E1"/>
    <mergeCell ref="B2:C2"/>
    <mergeCell ref="D2:E2"/>
    <mergeCell ref="B4:D4"/>
    <mergeCell ref="C6:D6"/>
    <mergeCell ref="C7:D7"/>
    <mergeCell ref="B15:D15"/>
    <mergeCell ref="B17:D17"/>
    <mergeCell ref="B19:D19"/>
    <mergeCell ref="B20:D20"/>
  </mergeCells>
  <dataValidations count="8">
    <dataValidation type="textLength" allowBlank="1" showInputMessage="1" showErrorMessage="1" errorTitle="Check this entry" error="Text up to 80 characters." promptTitle="Plant or site name" prompt="Shown on the Dashboard header. Text up to 80 characters." sqref="C6">
      <formula1>0</formula1>
      <formula2>80</formula2>
    </dataValidation>
    <dataValidation type="textLength" allowBlank="1" showInputMessage="1" showErrorMessage="1" errorTitle="Check this entry" error="Text up to 12 characters." promptTitle="Currency label" prompt="Text shown with every amount, e.g. USD, INR, GBP, EUR, MXN. No exchange rate is applied. Text up to 12 characters." sqref="C7">
      <formula1>0</formula1>
      <formula2>12</formula2>
    </dataValidation>
    <dataValidation type="date" allowBlank="1" showInputMessage="1" showErrorMessage="1" errorTitle="Check this entry" error="Enter a date between 01 Jan 2000 and 31 Dec 2100." promptTitle="Budget year starts" prompt="Any date in the first month of the budget year (1 April for an April to March year). Month 1 is that month. Enter a date between 01 Jan 2000 and 31 Dec 2100." sqref="C9">
      <formula1>36526</formula1>
      <formula2>73415</formula2>
    </dataValidation>
    <dataValidation type="date" allowBlank="1" showInputMessage="1" showErrorMessage="1" errorTitle="Check this entry" error="Enter a date between 01 Jan 2000 and 31 Dec 2100." promptTitle="Spend recorded to" prompt="The last day your spend log is complete to, usually the last month end. Budget to date counts the months up to this date. Enter a date between 01 Jan 2000 and 31 Dec 2100." sqref="C10">
      <formula1>36526</formula1>
      <formula2>73415</formula2>
    </dataValidation>
    <dataValidation type="decimal" allowBlank="1" showInputMessage="1" showErrorMessage="1" errorTitle="Check this entry" error="Enter a percentage from 0% to 100% (type 85% or 0.85)." promptTitle="Check a category above" prompt="Budget used (spent + committed / annual budget) above which a category reads Check instead of Within limits. Above 100% it reads Out of limits. Enter a percentage from 0% to 100% (type 85% or 0.85)." sqref="C13">
      <formula1>0</formula1>
      <formula2>1</formula2>
    </dataValidation>
    <dataValidation type="textLength" allowBlank="1" showInputMessage="1" showErrorMessage="1" errorTitle="Check this entry" error="Text up to 40 characters." promptTitle="Area" prompt="Text up to 40 characters." sqref="B22:B127">
      <formula1>0</formula1>
      <formula2>40</formula2>
    </dataValidation>
    <dataValidation type="textLength" allowBlank="1" showInputMessage="1" showErrorMessage="1" errorTitle="Check this entry" error="Text up to 20 characters." promptTitle="Cost centre" prompt="Optional: your cost centre code. Text up to 20 characters." sqref="C22:C127">
      <formula1>0</formula1>
      <formula2>20</formula2>
    </dataValidation>
    <dataValidation type="textLength" allowBlank="1" showInputMessage="1" showErrorMessage="1" errorTitle="Check this entry" error="Text up to 120 characters." promptTitle="Notes" prompt="Text up to 120 characters." sqref="D22:D127">
      <formula1>0</formula1>
      <formula2>120</formula2>
    </dataValidation>
  </dataValidations>
  <hyperlinks>
    <hyperlink ref="D2" r:id="rId1" tooltip="Free manufacturing calculators and templates"/>
  </hyperlinks>
  <pageMargins left="0.4" right="0.4" top="0.7" bottom="0.65" header="0.3" footer="0.3"/>
  <pageSetup fitToHeight="0" orientation="landscape"/>
  <headerFooter>
    <oddHeader>&amp;L&amp;8MFG Calcs - Maintenance Budget Tracker&amp;R&amp;8&amp;A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AA17"/>
  <sheetViews>
    <sheetView workbookViewId="0">
      <pane xSplit="2" ySplit="9" topLeftCell="C10" activePane="bottomRight" state="frozen"/>
      <selection pane="topRight" activeCell="C1" sqref="C1"/>
      <selection pane="bottomLeft" activeCell="A10" sqref="A10"/>
      <selection pane="bottomRight"/>
    </sheetView>
  </sheetViews>
  <sheetFormatPr defaultRowHeight="15" x14ac:dyDescent="0.25"/>
  <cols>
    <col min="1" max="1" width="2.7109375" customWidth="1"/>
    <col min="2" max="2" width="20.7109375" customWidth="1"/>
    <col min="3" max="3" width="8.7109375" customWidth="1"/>
    <col min="4" max="15" width="12.7109375" customWidth="1"/>
    <col min="16" max="18" width="10.7109375" customWidth="1"/>
    <col min="19" max="19" width="9.7109375" customWidth="1"/>
    <col min="20" max="20" width="10.28515625" customWidth="1"/>
    <col min="21" max="24" width="10.7109375" customWidth="1"/>
    <col min="25" max="25" width="9.7109375" customWidth="1"/>
    <col min="26" max="26" width="12.28515625" customWidth="1"/>
    <col min="27" max="27" width="18.7109375" customWidth="1"/>
  </cols>
  <sheetData>
    <row r="1" spans="1:27" ht="30" customHeight="1" x14ac:dyDescent="0.25">
      <c r="A1" s="1" t="s">
        <v>0</v>
      </c>
      <c r="B1" s="1"/>
      <c r="C1" s="1"/>
      <c r="D1" s="1"/>
      <c r="E1" s="1"/>
      <c r="F1" s="1"/>
      <c r="G1" s="1"/>
      <c r="H1" s="1"/>
      <c r="I1" s="1"/>
      <c r="J1" s="1"/>
      <c r="K1" s="1"/>
      <c r="L1" s="1"/>
      <c r="M1" s="1"/>
      <c r="N1" s="1"/>
      <c r="O1" s="1"/>
      <c r="P1" s="1"/>
      <c r="Q1" s="1"/>
      <c r="R1" s="1"/>
      <c r="S1" s="1"/>
      <c r="T1" s="1"/>
      <c r="U1" s="1"/>
      <c r="V1" s="1"/>
      <c r="W1" s="1"/>
      <c r="X1" s="1"/>
      <c r="Y1" s="1"/>
      <c r="Z1" s="1"/>
      <c r="AA1" s="1"/>
    </row>
    <row r="2" spans="1:27" ht="21" customHeight="1" x14ac:dyDescent="0.25">
      <c r="B2" s="2" t="s">
        <v>20</v>
      </c>
      <c r="C2" s="2"/>
      <c r="D2" s="2"/>
      <c r="E2" s="2"/>
      <c r="F2" s="2"/>
      <c r="G2" s="2"/>
      <c r="H2" s="2"/>
      <c r="I2" s="2"/>
      <c r="J2" s="2"/>
      <c r="K2" s="2"/>
      <c r="L2" s="2"/>
      <c r="M2" s="2"/>
      <c r="N2" s="2"/>
      <c r="O2" s="2"/>
      <c r="P2" s="2"/>
      <c r="Q2" s="2"/>
      <c r="R2" s="2"/>
      <c r="S2" s="2"/>
      <c r="T2" s="2"/>
      <c r="U2" s="2"/>
      <c r="V2" s="2"/>
      <c r="W2" s="2"/>
      <c r="X2" s="2"/>
      <c r="Y2" s="2"/>
      <c r="Z2" s="2"/>
      <c r="AA2" s="3" t="s">
        <v>2</v>
      </c>
    </row>
    <row r="3" spans="1:27" ht="6" customHeight="1" x14ac:dyDescent="0.25"/>
    <row r="4" spans="1:27" x14ac:dyDescent="0.25">
      <c r="B4" s="34" t="s">
        <v>123</v>
      </c>
      <c r="C4" s="34"/>
      <c r="D4" s="35">
        <f>DATE(YEAR(YearStart),MONTH(YearStart),1)</f>
        <v>46113</v>
      </c>
      <c r="E4" s="35">
        <f>IF($D$4="","",EDATE($D$4,1))</f>
        <v>46143</v>
      </c>
      <c r="F4" s="35">
        <f>IF($E$4="","",EDATE($E$4,1))</f>
        <v>46174</v>
      </c>
      <c r="G4" s="35">
        <f>IF($F$4="","",EDATE($F$4,1))</f>
        <v>46204</v>
      </c>
      <c r="H4" s="35">
        <f>IF($G$4="","",EDATE($G$4,1))</f>
        <v>46235</v>
      </c>
      <c r="I4" s="35">
        <f>IF($H$4="","",EDATE($H$4,1))</f>
        <v>46266</v>
      </c>
      <c r="J4" s="35">
        <f>IF($I$4="","",EDATE($I$4,1))</f>
        <v>46296</v>
      </c>
      <c r="K4" s="35">
        <f>IF($J$4="","",EDATE($J$4,1))</f>
        <v>46327</v>
      </c>
      <c r="L4" s="35">
        <f>IF($K$4="","",EDATE($K$4,1))</f>
        <v>46357</v>
      </c>
      <c r="M4" s="35">
        <f>IF($L$4="","",EDATE($L$4,1))</f>
        <v>46388</v>
      </c>
      <c r="N4" s="35">
        <f>IF($M$4="","",EDATE($M$4,1))</f>
        <v>46419</v>
      </c>
      <c r="O4" s="35">
        <f>IF($N$4="","",EDATE($N$4,1))</f>
        <v>46447</v>
      </c>
    </row>
    <row r="5" spans="1:27" x14ac:dyDescent="0.25">
      <c r="B5" s="27" t="s">
        <v>124</v>
      </c>
      <c r="C5" s="27"/>
      <c r="D5" s="36" t="str">
        <f>IF($D$4="","",IF(1&lt;=Elapsed,"Closed","Open"))</f>
        <v>Closed</v>
      </c>
      <c r="E5" s="36" t="str">
        <f>IF($E$4="","",IF(2&lt;=Elapsed,"Closed","Open"))</f>
        <v>Closed</v>
      </c>
      <c r="F5" s="36" t="str">
        <f>IF($F$4="","",IF(3&lt;=Elapsed,"Closed","Open"))</f>
        <v>Closed</v>
      </c>
      <c r="G5" s="36" t="str">
        <f>IF($G$4="","",IF(4&lt;=Elapsed,"Closed","Open"))</f>
        <v>Closed</v>
      </c>
      <c r="H5" s="36" t="str">
        <f>IF($H$4="","",IF(5&lt;=Elapsed,"Closed","Open"))</f>
        <v>Closed</v>
      </c>
      <c r="I5" s="36" t="str">
        <f>IF($I$4="","",IF(6&lt;=Elapsed,"Closed","Open"))</f>
        <v>Closed</v>
      </c>
      <c r="J5" s="36" t="str">
        <f>IF($J$4="","",IF(7&lt;=Elapsed,"Closed","Open"))</f>
        <v>Open</v>
      </c>
      <c r="K5" s="36" t="str">
        <f>IF($K$4="","",IF(8&lt;=Elapsed,"Closed","Open"))</f>
        <v>Open</v>
      </c>
      <c r="L5" s="36" t="str">
        <f>IF($L$4="","",IF(9&lt;=Elapsed,"Closed","Open"))</f>
        <v>Open</v>
      </c>
      <c r="M5" s="36" t="str">
        <f>IF($M$4="","",IF(10&lt;=Elapsed,"Closed","Open"))</f>
        <v>Open</v>
      </c>
      <c r="N5" s="36" t="str">
        <f>IF($N$4="","",IF(11&lt;=Elapsed,"Closed","Open"))</f>
        <v>Open</v>
      </c>
      <c r="O5" s="36" t="str">
        <f>IF($O$4="","",IF(12&lt;=Elapsed,"Closed","Open"))</f>
        <v>Open</v>
      </c>
    </row>
    <row r="7" spans="1:27" ht="18" customHeight="1" x14ac:dyDescent="0.25">
      <c r="B7" s="37" t="s">
        <v>125</v>
      </c>
      <c r="C7" s="37"/>
      <c r="D7" s="37"/>
      <c r="E7" s="37"/>
      <c r="F7" s="37"/>
      <c r="G7" s="37"/>
      <c r="H7" s="37"/>
      <c r="I7" s="37"/>
      <c r="J7" s="37"/>
      <c r="K7" s="37"/>
      <c r="L7" s="37"/>
      <c r="M7" s="37"/>
      <c r="N7" s="37"/>
      <c r="O7" s="37"/>
      <c r="P7" s="37"/>
      <c r="Q7" s="37"/>
      <c r="R7" s="37"/>
      <c r="S7" s="37"/>
      <c r="T7" s="37"/>
      <c r="U7" s="37"/>
      <c r="V7" s="37"/>
      <c r="W7" s="37"/>
      <c r="X7" s="37"/>
      <c r="Y7" s="37"/>
      <c r="Z7" s="37"/>
      <c r="AA7" s="37"/>
    </row>
    <row r="8" spans="1:27" ht="14" customHeight="1" x14ac:dyDescent="0.25">
      <c r="B8" s="38"/>
      <c r="C8" s="38"/>
      <c r="D8" s="38" t="str">
        <f>Currency</f>
        <v>GBP</v>
      </c>
      <c r="E8" s="38" t="str">
        <f>Currency</f>
        <v>GBP</v>
      </c>
      <c r="F8" s="38" t="str">
        <f>Currency</f>
        <v>GBP</v>
      </c>
      <c r="G8" s="38" t="str">
        <f>Currency</f>
        <v>GBP</v>
      </c>
      <c r="H8" s="38" t="str">
        <f>Currency</f>
        <v>GBP</v>
      </c>
      <c r="I8" s="38" t="str">
        <f>Currency</f>
        <v>GBP</v>
      </c>
      <c r="J8" s="38" t="str">
        <f>Currency</f>
        <v>GBP</v>
      </c>
      <c r="K8" s="38" t="str">
        <f>Currency</f>
        <v>GBP</v>
      </c>
      <c r="L8" s="38" t="str">
        <f>Currency</f>
        <v>GBP</v>
      </c>
      <c r="M8" s="38" t="str">
        <f>Currency</f>
        <v>GBP</v>
      </c>
      <c r="N8" s="38" t="str">
        <f>Currency</f>
        <v>GBP</v>
      </c>
      <c r="O8" s="38" t="str">
        <f>Currency</f>
        <v>GBP</v>
      </c>
      <c r="P8" s="38" t="str">
        <f>Currency</f>
        <v>GBP</v>
      </c>
      <c r="Q8" s="38" t="str">
        <f>Currency</f>
        <v>GBP</v>
      </c>
      <c r="R8" s="38" t="str">
        <f>Currency</f>
        <v>GBP</v>
      </c>
      <c r="S8" s="38" t="str">
        <f>Currency</f>
        <v>GBP</v>
      </c>
      <c r="T8" s="38" t="str">
        <f>Currency</f>
        <v>GBP</v>
      </c>
      <c r="U8" s="38" t="str">
        <f>Currency</f>
        <v>GBP</v>
      </c>
      <c r="V8" s="38" t="str">
        <f>Currency</f>
        <v>GBP</v>
      </c>
      <c r="W8" s="38" t="str">
        <f>Currency</f>
        <v>GBP</v>
      </c>
      <c r="X8" s="38" t="str">
        <f>Currency</f>
        <v>GBP</v>
      </c>
      <c r="Y8" s="38"/>
      <c r="Z8" s="38"/>
      <c r="AA8" s="38"/>
    </row>
    <row r="9" spans="1:27" ht="32" customHeight="1" x14ac:dyDescent="0.25">
      <c r="B9" s="33" t="s">
        <v>97</v>
      </c>
      <c r="C9" s="33" t="s">
        <v>98</v>
      </c>
      <c r="D9" s="33" t="s">
        <v>99</v>
      </c>
      <c r="E9" s="33" t="s">
        <v>100</v>
      </c>
      <c r="F9" s="33" t="s">
        <v>101</v>
      </c>
      <c r="G9" s="33" t="s">
        <v>102</v>
      </c>
      <c r="H9" s="33" t="s">
        <v>103</v>
      </c>
      <c r="I9" s="33" t="s">
        <v>104</v>
      </c>
      <c r="J9" s="33" t="s">
        <v>105</v>
      </c>
      <c r="K9" s="33" t="s">
        <v>106</v>
      </c>
      <c r="L9" s="33" t="s">
        <v>107</v>
      </c>
      <c r="M9" s="33" t="s">
        <v>108</v>
      </c>
      <c r="N9" s="33" t="s">
        <v>109</v>
      </c>
      <c r="O9" s="33" t="s">
        <v>110</v>
      </c>
      <c r="P9" s="33" t="s">
        <v>111</v>
      </c>
      <c r="Q9" s="33" t="s">
        <v>112</v>
      </c>
      <c r="R9" s="33" t="s">
        <v>113</v>
      </c>
      <c r="S9" s="33" t="s">
        <v>114</v>
      </c>
      <c r="T9" s="33" t="s">
        <v>115</v>
      </c>
      <c r="U9" s="33" t="s">
        <v>116</v>
      </c>
      <c r="V9" s="33" t="s">
        <v>117</v>
      </c>
      <c r="W9" s="33" t="s">
        <v>118</v>
      </c>
      <c r="X9" s="33" t="s">
        <v>119</v>
      </c>
      <c r="Y9" s="33" t="s">
        <v>120</v>
      </c>
      <c r="Z9" s="33" t="s">
        <v>121</v>
      </c>
      <c r="AA9" s="33" t="s">
        <v>122</v>
      </c>
    </row>
    <row r="10" spans="1:27" x14ac:dyDescent="0.25">
      <c r="B10" s="28" t="s">
        <v>126</v>
      </c>
      <c r="C10" s="28" t="s">
        <v>127</v>
      </c>
      <c r="D10" s="39">
        <v>30000</v>
      </c>
      <c r="E10" s="39">
        <v>30000</v>
      </c>
      <c r="F10" s="39">
        <v>30000</v>
      </c>
      <c r="G10" s="39">
        <v>30000</v>
      </c>
      <c r="H10" s="39">
        <v>30000</v>
      </c>
      <c r="I10" s="39">
        <v>30000</v>
      </c>
      <c r="J10" s="39">
        <v>30000</v>
      </c>
      <c r="K10" s="39">
        <v>30000</v>
      </c>
      <c r="L10" s="39">
        <v>30000</v>
      </c>
      <c r="M10" s="39">
        <v>30000</v>
      </c>
      <c r="N10" s="39">
        <v>30000</v>
      </c>
      <c r="O10" s="39">
        <v>30000</v>
      </c>
      <c r="P10" s="40">
        <f>IF(tblBudget[[#This Row],[Category]]="","",SUM(tblBudget[[#This Row],[M1]],tblBudget[[#This Row],[M2]],tblBudget[[#This Row],[M3]],tblBudget[[#This Row],[M4]],tblBudget[[#This Row],[M5]],tblBudget[[#This Row],[M6]],tblBudget[[#This Row],[M7]],tblBudget[[#This Row],[M8]],tblBudget[[#This Row],[M9]],tblBudget[[#This Row],[M10]],tblBudget[[#This Row],[M11]],tblBudget[[#This Row],[M12]]))</f>
        <v>360000</v>
      </c>
      <c r="Q10" s="40">
        <f>IF(tblBudget[[#This Row],[Category]]="","",tblBudget[[#This Row],[M1]]*(Elapsed&gt;=1)+tblBudget[[#This Row],[M2]]*(Elapsed&gt;=2)+tblBudget[[#This Row],[M3]]*(Elapsed&gt;=3)+tblBudget[[#This Row],[M4]]*(Elapsed&gt;=4)+tblBudget[[#This Row],[M5]]*(Elapsed&gt;=5)+tblBudget[[#This Row],[M6]]*(Elapsed&gt;=6)+tblBudget[[#This Row],[M7]]*(Elapsed&gt;=7)+tblBudget[[#This Row],[M8]]*(Elapsed&gt;=8)+tblBudget[[#This Row],[M9]]*(Elapsed&gt;=9)+tblBudget[[#This Row],[M10]]*(Elapsed&gt;=10)+tblBudget[[#This Row],[M11]]*(Elapsed&gt;=11)+tblBudget[[#This Row],[M12]]*(Elapsed&gt;=12))</f>
        <v>180000</v>
      </c>
      <c r="R10" s="40">
        <f>IF(tblBudget[[#This Row],[Category]]="","",SUMIFS(tblSpend[Amount],tblSpend[Category],tblBudget[[#This Row],[Category]],tblSpend[Status],"Posted",tblSpend[Month no.],"&gt;=1",tblSpend[Month no.],"&lt;=12"))</f>
        <v>182048</v>
      </c>
      <c r="S10" s="40">
        <f>IF(tblBudget[[#This Row],[Category]]="","",SUMIFS(tblSpend[Amount],tblSpend[Category],tblBudget[[#This Row],[Category]],tblSpend[Status],"Accrued",tblSpend[Month no.],"&gt;=1",tblSpend[Month no.],"&lt;=12"))</f>
        <v>0</v>
      </c>
      <c r="T10" s="40">
        <f>IF(tblBudget[[#This Row],[Category]]="","",SUMIFS(tblSpend[Amount],tblSpend[Category],tblBudget[[#This Row],[Category]],tblSpend[Status],"Committed",tblSpend[Month no.],"&gt;=1",tblSpend[Month no.],"&lt;=12"))</f>
        <v>0</v>
      </c>
      <c r="U10" s="40">
        <f>IF(tblBudget[[#This Row],[Category]]="","",tblBudget[[#This Row],[Posted]]+tblBudget[[#This Row],[Accrued]])</f>
        <v>182048</v>
      </c>
      <c r="V10" s="41">
        <f>IF(tblBudget[[#This Row],[Category]]="","",tblBudget[[#This Row],[Budget to date]]-tblBudget[[#This Row],[Actual to date]])</f>
        <v>-2048</v>
      </c>
      <c r="W10" s="40">
        <f>IF(tblBudget[[#This Row],[Category]]="","",tblBudget[[#This Row],[Actual to date]]+tblBudget[[#This Row],[Committed]])</f>
        <v>182048</v>
      </c>
      <c r="X10" s="41">
        <f>IF(tblBudget[[#This Row],[Category]]="","",tblBudget[[#This Row],[Annual budget]]-tblBudget[[#This Row],[Spent + committed]])</f>
        <v>177952</v>
      </c>
      <c r="Y10" s="42">
        <f>IF(tblBudget[[#This Row],[Category]]="","",IF(tblBudget[[#This Row],[Annual budget]]&gt;0,tblBudget[[#This Row],[Spent + committed]]/tblBudget[[#This Row],[Annual budget]],""))</f>
        <v>0.505688888888889</v>
      </c>
      <c r="Z10" s="36" t="str">
        <f>IF(tblBudget[[#This Row],[Category]]="","",IF(NOT(ISNUMBER(tblBudget[[#This Row],[Budget used]])),"",IF(tblBudget[[#This Row],[Budget used]]&gt;1,"Out of limits",IF(tblBudget[[#This Row],[Budget used]]&gt;NearAt,"Check","Within limits"))))</f>
        <v>Within limits</v>
      </c>
      <c r="AA10" s="43" t="str">
        <f>IF(tblBudget[[#This Row],[Category]]="","",IF(COUNTIF(tblBudget[Category],tblBudget[[#This Row],[Category]])&gt;1,"Duplicate category",IF(AND(tblBudget[[#This Row],[Annual budget]]=0,tblBudget[[#This Row],[Spent + committed]]&lt;&gt;0),"Spend but no budget","OK")))</f>
        <v>OK</v>
      </c>
    </row>
    <row r="11" spans="1:27" x14ac:dyDescent="0.25">
      <c r="B11" s="28" t="s">
        <v>128</v>
      </c>
      <c r="C11" s="28" t="s">
        <v>129</v>
      </c>
      <c r="D11" s="39">
        <v>3500</v>
      </c>
      <c r="E11" s="39">
        <v>3500</v>
      </c>
      <c r="F11" s="39">
        <v>3500</v>
      </c>
      <c r="G11" s="39">
        <v>3500</v>
      </c>
      <c r="H11" s="39">
        <v>3500</v>
      </c>
      <c r="I11" s="39">
        <v>3500</v>
      </c>
      <c r="J11" s="39">
        <v>3500</v>
      </c>
      <c r="K11" s="39">
        <v>3500</v>
      </c>
      <c r="L11" s="39">
        <v>3500</v>
      </c>
      <c r="M11" s="39">
        <v>3500</v>
      </c>
      <c r="N11" s="39">
        <v>3500</v>
      </c>
      <c r="O11" s="39">
        <v>3500</v>
      </c>
      <c r="P11" s="40">
        <f>IF(tblBudget[[#This Row],[Category]]="","",SUM(tblBudget[[#This Row],[M1]],tblBudget[[#This Row],[M2]],tblBudget[[#This Row],[M3]],tblBudget[[#This Row],[M4]],tblBudget[[#This Row],[M5]],tblBudget[[#This Row],[M6]],tblBudget[[#This Row],[M7]],tblBudget[[#This Row],[M8]],tblBudget[[#This Row],[M9]],tblBudget[[#This Row],[M10]],tblBudget[[#This Row],[M11]],tblBudget[[#This Row],[M12]]))</f>
        <v>42000</v>
      </c>
      <c r="Q11" s="40">
        <f>IF(tblBudget[[#This Row],[Category]]="","",tblBudget[[#This Row],[M1]]*(Elapsed&gt;=1)+tblBudget[[#This Row],[M2]]*(Elapsed&gt;=2)+tblBudget[[#This Row],[M3]]*(Elapsed&gt;=3)+tblBudget[[#This Row],[M4]]*(Elapsed&gt;=4)+tblBudget[[#This Row],[M5]]*(Elapsed&gt;=5)+tblBudget[[#This Row],[M6]]*(Elapsed&gt;=6)+tblBudget[[#This Row],[M7]]*(Elapsed&gt;=7)+tblBudget[[#This Row],[M8]]*(Elapsed&gt;=8)+tblBudget[[#This Row],[M9]]*(Elapsed&gt;=9)+tblBudget[[#This Row],[M10]]*(Elapsed&gt;=10)+tblBudget[[#This Row],[M11]]*(Elapsed&gt;=11)+tblBudget[[#This Row],[M12]]*(Elapsed&gt;=12))</f>
        <v>21000</v>
      </c>
      <c r="R11" s="40">
        <f>IF(tblBudget[[#This Row],[Category]]="","",SUMIFS(tblSpend[Amount],tblSpend[Category],tblBudget[[#This Row],[Category]],tblSpend[Status],"Posted",tblSpend[Month no.],"&gt;=1",tblSpend[Month no.],"&lt;=12"))</f>
        <v>26463</v>
      </c>
      <c r="S11" s="40">
        <f>IF(tblBudget[[#This Row],[Category]]="","",SUMIFS(tblSpend[Amount],tblSpend[Category],tblBudget[[#This Row],[Category]],tblSpend[Status],"Accrued",tblSpend[Month no.],"&gt;=1",tblSpend[Month no.],"&lt;=12"))</f>
        <v>0</v>
      </c>
      <c r="T11" s="40">
        <f>IF(tblBudget[[#This Row],[Category]]="","",SUMIFS(tblSpend[Amount],tblSpend[Category],tblBudget[[#This Row],[Category]],tblSpend[Status],"Committed",tblSpend[Month no.],"&gt;=1",tblSpend[Month no.],"&lt;=12"))</f>
        <v>0</v>
      </c>
      <c r="U11" s="40">
        <f>IF(tblBudget[[#This Row],[Category]]="","",tblBudget[[#This Row],[Posted]]+tblBudget[[#This Row],[Accrued]])</f>
        <v>26463</v>
      </c>
      <c r="V11" s="41">
        <f>IF(tblBudget[[#This Row],[Category]]="","",tblBudget[[#This Row],[Budget to date]]-tblBudget[[#This Row],[Actual to date]])</f>
        <v>-5463</v>
      </c>
      <c r="W11" s="40">
        <f>IF(tblBudget[[#This Row],[Category]]="","",tblBudget[[#This Row],[Actual to date]]+tblBudget[[#This Row],[Committed]])</f>
        <v>26463</v>
      </c>
      <c r="X11" s="41">
        <f>IF(tblBudget[[#This Row],[Category]]="","",tblBudget[[#This Row],[Annual budget]]-tblBudget[[#This Row],[Spent + committed]])</f>
        <v>15537</v>
      </c>
      <c r="Y11" s="42">
        <f>IF(tblBudget[[#This Row],[Category]]="","",IF(tblBudget[[#This Row],[Annual budget]]&gt;0,tblBudget[[#This Row],[Spent + committed]]/tblBudget[[#This Row],[Annual budget]],""))</f>
        <v>0.630071428571429</v>
      </c>
      <c r="Z11" s="36" t="str">
        <f>IF(tblBudget[[#This Row],[Category]]="","",IF(NOT(ISNUMBER(tblBudget[[#This Row],[Budget used]])),"",IF(tblBudget[[#This Row],[Budget used]]&gt;1,"Out of limits",IF(tblBudget[[#This Row],[Budget used]]&gt;NearAt,"Check","Within limits"))))</f>
        <v>Within limits</v>
      </c>
      <c r="AA11" s="43" t="str">
        <f>IF(tblBudget[[#This Row],[Category]]="","",IF(COUNTIF(tblBudget[Category],tblBudget[[#This Row],[Category]])&gt;1,"Duplicate category",IF(AND(tblBudget[[#This Row],[Annual budget]]=0,tblBudget[[#This Row],[Spent + committed]]&lt;&gt;0),"Spend but no budget","OK")))</f>
        <v>OK</v>
      </c>
    </row>
    <row r="12" spans="1:27" x14ac:dyDescent="0.25">
      <c r="B12" s="28" t="s">
        <v>130</v>
      </c>
      <c r="C12" s="28" t="s">
        <v>131</v>
      </c>
      <c r="D12" s="39">
        <v>6000</v>
      </c>
      <c r="E12" s="39">
        <v>6000</v>
      </c>
      <c r="F12" s="39">
        <v>6000</v>
      </c>
      <c r="G12" s="39">
        <v>6000</v>
      </c>
      <c r="H12" s="39">
        <v>18000</v>
      </c>
      <c r="I12" s="39">
        <v>6000</v>
      </c>
      <c r="J12" s="39">
        <v>6000</v>
      </c>
      <c r="K12" s="39">
        <v>6000</v>
      </c>
      <c r="L12" s="39">
        <v>6000</v>
      </c>
      <c r="M12" s="39">
        <v>12000</v>
      </c>
      <c r="N12" s="39">
        <v>6000</v>
      </c>
      <c r="O12" s="39">
        <v>6000</v>
      </c>
      <c r="P12" s="40">
        <f>IF(tblBudget[[#This Row],[Category]]="","",SUM(tblBudget[[#This Row],[M1]],tblBudget[[#This Row],[M2]],tblBudget[[#This Row],[M3]],tblBudget[[#This Row],[M4]],tblBudget[[#This Row],[M5]],tblBudget[[#This Row],[M6]],tblBudget[[#This Row],[M7]],tblBudget[[#This Row],[M8]],tblBudget[[#This Row],[M9]],tblBudget[[#This Row],[M10]],tblBudget[[#This Row],[M11]],tblBudget[[#This Row],[M12]]))</f>
        <v>90000</v>
      </c>
      <c r="Q12" s="40">
        <f>IF(tblBudget[[#This Row],[Category]]="","",tblBudget[[#This Row],[M1]]*(Elapsed&gt;=1)+tblBudget[[#This Row],[M2]]*(Elapsed&gt;=2)+tblBudget[[#This Row],[M3]]*(Elapsed&gt;=3)+tblBudget[[#This Row],[M4]]*(Elapsed&gt;=4)+tblBudget[[#This Row],[M5]]*(Elapsed&gt;=5)+tblBudget[[#This Row],[M6]]*(Elapsed&gt;=6)+tblBudget[[#This Row],[M7]]*(Elapsed&gt;=7)+tblBudget[[#This Row],[M8]]*(Elapsed&gt;=8)+tblBudget[[#This Row],[M9]]*(Elapsed&gt;=9)+tblBudget[[#This Row],[M10]]*(Elapsed&gt;=10)+tblBudget[[#This Row],[M11]]*(Elapsed&gt;=11)+tblBudget[[#This Row],[M12]]*(Elapsed&gt;=12))</f>
        <v>48000</v>
      </c>
      <c r="R12" s="40">
        <f>IF(tblBudget[[#This Row],[Category]]="","",SUMIFS(tblSpend[Amount],tblSpend[Category],tblBudget[[#This Row],[Category]],tblSpend[Status],"Posted",tblSpend[Month no.],"&gt;=1",tblSpend[Month no.],"&lt;=12"))</f>
        <v>29708</v>
      </c>
      <c r="S12" s="40">
        <f>IF(tblBudget[[#This Row],[Category]]="","",SUMIFS(tblSpend[Amount],tblSpend[Category],tblBudget[[#This Row],[Category]],tblSpend[Status],"Accrued",tblSpend[Month no.],"&gt;=1",tblSpend[Month no.],"&lt;=12"))</f>
        <v>3400</v>
      </c>
      <c r="T12" s="40">
        <f>IF(tblBudget[[#This Row],[Category]]="","",SUMIFS(tblSpend[Amount],tblSpend[Category],tblBudget[[#This Row],[Category]],tblSpend[Status],"Committed",tblSpend[Month no.],"&gt;=1",tblSpend[Month no.],"&lt;=12"))</f>
        <v>4800</v>
      </c>
      <c r="U12" s="40">
        <f>IF(tblBudget[[#This Row],[Category]]="","",tblBudget[[#This Row],[Posted]]+tblBudget[[#This Row],[Accrued]])</f>
        <v>33108</v>
      </c>
      <c r="V12" s="41">
        <f>IF(tblBudget[[#This Row],[Category]]="","",tblBudget[[#This Row],[Budget to date]]-tblBudget[[#This Row],[Actual to date]])</f>
        <v>14892</v>
      </c>
      <c r="W12" s="40">
        <f>IF(tblBudget[[#This Row],[Category]]="","",tblBudget[[#This Row],[Actual to date]]+tblBudget[[#This Row],[Committed]])</f>
        <v>37908</v>
      </c>
      <c r="X12" s="41">
        <f>IF(tblBudget[[#This Row],[Category]]="","",tblBudget[[#This Row],[Annual budget]]-tblBudget[[#This Row],[Spent + committed]])</f>
        <v>52092</v>
      </c>
      <c r="Y12" s="42">
        <f>IF(tblBudget[[#This Row],[Category]]="","",IF(tblBudget[[#This Row],[Annual budget]]&gt;0,tblBudget[[#This Row],[Spent + committed]]/tblBudget[[#This Row],[Annual budget]],""))</f>
        <v>0.4212</v>
      </c>
      <c r="Z12" s="36" t="str">
        <f>IF(tblBudget[[#This Row],[Category]]="","",IF(NOT(ISNUMBER(tblBudget[[#This Row],[Budget used]])),"",IF(tblBudget[[#This Row],[Budget used]]&gt;1,"Out of limits",IF(tblBudget[[#This Row],[Budget used]]&gt;NearAt,"Check","Within limits"))))</f>
        <v>Within limits</v>
      </c>
      <c r="AA12" s="43" t="str">
        <f>IF(tblBudget[[#This Row],[Category]]="","",IF(COUNTIF(tblBudget[Category],tblBudget[[#This Row],[Category]])&gt;1,"Duplicate category",IF(AND(tblBudget[[#This Row],[Annual budget]]=0,tblBudget[[#This Row],[Spent + committed]]&lt;&gt;0),"Spend but no budget","OK")))</f>
        <v>OK</v>
      </c>
    </row>
    <row r="13" spans="1:27" x14ac:dyDescent="0.25">
      <c r="B13" s="28" t="s">
        <v>132</v>
      </c>
      <c r="C13" s="28" t="s">
        <v>133</v>
      </c>
      <c r="D13" s="39">
        <v>12500</v>
      </c>
      <c r="E13" s="39">
        <v>12500</v>
      </c>
      <c r="F13" s="39">
        <v>12500</v>
      </c>
      <c r="G13" s="39">
        <v>12500</v>
      </c>
      <c r="H13" s="39">
        <v>12500</v>
      </c>
      <c r="I13" s="39">
        <v>12500</v>
      </c>
      <c r="J13" s="39">
        <v>12500</v>
      </c>
      <c r="K13" s="39">
        <v>12500</v>
      </c>
      <c r="L13" s="39">
        <v>12500</v>
      </c>
      <c r="M13" s="39">
        <v>12500</v>
      </c>
      <c r="N13" s="39">
        <v>12500</v>
      </c>
      <c r="O13" s="39">
        <v>12500</v>
      </c>
      <c r="P13" s="40">
        <f>IF(tblBudget[[#This Row],[Category]]="","",SUM(tblBudget[[#This Row],[M1]],tblBudget[[#This Row],[M2]],tblBudget[[#This Row],[M3]],tblBudget[[#This Row],[M4]],tblBudget[[#This Row],[M5]],tblBudget[[#This Row],[M6]],tblBudget[[#This Row],[M7]],tblBudget[[#This Row],[M8]],tblBudget[[#This Row],[M9]],tblBudget[[#This Row],[M10]],tblBudget[[#This Row],[M11]],tblBudget[[#This Row],[M12]]))</f>
        <v>150000</v>
      </c>
      <c r="Q13" s="40">
        <f>IF(tblBudget[[#This Row],[Category]]="","",tblBudget[[#This Row],[M1]]*(Elapsed&gt;=1)+tblBudget[[#This Row],[M2]]*(Elapsed&gt;=2)+tblBudget[[#This Row],[M3]]*(Elapsed&gt;=3)+tblBudget[[#This Row],[M4]]*(Elapsed&gt;=4)+tblBudget[[#This Row],[M5]]*(Elapsed&gt;=5)+tblBudget[[#This Row],[M6]]*(Elapsed&gt;=6)+tblBudget[[#This Row],[M7]]*(Elapsed&gt;=7)+tblBudget[[#This Row],[M8]]*(Elapsed&gt;=8)+tblBudget[[#This Row],[M9]]*(Elapsed&gt;=9)+tblBudget[[#This Row],[M10]]*(Elapsed&gt;=10)+tblBudget[[#This Row],[M11]]*(Elapsed&gt;=11)+tblBudget[[#This Row],[M12]]*(Elapsed&gt;=12))</f>
        <v>75000</v>
      </c>
      <c r="R13" s="40">
        <f>IF(tblBudget[[#This Row],[Category]]="","",SUMIFS(tblSpend[Amount],tblSpend[Category],tblBudget[[#This Row],[Category]],tblSpend[Status],"Posted",tblSpend[Month no.],"&gt;=1",tblSpend[Month no.],"&lt;=12"))</f>
        <v>101418</v>
      </c>
      <c r="S13" s="40">
        <f>IF(tblBudget[[#This Row],[Category]]="","",SUMIFS(tblSpend[Amount],tblSpend[Category],tblBudget[[#This Row],[Category]],tblSpend[Status],"Accrued",tblSpend[Month no.],"&gt;=1",tblSpend[Month no.],"&lt;=12"))</f>
        <v>1900</v>
      </c>
      <c r="T13" s="40">
        <f>IF(tblBudget[[#This Row],[Category]]="","",SUMIFS(tblSpend[Amount],tblSpend[Category],tblBudget[[#This Row],[Category]],tblSpend[Status],"Committed",tblSpend[Month no.],"&gt;=1",tblSpend[Month no.],"&lt;=12"))</f>
        <v>17400</v>
      </c>
      <c r="U13" s="40">
        <f>IF(tblBudget[[#This Row],[Category]]="","",tblBudget[[#This Row],[Posted]]+tblBudget[[#This Row],[Accrued]])</f>
        <v>103318</v>
      </c>
      <c r="V13" s="41">
        <f>IF(tblBudget[[#This Row],[Category]]="","",tblBudget[[#This Row],[Budget to date]]-tblBudget[[#This Row],[Actual to date]])</f>
        <v>-28318</v>
      </c>
      <c r="W13" s="40">
        <f>IF(tblBudget[[#This Row],[Category]]="","",tblBudget[[#This Row],[Actual to date]]+tblBudget[[#This Row],[Committed]])</f>
        <v>120718</v>
      </c>
      <c r="X13" s="41">
        <f>IF(tblBudget[[#This Row],[Category]]="","",tblBudget[[#This Row],[Annual budget]]-tblBudget[[#This Row],[Spent + committed]])</f>
        <v>29282</v>
      </c>
      <c r="Y13" s="42">
        <f>IF(tblBudget[[#This Row],[Category]]="","",IF(tblBudget[[#This Row],[Annual budget]]&gt;0,tblBudget[[#This Row],[Spent + committed]]/tblBudget[[#This Row],[Annual budget]],""))</f>
        <v>0.804786666666667</v>
      </c>
      <c r="Z13" s="36" t="str">
        <f>IF(tblBudget[[#This Row],[Category]]="","",IF(NOT(ISNUMBER(tblBudget[[#This Row],[Budget used]])),"",IF(tblBudget[[#This Row],[Budget used]]&gt;1,"Out of limits",IF(tblBudget[[#This Row],[Budget used]]&gt;NearAt,"Check","Within limits"))))</f>
        <v>Within limits</v>
      </c>
      <c r="AA13" s="43" t="str">
        <f>IF(tblBudget[[#This Row],[Category]]="","",IF(COUNTIF(tblBudget[Category],tblBudget[[#This Row],[Category]])&gt;1,"Duplicate category",IF(AND(tblBudget[[#This Row],[Annual budget]]=0,tblBudget[[#This Row],[Spent + committed]]&lt;&gt;0),"Spend but no budget","OK")))</f>
        <v>OK</v>
      </c>
    </row>
    <row r="14" spans="1:27" x14ac:dyDescent="0.25">
      <c r="B14" s="28" t="s">
        <v>134</v>
      </c>
      <c r="C14" s="28" t="s">
        <v>135</v>
      </c>
      <c r="D14" s="39">
        <v>2500</v>
      </c>
      <c r="E14" s="39">
        <v>2500</v>
      </c>
      <c r="F14" s="39">
        <v>2500</v>
      </c>
      <c r="G14" s="39">
        <v>2500</v>
      </c>
      <c r="H14" s="39">
        <v>2500</v>
      </c>
      <c r="I14" s="39">
        <v>2500</v>
      </c>
      <c r="J14" s="39">
        <v>2500</v>
      </c>
      <c r="K14" s="39">
        <v>2500</v>
      </c>
      <c r="L14" s="39">
        <v>2500</v>
      </c>
      <c r="M14" s="39">
        <v>2500</v>
      </c>
      <c r="N14" s="39">
        <v>2500</v>
      </c>
      <c r="O14" s="39">
        <v>2500</v>
      </c>
      <c r="P14" s="40">
        <f>IF(tblBudget[[#This Row],[Category]]="","",SUM(tblBudget[[#This Row],[M1]],tblBudget[[#This Row],[M2]],tblBudget[[#This Row],[M3]],tblBudget[[#This Row],[M4]],tblBudget[[#This Row],[M5]],tblBudget[[#This Row],[M6]],tblBudget[[#This Row],[M7]],tblBudget[[#This Row],[M8]],tblBudget[[#This Row],[M9]],tblBudget[[#This Row],[M10]],tblBudget[[#This Row],[M11]],tblBudget[[#This Row],[M12]]))</f>
        <v>30000</v>
      </c>
      <c r="Q14" s="40">
        <f>IF(tblBudget[[#This Row],[Category]]="","",tblBudget[[#This Row],[M1]]*(Elapsed&gt;=1)+tblBudget[[#This Row],[M2]]*(Elapsed&gt;=2)+tblBudget[[#This Row],[M3]]*(Elapsed&gt;=3)+tblBudget[[#This Row],[M4]]*(Elapsed&gt;=4)+tblBudget[[#This Row],[M5]]*(Elapsed&gt;=5)+tblBudget[[#This Row],[M6]]*(Elapsed&gt;=6)+tblBudget[[#This Row],[M7]]*(Elapsed&gt;=7)+tblBudget[[#This Row],[M8]]*(Elapsed&gt;=8)+tblBudget[[#This Row],[M9]]*(Elapsed&gt;=9)+tblBudget[[#This Row],[M10]]*(Elapsed&gt;=10)+tblBudget[[#This Row],[M11]]*(Elapsed&gt;=11)+tblBudget[[#This Row],[M12]]*(Elapsed&gt;=12))</f>
        <v>15000</v>
      </c>
      <c r="R14" s="40">
        <f>IF(tblBudget[[#This Row],[Category]]="","",SUMIFS(tblSpend[Amount],tblSpend[Category],tblBudget[[#This Row],[Category]],tblSpend[Status],"Posted",tblSpend[Month no.],"&gt;=1",tblSpend[Month no.],"&lt;=12"))</f>
        <v>10455</v>
      </c>
      <c r="S14" s="40">
        <f>IF(tblBudget[[#This Row],[Category]]="","",SUMIFS(tblSpend[Amount],tblSpend[Category],tblBudget[[#This Row],[Category]],tblSpend[Status],"Accrued",tblSpend[Month no.],"&gt;=1",tblSpend[Month no.],"&lt;=12"))</f>
        <v>0</v>
      </c>
      <c r="T14" s="40">
        <f>IF(tblBudget[[#This Row],[Category]]="","",SUMIFS(tblSpend[Amount],tblSpend[Category],tblBudget[[#This Row],[Category]],tblSpend[Status],"Committed",tblSpend[Month no.],"&gt;=1",tblSpend[Month no.],"&lt;=12"))</f>
        <v>0</v>
      </c>
      <c r="U14" s="40">
        <f>IF(tblBudget[[#This Row],[Category]]="","",tblBudget[[#This Row],[Posted]]+tblBudget[[#This Row],[Accrued]])</f>
        <v>10455</v>
      </c>
      <c r="V14" s="41">
        <f>IF(tblBudget[[#This Row],[Category]]="","",tblBudget[[#This Row],[Budget to date]]-tblBudget[[#This Row],[Actual to date]])</f>
        <v>4545</v>
      </c>
      <c r="W14" s="40">
        <f>IF(tblBudget[[#This Row],[Category]]="","",tblBudget[[#This Row],[Actual to date]]+tblBudget[[#This Row],[Committed]])</f>
        <v>10455</v>
      </c>
      <c r="X14" s="41">
        <f>IF(tblBudget[[#This Row],[Category]]="","",tblBudget[[#This Row],[Annual budget]]-tblBudget[[#This Row],[Spent + committed]])</f>
        <v>19545</v>
      </c>
      <c r="Y14" s="42">
        <f>IF(tblBudget[[#This Row],[Category]]="","",IF(tblBudget[[#This Row],[Annual budget]]&gt;0,tblBudget[[#This Row],[Spent + committed]]/tblBudget[[#This Row],[Annual budget]],""))</f>
        <v>0.3485</v>
      </c>
      <c r="Z14" s="36" t="str">
        <f>IF(tblBudget[[#This Row],[Category]]="","",IF(NOT(ISNUMBER(tblBudget[[#This Row],[Budget used]])),"",IF(tblBudget[[#This Row],[Budget used]]&gt;1,"Out of limits",IF(tblBudget[[#This Row],[Budget used]]&gt;NearAt,"Check","Within limits"))))</f>
        <v>Within limits</v>
      </c>
      <c r="AA14" s="43" t="str">
        <f>IF(tblBudget[[#This Row],[Category]]="","",IF(COUNTIF(tblBudget[Category],tblBudget[[#This Row],[Category]])&gt;1,"Duplicate category",IF(AND(tblBudget[[#This Row],[Annual budget]]=0,tblBudget[[#This Row],[Spent + committed]]&lt;&gt;0),"Spend but no budget","OK")))</f>
        <v>OK</v>
      </c>
    </row>
    <row r="15" spans="1:27" x14ac:dyDescent="0.25">
      <c r="B15" s="28" t="s">
        <v>136</v>
      </c>
      <c r="C15" s="28" t="s">
        <v>137</v>
      </c>
      <c r="D15" s="39">
        <v>5000</v>
      </c>
      <c r="E15" s="39">
        <v>5000</v>
      </c>
      <c r="F15" s="39">
        <v>5000</v>
      </c>
      <c r="G15" s="39">
        <v>5000</v>
      </c>
      <c r="H15" s="39">
        <v>5000</v>
      </c>
      <c r="I15" s="39">
        <v>5000</v>
      </c>
      <c r="J15" s="39">
        <v>5000</v>
      </c>
      <c r="K15" s="39">
        <v>5000</v>
      </c>
      <c r="L15" s="39">
        <v>5000</v>
      </c>
      <c r="M15" s="39">
        <v>5000</v>
      </c>
      <c r="N15" s="39">
        <v>5000</v>
      </c>
      <c r="O15" s="39">
        <v>5000</v>
      </c>
      <c r="P15" s="40">
        <f>IF(tblBudget[[#This Row],[Category]]="","",SUM(tblBudget[[#This Row],[M1]],tblBudget[[#This Row],[M2]],tblBudget[[#This Row],[M3]],tblBudget[[#This Row],[M4]],tblBudget[[#This Row],[M5]],tblBudget[[#This Row],[M6]],tblBudget[[#This Row],[M7]],tblBudget[[#This Row],[M8]],tblBudget[[#This Row],[M9]],tblBudget[[#This Row],[M10]],tblBudget[[#This Row],[M11]],tblBudget[[#This Row],[M12]]))</f>
        <v>60000</v>
      </c>
      <c r="Q15" s="40">
        <f>IF(tblBudget[[#This Row],[Category]]="","",tblBudget[[#This Row],[M1]]*(Elapsed&gt;=1)+tblBudget[[#This Row],[M2]]*(Elapsed&gt;=2)+tblBudget[[#This Row],[M3]]*(Elapsed&gt;=3)+tblBudget[[#This Row],[M4]]*(Elapsed&gt;=4)+tblBudget[[#This Row],[M5]]*(Elapsed&gt;=5)+tblBudget[[#This Row],[M6]]*(Elapsed&gt;=6)+tblBudget[[#This Row],[M7]]*(Elapsed&gt;=7)+tblBudget[[#This Row],[M8]]*(Elapsed&gt;=8)+tblBudget[[#This Row],[M9]]*(Elapsed&gt;=9)+tblBudget[[#This Row],[M10]]*(Elapsed&gt;=10)+tblBudget[[#This Row],[M11]]*(Elapsed&gt;=11)+tblBudget[[#This Row],[M12]]*(Elapsed&gt;=12))</f>
        <v>30000</v>
      </c>
      <c r="R15" s="40">
        <f>IF(tblBudget[[#This Row],[Category]]="","",SUMIFS(tblSpend[Amount],tblSpend[Category],tblBudget[[#This Row],[Category]],tblSpend[Status],"Posted",tblSpend[Month no.],"&gt;=1",tblSpend[Month no.],"&lt;=12"))</f>
        <v>23966</v>
      </c>
      <c r="S15" s="40">
        <f>IF(tblBudget[[#This Row],[Category]]="","",SUMIFS(tblSpend[Amount],tblSpend[Category],tblBudget[[#This Row],[Category]],tblSpend[Status],"Accrued",tblSpend[Month no.],"&gt;=1",tblSpend[Month no.],"&lt;=12"))</f>
        <v>0</v>
      </c>
      <c r="T15" s="40">
        <f>IF(tblBudget[[#This Row],[Category]]="","",SUMIFS(tblSpend[Amount],tblSpend[Category],tblBudget[[#This Row],[Category]],tblSpend[Status],"Committed",tblSpend[Month no.],"&gt;=1",tblSpend[Month no.],"&lt;=12"))</f>
        <v>7800</v>
      </c>
      <c r="U15" s="40">
        <f>IF(tblBudget[[#This Row],[Category]]="","",tblBudget[[#This Row],[Posted]]+tblBudget[[#This Row],[Accrued]])</f>
        <v>23966</v>
      </c>
      <c r="V15" s="41">
        <f>IF(tblBudget[[#This Row],[Category]]="","",tblBudget[[#This Row],[Budget to date]]-tblBudget[[#This Row],[Actual to date]])</f>
        <v>6034</v>
      </c>
      <c r="W15" s="40">
        <f>IF(tblBudget[[#This Row],[Category]]="","",tblBudget[[#This Row],[Actual to date]]+tblBudget[[#This Row],[Committed]])</f>
        <v>31766</v>
      </c>
      <c r="X15" s="41">
        <f>IF(tblBudget[[#This Row],[Category]]="","",tblBudget[[#This Row],[Annual budget]]-tblBudget[[#This Row],[Spent + committed]])</f>
        <v>28234</v>
      </c>
      <c r="Y15" s="42">
        <f>IF(tblBudget[[#This Row],[Category]]="","",IF(tblBudget[[#This Row],[Annual budget]]&gt;0,tblBudget[[#This Row],[Spent + committed]]/tblBudget[[#This Row],[Annual budget]],""))</f>
        <v>0.529433333333333</v>
      </c>
      <c r="Z15" s="36" t="str">
        <f>IF(tblBudget[[#This Row],[Category]]="","",IF(NOT(ISNUMBER(tblBudget[[#This Row],[Budget used]])),"",IF(tblBudget[[#This Row],[Budget used]]&gt;1,"Out of limits",IF(tblBudget[[#This Row],[Budget used]]&gt;NearAt,"Check","Within limits"))))</f>
        <v>Within limits</v>
      </c>
      <c r="AA15" s="43" t="str">
        <f>IF(tblBudget[[#This Row],[Category]]="","",IF(COUNTIF(tblBudget[Category],tblBudget[[#This Row],[Category]])&gt;1,"Duplicate category",IF(AND(tblBudget[[#This Row],[Annual budget]]=0,tblBudget[[#This Row],[Spent + committed]]&lt;&gt;0),"Spend but no budget","OK")))</f>
        <v>OK</v>
      </c>
    </row>
    <row r="16" spans="1:27" x14ac:dyDescent="0.25">
      <c r="B16" s="28" t="s">
        <v>138</v>
      </c>
      <c r="C16" s="28" t="s">
        <v>139</v>
      </c>
      <c r="D16" s="39">
        <v>2000</v>
      </c>
      <c r="E16" s="39">
        <v>2000</v>
      </c>
      <c r="F16" s="39">
        <v>2000</v>
      </c>
      <c r="G16" s="39">
        <v>2000</v>
      </c>
      <c r="H16" s="39">
        <v>2000</v>
      </c>
      <c r="I16" s="39">
        <v>2000</v>
      </c>
      <c r="J16" s="39">
        <v>2000</v>
      </c>
      <c r="K16" s="39">
        <v>2000</v>
      </c>
      <c r="L16" s="39">
        <v>2000</v>
      </c>
      <c r="M16" s="39">
        <v>2000</v>
      </c>
      <c r="N16" s="39">
        <v>2000</v>
      </c>
      <c r="O16" s="39">
        <v>2000</v>
      </c>
      <c r="P16" s="40">
        <f>IF(tblBudget[[#This Row],[Category]]="","",SUM(tblBudget[[#This Row],[M1]],tblBudget[[#This Row],[M2]],tblBudget[[#This Row],[M3]],tblBudget[[#This Row],[M4]],tblBudget[[#This Row],[M5]],tblBudget[[#This Row],[M6]],tblBudget[[#This Row],[M7]],tblBudget[[#This Row],[M8]],tblBudget[[#This Row],[M9]],tblBudget[[#This Row],[M10]],tblBudget[[#This Row],[M11]],tblBudget[[#This Row],[M12]]))</f>
        <v>24000</v>
      </c>
      <c r="Q16" s="40">
        <f>IF(tblBudget[[#This Row],[Category]]="","",tblBudget[[#This Row],[M1]]*(Elapsed&gt;=1)+tblBudget[[#This Row],[M2]]*(Elapsed&gt;=2)+tblBudget[[#This Row],[M3]]*(Elapsed&gt;=3)+tblBudget[[#This Row],[M4]]*(Elapsed&gt;=4)+tblBudget[[#This Row],[M5]]*(Elapsed&gt;=5)+tblBudget[[#This Row],[M6]]*(Elapsed&gt;=6)+tblBudget[[#This Row],[M7]]*(Elapsed&gt;=7)+tblBudget[[#This Row],[M8]]*(Elapsed&gt;=8)+tblBudget[[#This Row],[M9]]*(Elapsed&gt;=9)+tblBudget[[#This Row],[M10]]*(Elapsed&gt;=10)+tblBudget[[#This Row],[M11]]*(Elapsed&gt;=11)+tblBudget[[#This Row],[M12]]*(Elapsed&gt;=12))</f>
        <v>12000</v>
      </c>
      <c r="R16" s="40">
        <f>IF(tblBudget[[#This Row],[Category]]="","",SUMIFS(tblSpend[Amount],tblSpend[Category],tblBudget[[#This Row],[Category]],tblSpend[Status],"Posted",tblSpend[Month no.],"&gt;=1",tblSpend[Month no.],"&lt;=12"))</f>
        <v>24300</v>
      </c>
      <c r="S16" s="40">
        <f>IF(tblBudget[[#This Row],[Category]]="","",SUMIFS(tblSpend[Amount],tblSpend[Category],tblBudget[[#This Row],[Category]],tblSpend[Status],"Accrued",tblSpend[Month no.],"&gt;=1",tblSpend[Month no.],"&lt;=12"))</f>
        <v>0</v>
      </c>
      <c r="T16" s="40">
        <f>IF(tblBudget[[#This Row],[Category]]="","",SUMIFS(tblSpend[Amount],tblSpend[Category],tblBudget[[#This Row],[Category]],tblSpend[Status],"Committed",tblSpend[Month no.],"&gt;=1",tblSpend[Month no.],"&lt;=12"))</f>
        <v>2200</v>
      </c>
      <c r="U16" s="40">
        <f>IF(tblBudget[[#This Row],[Category]]="","",tblBudget[[#This Row],[Posted]]+tblBudget[[#This Row],[Accrued]])</f>
        <v>24300</v>
      </c>
      <c r="V16" s="41">
        <f>IF(tblBudget[[#This Row],[Category]]="","",tblBudget[[#This Row],[Budget to date]]-tblBudget[[#This Row],[Actual to date]])</f>
        <v>-12300</v>
      </c>
      <c r="W16" s="40">
        <f>IF(tblBudget[[#This Row],[Category]]="","",tblBudget[[#This Row],[Actual to date]]+tblBudget[[#This Row],[Committed]])</f>
        <v>26500</v>
      </c>
      <c r="X16" s="41">
        <f>IF(tblBudget[[#This Row],[Category]]="","",tblBudget[[#This Row],[Annual budget]]-tblBudget[[#This Row],[Spent + committed]])</f>
        <v>-2500</v>
      </c>
      <c r="Y16" s="42">
        <f>IF(tblBudget[[#This Row],[Category]]="","",IF(tblBudget[[#This Row],[Annual budget]]&gt;0,tblBudget[[#This Row],[Spent + committed]]/tblBudget[[#This Row],[Annual budget]],""))</f>
        <v>1.10416666666667</v>
      </c>
      <c r="Z16" s="36" t="str">
        <f>IF(tblBudget[[#This Row],[Category]]="","",IF(NOT(ISNUMBER(tblBudget[[#This Row],[Budget used]])),"",IF(tblBudget[[#This Row],[Budget used]]&gt;1,"Out of limits",IF(tblBudget[[#This Row],[Budget used]]&gt;NearAt,"Check","Within limits"))))</f>
        <v>Out of limits</v>
      </c>
      <c r="AA16" s="43" t="str">
        <f>IF(tblBudget[[#This Row],[Category]]="","",IF(COUNTIF(tblBudget[Category],tblBudget[[#This Row],[Category]])&gt;1,"Duplicate category",IF(AND(tblBudget[[#This Row],[Annual budget]]=0,tblBudget[[#This Row],[Spent + committed]]&lt;&gt;0),"Spend but no budget","OK")))</f>
        <v>OK</v>
      </c>
    </row>
    <row r="17" spans="2:27" x14ac:dyDescent="0.25">
      <c r="B17" s="28" t="s">
        <v>140</v>
      </c>
      <c r="C17" s="28" t="s">
        <v>141</v>
      </c>
      <c r="D17" s="39">
        <v>0</v>
      </c>
      <c r="E17" s="39">
        <v>0</v>
      </c>
      <c r="F17" s="39">
        <v>0</v>
      </c>
      <c r="G17" s="39">
        <v>0</v>
      </c>
      <c r="H17" s="39">
        <v>60000</v>
      </c>
      <c r="I17" s="39">
        <v>0</v>
      </c>
      <c r="J17" s="39">
        <v>0</v>
      </c>
      <c r="K17" s="39">
        <v>0</v>
      </c>
      <c r="L17" s="39">
        <v>20000</v>
      </c>
      <c r="M17" s="39">
        <v>0</v>
      </c>
      <c r="N17" s="39">
        <v>0</v>
      </c>
      <c r="O17" s="39">
        <v>0</v>
      </c>
      <c r="P17" s="40">
        <f>IF(tblBudget[[#This Row],[Category]]="","",SUM(tblBudget[[#This Row],[M1]],tblBudget[[#This Row],[M2]],tblBudget[[#This Row],[M3]],tblBudget[[#This Row],[M4]],tblBudget[[#This Row],[M5]],tblBudget[[#This Row],[M6]],tblBudget[[#This Row],[M7]],tblBudget[[#This Row],[M8]],tblBudget[[#This Row],[M9]],tblBudget[[#This Row],[M10]],tblBudget[[#This Row],[M11]],tblBudget[[#This Row],[M12]]))</f>
        <v>80000</v>
      </c>
      <c r="Q17" s="40">
        <f>IF(tblBudget[[#This Row],[Category]]="","",tblBudget[[#This Row],[M1]]*(Elapsed&gt;=1)+tblBudget[[#This Row],[M2]]*(Elapsed&gt;=2)+tblBudget[[#This Row],[M3]]*(Elapsed&gt;=3)+tblBudget[[#This Row],[M4]]*(Elapsed&gt;=4)+tblBudget[[#This Row],[M5]]*(Elapsed&gt;=5)+tblBudget[[#This Row],[M6]]*(Elapsed&gt;=6)+tblBudget[[#This Row],[M7]]*(Elapsed&gt;=7)+tblBudget[[#This Row],[M8]]*(Elapsed&gt;=8)+tblBudget[[#This Row],[M9]]*(Elapsed&gt;=9)+tblBudget[[#This Row],[M10]]*(Elapsed&gt;=10)+tblBudget[[#This Row],[M11]]*(Elapsed&gt;=11)+tblBudget[[#This Row],[M12]]*(Elapsed&gt;=12))</f>
        <v>60000</v>
      </c>
      <c r="R17" s="40">
        <f>IF(tblBudget[[#This Row],[Category]]="","",SUMIFS(tblSpend[Amount],tblSpend[Category],tblBudget[[#This Row],[Category]],tblSpend[Status],"Posted",tblSpend[Month no.],"&gt;=1",tblSpend[Month no.],"&lt;=12"))</f>
        <v>47500</v>
      </c>
      <c r="S17" s="40">
        <f>IF(tblBudget[[#This Row],[Category]]="","",SUMIFS(tblSpend[Amount],tblSpend[Category],tblBudget[[#This Row],[Category]],tblSpend[Status],"Accrued",tblSpend[Month no.],"&gt;=1",tblSpend[Month no.],"&lt;=12"))</f>
        <v>0</v>
      </c>
      <c r="T17" s="40">
        <f>IF(tblBudget[[#This Row],[Category]]="","",SUMIFS(tblSpend[Amount],tblSpend[Category],tblBudget[[#This Row],[Category]],tblSpend[Status],"Committed",tblSpend[Month no.],"&gt;=1",tblSpend[Month no.],"&lt;=12"))</f>
        <v>12000</v>
      </c>
      <c r="U17" s="40">
        <f>IF(tblBudget[[#This Row],[Category]]="","",tblBudget[[#This Row],[Posted]]+tblBudget[[#This Row],[Accrued]])</f>
        <v>47500</v>
      </c>
      <c r="V17" s="41">
        <f>IF(tblBudget[[#This Row],[Category]]="","",tblBudget[[#This Row],[Budget to date]]-tblBudget[[#This Row],[Actual to date]])</f>
        <v>12500</v>
      </c>
      <c r="W17" s="40">
        <f>IF(tblBudget[[#This Row],[Category]]="","",tblBudget[[#This Row],[Actual to date]]+tblBudget[[#This Row],[Committed]])</f>
        <v>59500</v>
      </c>
      <c r="X17" s="41">
        <f>IF(tblBudget[[#This Row],[Category]]="","",tblBudget[[#This Row],[Annual budget]]-tblBudget[[#This Row],[Spent + committed]])</f>
        <v>20500</v>
      </c>
      <c r="Y17" s="42">
        <f>IF(tblBudget[[#This Row],[Category]]="","",IF(tblBudget[[#This Row],[Annual budget]]&gt;0,tblBudget[[#This Row],[Spent + committed]]/tblBudget[[#This Row],[Annual budget]],""))</f>
        <v>0.74375</v>
      </c>
      <c r="Z17" s="36" t="str">
        <f>IF(tblBudget[[#This Row],[Category]]="","",IF(NOT(ISNUMBER(tblBudget[[#This Row],[Budget used]])),"",IF(tblBudget[[#This Row],[Budget used]]&gt;1,"Out of limits",IF(tblBudget[[#This Row],[Budget used]]&gt;NearAt,"Check","Within limits"))))</f>
        <v>Within limits</v>
      </c>
      <c r="AA17" s="43" t="str">
        <f>IF(tblBudget[[#This Row],[Category]]="","",IF(COUNTIF(tblBudget[Category],tblBudget[[#This Row],[Category]])&gt;1,"Duplicate category",IF(AND(tblBudget[[#This Row],[Annual budget]]=0,tblBudget[[#This Row],[Spent + committed]]&lt;&gt;0),"Spend but no budget","OK")))</f>
        <v>OK</v>
      </c>
    </row>
  </sheetData>
  <mergeCells count="5">
    <mergeCell ref="A1:AA1"/>
    <mergeCell ref="B2:Z2"/>
    <mergeCell ref="B4:C4"/>
    <mergeCell ref="B5:C5"/>
    <mergeCell ref="B7:AA7"/>
  </mergeCells>
  <conditionalFormatting sqref="AA10:AA517">
    <cfRule type="expression" dxfId="3" priority="25">
      <formula>$AA10="OK"</formula>
    </cfRule>
    <cfRule type="expression" dxfId="1" priority="26">
      <formula>AND($AA10&lt;&gt;"",$AA10&lt;&gt;"OK")</formula>
    </cfRule>
  </conditionalFormatting>
  <conditionalFormatting sqref="V10:V517">
    <cfRule type="expression" dxfId="3" priority="1" stopIfTrue="1">
      <formula>AND(ISNUMBER(V10),V10&gt;=(0))</formula>
    </cfRule>
    <cfRule type="expression" dxfId="4" priority="2" stopIfTrue="1">
      <formula>AND(ISNUMBER(V10),V10&gt;=(0)*(1-0.05))</formula>
    </cfRule>
    <cfRule type="expression" dxfId="5" priority="3">
      <formula>ISNUMBER(V10)</formula>
    </cfRule>
  </conditionalFormatting>
  <conditionalFormatting sqref="Y10:Y517">
    <cfRule type="dataBar" priority="4">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Z10:Z517">
    <cfRule type="cellIs" dxfId="0" priority="5" operator="equal">
      <formula>"On target"</formula>
    </cfRule>
    <cfRule type="cellIs" dxfId="0" priority="6" operator="equal">
      <formula>"PASS"</formula>
    </cfRule>
    <cfRule type="cellIs" dxfId="0" priority="7" operator="equal">
      <formula>"OK"</formula>
    </cfRule>
    <cfRule type="cellIs" dxfId="0" priority="8" operator="equal">
      <formula>"Within limits"</formula>
    </cfRule>
    <cfRule type="cellIs" dxfId="0" priority="9" operator="equal">
      <formula>"Under capacity"</formula>
    </cfRule>
    <cfRule type="cellIs" dxfId="0" priority="10" operator="equal">
      <formula>"Complete"</formula>
    </cfRule>
    <cfRule type="cellIs" dxfId="0" priority="11" operator="equal">
      <formula>"Yes"</formula>
    </cfRule>
    <cfRule type="cellIs" dxfId="1" priority="12" operator="equal">
      <formula>"Near target"</formula>
    </cfRule>
    <cfRule type="cellIs" dxfId="1" priority="13" operator="equal">
      <formula>"Check"</formula>
    </cfRule>
    <cfRule type="cellIs" dxfId="1" priority="14" operator="equal">
      <formula>"Due soon"</formula>
    </cfRule>
    <cfRule type="cellIs" dxfId="1" priority="15" operator="equal">
      <formula>"Near capacity"</formula>
    </cfRule>
    <cfRule type="cellIs" dxfId="1" priority="16" operator="equal">
      <formula>"In progress"</formula>
    </cfRule>
    <cfRule type="cellIs" dxfId="1" priority="17" operator="equal">
      <formula>"Partial"</formula>
    </cfRule>
    <cfRule type="cellIs" dxfId="2" priority="18" operator="equal">
      <formula>"Below target"</formula>
    </cfRule>
    <cfRule type="cellIs" dxfId="2" priority="19" operator="equal">
      <formula>"Above target"</formula>
    </cfRule>
    <cfRule type="cellIs" dxfId="2" priority="20" operator="equal">
      <formula>"FAIL"</formula>
    </cfRule>
    <cfRule type="cellIs" dxfId="2" priority="21" operator="equal">
      <formula>"Over capacity"</formula>
    </cfRule>
    <cfRule type="cellIs" dxfId="2" priority="22" operator="equal">
      <formula>"Overdue"</formula>
    </cfRule>
    <cfRule type="cellIs" dxfId="2" priority="23" operator="equal">
      <formula>"Out of limits"</formula>
    </cfRule>
    <cfRule type="cellIs" dxfId="2" priority="24" operator="equal">
      <formula>"No"</formula>
    </cfRule>
  </conditionalFormatting>
  <dataValidations count="14">
    <dataValidation type="textLength" allowBlank="1" showInputMessage="1" showErrorMessage="1" errorTitle="Check this entry" error="Text up to 40 characters." promptTitle="Category" prompt="One cost category per row; this column is the Category list of the Spend Log. Text up to 40 characters." sqref="B10:B517">
      <formula1>0</formula1>
      <formula2>40</formula2>
    </dataValidation>
    <dataValidation type="textLength" allowBlank="1" showInputMessage="1" showErrorMessage="1" errorTitle="Check this entry" error="Text up to 20 characters." promptTitle="GL code" prompt="Optional: your ledger account. Text up to 20 characters." sqref="C10:C517">
      <formula1>0</formula1>
      <formula2>20</formula2>
    </dataValidation>
    <dataValidation type="decimal" allowBlank="1" showInputMessage="1" showErrorMessage="1" errorTitle="Check this entry" error="Enter a number of at least 0." promptTitle="M1" prompt="Budget phased to month 1 of the year (see the calendar above). Enter a number of at least 0." sqref="D10:D517">
      <formula1>0</formula1>
      <formula2>1000000000.0</formula2>
    </dataValidation>
    <dataValidation type="decimal" allowBlank="1" showInputMessage="1" showErrorMessage="1" errorTitle="Check this entry" error="Enter a number of at least 0." promptTitle="M2" prompt="Budget phased to month 2 of the year (see the calendar above). Enter a number of at least 0." sqref="E10:E517">
      <formula1>0</formula1>
      <formula2>1000000000.0</formula2>
    </dataValidation>
    <dataValidation type="decimal" allowBlank="1" showInputMessage="1" showErrorMessage="1" errorTitle="Check this entry" error="Enter a number of at least 0." promptTitle="M3" prompt="Budget phased to month 3 of the year (see the calendar above). Enter a number of at least 0." sqref="F10:F517">
      <formula1>0</formula1>
      <formula2>1000000000.0</formula2>
    </dataValidation>
    <dataValidation type="decimal" allowBlank="1" showInputMessage="1" showErrorMessage="1" errorTitle="Check this entry" error="Enter a number of at least 0." promptTitle="M4" prompt="Budget phased to month 4 of the year (see the calendar above). Enter a number of at least 0." sqref="G10:G517">
      <formula1>0</formula1>
      <formula2>1000000000.0</formula2>
    </dataValidation>
    <dataValidation type="decimal" allowBlank="1" showInputMessage="1" showErrorMessage="1" errorTitle="Check this entry" error="Enter a number of at least 0." promptTitle="M5" prompt="Budget phased to month 5 of the year (see the calendar above). Enter a number of at least 0." sqref="H10:H517">
      <formula1>0</formula1>
      <formula2>1000000000.0</formula2>
    </dataValidation>
    <dataValidation type="decimal" allowBlank="1" showInputMessage="1" showErrorMessage="1" errorTitle="Check this entry" error="Enter a number of at least 0." promptTitle="M6" prompt="Budget phased to month 6 of the year (see the calendar above). Enter a number of at least 0." sqref="I10:I517">
      <formula1>0</formula1>
      <formula2>1000000000.0</formula2>
    </dataValidation>
    <dataValidation type="decimal" allowBlank="1" showInputMessage="1" showErrorMessage="1" errorTitle="Check this entry" error="Enter a number of at least 0." promptTitle="M7" prompt="Budget phased to month 7 of the year (see the calendar above). Enter a number of at least 0." sqref="J10:J517">
      <formula1>0</formula1>
      <formula2>1000000000.0</formula2>
    </dataValidation>
    <dataValidation type="decimal" allowBlank="1" showInputMessage="1" showErrorMessage="1" errorTitle="Check this entry" error="Enter a number of at least 0." promptTitle="M8" prompt="Budget phased to month 8 of the year (see the calendar above). Enter a number of at least 0." sqref="K10:K517">
      <formula1>0</formula1>
      <formula2>1000000000.0</formula2>
    </dataValidation>
    <dataValidation type="decimal" allowBlank="1" showInputMessage="1" showErrorMessage="1" errorTitle="Check this entry" error="Enter a number of at least 0." promptTitle="M9" prompt="Budget phased to month 9 of the year (see the calendar above). Enter a number of at least 0." sqref="L10:L517">
      <formula1>0</formula1>
      <formula2>1000000000.0</formula2>
    </dataValidation>
    <dataValidation type="decimal" allowBlank="1" showInputMessage="1" showErrorMessage="1" errorTitle="Check this entry" error="Enter a number of at least 0." promptTitle="M10" prompt="Budget phased to month 10 of the year (see the calendar above). Enter a number of at least 0." sqref="M10:M517">
      <formula1>0</formula1>
      <formula2>1000000000.0</formula2>
    </dataValidation>
    <dataValidation type="decimal" allowBlank="1" showInputMessage="1" showErrorMessage="1" errorTitle="Check this entry" error="Enter a number of at least 0." promptTitle="M11" prompt="Budget phased to month 11 of the year (see the calendar above). Enter a number of at least 0." sqref="N10:N517">
      <formula1>0</formula1>
      <formula2>1000000000.0</formula2>
    </dataValidation>
    <dataValidation type="decimal" allowBlank="1" showInputMessage="1" showErrorMessage="1" errorTitle="Check this entry" error="Enter a number of at least 0." promptTitle="M12" prompt="Budget phased to month 12 of the year (see the calendar above). Enter a number of at least 0." sqref="O10:O517">
      <formula1>0</formula1>
      <formula2>1000000000.0</formula2>
    </dataValidation>
  </dataValidations>
  <hyperlinks>
    <hyperlink ref="AA2" r:id="rId1" tooltip="Free manufacturing calculators and templates"/>
  </hyperlinks>
  <pageMargins left="0.4" right="0.4" top="0.7" bottom="0.65" header="0.3" footer="0.3"/>
  <pageSetup fitToHeight="0" orientation="landscape"/>
  <headerFooter>
    <oddHeader>&amp;L&amp;8MFG Calcs - Maintenance Budget Tracker&amp;R&amp;8&amp;A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Y10:Y517</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3B64D8"/>
    <pageSetUpPr fitToPage="1"/>
  </sheetPr>
  <dimension ref="A1:K126"/>
  <sheetViews>
    <sheetView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2.7109375" customWidth="1"/>
    <col min="2" max="2" width="12.28515625" customWidth="1"/>
    <col min="3" max="3" width="18.7109375" customWidth="1"/>
    <col min="4" max="4" width="10.7109375" customWidth="1"/>
    <col min="5" max="5" width="42.7109375" customWidth="1"/>
    <col min="6" max="6" width="24.7109375" customWidth="1"/>
    <col min="7" max="7" width="10.7109375" customWidth="1"/>
    <col min="8" max="8" width="11.7109375" customWidth="1"/>
    <col min="9" max="9" width="10.7109375" customWidth="1"/>
    <col min="10" max="10" width="8.28515625" customWidth="1"/>
    <col min="11" max="11" width="24.7109375" customWidth="1"/>
  </cols>
  <sheetData>
    <row r="1" spans="1:11" ht="30" customHeight="1">
      <c r="A1" s="1" t="s">
        <v>0</v>
      </c>
      <c r="B1" s="1"/>
      <c r="C1" s="1"/>
      <c r="D1" s="1"/>
      <c r="E1" s="1"/>
      <c r="F1" s="1"/>
      <c r="G1" s="1"/>
      <c r="H1" s="1"/>
      <c r="I1" s="1"/>
      <c r="J1" s="1"/>
      <c r="K1" s="1"/>
    </row>
    <row r="2" spans="1:11" ht="21" customHeight="1">
      <c r="B2" s="2" t="s">
        <v>22</v>
      </c>
      <c r="C2" s="2"/>
      <c r="D2" s="2"/>
      <c r="E2" s="2"/>
      <c r="F2" s="2"/>
      <c r="G2" s="2"/>
      <c r="H2" s="2"/>
      <c r="I2" s="2"/>
      <c r="J2" s="2"/>
      <c r="K2" s="3" t="s">
        <v>2</v>
      </c>
    </row>
    <row r="3" spans="1:11" ht="6" customHeight="1"/>
    <row r="4" spans="1:11" ht="29.76" customHeight="1">
      <c r="B4" s="37" t="s">
        <v>148</v>
      </c>
      <c r="C4" s="37"/>
      <c r="D4" s="37"/>
      <c r="E4" s="37"/>
      <c r="F4" s="37"/>
      <c r="G4" s="37"/>
      <c r="H4" s="37"/>
      <c r="I4" s="37"/>
      <c r="J4" s="37"/>
      <c r="K4" s="37"/>
    </row>
    <row r="5" spans="1:11" ht="14" customHeight="1">
      <c r="B5" s="38"/>
      <c r="C5" s="38"/>
      <c r="D5" s="38"/>
      <c r="E5" s="38"/>
      <c r="F5" s="38"/>
      <c r="G5" s="38"/>
      <c r="H5" s="38" t="str">
        <f>Currency</f>
        <v>GBP</v>
      </c>
      <c r="I5" s="38"/>
      <c r="J5" s="38"/>
      <c r="K5" s="38"/>
    </row>
    <row r="6" spans="1:11" ht="32" customHeight="1">
      <c r="B6" s="33" t="s">
        <v>142</v>
      </c>
      <c r="C6" s="33" t="s">
        <v>97</v>
      </c>
      <c r="D6" s="33" t="s">
        <v>62</v>
      </c>
      <c r="E6" s="33" t="s">
        <v>143</v>
      </c>
      <c r="F6" s="33" t="s">
        <v>144</v>
      </c>
      <c r="G6" s="33" t="s">
        <v>145</v>
      </c>
      <c r="H6" s="33" t="s">
        <v>146</v>
      </c>
      <c r="I6" s="33" t="s">
        <v>121</v>
      </c>
      <c r="J6" s="33" t="s">
        <v>147</v>
      </c>
      <c r="K6" s="33" t="s">
        <v>122</v>
      </c>
    </row>
    <row r="7" spans="1:11">
      <c r="B7" s="29">
        <v>46114</v>
      </c>
      <c r="C7" s="28" t="s">
        <v>132</v>
      </c>
      <c r="D7" s="28" t="s">
        <v>85</v>
      </c>
      <c r="E7" s="44" t="s">
        <v>149</v>
      </c>
      <c r="F7" s="28" t="s">
        <v>150</v>
      </c>
      <c r="G7" s="28" t="s">
        <v>151</v>
      </c>
      <c r="H7" s="45">
        <v>1304</v>
      </c>
      <c r="I7" s="28" t="s">
        <v>113</v>
      </c>
      <c r="J7" s="40">
        <f>IF(tblSpend[[#This Row],[Date]]="","",(YEAR(tblSpend[[#This Row],[Date]])-YEAR(YearStart))*12+MONTH(tblSpend[[#This Row],[Date]])-MONTH(YearStart)+1)</f>
        <v>1</v>
      </c>
      <c r="K7"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8" spans="1:11">
      <c r="B8" s="29">
        <v>46115</v>
      </c>
      <c r="C8" s="28" t="s">
        <v>134</v>
      </c>
      <c r="D8" s="28" t="s">
        <v>79</v>
      </c>
      <c r="E8" s="44" t="s">
        <v>152</v>
      </c>
      <c r="F8" s="28" t="s">
        <v>153</v>
      </c>
      <c r="G8" s="28" t="s">
        <v>154</v>
      </c>
      <c r="H8" s="45">
        <v>506</v>
      </c>
      <c r="I8" s="28" t="s">
        <v>113</v>
      </c>
      <c r="J8" s="40">
        <f>IF(tblSpend[[#This Row],[Date]]="","",(YEAR(tblSpend[[#This Row],[Date]])-YEAR(YearStart))*12+MONTH(tblSpend[[#This Row],[Date]])-MONTH(YearStart)+1)</f>
        <v>1</v>
      </c>
      <c r="K8"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9" spans="1:11">
      <c r="B9" s="29">
        <v>46115</v>
      </c>
      <c r="C9" s="28" t="s">
        <v>134</v>
      </c>
      <c r="D9" s="28" t="s">
        <v>94</v>
      </c>
      <c r="E9" s="44" t="s">
        <v>155</v>
      </c>
      <c r="F9" s="28" t="s">
        <v>153</v>
      </c>
      <c r="G9" s="28" t="s">
        <v>156</v>
      </c>
      <c r="H9" s="45">
        <v>253</v>
      </c>
      <c r="I9" s="28" t="s">
        <v>113</v>
      </c>
      <c r="J9" s="40">
        <f>IF(tblSpend[[#This Row],[Date]]="","",(YEAR(tblSpend[[#This Row],[Date]])-YEAR(YearStart))*12+MONTH(tblSpend[[#This Row],[Date]])-MONTH(YearStart)+1)</f>
        <v>1</v>
      </c>
      <c r="K9"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0" spans="1:11">
      <c r="B10" s="29">
        <v>46118</v>
      </c>
      <c r="C10" s="28" t="s">
        <v>132</v>
      </c>
      <c r="D10" s="28" t="s">
        <v>82</v>
      </c>
      <c r="E10" s="44" t="s">
        <v>157</v>
      </c>
      <c r="F10" s="28" t="s">
        <v>153</v>
      </c>
      <c r="G10" s="28" t="s">
        <v>158</v>
      </c>
      <c r="H10" s="45">
        <v>1698</v>
      </c>
      <c r="I10" s="28" t="s">
        <v>113</v>
      </c>
      <c r="J10" s="40">
        <f>IF(tblSpend[[#This Row],[Date]]="","",(YEAR(tblSpend[[#This Row],[Date]])-YEAR(YearStart))*12+MONTH(tblSpend[[#This Row],[Date]])-MONTH(YearStart)+1)</f>
        <v>1</v>
      </c>
      <c r="K10"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1" spans="1:11">
      <c r="B11" s="29">
        <v>46119</v>
      </c>
      <c r="C11" s="28" t="s">
        <v>132</v>
      </c>
      <c r="D11" s="28" t="s">
        <v>82</v>
      </c>
      <c r="E11" s="44" t="s">
        <v>159</v>
      </c>
      <c r="F11" s="28" t="s">
        <v>150</v>
      </c>
      <c r="G11" s="28" t="s">
        <v>160</v>
      </c>
      <c r="H11" s="45">
        <v>1005</v>
      </c>
      <c r="I11" s="28" t="s">
        <v>113</v>
      </c>
      <c r="J11" s="40">
        <f>IF(tblSpend[[#This Row],[Date]]="","",(YEAR(tblSpend[[#This Row],[Date]])-YEAR(YearStart))*12+MONTH(tblSpend[[#This Row],[Date]])-MONTH(YearStart)+1)</f>
        <v>1</v>
      </c>
      <c r="K11"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2" spans="1:11">
      <c r="B12" s="29">
        <v>46120</v>
      </c>
      <c r="C12" s="28" t="s">
        <v>132</v>
      </c>
      <c r="D12" s="28" t="s">
        <v>85</v>
      </c>
      <c r="E12" s="44" t="s">
        <v>161</v>
      </c>
      <c r="F12" s="28" t="s">
        <v>153</v>
      </c>
      <c r="G12" s="28" t="s">
        <v>162</v>
      </c>
      <c r="H12" s="45">
        <v>1936</v>
      </c>
      <c r="I12" s="28" t="s">
        <v>113</v>
      </c>
      <c r="J12" s="40">
        <f>IF(tblSpend[[#This Row],[Date]]="","",(YEAR(tblSpend[[#This Row],[Date]])-YEAR(YearStart))*12+MONTH(tblSpend[[#This Row],[Date]])-MONTH(YearStart)+1)</f>
        <v>1</v>
      </c>
      <c r="K12"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3" spans="1:11">
      <c r="B13" s="29">
        <v>46120</v>
      </c>
      <c r="C13" s="28" t="s">
        <v>134</v>
      </c>
      <c r="D13" s="28" t="s">
        <v>79</v>
      </c>
      <c r="E13" s="44" t="s">
        <v>163</v>
      </c>
      <c r="F13" s="28" t="s">
        <v>153</v>
      </c>
      <c r="G13" s="28" t="s">
        <v>164</v>
      </c>
      <c r="H13" s="45">
        <v>848</v>
      </c>
      <c r="I13" s="28" t="s">
        <v>113</v>
      </c>
      <c r="J13" s="40">
        <f>IF(tblSpend[[#This Row],[Date]]="","",(YEAR(tblSpend[[#This Row],[Date]])-YEAR(YearStart))*12+MONTH(tblSpend[[#This Row],[Date]])-MONTH(YearStart)+1)</f>
        <v>1</v>
      </c>
      <c r="K13"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4" spans="1:11">
      <c r="B14" s="29">
        <v>46126</v>
      </c>
      <c r="C14" s="28" t="s">
        <v>130</v>
      </c>
      <c r="D14" s="28" t="s">
        <v>85</v>
      </c>
      <c r="E14" s="44" t="s">
        <v>165</v>
      </c>
      <c r="F14" s="28" t="s">
        <v>166</v>
      </c>
      <c r="G14" s="28" t="s">
        <v>167</v>
      </c>
      <c r="H14" s="45">
        <v>1654</v>
      </c>
      <c r="I14" s="28" t="s">
        <v>113</v>
      </c>
      <c r="J14" s="40">
        <f>IF(tblSpend[[#This Row],[Date]]="","",(YEAR(tblSpend[[#This Row],[Date]])-YEAR(YearStart))*12+MONTH(tblSpend[[#This Row],[Date]])-MONTH(YearStart)+1)</f>
        <v>1</v>
      </c>
      <c r="K14"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5" spans="1:11">
      <c r="B15" s="29">
        <v>46128</v>
      </c>
      <c r="C15" s="28" t="s">
        <v>132</v>
      </c>
      <c r="D15" s="28" t="s">
        <v>88</v>
      </c>
      <c r="E15" s="44" t="s">
        <v>168</v>
      </c>
      <c r="F15" s="28" t="s">
        <v>169</v>
      </c>
      <c r="G15" s="28" t="s">
        <v>170</v>
      </c>
      <c r="H15" s="45">
        <v>1415</v>
      </c>
      <c r="I15" s="28" t="s">
        <v>113</v>
      </c>
      <c r="J15" s="40">
        <f>IF(tblSpend[[#This Row],[Date]]="","",(YEAR(tblSpend[[#This Row],[Date]])-YEAR(YearStart))*12+MONTH(tblSpend[[#This Row],[Date]])-MONTH(YearStart)+1)</f>
        <v>1</v>
      </c>
      <c r="K15"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6" spans="1:11">
      <c r="B16" s="29">
        <v>46129</v>
      </c>
      <c r="C16" s="28" t="s">
        <v>130</v>
      </c>
      <c r="D16" s="28" t="s">
        <v>79</v>
      </c>
      <c r="E16" s="44" t="s">
        <v>165</v>
      </c>
      <c r="F16" s="28" t="s">
        <v>171</v>
      </c>
      <c r="G16" s="28" t="s">
        <v>172</v>
      </c>
      <c r="H16" s="45">
        <v>1820</v>
      </c>
      <c r="I16" s="28" t="s">
        <v>113</v>
      </c>
      <c r="J16" s="40">
        <f>IF(tblSpend[[#This Row],[Date]]="","",(YEAR(tblSpend[[#This Row],[Date]])-YEAR(YearStart))*12+MONTH(tblSpend[[#This Row],[Date]])-MONTH(YearStart)+1)</f>
        <v>1</v>
      </c>
      <c r="K16"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7" spans="2:11">
      <c r="B17" s="29">
        <v>46131</v>
      </c>
      <c r="C17" s="28" t="s">
        <v>132</v>
      </c>
      <c r="D17" s="28" t="s">
        <v>82</v>
      </c>
      <c r="E17" s="44" t="s">
        <v>168</v>
      </c>
      <c r="F17" s="28" t="s">
        <v>169</v>
      </c>
      <c r="G17" s="28" t="s">
        <v>173</v>
      </c>
      <c r="H17" s="45">
        <v>365</v>
      </c>
      <c r="I17" s="28" t="s">
        <v>113</v>
      </c>
      <c r="J17" s="40">
        <f>IF(tblSpend[[#This Row],[Date]]="","",(YEAR(tblSpend[[#This Row],[Date]])-YEAR(YearStart))*12+MONTH(tblSpend[[#This Row],[Date]])-MONTH(YearStart)+1)</f>
        <v>1</v>
      </c>
      <c r="K17"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8" spans="2:11">
      <c r="B18" s="29">
        <v>46133</v>
      </c>
      <c r="C18" s="28" t="s">
        <v>138</v>
      </c>
      <c r="D18" s="28" t="s">
        <v>91</v>
      </c>
      <c r="E18" s="44" t="s">
        <v>174</v>
      </c>
      <c r="F18" s="28" t="s">
        <v>175</v>
      </c>
      <c r="G18" s="28" t="s">
        <v>176</v>
      </c>
      <c r="H18" s="45">
        <v>2400</v>
      </c>
      <c r="I18" s="28" t="s">
        <v>113</v>
      </c>
      <c r="J18" s="40">
        <f>IF(tblSpend[[#This Row],[Date]]="","",(YEAR(tblSpend[[#This Row],[Date]])-YEAR(YearStart))*12+MONTH(tblSpend[[#This Row],[Date]])-MONTH(YearStart)+1)</f>
        <v>1</v>
      </c>
      <c r="K18"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9" spans="2:11">
      <c r="B19" s="29">
        <v>46134</v>
      </c>
      <c r="C19" s="28" t="s">
        <v>132</v>
      </c>
      <c r="D19" s="28" t="s">
        <v>79</v>
      </c>
      <c r="E19" s="44" t="s">
        <v>149</v>
      </c>
      <c r="F19" s="28" t="s">
        <v>169</v>
      </c>
      <c r="G19" s="28" t="s">
        <v>177</v>
      </c>
      <c r="H19" s="45">
        <v>1444</v>
      </c>
      <c r="I19" s="28" t="s">
        <v>113</v>
      </c>
      <c r="J19" s="40">
        <f>IF(tblSpend[[#This Row],[Date]]="","",(YEAR(tblSpend[[#This Row],[Date]])-YEAR(YearStart))*12+MONTH(tblSpend[[#This Row],[Date]])-MONTH(YearStart)+1)</f>
        <v>1</v>
      </c>
      <c r="K19"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20" spans="2:11">
      <c r="B20" s="29">
        <v>46137</v>
      </c>
      <c r="C20" s="28" t="s">
        <v>136</v>
      </c>
      <c r="D20" s="28" t="s">
        <v>79</v>
      </c>
      <c r="E20" s="44" t="s">
        <v>178</v>
      </c>
      <c r="F20" s="28" t="s">
        <v>179</v>
      </c>
      <c r="G20" s="28" t="s">
        <v>180</v>
      </c>
      <c r="H20" s="45">
        <v>8628</v>
      </c>
      <c r="I20" s="28" t="s">
        <v>113</v>
      </c>
      <c r="J20" s="40">
        <f>IF(tblSpend[[#This Row],[Date]]="","",(YEAR(tblSpend[[#This Row],[Date]])-YEAR(YearStart))*12+MONTH(tblSpend[[#This Row],[Date]])-MONTH(YearStart)+1)</f>
        <v>1</v>
      </c>
      <c r="K20"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21" spans="2:11">
      <c r="B21" s="29">
        <v>46138</v>
      </c>
      <c r="C21" s="28" t="s">
        <v>132</v>
      </c>
      <c r="D21" s="28" t="s">
        <v>82</v>
      </c>
      <c r="E21" s="44" t="s">
        <v>168</v>
      </c>
      <c r="F21" s="28" t="s">
        <v>153</v>
      </c>
      <c r="G21" s="28" t="s">
        <v>181</v>
      </c>
      <c r="H21" s="45">
        <v>993</v>
      </c>
      <c r="I21" s="28" t="s">
        <v>113</v>
      </c>
      <c r="J21" s="40">
        <f>IF(tblSpend[[#This Row],[Date]]="","",(YEAR(tblSpend[[#This Row],[Date]])-YEAR(YearStart))*12+MONTH(tblSpend[[#This Row],[Date]])-MONTH(YearStart)+1)</f>
        <v>1</v>
      </c>
      <c r="K21"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22" spans="2:11">
      <c r="B22" s="29">
        <v>46140</v>
      </c>
      <c r="C22" s="28" t="s">
        <v>132</v>
      </c>
      <c r="D22" s="28" t="s">
        <v>85</v>
      </c>
      <c r="E22" s="44" t="s">
        <v>149</v>
      </c>
      <c r="F22" s="28" t="s">
        <v>169</v>
      </c>
      <c r="G22" s="28" t="s">
        <v>182</v>
      </c>
      <c r="H22" s="45">
        <v>1785</v>
      </c>
      <c r="I22" s="28" t="s">
        <v>113</v>
      </c>
      <c r="J22" s="40">
        <f>IF(tblSpend[[#This Row],[Date]]="","",(YEAR(tblSpend[[#This Row],[Date]])-YEAR(YearStart))*12+MONTH(tblSpend[[#This Row],[Date]])-MONTH(YearStart)+1)</f>
        <v>1</v>
      </c>
      <c r="K22"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23" spans="2:11">
      <c r="B23" s="29">
        <v>46142</v>
      </c>
      <c r="C23" s="28" t="s">
        <v>128</v>
      </c>
      <c r="D23" s="28" t="s">
        <v>94</v>
      </c>
      <c r="E23" s="44" t="s">
        <v>183</v>
      </c>
      <c r="F23" s="28" t="s">
        <v>184</v>
      </c>
      <c r="G23" s="28" t="s">
        <v>185</v>
      </c>
      <c r="H23" s="45">
        <v>3942</v>
      </c>
      <c r="I23" s="28" t="s">
        <v>113</v>
      </c>
      <c r="J23" s="40">
        <f>IF(tblSpend[[#This Row],[Date]]="","",(YEAR(tblSpend[[#This Row],[Date]])-YEAR(YearStart))*12+MONTH(tblSpend[[#This Row],[Date]])-MONTH(YearStart)+1)</f>
        <v>1</v>
      </c>
      <c r="K23"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24" spans="2:11">
      <c r="B24" s="29">
        <v>46142</v>
      </c>
      <c r="C24" s="28" t="s">
        <v>126</v>
      </c>
      <c r="D24" s="28" t="s">
        <v>94</v>
      </c>
      <c r="E24" s="44" t="s">
        <v>186</v>
      </c>
      <c r="F24" s="28" t="s">
        <v>184</v>
      </c>
      <c r="G24" s="28" t="s">
        <v>187</v>
      </c>
      <c r="H24" s="45">
        <v>30451</v>
      </c>
      <c r="I24" s="28" t="s">
        <v>113</v>
      </c>
      <c r="J24" s="40">
        <f>IF(tblSpend[[#This Row],[Date]]="","",(YEAR(tblSpend[[#This Row],[Date]])-YEAR(YearStart))*12+MONTH(tblSpend[[#This Row],[Date]])-MONTH(YearStart)+1)</f>
        <v>1</v>
      </c>
      <c r="K24"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25" spans="2:11">
      <c r="B25" s="29">
        <v>46144</v>
      </c>
      <c r="C25" s="28" t="s">
        <v>132</v>
      </c>
      <c r="D25" s="28" t="s">
        <v>79</v>
      </c>
      <c r="E25" s="44" t="s">
        <v>159</v>
      </c>
      <c r="F25" s="28" t="s">
        <v>153</v>
      </c>
      <c r="G25" s="28" t="s">
        <v>188</v>
      </c>
      <c r="H25" s="45">
        <v>1965</v>
      </c>
      <c r="I25" s="28" t="s">
        <v>113</v>
      </c>
      <c r="J25" s="40">
        <f>IF(tblSpend[[#This Row],[Date]]="","",(YEAR(tblSpend[[#This Row],[Date]])-YEAR(YearStart))*12+MONTH(tblSpend[[#This Row],[Date]])-MONTH(YearStart)+1)</f>
        <v>2</v>
      </c>
      <c r="K25"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26" spans="2:11">
      <c r="B26" s="29">
        <v>46148</v>
      </c>
      <c r="C26" s="28" t="s">
        <v>134</v>
      </c>
      <c r="D26" s="28" t="s">
        <v>94</v>
      </c>
      <c r="E26" s="44" t="s">
        <v>189</v>
      </c>
      <c r="F26" s="28" t="s">
        <v>153</v>
      </c>
      <c r="G26" s="28" t="s">
        <v>190</v>
      </c>
      <c r="H26" s="45">
        <v>575</v>
      </c>
      <c r="I26" s="28" t="s">
        <v>113</v>
      </c>
      <c r="J26" s="40">
        <f>IF(tblSpend[[#This Row],[Date]]="","",(YEAR(tblSpend[[#This Row],[Date]])-YEAR(YearStart))*12+MONTH(tblSpend[[#This Row],[Date]])-MONTH(YearStart)+1)</f>
        <v>2</v>
      </c>
      <c r="K26"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27" spans="2:11">
      <c r="B27" s="29">
        <v>46148</v>
      </c>
      <c r="C27" s="28" t="s">
        <v>134</v>
      </c>
      <c r="D27" s="28" t="s">
        <v>79</v>
      </c>
      <c r="E27" s="44" t="s">
        <v>189</v>
      </c>
      <c r="F27" s="28" t="s">
        <v>153</v>
      </c>
      <c r="G27" s="28" t="s">
        <v>191</v>
      </c>
      <c r="H27" s="45">
        <v>385</v>
      </c>
      <c r="I27" s="28" t="s">
        <v>113</v>
      </c>
      <c r="J27" s="40">
        <f>IF(tblSpend[[#This Row],[Date]]="","",(YEAR(tblSpend[[#This Row],[Date]])-YEAR(YearStart))*12+MONTH(tblSpend[[#This Row],[Date]])-MONTH(YearStart)+1)</f>
        <v>2</v>
      </c>
      <c r="K27"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28" spans="2:11">
      <c r="B28" s="29">
        <v>46149</v>
      </c>
      <c r="C28" s="28" t="s">
        <v>132</v>
      </c>
      <c r="D28" s="28" t="s">
        <v>88</v>
      </c>
      <c r="E28" s="44" t="s">
        <v>161</v>
      </c>
      <c r="F28" s="28" t="s">
        <v>153</v>
      </c>
      <c r="G28" s="28" t="s">
        <v>192</v>
      </c>
      <c r="H28" s="45">
        <v>1596</v>
      </c>
      <c r="I28" s="28" t="s">
        <v>113</v>
      </c>
      <c r="J28" s="40">
        <f>IF(tblSpend[[#This Row],[Date]]="","",(YEAR(tblSpend[[#This Row],[Date]])-YEAR(YearStart))*12+MONTH(tblSpend[[#This Row],[Date]])-MONTH(YearStart)+1)</f>
        <v>2</v>
      </c>
      <c r="K28"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29" spans="2:11">
      <c r="B29" s="29">
        <v>46149</v>
      </c>
      <c r="C29" s="28" t="s">
        <v>132</v>
      </c>
      <c r="D29" s="28" t="s">
        <v>79</v>
      </c>
      <c r="E29" s="44" t="s">
        <v>193</v>
      </c>
      <c r="F29" s="28" t="s">
        <v>153</v>
      </c>
      <c r="G29" s="28" t="s">
        <v>194</v>
      </c>
      <c r="H29" s="45">
        <v>1098</v>
      </c>
      <c r="I29" s="28" t="s">
        <v>113</v>
      </c>
      <c r="J29" s="40">
        <f>IF(tblSpend[[#This Row],[Date]]="","",(YEAR(tblSpend[[#This Row],[Date]])-YEAR(YearStart))*12+MONTH(tblSpend[[#This Row],[Date]])-MONTH(YearStart)+1)</f>
        <v>2</v>
      </c>
      <c r="K29"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30" spans="2:11">
      <c r="B30" s="29">
        <v>46152</v>
      </c>
      <c r="C30" s="28" t="s">
        <v>132</v>
      </c>
      <c r="D30" s="28" t="s">
        <v>79</v>
      </c>
      <c r="E30" s="44" t="s">
        <v>195</v>
      </c>
      <c r="F30" s="28" t="s">
        <v>150</v>
      </c>
      <c r="G30" s="28" t="s">
        <v>196</v>
      </c>
      <c r="H30" s="45">
        <v>1936</v>
      </c>
      <c r="I30" s="28" t="s">
        <v>113</v>
      </c>
      <c r="J30" s="40">
        <f>IF(tblSpend[[#This Row],[Date]]="","",(YEAR(tblSpend[[#This Row],[Date]])-YEAR(YearStart))*12+MONTH(tblSpend[[#This Row],[Date]])-MONTH(YearStart)+1)</f>
        <v>2</v>
      </c>
      <c r="K30"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31" spans="2:11">
      <c r="B31" s="29">
        <v>46154</v>
      </c>
      <c r="C31" s="28" t="s">
        <v>132</v>
      </c>
      <c r="D31" s="28" t="s">
        <v>88</v>
      </c>
      <c r="E31" s="44" t="s">
        <v>195</v>
      </c>
      <c r="F31" s="28" t="s">
        <v>150</v>
      </c>
      <c r="G31" s="28" t="s">
        <v>197</v>
      </c>
      <c r="H31" s="45">
        <v>1733</v>
      </c>
      <c r="I31" s="28" t="s">
        <v>113</v>
      </c>
      <c r="J31" s="40">
        <f>IF(tblSpend[[#This Row],[Date]]="","",(YEAR(tblSpend[[#This Row],[Date]])-YEAR(YearStart))*12+MONTH(tblSpend[[#This Row],[Date]])-MONTH(YearStart)+1)</f>
        <v>2</v>
      </c>
      <c r="K31"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32" spans="2:11">
      <c r="B32" s="29">
        <v>46159</v>
      </c>
      <c r="C32" s="28" t="s">
        <v>130</v>
      </c>
      <c r="D32" s="28" t="s">
        <v>88</v>
      </c>
      <c r="E32" s="44" t="s">
        <v>198</v>
      </c>
      <c r="F32" s="28" t="s">
        <v>166</v>
      </c>
      <c r="G32" s="28" t="s">
        <v>199</v>
      </c>
      <c r="H32" s="45">
        <v>2466</v>
      </c>
      <c r="I32" s="28" t="s">
        <v>113</v>
      </c>
      <c r="J32" s="40">
        <f>IF(tblSpend[[#This Row],[Date]]="","",(YEAR(tblSpend[[#This Row],[Date]])-YEAR(YearStart))*12+MONTH(tblSpend[[#This Row],[Date]])-MONTH(YearStart)+1)</f>
        <v>2</v>
      </c>
      <c r="K32"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33" spans="2:11">
      <c r="B33" s="29">
        <v>46161</v>
      </c>
      <c r="C33" s="28" t="s">
        <v>134</v>
      </c>
      <c r="D33" s="28" t="s">
        <v>88</v>
      </c>
      <c r="E33" s="44" t="s">
        <v>155</v>
      </c>
      <c r="F33" s="28" t="s">
        <v>153</v>
      </c>
      <c r="G33" s="28" t="s">
        <v>200</v>
      </c>
      <c r="H33" s="45">
        <v>450</v>
      </c>
      <c r="I33" s="28" t="s">
        <v>113</v>
      </c>
      <c r="J33" s="40">
        <f>IF(tblSpend[[#This Row],[Date]]="","",(YEAR(tblSpend[[#This Row],[Date]])-YEAR(YearStart))*12+MONTH(tblSpend[[#This Row],[Date]])-MONTH(YearStart)+1)</f>
        <v>2</v>
      </c>
      <c r="K33"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34" spans="2:11">
      <c r="B34" s="29">
        <v>46161</v>
      </c>
      <c r="C34" s="28" t="s">
        <v>138</v>
      </c>
      <c r="D34" s="28" t="s">
        <v>88</v>
      </c>
      <c r="E34" s="44" t="s">
        <v>201</v>
      </c>
      <c r="F34" s="28" t="s">
        <v>175</v>
      </c>
      <c r="G34" s="28" t="s">
        <v>202</v>
      </c>
      <c r="H34" s="45">
        <v>3150</v>
      </c>
      <c r="I34" s="28" t="s">
        <v>113</v>
      </c>
      <c r="J34" s="40">
        <f>IF(tblSpend[[#This Row],[Date]]="","",(YEAR(tblSpend[[#This Row],[Date]])-YEAR(YearStart))*12+MONTH(tblSpend[[#This Row],[Date]])-MONTH(YearStart)+1)</f>
        <v>2</v>
      </c>
      <c r="K34"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35" spans="2:11">
      <c r="B35" s="29">
        <v>46164</v>
      </c>
      <c r="C35" s="28" t="s">
        <v>134</v>
      </c>
      <c r="D35" s="28" t="s">
        <v>79</v>
      </c>
      <c r="E35" s="44" t="s">
        <v>155</v>
      </c>
      <c r="F35" s="28" t="s">
        <v>153</v>
      </c>
      <c r="G35" s="28" t="s">
        <v>203</v>
      </c>
      <c r="H35" s="45">
        <v>394</v>
      </c>
      <c r="I35" s="28" t="s">
        <v>113</v>
      </c>
      <c r="J35" s="40">
        <f>IF(tblSpend[[#This Row],[Date]]="","",(YEAR(tblSpend[[#This Row],[Date]])-YEAR(YearStart))*12+MONTH(tblSpend[[#This Row],[Date]])-MONTH(YearStart)+1)</f>
        <v>2</v>
      </c>
      <c r="K35"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36" spans="2:11">
      <c r="B36" s="29">
        <v>46166</v>
      </c>
      <c r="C36" s="28" t="s">
        <v>132</v>
      </c>
      <c r="D36" s="28" t="s">
        <v>85</v>
      </c>
      <c r="E36" s="44" t="s">
        <v>204</v>
      </c>
      <c r="F36" s="28" t="s">
        <v>153</v>
      </c>
      <c r="G36" s="28" t="s">
        <v>205</v>
      </c>
      <c r="H36" s="45">
        <v>2019</v>
      </c>
      <c r="I36" s="28" t="s">
        <v>113</v>
      </c>
      <c r="J36" s="40">
        <f>IF(tblSpend[[#This Row],[Date]]="","",(YEAR(tblSpend[[#This Row],[Date]])-YEAR(YearStart))*12+MONTH(tblSpend[[#This Row],[Date]])-MONTH(YearStart)+1)</f>
        <v>2</v>
      </c>
      <c r="K36"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37" spans="2:11">
      <c r="B37" s="29">
        <v>46167</v>
      </c>
      <c r="C37" s="28" t="s">
        <v>132</v>
      </c>
      <c r="D37" s="28" t="s">
        <v>88</v>
      </c>
      <c r="E37" s="44" t="s">
        <v>161</v>
      </c>
      <c r="F37" s="28" t="s">
        <v>169</v>
      </c>
      <c r="G37" s="28" t="s">
        <v>206</v>
      </c>
      <c r="H37" s="45">
        <v>1672</v>
      </c>
      <c r="I37" s="28" t="s">
        <v>113</v>
      </c>
      <c r="J37" s="40">
        <f>IF(tblSpend[[#This Row],[Date]]="","",(YEAR(tblSpend[[#This Row],[Date]])-YEAR(YearStart))*12+MONTH(tblSpend[[#This Row],[Date]])-MONTH(YearStart)+1)</f>
        <v>2</v>
      </c>
      <c r="K37"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38" spans="2:11">
      <c r="B38" s="29">
        <v>46168</v>
      </c>
      <c r="C38" s="28" t="s">
        <v>130</v>
      </c>
      <c r="D38" s="28" t="s">
        <v>82</v>
      </c>
      <c r="E38" s="44" t="s">
        <v>198</v>
      </c>
      <c r="F38" s="28" t="s">
        <v>171</v>
      </c>
      <c r="G38" s="28" t="s">
        <v>207</v>
      </c>
      <c r="H38" s="45">
        <v>719</v>
      </c>
      <c r="I38" s="28" t="s">
        <v>113</v>
      </c>
      <c r="J38" s="40">
        <f>IF(tblSpend[[#This Row],[Date]]="","",(YEAR(tblSpend[[#This Row],[Date]])-YEAR(YearStart))*12+MONTH(tblSpend[[#This Row],[Date]])-MONTH(YearStart)+1)</f>
        <v>2</v>
      </c>
      <c r="K38"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39" spans="2:11">
      <c r="B39" s="29">
        <v>46173</v>
      </c>
      <c r="C39" s="28" t="s">
        <v>128</v>
      </c>
      <c r="D39" s="28" t="s">
        <v>94</v>
      </c>
      <c r="E39" s="44" t="s">
        <v>208</v>
      </c>
      <c r="F39" s="28" t="s">
        <v>184</v>
      </c>
      <c r="G39" s="28" t="s">
        <v>209</v>
      </c>
      <c r="H39" s="45">
        <v>4176</v>
      </c>
      <c r="I39" s="28" t="s">
        <v>113</v>
      </c>
      <c r="J39" s="40">
        <f>IF(tblSpend[[#This Row],[Date]]="","",(YEAR(tblSpend[[#This Row],[Date]])-YEAR(YearStart))*12+MONTH(tblSpend[[#This Row],[Date]])-MONTH(YearStart)+1)</f>
        <v>2</v>
      </c>
      <c r="K39"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40" spans="2:11">
      <c r="B40" s="29">
        <v>46173</v>
      </c>
      <c r="C40" s="28" t="s">
        <v>126</v>
      </c>
      <c r="D40" s="28" t="s">
        <v>94</v>
      </c>
      <c r="E40" s="44" t="s">
        <v>210</v>
      </c>
      <c r="F40" s="28" t="s">
        <v>184</v>
      </c>
      <c r="G40" s="28" t="s">
        <v>211</v>
      </c>
      <c r="H40" s="45">
        <v>29613</v>
      </c>
      <c r="I40" s="28" t="s">
        <v>113</v>
      </c>
      <c r="J40" s="40">
        <f>IF(tblSpend[[#This Row],[Date]]="","",(YEAR(tblSpend[[#This Row],[Date]])-YEAR(YearStart))*12+MONTH(tblSpend[[#This Row],[Date]])-MONTH(YearStart)+1)</f>
        <v>2</v>
      </c>
      <c r="K40"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41" spans="2:11">
      <c r="B41" s="29">
        <v>46176</v>
      </c>
      <c r="C41" s="28" t="s">
        <v>132</v>
      </c>
      <c r="D41" s="28" t="s">
        <v>88</v>
      </c>
      <c r="E41" s="44" t="s">
        <v>212</v>
      </c>
      <c r="F41" s="28" t="s">
        <v>150</v>
      </c>
      <c r="G41" s="28" t="s">
        <v>213</v>
      </c>
      <c r="H41" s="45">
        <v>1159</v>
      </c>
      <c r="I41" s="28" t="s">
        <v>113</v>
      </c>
      <c r="J41" s="40">
        <f>IF(tblSpend[[#This Row],[Date]]="","",(YEAR(tblSpend[[#This Row],[Date]])-YEAR(YearStart))*12+MONTH(tblSpend[[#This Row],[Date]])-MONTH(YearStart)+1)</f>
        <v>3</v>
      </c>
      <c r="K41"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42" spans="2:11">
      <c r="B42" s="29">
        <v>46177</v>
      </c>
      <c r="C42" s="28" t="s">
        <v>130</v>
      </c>
      <c r="D42" s="28" t="s">
        <v>85</v>
      </c>
      <c r="E42" s="44" t="s">
        <v>214</v>
      </c>
      <c r="F42" s="28" t="s">
        <v>166</v>
      </c>
      <c r="G42" s="28" t="s">
        <v>215</v>
      </c>
      <c r="H42" s="45">
        <v>716</v>
      </c>
      <c r="I42" s="28" t="s">
        <v>113</v>
      </c>
      <c r="J42" s="40">
        <f>IF(tblSpend[[#This Row],[Date]]="","",(YEAR(tblSpend[[#This Row],[Date]])-YEAR(YearStart))*12+MONTH(tblSpend[[#This Row],[Date]])-MONTH(YearStart)+1)</f>
        <v>3</v>
      </c>
      <c r="K42"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43" spans="2:11">
      <c r="B43" s="29">
        <v>46180</v>
      </c>
      <c r="C43" s="28" t="s">
        <v>132</v>
      </c>
      <c r="D43" s="28" t="s">
        <v>79</v>
      </c>
      <c r="E43" s="44" t="s">
        <v>193</v>
      </c>
      <c r="F43" s="28" t="s">
        <v>153</v>
      </c>
      <c r="G43" s="28" t="s">
        <v>216</v>
      </c>
      <c r="H43" s="45">
        <v>1535</v>
      </c>
      <c r="I43" s="28" t="s">
        <v>113</v>
      </c>
      <c r="J43" s="40">
        <f>IF(tblSpend[[#This Row],[Date]]="","",(YEAR(tblSpend[[#This Row],[Date]])-YEAR(YearStart))*12+MONTH(tblSpend[[#This Row],[Date]])-MONTH(YearStart)+1)</f>
        <v>3</v>
      </c>
      <c r="K43"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44" spans="2:11">
      <c r="B44" s="29">
        <v>46181</v>
      </c>
      <c r="C44" s="28" t="s">
        <v>132</v>
      </c>
      <c r="D44" s="28" t="s">
        <v>88</v>
      </c>
      <c r="E44" s="44" t="s">
        <v>212</v>
      </c>
      <c r="F44" s="28" t="s">
        <v>153</v>
      </c>
      <c r="G44" s="28" t="s">
        <v>217</v>
      </c>
      <c r="H44" s="45">
        <v>2161</v>
      </c>
      <c r="I44" s="28" t="s">
        <v>113</v>
      </c>
      <c r="J44" s="40">
        <f>IF(tblSpend[[#This Row],[Date]]="","",(YEAR(tblSpend[[#This Row],[Date]])-YEAR(YearStart))*12+MONTH(tblSpend[[#This Row],[Date]])-MONTH(YearStart)+1)</f>
        <v>3</v>
      </c>
      <c r="K44"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45" spans="2:11">
      <c r="B45" s="29">
        <v>46188</v>
      </c>
      <c r="C45" s="28" t="s">
        <v>132</v>
      </c>
      <c r="D45" s="28" t="s">
        <v>88</v>
      </c>
      <c r="E45" s="44" t="s">
        <v>149</v>
      </c>
      <c r="F45" s="28" t="s">
        <v>153</v>
      </c>
      <c r="G45" s="28" t="s">
        <v>218</v>
      </c>
      <c r="H45" s="45">
        <v>540</v>
      </c>
      <c r="I45" s="28" t="s">
        <v>113</v>
      </c>
      <c r="J45" s="40">
        <f>IF(tblSpend[[#This Row],[Date]]="","",(YEAR(tblSpend[[#This Row],[Date]])-YEAR(YearStart))*12+MONTH(tblSpend[[#This Row],[Date]])-MONTH(YearStart)+1)</f>
        <v>3</v>
      </c>
      <c r="K45"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46" spans="2:11">
      <c r="B46" s="29">
        <v>46192</v>
      </c>
      <c r="C46" s="28" t="s">
        <v>132</v>
      </c>
      <c r="D46" s="28" t="s">
        <v>88</v>
      </c>
      <c r="E46" s="44" t="s">
        <v>149</v>
      </c>
      <c r="F46" s="28" t="s">
        <v>153</v>
      </c>
      <c r="G46" s="28" t="s">
        <v>219</v>
      </c>
      <c r="H46" s="45">
        <v>1399</v>
      </c>
      <c r="I46" s="28" t="s">
        <v>113</v>
      </c>
      <c r="J46" s="40">
        <f>IF(tblSpend[[#This Row],[Date]]="","",(YEAR(tblSpend[[#This Row],[Date]])-YEAR(YearStart))*12+MONTH(tblSpend[[#This Row],[Date]])-MONTH(YearStart)+1)</f>
        <v>3</v>
      </c>
      <c r="K46"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47" spans="2:11">
      <c r="B47" s="29">
        <v>46193</v>
      </c>
      <c r="C47" s="28" t="s">
        <v>134</v>
      </c>
      <c r="D47" s="28" t="s">
        <v>94</v>
      </c>
      <c r="E47" s="44" t="s">
        <v>152</v>
      </c>
      <c r="F47" s="28" t="s">
        <v>153</v>
      </c>
      <c r="G47" s="28" t="s">
        <v>220</v>
      </c>
      <c r="H47" s="45">
        <v>462</v>
      </c>
      <c r="I47" s="28" t="s">
        <v>113</v>
      </c>
      <c r="J47" s="40">
        <f>IF(tblSpend[[#This Row],[Date]]="","",(YEAR(tblSpend[[#This Row],[Date]])-YEAR(YearStart))*12+MONTH(tblSpend[[#This Row],[Date]])-MONTH(YearStart)+1)</f>
        <v>3</v>
      </c>
      <c r="K47"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48" spans="2:11">
      <c r="B48" s="29">
        <v>46194</v>
      </c>
      <c r="C48" s="28" t="s">
        <v>132</v>
      </c>
      <c r="D48" s="28" t="s">
        <v>82</v>
      </c>
      <c r="E48" s="44" t="s">
        <v>149</v>
      </c>
      <c r="F48" s="28" t="s">
        <v>153</v>
      </c>
      <c r="G48" s="28" t="s">
        <v>221</v>
      </c>
      <c r="H48" s="45">
        <v>2124</v>
      </c>
      <c r="I48" s="28" t="s">
        <v>113</v>
      </c>
      <c r="J48" s="40">
        <f>IF(tblSpend[[#This Row],[Date]]="","",(YEAR(tblSpend[[#This Row],[Date]])-YEAR(YearStart))*12+MONTH(tblSpend[[#This Row],[Date]])-MONTH(YearStart)+1)</f>
        <v>3</v>
      </c>
      <c r="K48"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49" spans="2:11">
      <c r="B49" s="29">
        <v>46197</v>
      </c>
      <c r="C49" s="28" t="s">
        <v>138</v>
      </c>
      <c r="D49" s="28" t="s">
        <v>91</v>
      </c>
      <c r="E49" s="44" t="s">
        <v>222</v>
      </c>
      <c r="F49" s="28" t="s">
        <v>223</v>
      </c>
      <c r="G49" s="28" t="s">
        <v>224</v>
      </c>
      <c r="H49" s="45">
        <v>9800</v>
      </c>
      <c r="I49" s="28" t="s">
        <v>113</v>
      </c>
      <c r="J49" s="40">
        <f>IF(tblSpend[[#This Row],[Date]]="","",(YEAR(tblSpend[[#This Row],[Date]])-YEAR(YearStart))*12+MONTH(tblSpend[[#This Row],[Date]])-MONTH(YearStart)+1)</f>
        <v>3</v>
      </c>
      <c r="K49"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50" spans="2:11">
      <c r="B50" s="29">
        <v>46198</v>
      </c>
      <c r="C50" s="28" t="s">
        <v>130</v>
      </c>
      <c r="D50" s="28" t="s">
        <v>79</v>
      </c>
      <c r="E50" s="44" t="s">
        <v>214</v>
      </c>
      <c r="F50" s="28" t="s">
        <v>171</v>
      </c>
      <c r="G50" s="28" t="s">
        <v>225</v>
      </c>
      <c r="H50" s="45">
        <v>700</v>
      </c>
      <c r="I50" s="28" t="s">
        <v>113</v>
      </c>
      <c r="J50" s="40">
        <f>IF(tblSpend[[#This Row],[Date]]="","",(YEAR(tblSpend[[#This Row],[Date]])-YEAR(YearStart))*12+MONTH(tblSpend[[#This Row],[Date]])-MONTH(YearStart)+1)</f>
        <v>3</v>
      </c>
      <c r="K50"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51" spans="2:11">
      <c r="B51" s="29">
        <v>46198</v>
      </c>
      <c r="C51" s="28" t="s">
        <v>132</v>
      </c>
      <c r="D51" s="28" t="s">
        <v>85</v>
      </c>
      <c r="E51" s="44" t="s">
        <v>149</v>
      </c>
      <c r="F51" s="28" t="s">
        <v>153</v>
      </c>
      <c r="G51" s="28" t="s">
        <v>226</v>
      </c>
      <c r="H51" s="45">
        <v>2085</v>
      </c>
      <c r="I51" s="28" t="s">
        <v>113</v>
      </c>
      <c r="J51" s="40">
        <f>IF(tblSpend[[#This Row],[Date]]="","",(YEAR(tblSpend[[#This Row],[Date]])-YEAR(YearStart))*12+MONTH(tblSpend[[#This Row],[Date]])-MONTH(YearStart)+1)</f>
        <v>3</v>
      </c>
      <c r="K51"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52" spans="2:11">
      <c r="B52" s="29">
        <v>46199</v>
      </c>
      <c r="C52" s="28" t="s">
        <v>130</v>
      </c>
      <c r="D52" s="28" t="s">
        <v>85</v>
      </c>
      <c r="E52" s="44" t="s">
        <v>227</v>
      </c>
      <c r="F52" s="28" t="s">
        <v>228</v>
      </c>
      <c r="G52" s="28" t="s">
        <v>229</v>
      </c>
      <c r="H52" s="45">
        <v>1589</v>
      </c>
      <c r="I52" s="28" t="s">
        <v>113</v>
      </c>
      <c r="J52" s="40">
        <f>IF(tblSpend[[#This Row],[Date]]="","",(YEAR(tblSpend[[#This Row],[Date]])-YEAR(YearStart))*12+MONTH(tblSpend[[#This Row],[Date]])-MONTH(YearStart)+1)</f>
        <v>3</v>
      </c>
      <c r="K52"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53" spans="2:11">
      <c r="B53" s="29">
        <v>46199</v>
      </c>
      <c r="C53" s="28" t="s">
        <v>132</v>
      </c>
      <c r="D53" s="28" t="s">
        <v>88</v>
      </c>
      <c r="E53" s="44" t="s">
        <v>204</v>
      </c>
      <c r="F53" s="28" t="s">
        <v>153</v>
      </c>
      <c r="G53" s="28" t="s">
        <v>230</v>
      </c>
      <c r="H53" s="45">
        <v>2114</v>
      </c>
      <c r="I53" s="28" t="s">
        <v>113</v>
      </c>
      <c r="J53" s="40">
        <f>IF(tblSpend[[#This Row],[Date]]="","",(YEAR(tblSpend[[#This Row],[Date]])-YEAR(YearStart))*12+MONTH(tblSpend[[#This Row],[Date]])-MONTH(YearStart)+1)</f>
        <v>3</v>
      </c>
      <c r="K53"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54" spans="2:11">
      <c r="B54" s="29">
        <v>46199</v>
      </c>
      <c r="C54" s="28" t="s">
        <v>134</v>
      </c>
      <c r="D54" s="28" t="s">
        <v>82</v>
      </c>
      <c r="E54" s="44" t="s">
        <v>231</v>
      </c>
      <c r="F54" s="28" t="s">
        <v>153</v>
      </c>
      <c r="G54" s="28" t="s">
        <v>232</v>
      </c>
      <c r="H54" s="45">
        <v>695</v>
      </c>
      <c r="I54" s="28" t="s">
        <v>113</v>
      </c>
      <c r="J54" s="40">
        <f>IF(tblSpend[[#This Row],[Date]]="","",(YEAR(tblSpend[[#This Row],[Date]])-YEAR(YearStart))*12+MONTH(tblSpend[[#This Row],[Date]])-MONTH(YearStart)+1)</f>
        <v>3</v>
      </c>
      <c r="K54"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55" spans="2:11">
      <c r="B55" s="29">
        <v>46199</v>
      </c>
      <c r="C55" s="28" t="s">
        <v>136</v>
      </c>
      <c r="D55" s="28" t="s">
        <v>85</v>
      </c>
      <c r="E55" s="44" t="s">
        <v>178</v>
      </c>
      <c r="F55" s="28" t="s">
        <v>179</v>
      </c>
      <c r="G55" s="28" t="s">
        <v>233</v>
      </c>
      <c r="H55" s="45">
        <v>8090</v>
      </c>
      <c r="I55" s="28" t="s">
        <v>113</v>
      </c>
      <c r="J55" s="40">
        <f>IF(tblSpend[[#This Row],[Date]]="","",(YEAR(tblSpend[[#This Row],[Date]])-YEAR(YearStart))*12+MONTH(tblSpend[[#This Row],[Date]])-MONTH(YearStart)+1)</f>
        <v>3</v>
      </c>
      <c r="K55"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56" spans="2:11">
      <c r="B56" s="29">
        <v>46200</v>
      </c>
      <c r="C56" s="28" t="s">
        <v>132</v>
      </c>
      <c r="D56" s="28" t="s">
        <v>82</v>
      </c>
      <c r="E56" s="44" t="s">
        <v>204</v>
      </c>
      <c r="F56" s="28" t="s">
        <v>169</v>
      </c>
      <c r="G56" s="28" t="s">
        <v>234</v>
      </c>
      <c r="H56" s="45">
        <v>1479</v>
      </c>
      <c r="I56" s="28" t="s">
        <v>113</v>
      </c>
      <c r="J56" s="40">
        <f>IF(tblSpend[[#This Row],[Date]]="","",(YEAR(tblSpend[[#This Row],[Date]])-YEAR(YearStart))*12+MONTH(tblSpend[[#This Row],[Date]])-MONTH(YearStart)+1)</f>
        <v>3</v>
      </c>
      <c r="K56"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57" spans="2:11">
      <c r="B57" s="29">
        <v>46200</v>
      </c>
      <c r="C57" s="28" t="s">
        <v>134</v>
      </c>
      <c r="D57" s="28" t="s">
        <v>82</v>
      </c>
      <c r="E57" s="44" t="s">
        <v>155</v>
      </c>
      <c r="F57" s="28" t="s">
        <v>153</v>
      </c>
      <c r="G57" s="28" t="s">
        <v>235</v>
      </c>
      <c r="H57" s="45">
        <v>490</v>
      </c>
      <c r="I57" s="28" t="s">
        <v>113</v>
      </c>
      <c r="J57" s="40">
        <f>IF(tblSpend[[#This Row],[Date]]="","",(YEAR(tblSpend[[#This Row],[Date]])-YEAR(YearStart))*12+MONTH(tblSpend[[#This Row],[Date]])-MONTH(YearStart)+1)</f>
        <v>3</v>
      </c>
      <c r="K57"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58" spans="2:11">
      <c r="B58" s="29">
        <v>46203</v>
      </c>
      <c r="C58" s="28" t="s">
        <v>128</v>
      </c>
      <c r="D58" s="28" t="s">
        <v>94</v>
      </c>
      <c r="E58" s="44" t="s">
        <v>236</v>
      </c>
      <c r="F58" s="28" t="s">
        <v>184</v>
      </c>
      <c r="G58" s="28" t="s">
        <v>237</v>
      </c>
      <c r="H58" s="45">
        <v>4122</v>
      </c>
      <c r="I58" s="28" t="s">
        <v>113</v>
      </c>
      <c r="J58" s="40">
        <f>IF(tblSpend[[#This Row],[Date]]="","",(YEAR(tblSpend[[#This Row],[Date]])-YEAR(YearStart))*12+MONTH(tblSpend[[#This Row],[Date]])-MONTH(YearStart)+1)</f>
        <v>3</v>
      </c>
      <c r="K58"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59" spans="2:11">
      <c r="B59" s="29">
        <v>46203</v>
      </c>
      <c r="C59" s="28" t="s">
        <v>126</v>
      </c>
      <c r="D59" s="28" t="s">
        <v>94</v>
      </c>
      <c r="E59" s="44" t="s">
        <v>238</v>
      </c>
      <c r="F59" s="28" t="s">
        <v>184</v>
      </c>
      <c r="G59" s="28" t="s">
        <v>239</v>
      </c>
      <c r="H59" s="45">
        <v>30583</v>
      </c>
      <c r="I59" s="28" t="s">
        <v>113</v>
      </c>
      <c r="J59" s="40">
        <f>IF(tblSpend[[#This Row],[Date]]="","",(YEAR(tblSpend[[#This Row],[Date]])-YEAR(YearStart))*12+MONTH(tblSpend[[#This Row],[Date]])-MONTH(YearStart)+1)</f>
        <v>3</v>
      </c>
      <c r="K59"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60" spans="2:11">
      <c r="B60" s="29">
        <v>46205</v>
      </c>
      <c r="C60" s="28" t="s">
        <v>134</v>
      </c>
      <c r="D60" s="28" t="s">
        <v>82</v>
      </c>
      <c r="E60" s="44" t="s">
        <v>155</v>
      </c>
      <c r="F60" s="28" t="s">
        <v>153</v>
      </c>
      <c r="G60" s="28" t="s">
        <v>240</v>
      </c>
      <c r="H60" s="45">
        <v>588</v>
      </c>
      <c r="I60" s="28" t="s">
        <v>113</v>
      </c>
      <c r="J60" s="40">
        <f>IF(tblSpend[[#This Row],[Date]]="","",(YEAR(tblSpend[[#This Row],[Date]])-YEAR(YearStart))*12+MONTH(tblSpend[[#This Row],[Date]])-MONTH(YearStart)+1)</f>
        <v>4</v>
      </c>
      <c r="K60"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61" spans="2:11">
      <c r="B61" s="29">
        <v>46208</v>
      </c>
      <c r="C61" s="28" t="s">
        <v>132</v>
      </c>
      <c r="D61" s="28" t="s">
        <v>82</v>
      </c>
      <c r="E61" s="44" t="s">
        <v>193</v>
      </c>
      <c r="F61" s="28" t="s">
        <v>169</v>
      </c>
      <c r="G61" s="28" t="s">
        <v>241</v>
      </c>
      <c r="H61" s="45">
        <v>715</v>
      </c>
      <c r="I61" s="28" t="s">
        <v>113</v>
      </c>
      <c r="J61" s="40">
        <f>IF(tblSpend[[#This Row],[Date]]="","",(YEAR(tblSpend[[#This Row],[Date]])-YEAR(YearStart))*12+MONTH(tblSpend[[#This Row],[Date]])-MONTH(YearStart)+1)</f>
        <v>4</v>
      </c>
      <c r="K61"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62" spans="2:11">
      <c r="B62" s="29">
        <v>46209</v>
      </c>
      <c r="C62" s="28" t="s">
        <v>134</v>
      </c>
      <c r="D62" s="28" t="s">
        <v>79</v>
      </c>
      <c r="E62" s="44" t="s">
        <v>231</v>
      </c>
      <c r="F62" s="28" t="s">
        <v>153</v>
      </c>
      <c r="G62" s="28" t="s">
        <v>242</v>
      </c>
      <c r="H62" s="45">
        <v>484</v>
      </c>
      <c r="I62" s="28" t="s">
        <v>113</v>
      </c>
      <c r="J62" s="40">
        <f>IF(tblSpend[[#This Row],[Date]]="","",(YEAR(tblSpend[[#This Row],[Date]])-YEAR(YearStart))*12+MONTH(tblSpend[[#This Row],[Date]])-MONTH(YearStart)+1)</f>
        <v>4</v>
      </c>
      <c r="K62"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63" spans="2:11">
      <c r="B63" s="29">
        <v>46211</v>
      </c>
      <c r="C63" s="28" t="s">
        <v>132</v>
      </c>
      <c r="D63" s="28" t="s">
        <v>82</v>
      </c>
      <c r="E63" s="44" t="s">
        <v>243</v>
      </c>
      <c r="F63" s="28" t="s">
        <v>169</v>
      </c>
      <c r="G63" s="28" t="s">
        <v>244</v>
      </c>
      <c r="H63" s="45">
        <v>28400</v>
      </c>
      <c r="I63" s="28" t="s">
        <v>113</v>
      </c>
      <c r="J63" s="40">
        <f>IF(tblSpend[[#This Row],[Date]]="","",(YEAR(tblSpend[[#This Row],[Date]])-YEAR(YearStart))*12+MONTH(tblSpend[[#This Row],[Date]])-MONTH(YearStart)+1)</f>
        <v>4</v>
      </c>
      <c r="K63"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64" spans="2:11">
      <c r="B64" s="29">
        <v>46212</v>
      </c>
      <c r="C64" s="28" t="s">
        <v>130</v>
      </c>
      <c r="D64" s="28" t="s">
        <v>79</v>
      </c>
      <c r="E64" s="44" t="s">
        <v>214</v>
      </c>
      <c r="F64" s="28" t="s">
        <v>166</v>
      </c>
      <c r="G64" s="28" t="s">
        <v>245</v>
      </c>
      <c r="H64" s="45">
        <v>1716</v>
      </c>
      <c r="I64" s="28" t="s">
        <v>113</v>
      </c>
      <c r="J64" s="40">
        <f>IF(tblSpend[[#This Row],[Date]]="","",(YEAR(tblSpend[[#This Row],[Date]])-YEAR(YearStart))*12+MONTH(tblSpend[[#This Row],[Date]])-MONTH(YearStart)+1)</f>
        <v>4</v>
      </c>
      <c r="K64"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65" spans="2:11">
      <c r="B65" s="29">
        <v>46213</v>
      </c>
      <c r="C65" s="28" t="s">
        <v>132</v>
      </c>
      <c r="D65" s="28" t="s">
        <v>79</v>
      </c>
      <c r="E65" s="44" t="s">
        <v>195</v>
      </c>
      <c r="F65" s="28" t="s">
        <v>169</v>
      </c>
      <c r="G65" s="28" t="s">
        <v>246</v>
      </c>
      <c r="H65" s="45">
        <v>853</v>
      </c>
      <c r="I65" s="28" t="s">
        <v>113</v>
      </c>
      <c r="J65" s="40">
        <f>IF(tblSpend[[#This Row],[Date]]="","",(YEAR(tblSpend[[#This Row],[Date]])-YEAR(YearStart))*12+MONTH(tblSpend[[#This Row],[Date]])-MONTH(YearStart)+1)</f>
        <v>4</v>
      </c>
      <c r="K65"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66" spans="2:11">
      <c r="B66" s="29">
        <v>46213</v>
      </c>
      <c r="C66" s="28" t="s">
        <v>130</v>
      </c>
      <c r="D66" s="28" t="s">
        <v>82</v>
      </c>
      <c r="E66" s="44" t="s">
        <v>247</v>
      </c>
      <c r="F66" s="28" t="s">
        <v>228</v>
      </c>
      <c r="G66" s="28" t="s">
        <v>248</v>
      </c>
      <c r="H66" s="45">
        <v>6500</v>
      </c>
      <c r="I66" s="28" t="s">
        <v>113</v>
      </c>
      <c r="J66" s="40">
        <f>IF(tblSpend[[#This Row],[Date]]="","",(YEAR(tblSpend[[#This Row],[Date]])-YEAR(YearStart))*12+MONTH(tblSpend[[#This Row],[Date]])-MONTH(YearStart)+1)</f>
        <v>4</v>
      </c>
      <c r="K66"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67" spans="2:11">
      <c r="B67" s="29">
        <v>46215</v>
      </c>
      <c r="C67" s="28" t="s">
        <v>132</v>
      </c>
      <c r="D67" s="28" t="s">
        <v>79</v>
      </c>
      <c r="E67" s="44" t="s">
        <v>161</v>
      </c>
      <c r="F67" s="28" t="s">
        <v>150</v>
      </c>
      <c r="G67" s="28" t="s">
        <v>249</v>
      </c>
      <c r="H67" s="45">
        <v>780</v>
      </c>
      <c r="I67" s="28" t="s">
        <v>113</v>
      </c>
      <c r="J67" s="40">
        <f>IF(tblSpend[[#This Row],[Date]]="","",(YEAR(tblSpend[[#This Row],[Date]])-YEAR(YearStart))*12+MONTH(tblSpend[[#This Row],[Date]])-MONTH(YearStart)+1)</f>
        <v>4</v>
      </c>
      <c r="K67"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68" spans="2:11">
      <c r="B68" s="29">
        <v>46217</v>
      </c>
      <c r="C68" s="28" t="s">
        <v>130</v>
      </c>
      <c r="D68" s="28" t="s">
        <v>82</v>
      </c>
      <c r="E68" s="44" t="s">
        <v>214</v>
      </c>
      <c r="F68" s="28" t="s">
        <v>171</v>
      </c>
      <c r="G68" s="28" t="s">
        <v>250</v>
      </c>
      <c r="H68" s="45">
        <v>1547</v>
      </c>
      <c r="I68" s="28" t="s">
        <v>113</v>
      </c>
      <c r="J68" s="40">
        <f>IF(tblSpend[[#This Row],[Date]]="","",(YEAR(tblSpend[[#This Row],[Date]])-YEAR(YearStart))*12+MONTH(tblSpend[[#This Row],[Date]])-MONTH(YearStart)+1)</f>
        <v>4</v>
      </c>
      <c r="K68"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69" spans="2:11">
      <c r="B69" s="29">
        <v>46217</v>
      </c>
      <c r="C69" s="28" t="s">
        <v>138</v>
      </c>
      <c r="D69" s="28" t="s">
        <v>91</v>
      </c>
      <c r="E69" s="44" t="s">
        <v>251</v>
      </c>
      <c r="F69" s="28" t="s">
        <v>223</v>
      </c>
      <c r="G69" s="28" t="s">
        <v>252</v>
      </c>
      <c r="H69" s="45">
        <v>6200</v>
      </c>
      <c r="I69" s="28" t="s">
        <v>113</v>
      </c>
      <c r="J69" s="40">
        <f>IF(tblSpend[[#This Row],[Date]]="","",(YEAR(tblSpend[[#This Row],[Date]])-YEAR(YearStart))*12+MONTH(tblSpend[[#This Row],[Date]])-MONTH(YearStart)+1)</f>
        <v>4</v>
      </c>
      <c r="K69"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70" spans="2:11">
      <c r="B70" s="29">
        <v>46220</v>
      </c>
      <c r="C70" s="28" t="s">
        <v>130</v>
      </c>
      <c r="D70" s="28" t="s">
        <v>79</v>
      </c>
      <c r="E70" s="44" t="s">
        <v>253</v>
      </c>
      <c r="F70" s="28" t="s">
        <v>171</v>
      </c>
      <c r="G70" s="28" t="s">
        <v>254</v>
      </c>
      <c r="H70" s="45">
        <v>1895</v>
      </c>
      <c r="I70" s="28" t="s">
        <v>113</v>
      </c>
      <c r="J70" s="40">
        <f>IF(tblSpend[[#This Row],[Date]]="","",(YEAR(tblSpend[[#This Row],[Date]])-YEAR(YearStart))*12+MONTH(tblSpend[[#This Row],[Date]])-MONTH(YearStart)+1)</f>
        <v>4</v>
      </c>
      <c r="K70"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71" spans="2:11">
      <c r="B71" s="29">
        <v>46222</v>
      </c>
      <c r="C71" s="28" t="s">
        <v>134</v>
      </c>
      <c r="D71" s="28" t="s">
        <v>94</v>
      </c>
      <c r="E71" s="44" t="s">
        <v>231</v>
      </c>
      <c r="F71" s="28" t="s">
        <v>153</v>
      </c>
      <c r="G71" s="28" t="s">
        <v>255</v>
      </c>
      <c r="H71" s="45">
        <v>608</v>
      </c>
      <c r="I71" s="28" t="s">
        <v>113</v>
      </c>
      <c r="J71" s="40">
        <f>IF(tblSpend[[#This Row],[Date]]="","",(YEAR(tblSpend[[#This Row],[Date]])-YEAR(YearStart))*12+MONTH(tblSpend[[#This Row],[Date]])-MONTH(YearStart)+1)</f>
        <v>4</v>
      </c>
      <c r="K71"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72" spans="2:11">
      <c r="B72" s="29">
        <v>46224</v>
      </c>
      <c r="C72" s="28" t="s">
        <v>132</v>
      </c>
      <c r="D72" s="28" t="s">
        <v>85</v>
      </c>
      <c r="E72" s="44" t="s">
        <v>204</v>
      </c>
      <c r="F72" s="28" t="s">
        <v>150</v>
      </c>
      <c r="G72" s="28" t="s">
        <v>256</v>
      </c>
      <c r="H72" s="45">
        <v>1291</v>
      </c>
      <c r="I72" s="28" t="s">
        <v>113</v>
      </c>
      <c r="J72" s="40">
        <f>IF(tblSpend[[#This Row],[Date]]="","",(YEAR(tblSpend[[#This Row],[Date]])-YEAR(YearStart))*12+MONTH(tblSpend[[#This Row],[Date]])-MONTH(YearStart)+1)</f>
        <v>4</v>
      </c>
      <c r="K72"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73" spans="2:11">
      <c r="B73" s="29">
        <v>46225</v>
      </c>
      <c r="C73" s="28" t="s">
        <v>132</v>
      </c>
      <c r="D73" s="28" t="s">
        <v>88</v>
      </c>
      <c r="E73" s="44" t="s">
        <v>159</v>
      </c>
      <c r="F73" s="28" t="s">
        <v>169</v>
      </c>
      <c r="G73" s="28" t="s">
        <v>257</v>
      </c>
      <c r="H73" s="45">
        <v>511</v>
      </c>
      <c r="I73" s="28" t="s">
        <v>113</v>
      </c>
      <c r="J73" s="40">
        <f>IF(tblSpend[[#This Row],[Date]]="","",(YEAR(tblSpend[[#This Row],[Date]])-YEAR(YearStart))*12+MONTH(tblSpend[[#This Row],[Date]])-MONTH(YearStart)+1)</f>
        <v>4</v>
      </c>
      <c r="K73"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74" spans="2:11">
      <c r="B74" s="29">
        <v>46226</v>
      </c>
      <c r="C74" s="28" t="s">
        <v>132</v>
      </c>
      <c r="D74" s="28" t="s">
        <v>85</v>
      </c>
      <c r="E74" s="44" t="s">
        <v>212</v>
      </c>
      <c r="F74" s="28" t="s">
        <v>169</v>
      </c>
      <c r="G74" s="28" t="s">
        <v>258</v>
      </c>
      <c r="H74" s="45">
        <v>685</v>
      </c>
      <c r="I74" s="28" t="s">
        <v>113</v>
      </c>
      <c r="J74" s="40">
        <f>IF(tblSpend[[#This Row],[Date]]="","",(YEAR(tblSpend[[#This Row],[Date]])-YEAR(YearStart))*12+MONTH(tblSpend[[#This Row],[Date]])-MONTH(YearStart)+1)</f>
        <v>4</v>
      </c>
      <c r="K74"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75" spans="2:11">
      <c r="B75" s="29">
        <v>46226</v>
      </c>
      <c r="C75" s="28" t="s">
        <v>134</v>
      </c>
      <c r="D75" s="28" t="s">
        <v>79</v>
      </c>
      <c r="E75" s="44" t="s">
        <v>155</v>
      </c>
      <c r="F75" s="28" t="s">
        <v>153</v>
      </c>
      <c r="G75" s="28" t="s">
        <v>259</v>
      </c>
      <c r="H75" s="45">
        <v>677</v>
      </c>
      <c r="I75" s="28" t="s">
        <v>113</v>
      </c>
      <c r="J75" s="40">
        <f>IF(tblSpend[[#This Row],[Date]]="","",(YEAR(tblSpend[[#This Row],[Date]])-YEAR(YearStart))*12+MONTH(tblSpend[[#This Row],[Date]])-MONTH(YearStart)+1)</f>
        <v>4</v>
      </c>
      <c r="K75"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76" spans="2:11">
      <c r="B76" s="29">
        <v>46228</v>
      </c>
      <c r="C76" s="28" t="s">
        <v>132</v>
      </c>
      <c r="D76" s="28" t="s">
        <v>85</v>
      </c>
      <c r="E76" s="44" t="s">
        <v>193</v>
      </c>
      <c r="F76" s="28" t="s">
        <v>169</v>
      </c>
      <c r="G76" s="28" t="s">
        <v>260</v>
      </c>
      <c r="H76" s="45">
        <v>2282</v>
      </c>
      <c r="I76" s="28" t="s">
        <v>113</v>
      </c>
      <c r="J76" s="40">
        <f>IF(tblSpend[[#This Row],[Date]]="","",(YEAR(tblSpend[[#This Row],[Date]])-YEAR(YearStart))*12+MONTH(tblSpend[[#This Row],[Date]])-MONTH(YearStart)+1)</f>
        <v>4</v>
      </c>
      <c r="K76"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77" spans="2:11">
      <c r="B77" s="29">
        <v>46229</v>
      </c>
      <c r="C77" s="28" t="s">
        <v>132</v>
      </c>
      <c r="D77" s="28" t="s">
        <v>85</v>
      </c>
      <c r="E77" s="44" t="s">
        <v>149</v>
      </c>
      <c r="F77" s="28" t="s">
        <v>169</v>
      </c>
      <c r="G77" s="28" t="s">
        <v>261</v>
      </c>
      <c r="H77" s="45">
        <v>1007</v>
      </c>
      <c r="I77" s="28" t="s">
        <v>113</v>
      </c>
      <c r="J77" s="40">
        <f>IF(tblSpend[[#This Row],[Date]]="","",(YEAR(tblSpend[[#This Row],[Date]])-YEAR(YearStart))*12+MONTH(tblSpend[[#This Row],[Date]])-MONTH(YearStart)+1)</f>
        <v>4</v>
      </c>
      <c r="K77"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78" spans="2:11">
      <c r="B78" s="29">
        <v>46230</v>
      </c>
      <c r="C78" s="28" t="s">
        <v>132</v>
      </c>
      <c r="D78" s="28" t="s">
        <v>85</v>
      </c>
      <c r="E78" s="44" t="s">
        <v>195</v>
      </c>
      <c r="F78" s="28" t="s">
        <v>150</v>
      </c>
      <c r="G78" s="28" t="s">
        <v>262</v>
      </c>
      <c r="H78" s="45">
        <v>2020</v>
      </c>
      <c r="I78" s="28" t="s">
        <v>113</v>
      </c>
      <c r="J78" s="40">
        <f>IF(tblSpend[[#This Row],[Date]]="","",(YEAR(tblSpend[[#This Row],[Date]])-YEAR(YearStart))*12+MONTH(tblSpend[[#This Row],[Date]])-MONTH(YearStart)+1)</f>
        <v>4</v>
      </c>
      <c r="K78"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79" spans="2:11">
      <c r="B79" s="29">
        <v>46234</v>
      </c>
      <c r="C79" s="28" t="s">
        <v>128</v>
      </c>
      <c r="D79" s="28" t="s">
        <v>94</v>
      </c>
      <c r="E79" s="44" t="s">
        <v>263</v>
      </c>
      <c r="F79" s="28" t="s">
        <v>184</v>
      </c>
      <c r="G79" s="28" t="s">
        <v>264</v>
      </c>
      <c r="H79" s="45">
        <v>7900</v>
      </c>
      <c r="I79" s="28" t="s">
        <v>113</v>
      </c>
      <c r="J79" s="40">
        <f>IF(tblSpend[[#This Row],[Date]]="","",(YEAR(tblSpend[[#This Row],[Date]])-YEAR(YearStart))*12+MONTH(tblSpend[[#This Row],[Date]])-MONTH(YearStart)+1)</f>
        <v>4</v>
      </c>
      <c r="K79"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80" spans="2:11">
      <c r="B80" s="29">
        <v>46234</v>
      </c>
      <c r="C80" s="28" t="s">
        <v>126</v>
      </c>
      <c r="D80" s="28" t="s">
        <v>94</v>
      </c>
      <c r="E80" s="44" t="s">
        <v>265</v>
      </c>
      <c r="F80" s="28" t="s">
        <v>184</v>
      </c>
      <c r="G80" s="28" t="s">
        <v>266</v>
      </c>
      <c r="H80" s="45">
        <v>30475</v>
      </c>
      <c r="I80" s="28" t="s">
        <v>113</v>
      </c>
      <c r="J80" s="40">
        <f>IF(tblSpend[[#This Row],[Date]]="","",(YEAR(tblSpend[[#This Row],[Date]])-YEAR(YearStart))*12+MONTH(tblSpend[[#This Row],[Date]])-MONTH(YearStart)+1)</f>
        <v>4</v>
      </c>
      <c r="K80"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81" spans="2:11">
      <c r="B81" s="29">
        <v>46236</v>
      </c>
      <c r="C81" s="28" t="s">
        <v>132</v>
      </c>
      <c r="D81" s="28" t="s">
        <v>88</v>
      </c>
      <c r="E81" s="44" t="s">
        <v>161</v>
      </c>
      <c r="F81" s="28" t="s">
        <v>153</v>
      </c>
      <c r="G81" s="28" t="s">
        <v>267</v>
      </c>
      <c r="H81" s="45">
        <v>1182</v>
      </c>
      <c r="I81" s="28" t="s">
        <v>113</v>
      </c>
      <c r="J81" s="40">
        <f>IF(tblSpend[[#This Row],[Date]]="","",(YEAR(tblSpend[[#This Row],[Date]])-YEAR(YearStart))*12+MONTH(tblSpend[[#This Row],[Date]])-MONTH(YearStart)+1)</f>
        <v>5</v>
      </c>
      <c r="K81"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82" spans="2:11">
      <c r="B82" s="29">
        <v>46237</v>
      </c>
      <c r="C82" s="28" t="s">
        <v>130</v>
      </c>
      <c r="D82" s="28" t="s">
        <v>82</v>
      </c>
      <c r="E82" s="44" t="s">
        <v>165</v>
      </c>
      <c r="F82" s="28" t="s">
        <v>171</v>
      </c>
      <c r="G82" s="28" t="s">
        <v>268</v>
      </c>
      <c r="H82" s="45">
        <v>631</v>
      </c>
      <c r="I82" s="28" t="s">
        <v>113</v>
      </c>
      <c r="J82" s="40">
        <f>IF(tblSpend[[#This Row],[Date]]="","",(YEAR(tblSpend[[#This Row],[Date]])-YEAR(YearStart))*12+MONTH(tblSpend[[#This Row],[Date]])-MONTH(YearStart)+1)</f>
        <v>5</v>
      </c>
      <c r="K82"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83" spans="2:11">
      <c r="B83" s="29">
        <v>46241</v>
      </c>
      <c r="C83" s="28" t="s">
        <v>130</v>
      </c>
      <c r="D83" s="28" t="s">
        <v>85</v>
      </c>
      <c r="E83" s="44" t="s">
        <v>165</v>
      </c>
      <c r="F83" s="28" t="s">
        <v>228</v>
      </c>
      <c r="G83" s="28" t="s">
        <v>269</v>
      </c>
      <c r="H83" s="45">
        <v>2081</v>
      </c>
      <c r="I83" s="28" t="s">
        <v>113</v>
      </c>
      <c r="J83" s="40">
        <f>IF(tblSpend[[#This Row],[Date]]="","",(YEAR(tblSpend[[#This Row],[Date]])-YEAR(YearStart))*12+MONTH(tblSpend[[#This Row],[Date]])-MONTH(YearStart)+1)</f>
        <v>5</v>
      </c>
      <c r="K83"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84" spans="2:11">
      <c r="B84" s="29">
        <v>46242</v>
      </c>
      <c r="C84" s="28" t="s">
        <v>134</v>
      </c>
      <c r="D84" s="28" t="s">
        <v>82</v>
      </c>
      <c r="E84" s="44" t="s">
        <v>152</v>
      </c>
      <c r="F84" s="28" t="s">
        <v>153</v>
      </c>
      <c r="G84" s="28" t="s">
        <v>270</v>
      </c>
      <c r="H84" s="45">
        <v>322</v>
      </c>
      <c r="I84" s="28" t="s">
        <v>113</v>
      </c>
      <c r="J84" s="40">
        <f>IF(tblSpend[[#This Row],[Date]]="","",(YEAR(tblSpend[[#This Row],[Date]])-YEAR(YearStart))*12+MONTH(tblSpend[[#This Row],[Date]])-MONTH(YearStart)+1)</f>
        <v>5</v>
      </c>
      <c r="K84"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85" spans="2:11">
      <c r="B85" s="29">
        <v>46244</v>
      </c>
      <c r="C85" s="28" t="s">
        <v>130</v>
      </c>
      <c r="D85" s="28" t="s">
        <v>88</v>
      </c>
      <c r="E85" s="44" t="s">
        <v>214</v>
      </c>
      <c r="F85" s="28" t="s">
        <v>228</v>
      </c>
      <c r="G85" s="28" t="s">
        <v>271</v>
      </c>
      <c r="H85" s="45">
        <v>700</v>
      </c>
      <c r="I85" s="28" t="s">
        <v>113</v>
      </c>
      <c r="J85" s="40">
        <f>IF(tblSpend[[#This Row],[Date]]="","",(YEAR(tblSpend[[#This Row],[Date]])-YEAR(YearStart))*12+MONTH(tblSpend[[#This Row],[Date]])-MONTH(YearStart)+1)</f>
        <v>5</v>
      </c>
      <c r="K85"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86" spans="2:11">
      <c r="B86" s="29">
        <v>46247</v>
      </c>
      <c r="C86" s="28" t="s">
        <v>132</v>
      </c>
      <c r="D86" s="28" t="s">
        <v>85</v>
      </c>
      <c r="E86" s="44" t="s">
        <v>195</v>
      </c>
      <c r="F86" s="28" t="s">
        <v>169</v>
      </c>
      <c r="G86" s="28" t="s">
        <v>272</v>
      </c>
      <c r="H86" s="45">
        <v>2359</v>
      </c>
      <c r="I86" s="28" t="s">
        <v>113</v>
      </c>
      <c r="J86" s="40">
        <f>IF(tblSpend[[#This Row],[Date]]="","",(YEAR(tblSpend[[#This Row],[Date]])-YEAR(YearStart))*12+MONTH(tblSpend[[#This Row],[Date]])-MONTH(YearStart)+1)</f>
        <v>5</v>
      </c>
      <c r="K86"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87" spans="2:11">
      <c r="B87" s="29">
        <v>46248</v>
      </c>
      <c r="C87" s="28" t="s">
        <v>140</v>
      </c>
      <c r="D87" s="28" t="s">
        <v>79</v>
      </c>
      <c r="E87" s="44" t="s">
        <v>273</v>
      </c>
      <c r="F87" s="28" t="s">
        <v>228</v>
      </c>
      <c r="G87" s="28" t="s">
        <v>274</v>
      </c>
      <c r="H87" s="45">
        <v>16800</v>
      </c>
      <c r="I87" s="28" t="s">
        <v>113</v>
      </c>
      <c r="J87" s="40">
        <f>IF(tblSpend[[#This Row],[Date]]="","",(YEAR(tblSpend[[#This Row],[Date]])-YEAR(YearStart))*12+MONTH(tblSpend[[#This Row],[Date]])-MONTH(YearStart)+1)</f>
        <v>5</v>
      </c>
      <c r="K87"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88" spans="2:11">
      <c r="B88" s="29">
        <v>46250</v>
      </c>
      <c r="C88" s="28" t="s">
        <v>132</v>
      </c>
      <c r="D88" s="28" t="s">
        <v>79</v>
      </c>
      <c r="E88" s="44" t="s">
        <v>159</v>
      </c>
      <c r="F88" s="28" t="s">
        <v>150</v>
      </c>
      <c r="G88" s="28" t="s">
        <v>275</v>
      </c>
      <c r="H88" s="45">
        <v>381</v>
      </c>
      <c r="I88" s="28" t="s">
        <v>113</v>
      </c>
      <c r="J88" s="40">
        <f>IF(tblSpend[[#This Row],[Date]]="","",(YEAR(tblSpend[[#This Row],[Date]])-YEAR(YearStart))*12+MONTH(tblSpend[[#This Row],[Date]])-MONTH(YearStart)+1)</f>
        <v>5</v>
      </c>
      <c r="K88"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89" spans="2:11">
      <c r="B89" s="29">
        <v>46252</v>
      </c>
      <c r="C89" s="28" t="s">
        <v>138</v>
      </c>
      <c r="D89" s="28" t="s">
        <v>88</v>
      </c>
      <c r="E89" s="44" t="s">
        <v>276</v>
      </c>
      <c r="F89" s="28" t="s">
        <v>175</v>
      </c>
      <c r="G89" s="28" t="s">
        <v>277</v>
      </c>
      <c r="H89" s="45">
        <v>1800</v>
      </c>
      <c r="I89" s="28" t="s">
        <v>113</v>
      </c>
      <c r="J89" s="40">
        <f>IF(tblSpend[[#This Row],[Date]]="","",(YEAR(tblSpend[[#This Row],[Date]])-YEAR(YearStart))*12+MONTH(tblSpend[[#This Row],[Date]])-MONTH(YearStart)+1)</f>
        <v>5</v>
      </c>
      <c r="K89"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90" spans="2:11">
      <c r="B90" s="29">
        <v>46253</v>
      </c>
      <c r="C90" s="28" t="s">
        <v>132</v>
      </c>
      <c r="D90" s="28" t="s">
        <v>79</v>
      </c>
      <c r="E90" s="44" t="s">
        <v>278</v>
      </c>
      <c r="F90" s="28" t="s">
        <v>169</v>
      </c>
      <c r="G90" s="28" t="s">
        <v>279</v>
      </c>
      <c r="H90" s="45">
        <v>1516</v>
      </c>
      <c r="I90" s="28" t="s">
        <v>113</v>
      </c>
      <c r="J90" s="40">
        <f>IF(tblSpend[[#This Row],[Date]]="","",(YEAR(tblSpend[[#This Row],[Date]])-YEAR(YearStart))*12+MONTH(tblSpend[[#This Row],[Date]])-MONTH(YearStart)+1)</f>
        <v>5</v>
      </c>
      <c r="K90"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91" spans="2:11">
      <c r="B91" s="29">
        <v>46253</v>
      </c>
      <c r="C91" s="28" t="s">
        <v>132</v>
      </c>
      <c r="D91" s="28" t="s">
        <v>82</v>
      </c>
      <c r="E91" s="44" t="s">
        <v>204</v>
      </c>
      <c r="F91" s="28" t="s">
        <v>153</v>
      </c>
      <c r="G91" s="28" t="s">
        <v>280</v>
      </c>
      <c r="H91" s="45">
        <v>716</v>
      </c>
      <c r="I91" s="28" t="s">
        <v>113</v>
      </c>
      <c r="J91" s="40">
        <f>IF(tblSpend[[#This Row],[Date]]="","",(YEAR(tblSpend[[#This Row],[Date]])-YEAR(YearStart))*12+MONTH(tblSpend[[#This Row],[Date]])-MONTH(YearStart)+1)</f>
        <v>5</v>
      </c>
      <c r="K91"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92" spans="2:11">
      <c r="B92" s="29">
        <v>46254</v>
      </c>
      <c r="C92" s="28" t="s">
        <v>136</v>
      </c>
      <c r="D92" s="28" t="s">
        <v>82</v>
      </c>
      <c r="E92" s="44" t="s">
        <v>178</v>
      </c>
      <c r="F92" s="28" t="s">
        <v>179</v>
      </c>
      <c r="G92" s="28" t="s">
        <v>281</v>
      </c>
      <c r="H92" s="45">
        <v>7248</v>
      </c>
      <c r="I92" s="28" t="s">
        <v>113</v>
      </c>
      <c r="J92" s="40">
        <f>IF(tblSpend[[#This Row],[Date]]="","",(YEAR(tblSpend[[#This Row],[Date]])-YEAR(YearStart))*12+MONTH(tblSpend[[#This Row],[Date]])-MONTH(YearStart)+1)</f>
        <v>5</v>
      </c>
      <c r="K92"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93" spans="2:11">
      <c r="B93" s="29">
        <v>46255</v>
      </c>
      <c r="C93" s="28" t="s">
        <v>140</v>
      </c>
      <c r="D93" s="28" t="s">
        <v>82</v>
      </c>
      <c r="E93" s="44" t="s">
        <v>282</v>
      </c>
      <c r="F93" s="28" t="s">
        <v>228</v>
      </c>
      <c r="G93" s="28" t="s">
        <v>283</v>
      </c>
      <c r="H93" s="45">
        <v>21400</v>
      </c>
      <c r="I93" s="28" t="s">
        <v>113</v>
      </c>
      <c r="J93" s="40">
        <f>IF(tblSpend[[#This Row],[Date]]="","",(YEAR(tblSpend[[#This Row],[Date]])-YEAR(YearStart))*12+MONTH(tblSpend[[#This Row],[Date]])-MONTH(YearStart)+1)</f>
        <v>5</v>
      </c>
      <c r="K93"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94" spans="2:11">
      <c r="B94" s="29">
        <v>46256</v>
      </c>
      <c r="C94" s="28" t="s">
        <v>132</v>
      </c>
      <c r="D94" s="28" t="s">
        <v>85</v>
      </c>
      <c r="E94" s="44" t="s">
        <v>168</v>
      </c>
      <c r="F94" s="28" t="s">
        <v>153</v>
      </c>
      <c r="G94" s="28" t="s">
        <v>284</v>
      </c>
      <c r="H94" s="45">
        <v>1606</v>
      </c>
      <c r="I94" s="28" t="s">
        <v>113</v>
      </c>
      <c r="J94" s="40">
        <f>IF(tblSpend[[#This Row],[Date]]="","",(YEAR(tblSpend[[#This Row],[Date]])-YEAR(YearStart))*12+MONTH(tblSpend[[#This Row],[Date]])-MONTH(YearStart)+1)</f>
        <v>5</v>
      </c>
      <c r="K94"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95" spans="2:11">
      <c r="B95" s="29">
        <v>46257</v>
      </c>
      <c r="C95" s="28" t="s">
        <v>132</v>
      </c>
      <c r="D95" s="28" t="s">
        <v>85</v>
      </c>
      <c r="E95" s="44" t="s">
        <v>193</v>
      </c>
      <c r="F95" s="28" t="s">
        <v>153</v>
      </c>
      <c r="G95" s="28" t="s">
        <v>285</v>
      </c>
      <c r="H95" s="45">
        <v>2383</v>
      </c>
      <c r="I95" s="28" t="s">
        <v>113</v>
      </c>
      <c r="J95" s="40">
        <f>IF(tblSpend[[#This Row],[Date]]="","",(YEAR(tblSpend[[#This Row],[Date]])-YEAR(YearStart))*12+MONTH(tblSpend[[#This Row],[Date]])-MONTH(YearStart)+1)</f>
        <v>5</v>
      </c>
      <c r="K95"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96" spans="2:11">
      <c r="B96" s="29">
        <v>46259</v>
      </c>
      <c r="C96" s="28" t="s">
        <v>130</v>
      </c>
      <c r="D96" s="28" t="s">
        <v>79</v>
      </c>
      <c r="E96" s="44" t="s">
        <v>165</v>
      </c>
      <c r="F96" s="28" t="s">
        <v>228</v>
      </c>
      <c r="G96" s="28" t="s">
        <v>286</v>
      </c>
      <c r="H96" s="45">
        <v>2577</v>
      </c>
      <c r="I96" s="28" t="s">
        <v>113</v>
      </c>
      <c r="J96" s="40">
        <f>IF(tblSpend[[#This Row],[Date]]="","",(YEAR(tblSpend[[#This Row],[Date]])-YEAR(YearStart))*12+MONTH(tblSpend[[#This Row],[Date]])-MONTH(YearStart)+1)</f>
        <v>5</v>
      </c>
      <c r="K96"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97" spans="2:11">
      <c r="B97" s="29">
        <v>46259</v>
      </c>
      <c r="C97" s="28" t="s">
        <v>134</v>
      </c>
      <c r="D97" s="28" t="s">
        <v>85</v>
      </c>
      <c r="E97" s="44" t="s">
        <v>189</v>
      </c>
      <c r="F97" s="28" t="s">
        <v>153</v>
      </c>
      <c r="G97" s="28" t="s">
        <v>287</v>
      </c>
      <c r="H97" s="45">
        <v>880</v>
      </c>
      <c r="I97" s="28" t="s">
        <v>113</v>
      </c>
      <c r="J97" s="40">
        <f>IF(tblSpend[[#This Row],[Date]]="","",(YEAR(tblSpend[[#This Row],[Date]])-YEAR(YearStart))*12+MONTH(tblSpend[[#This Row],[Date]])-MONTH(YearStart)+1)</f>
        <v>5</v>
      </c>
      <c r="K97"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98" spans="2:11">
      <c r="B98" s="29">
        <v>46262</v>
      </c>
      <c r="C98" s="28" t="s">
        <v>134</v>
      </c>
      <c r="D98" s="28" t="s">
        <v>79</v>
      </c>
      <c r="E98" s="44" t="s">
        <v>231</v>
      </c>
      <c r="F98" s="28" t="s">
        <v>153</v>
      </c>
      <c r="G98" s="28" t="s">
        <v>288</v>
      </c>
      <c r="H98" s="45">
        <v>836</v>
      </c>
      <c r="I98" s="28" t="s">
        <v>113</v>
      </c>
      <c r="J98" s="40">
        <f>IF(tblSpend[[#This Row],[Date]]="","",(YEAR(tblSpend[[#This Row],[Date]])-YEAR(YearStart))*12+MONTH(tblSpend[[#This Row],[Date]])-MONTH(YearStart)+1)</f>
        <v>5</v>
      </c>
      <c r="K98"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99" spans="2:11">
      <c r="B99" s="29">
        <v>46262</v>
      </c>
      <c r="C99" s="28" t="s">
        <v>140</v>
      </c>
      <c r="D99" s="28" t="s">
        <v>88</v>
      </c>
      <c r="E99" s="44" t="s">
        <v>289</v>
      </c>
      <c r="F99" s="28" t="s">
        <v>290</v>
      </c>
      <c r="G99" s="28" t="s">
        <v>291</v>
      </c>
      <c r="H99" s="45">
        <v>9300</v>
      </c>
      <c r="I99" s="28" t="s">
        <v>113</v>
      </c>
      <c r="J99" s="40">
        <f>IF(tblSpend[[#This Row],[Date]]="","",(YEAR(tblSpend[[#This Row],[Date]])-YEAR(YearStart))*12+MONTH(tblSpend[[#This Row],[Date]])-MONTH(YearStart)+1)</f>
        <v>5</v>
      </c>
      <c r="K99"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00" spans="2:11">
      <c r="B100" s="29">
        <v>46265</v>
      </c>
      <c r="C100" s="28" t="s">
        <v>128</v>
      </c>
      <c r="D100" s="28" t="s">
        <v>94</v>
      </c>
      <c r="E100" s="44" t="s">
        <v>292</v>
      </c>
      <c r="F100" s="28" t="s">
        <v>184</v>
      </c>
      <c r="G100" s="28" t="s">
        <v>293</v>
      </c>
      <c r="H100" s="45">
        <v>3424</v>
      </c>
      <c r="I100" s="28" t="s">
        <v>113</v>
      </c>
      <c r="J100" s="40">
        <f>IF(tblSpend[[#This Row],[Date]]="","",(YEAR(tblSpend[[#This Row],[Date]])-YEAR(YearStart))*12+MONTH(tblSpend[[#This Row],[Date]])-MONTH(YearStart)+1)</f>
        <v>5</v>
      </c>
      <c r="K100"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01" spans="2:11">
      <c r="B101" s="29">
        <v>46265</v>
      </c>
      <c r="C101" s="28" t="s">
        <v>126</v>
      </c>
      <c r="D101" s="28" t="s">
        <v>94</v>
      </c>
      <c r="E101" s="44" t="s">
        <v>294</v>
      </c>
      <c r="F101" s="28" t="s">
        <v>184</v>
      </c>
      <c r="G101" s="28" t="s">
        <v>295</v>
      </c>
      <c r="H101" s="45">
        <v>30500</v>
      </c>
      <c r="I101" s="28" t="s">
        <v>113</v>
      </c>
      <c r="J101" s="40">
        <f>IF(tblSpend[[#This Row],[Date]]="","",(YEAR(tblSpend[[#This Row],[Date]])-YEAR(YearStart))*12+MONTH(tblSpend[[#This Row],[Date]])-MONTH(YearStart)+1)</f>
        <v>5</v>
      </c>
      <c r="K101"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02" spans="2:11">
      <c r="B102" s="29">
        <v>46268</v>
      </c>
      <c r="C102" s="28" t="s">
        <v>134</v>
      </c>
      <c r="D102" s="28" t="s">
        <v>94</v>
      </c>
      <c r="E102" s="44" t="s">
        <v>152</v>
      </c>
      <c r="F102" s="28" t="s">
        <v>153</v>
      </c>
      <c r="G102" s="28" t="s">
        <v>296</v>
      </c>
      <c r="H102" s="45">
        <v>331</v>
      </c>
      <c r="I102" s="28" t="s">
        <v>113</v>
      </c>
      <c r="J102" s="40">
        <f>IF(tblSpend[[#This Row],[Date]]="","",(YEAR(tblSpend[[#This Row],[Date]])-YEAR(YearStart))*12+MONTH(tblSpend[[#This Row],[Date]])-MONTH(YearStart)+1)</f>
        <v>6</v>
      </c>
      <c r="K102"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03" spans="2:11">
      <c r="B103" s="29">
        <v>46273</v>
      </c>
      <c r="C103" s="28" t="s">
        <v>130</v>
      </c>
      <c r="D103" s="28" t="s">
        <v>82</v>
      </c>
      <c r="E103" s="44" t="s">
        <v>198</v>
      </c>
      <c r="F103" s="28" t="s">
        <v>166</v>
      </c>
      <c r="G103" s="28" t="s">
        <v>297</v>
      </c>
      <c r="H103" s="45">
        <v>885</v>
      </c>
      <c r="I103" s="28" t="s">
        <v>113</v>
      </c>
      <c r="J103" s="40">
        <f>IF(tblSpend[[#This Row],[Date]]="","",(YEAR(tblSpend[[#This Row],[Date]])-YEAR(YearStart))*12+MONTH(tblSpend[[#This Row],[Date]])-MONTH(YearStart)+1)</f>
        <v>6</v>
      </c>
      <c r="K103"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04" spans="2:11">
      <c r="B104" s="29">
        <v>46273</v>
      </c>
      <c r="C104" s="28" t="s">
        <v>132</v>
      </c>
      <c r="D104" s="28" t="s">
        <v>82</v>
      </c>
      <c r="E104" s="44" t="s">
        <v>278</v>
      </c>
      <c r="F104" s="28" t="s">
        <v>169</v>
      </c>
      <c r="G104" s="28" t="s">
        <v>298</v>
      </c>
      <c r="H104" s="45">
        <v>1399</v>
      </c>
      <c r="I104" s="28" t="s">
        <v>113</v>
      </c>
      <c r="J104" s="40">
        <f>IF(tblSpend[[#This Row],[Date]]="","",(YEAR(tblSpend[[#This Row],[Date]])-YEAR(YearStart))*12+MONTH(tblSpend[[#This Row],[Date]])-MONTH(YearStart)+1)</f>
        <v>6</v>
      </c>
      <c r="K104"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05" spans="2:11">
      <c r="B105" s="29">
        <v>46274</v>
      </c>
      <c r="C105" s="28" t="s">
        <v>132</v>
      </c>
      <c r="D105" s="28" t="s">
        <v>82</v>
      </c>
      <c r="E105" s="44" t="s">
        <v>299</v>
      </c>
      <c r="F105" s="28" t="s">
        <v>169</v>
      </c>
      <c r="G105" s="28" t="s">
        <v>300</v>
      </c>
      <c r="H105" s="45">
        <v>14200</v>
      </c>
      <c r="I105" s="28" t="s">
        <v>115</v>
      </c>
      <c r="J105" s="40">
        <f>IF(tblSpend[[#This Row],[Date]]="","",(YEAR(tblSpend[[#This Row],[Date]])-YEAR(YearStart))*12+MONTH(tblSpend[[#This Row],[Date]])-MONTH(YearStart)+1)</f>
        <v>6</v>
      </c>
      <c r="K105"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06" spans="2:11">
      <c r="B106" s="29">
        <v>46275</v>
      </c>
      <c r="C106" s="28" t="s">
        <v>130</v>
      </c>
      <c r="D106" s="28" t="s">
        <v>79</v>
      </c>
      <c r="E106" s="44" t="s">
        <v>214</v>
      </c>
      <c r="F106" s="28" t="s">
        <v>228</v>
      </c>
      <c r="G106" s="28" t="s">
        <v>301</v>
      </c>
      <c r="H106" s="45">
        <v>1512</v>
      </c>
      <c r="I106" s="28" t="s">
        <v>113</v>
      </c>
      <c r="J106" s="40">
        <f>IF(tblSpend[[#This Row],[Date]]="","",(YEAR(tblSpend[[#This Row],[Date]])-YEAR(YearStart))*12+MONTH(tblSpend[[#This Row],[Date]])-MONTH(YearStart)+1)</f>
        <v>6</v>
      </c>
      <c r="K106"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07" spans="2:11">
      <c r="B107" s="29">
        <v>46281</v>
      </c>
      <c r="C107" s="28" t="s">
        <v>132</v>
      </c>
      <c r="D107" s="28" t="s">
        <v>79</v>
      </c>
      <c r="E107" s="44" t="s">
        <v>159</v>
      </c>
      <c r="F107" s="28" t="s">
        <v>153</v>
      </c>
      <c r="G107" s="28" t="s">
        <v>302</v>
      </c>
      <c r="H107" s="45">
        <v>2068</v>
      </c>
      <c r="I107" s="28" t="s">
        <v>113</v>
      </c>
      <c r="J107" s="40">
        <f>IF(tblSpend[[#This Row],[Date]]="","",(YEAR(tblSpend[[#This Row],[Date]])-YEAR(YearStart))*12+MONTH(tblSpend[[#This Row],[Date]])-MONTH(YearStart)+1)</f>
        <v>6</v>
      </c>
      <c r="K107"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08" spans="2:11">
      <c r="B108" s="29">
        <v>46281</v>
      </c>
      <c r="C108" s="28" t="s">
        <v>132</v>
      </c>
      <c r="D108" s="28" t="s">
        <v>79</v>
      </c>
      <c r="E108" s="44" t="s">
        <v>303</v>
      </c>
      <c r="F108" s="28" t="s">
        <v>150</v>
      </c>
      <c r="G108" s="28" t="s">
        <v>304</v>
      </c>
      <c r="H108" s="45">
        <v>3200</v>
      </c>
      <c r="I108" s="28" t="s">
        <v>115</v>
      </c>
      <c r="J108" s="40">
        <f>IF(tblSpend[[#This Row],[Date]]="","",(YEAR(tblSpend[[#This Row],[Date]])-YEAR(YearStart))*12+MONTH(tblSpend[[#This Row],[Date]])-MONTH(YearStart)+1)</f>
        <v>6</v>
      </c>
      <c r="K108"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09" spans="2:11">
      <c r="B109" s="29">
        <v>46283</v>
      </c>
      <c r="C109" s="28" t="s">
        <v>130</v>
      </c>
      <c r="D109" s="28" t="s">
        <v>88</v>
      </c>
      <c r="E109" s="44" t="s">
        <v>305</v>
      </c>
      <c r="F109" s="28" t="s">
        <v>306</v>
      </c>
      <c r="G109" s="28" t="s">
        <v>307</v>
      </c>
      <c r="H109" s="45">
        <v>4800</v>
      </c>
      <c r="I109" s="28" t="s">
        <v>115</v>
      </c>
      <c r="J109" s="40">
        <f>IF(tblSpend[[#This Row],[Date]]="","",(YEAR(tblSpend[[#This Row],[Date]])-YEAR(YearStart))*12+MONTH(tblSpend[[#This Row],[Date]])-MONTH(YearStart)+1)</f>
        <v>6</v>
      </c>
      <c r="K109"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10" spans="2:11">
      <c r="B110" s="29">
        <v>46286</v>
      </c>
      <c r="C110" s="28" t="s">
        <v>132</v>
      </c>
      <c r="D110" s="28" t="s">
        <v>79</v>
      </c>
      <c r="E110" s="44" t="s">
        <v>168</v>
      </c>
      <c r="F110" s="28" t="s">
        <v>153</v>
      </c>
      <c r="G110" s="28" t="s">
        <v>308</v>
      </c>
      <c r="H110" s="45">
        <v>1940</v>
      </c>
      <c r="I110" s="28" t="s">
        <v>113</v>
      </c>
      <c r="J110" s="40">
        <f>IF(tblSpend[[#This Row],[Date]]="","",(YEAR(tblSpend[[#This Row],[Date]])-YEAR(YearStart))*12+MONTH(tblSpend[[#This Row],[Date]])-MONTH(YearStart)+1)</f>
        <v>6</v>
      </c>
      <c r="K110"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11" spans="2:11">
      <c r="B111" s="29">
        <v>46287</v>
      </c>
      <c r="C111" s="28" t="s">
        <v>138</v>
      </c>
      <c r="D111" s="28" t="s">
        <v>91</v>
      </c>
      <c r="E111" s="44" t="s">
        <v>309</v>
      </c>
      <c r="F111" s="28" t="s">
        <v>223</v>
      </c>
      <c r="G111" s="28" t="s">
        <v>310</v>
      </c>
      <c r="H111" s="45">
        <v>950</v>
      </c>
      <c r="I111" s="28" t="s">
        <v>113</v>
      </c>
      <c r="J111" s="40">
        <f>IF(tblSpend[[#This Row],[Date]]="","",(YEAR(tblSpend[[#This Row],[Date]])-YEAR(YearStart))*12+MONTH(tblSpend[[#This Row],[Date]])-MONTH(YearStart)+1)</f>
        <v>6</v>
      </c>
      <c r="K111"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12" spans="2:11">
      <c r="B112" s="29">
        <v>46288</v>
      </c>
      <c r="C112" s="28" t="s">
        <v>134</v>
      </c>
      <c r="D112" s="28" t="s">
        <v>85</v>
      </c>
      <c r="E112" s="44" t="s">
        <v>152</v>
      </c>
      <c r="F112" s="28" t="s">
        <v>153</v>
      </c>
      <c r="G112" s="28" t="s">
        <v>311</v>
      </c>
      <c r="H112" s="45">
        <v>362</v>
      </c>
      <c r="I112" s="28" t="s">
        <v>113</v>
      </c>
      <c r="J112" s="40">
        <f>IF(tblSpend[[#This Row],[Date]]="","",(YEAR(tblSpend[[#This Row],[Date]])-YEAR(YearStart))*12+MONTH(tblSpend[[#This Row],[Date]])-MONTH(YearStart)+1)</f>
        <v>6</v>
      </c>
      <c r="K112"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13" spans="2:11">
      <c r="B113" s="29">
        <v>46288</v>
      </c>
      <c r="C113" s="28" t="s">
        <v>134</v>
      </c>
      <c r="D113" s="28" t="s">
        <v>88</v>
      </c>
      <c r="E113" s="44" t="s">
        <v>189</v>
      </c>
      <c r="F113" s="28" t="s">
        <v>153</v>
      </c>
      <c r="G113" s="28" t="s">
        <v>312</v>
      </c>
      <c r="H113" s="45">
        <v>309</v>
      </c>
      <c r="I113" s="28" t="s">
        <v>113</v>
      </c>
      <c r="J113" s="40">
        <f>IF(tblSpend[[#This Row],[Date]]="","",(YEAR(tblSpend[[#This Row],[Date]])-YEAR(YearStart))*12+MONTH(tblSpend[[#This Row],[Date]])-MONTH(YearStart)+1)</f>
        <v>6</v>
      </c>
      <c r="K113"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14" spans="2:11">
      <c r="B114" s="29">
        <v>46288</v>
      </c>
      <c r="C114" s="28" t="s">
        <v>136</v>
      </c>
      <c r="D114" s="28" t="s">
        <v>85</v>
      </c>
      <c r="E114" s="44" t="s">
        <v>313</v>
      </c>
      <c r="F114" s="28" t="s">
        <v>179</v>
      </c>
      <c r="G114" s="28" t="s">
        <v>314</v>
      </c>
      <c r="H114" s="45">
        <v>7800</v>
      </c>
      <c r="I114" s="28" t="s">
        <v>115</v>
      </c>
      <c r="J114" s="40">
        <f>IF(tblSpend[[#This Row],[Date]]="","",(YEAR(tblSpend[[#This Row],[Date]])-YEAR(YearStart))*12+MONTH(tblSpend[[#This Row],[Date]])-MONTH(YearStart)+1)</f>
        <v>6</v>
      </c>
      <c r="K114"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15" spans="2:11">
      <c r="B115" s="29">
        <v>46289</v>
      </c>
      <c r="C115" s="28" t="s">
        <v>132</v>
      </c>
      <c r="D115" s="28" t="s">
        <v>79</v>
      </c>
      <c r="E115" s="44" t="s">
        <v>204</v>
      </c>
      <c r="F115" s="28" t="s">
        <v>150</v>
      </c>
      <c r="G115" s="28" t="s">
        <v>315</v>
      </c>
      <c r="H115" s="45">
        <v>538</v>
      </c>
      <c r="I115" s="28" t="s">
        <v>113</v>
      </c>
      <c r="J115" s="40">
        <f>IF(tblSpend[[#This Row],[Date]]="","",(YEAR(tblSpend[[#This Row],[Date]])-YEAR(YearStart))*12+MONTH(tblSpend[[#This Row],[Date]])-MONTH(YearStart)+1)</f>
        <v>6</v>
      </c>
      <c r="K115"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16" spans="2:11">
      <c r="B116" s="29">
        <v>46289</v>
      </c>
      <c r="C116" s="28" t="s">
        <v>132</v>
      </c>
      <c r="D116" s="28" t="s">
        <v>85</v>
      </c>
      <c r="E116" s="44" t="s">
        <v>161</v>
      </c>
      <c r="F116" s="28" t="s">
        <v>150</v>
      </c>
      <c r="G116" s="28" t="s">
        <v>316</v>
      </c>
      <c r="H116" s="45">
        <v>2085</v>
      </c>
      <c r="I116" s="28" t="s">
        <v>113</v>
      </c>
      <c r="J116" s="40">
        <f>IF(tblSpend[[#This Row],[Date]]="","",(YEAR(tblSpend[[#This Row],[Date]])-YEAR(YearStart))*12+MONTH(tblSpend[[#This Row],[Date]])-MONTH(YearStart)+1)</f>
        <v>6</v>
      </c>
      <c r="K116"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17" spans="2:11">
      <c r="B117" s="29">
        <v>46289</v>
      </c>
      <c r="C117" s="28" t="s">
        <v>138</v>
      </c>
      <c r="D117" s="28" t="s">
        <v>91</v>
      </c>
      <c r="E117" s="44" t="s">
        <v>317</v>
      </c>
      <c r="F117" s="28" t="s">
        <v>223</v>
      </c>
      <c r="G117" s="28" t="s">
        <v>318</v>
      </c>
      <c r="H117" s="45">
        <v>2200</v>
      </c>
      <c r="I117" s="28" t="s">
        <v>115</v>
      </c>
      <c r="J117" s="40">
        <f>IF(tblSpend[[#This Row],[Date]]="","",(YEAR(tblSpend[[#This Row],[Date]])-YEAR(YearStart))*12+MONTH(tblSpend[[#This Row],[Date]])-MONTH(YearStart)+1)</f>
        <v>6</v>
      </c>
      <c r="K117"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18" spans="2:11">
      <c r="B118" s="29">
        <v>46290</v>
      </c>
      <c r="C118" s="28" t="s">
        <v>132</v>
      </c>
      <c r="D118" s="28" t="s">
        <v>79</v>
      </c>
      <c r="E118" s="44" t="s">
        <v>193</v>
      </c>
      <c r="F118" s="28" t="s">
        <v>153</v>
      </c>
      <c r="G118" s="28" t="s">
        <v>319</v>
      </c>
      <c r="H118" s="45">
        <v>1794</v>
      </c>
      <c r="I118" s="28" t="s">
        <v>113</v>
      </c>
      <c r="J118" s="40">
        <f>IF(tblSpend[[#This Row],[Date]]="","",(YEAR(tblSpend[[#This Row],[Date]])-YEAR(YearStart))*12+MONTH(tblSpend[[#This Row],[Date]])-MONTH(YearStart)+1)</f>
        <v>6</v>
      </c>
      <c r="K118"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19" spans="2:11">
      <c r="B119" s="29">
        <v>46290</v>
      </c>
      <c r="C119" s="28" t="s">
        <v>132</v>
      </c>
      <c r="D119" s="28" t="s">
        <v>88</v>
      </c>
      <c r="E119" s="44" t="s">
        <v>204</v>
      </c>
      <c r="F119" s="28" t="s">
        <v>169</v>
      </c>
      <c r="G119" s="28" t="s">
        <v>320</v>
      </c>
      <c r="H119" s="45">
        <v>1919</v>
      </c>
      <c r="I119" s="28" t="s">
        <v>113</v>
      </c>
      <c r="J119" s="40">
        <f>IF(tblSpend[[#This Row],[Date]]="","",(YEAR(tblSpend[[#This Row],[Date]])-YEAR(YearStart))*12+MONTH(tblSpend[[#This Row],[Date]])-MONTH(YearStart)+1)</f>
        <v>6</v>
      </c>
      <c r="K119"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20" spans="2:11">
      <c r="B120" s="29">
        <v>46293</v>
      </c>
      <c r="C120" s="28" t="s">
        <v>132</v>
      </c>
      <c r="D120" s="28" t="s">
        <v>88</v>
      </c>
      <c r="E120" s="44" t="s">
        <v>157</v>
      </c>
      <c r="F120" s="28" t="s">
        <v>153</v>
      </c>
      <c r="G120" s="28" t="s">
        <v>321</v>
      </c>
      <c r="H120" s="45">
        <v>1162</v>
      </c>
      <c r="I120" s="28" t="s">
        <v>113</v>
      </c>
      <c r="J120" s="40">
        <f>IF(tblSpend[[#This Row],[Date]]="","",(YEAR(tblSpend[[#This Row],[Date]])-YEAR(YearStart))*12+MONTH(tblSpend[[#This Row],[Date]])-MONTH(YearStart)+1)</f>
        <v>6</v>
      </c>
      <c r="K120"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21" spans="2:11">
      <c r="B121" s="29">
        <v>46293</v>
      </c>
      <c r="C121" s="28" t="s">
        <v>132</v>
      </c>
      <c r="D121" s="28" t="s">
        <v>88</v>
      </c>
      <c r="E121" s="44" t="s">
        <v>168</v>
      </c>
      <c r="F121" s="28" t="s">
        <v>169</v>
      </c>
      <c r="G121" s="28" t="s">
        <v>322</v>
      </c>
      <c r="H121" s="45">
        <v>1266</v>
      </c>
      <c r="I121" s="28" t="s">
        <v>113</v>
      </c>
      <c r="J121" s="40">
        <f>IF(tblSpend[[#This Row],[Date]]="","",(YEAR(tblSpend[[#This Row],[Date]])-YEAR(YearStart))*12+MONTH(tblSpend[[#This Row],[Date]])-MONTH(YearStart)+1)</f>
        <v>6</v>
      </c>
      <c r="K121"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22" spans="2:11">
      <c r="B122" s="29">
        <v>46294</v>
      </c>
      <c r="C122" s="28" t="s">
        <v>140</v>
      </c>
      <c r="D122" s="28" t="s">
        <v>79</v>
      </c>
      <c r="E122" s="44" t="s">
        <v>323</v>
      </c>
      <c r="F122" s="28" t="s">
        <v>228</v>
      </c>
      <c r="G122" s="28" t="s">
        <v>324</v>
      </c>
      <c r="H122" s="45">
        <v>12000</v>
      </c>
      <c r="I122" s="28" t="s">
        <v>115</v>
      </c>
      <c r="J122" s="40">
        <f>IF(tblSpend[[#This Row],[Date]]="","",(YEAR(tblSpend[[#This Row],[Date]])-YEAR(YearStart))*12+MONTH(tblSpend[[#This Row],[Date]])-MONTH(YearStart)+1)</f>
        <v>6</v>
      </c>
      <c r="K122"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23" spans="2:11">
      <c r="B123" s="29">
        <v>46295</v>
      </c>
      <c r="C123" s="28" t="s">
        <v>130</v>
      </c>
      <c r="D123" s="28" t="s">
        <v>85</v>
      </c>
      <c r="E123" s="44" t="s">
        <v>325</v>
      </c>
      <c r="F123" s="28" t="s">
        <v>171</v>
      </c>
      <c r="G123" s="28" t="s">
        <v>326</v>
      </c>
      <c r="H123" s="45">
        <v>3400</v>
      </c>
      <c r="I123" s="28" t="s">
        <v>114</v>
      </c>
      <c r="J123" s="40">
        <f>IF(tblSpend[[#This Row],[Date]]="","",(YEAR(tblSpend[[#This Row],[Date]])-YEAR(YearStart))*12+MONTH(tblSpend[[#This Row],[Date]])-MONTH(YearStart)+1)</f>
        <v>6</v>
      </c>
      <c r="K123"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24" spans="2:11">
      <c r="B124" s="29">
        <v>46295</v>
      </c>
      <c r="C124" s="28" t="s">
        <v>132</v>
      </c>
      <c r="D124" s="28" t="s">
        <v>79</v>
      </c>
      <c r="E124" s="44" t="s">
        <v>327</v>
      </c>
      <c r="F124" s="28" t="s">
        <v>150</v>
      </c>
      <c r="G124" s="28" t="s">
        <v>328</v>
      </c>
      <c r="H124" s="45">
        <v>1900</v>
      </c>
      <c r="I124" s="28" t="s">
        <v>114</v>
      </c>
      <c r="J124" s="40">
        <f>IF(tblSpend[[#This Row],[Date]]="","",(YEAR(tblSpend[[#This Row],[Date]])-YEAR(YearStart))*12+MONTH(tblSpend[[#This Row],[Date]])-MONTH(YearStart)+1)</f>
        <v>6</v>
      </c>
      <c r="K124"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25" spans="2:11">
      <c r="B125" s="29">
        <v>46295</v>
      </c>
      <c r="C125" s="28" t="s">
        <v>128</v>
      </c>
      <c r="D125" s="28" t="s">
        <v>94</v>
      </c>
      <c r="E125" s="44" t="s">
        <v>329</v>
      </c>
      <c r="F125" s="28" t="s">
        <v>184</v>
      </c>
      <c r="G125" s="28" t="s">
        <v>330</v>
      </c>
      <c r="H125" s="45">
        <v>2899</v>
      </c>
      <c r="I125" s="28" t="s">
        <v>113</v>
      </c>
      <c r="J125" s="40">
        <f>IF(tblSpend[[#This Row],[Date]]="","",(YEAR(tblSpend[[#This Row],[Date]])-YEAR(YearStart))*12+MONTH(tblSpend[[#This Row],[Date]])-MONTH(YearStart)+1)</f>
        <v>6</v>
      </c>
      <c r="K125"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row r="126" spans="2:11">
      <c r="B126" s="29">
        <v>46295</v>
      </c>
      <c r="C126" s="28" t="s">
        <v>126</v>
      </c>
      <c r="D126" s="28" t="s">
        <v>94</v>
      </c>
      <c r="E126" s="44" t="s">
        <v>331</v>
      </c>
      <c r="F126" s="28" t="s">
        <v>184</v>
      </c>
      <c r="G126" s="28" t="s">
        <v>332</v>
      </c>
      <c r="H126" s="45">
        <v>30426</v>
      </c>
      <c r="I126" s="28" t="s">
        <v>113</v>
      </c>
      <c r="J126" s="40">
        <f>IF(tblSpend[[#This Row],[Date]]="","",(YEAR(tblSpend[[#This Row],[Date]])-YEAR(YearStart))*12+MONTH(tblSpend[[#This Row],[Date]])-MONTH(YearStart)+1)</f>
        <v>6</v>
      </c>
      <c r="K126" s="43" t="str">
        <f>IF(tblSpend[[#This Row],[Date]]="","",IF(tblSpend[[#This Row],[Category]]="","Missing category",IF(tblSpend[[#This Row],[Amount]]="","Missing amount",IF(tblSpend[[#This Row],[Status]]="","Missing status",IF(COUNTIF(tblBudget[Category],tblSpend[[#This Row],[Category]])=0,"Category not on the Budget sheet",IF(AND(tblSpend[[#This Row],[Area]]&lt;&gt;"",COUNTIF(tblAreas[Area],tblSpend[[#This Row],[Area]])=0),"Area not on Setup list",IF(OR(tblSpend[[#This Row],[Month no.]]&lt;1,tblSpend[[#This Row],[Month no.]]&gt;12),"Date outside the budget year",IF(tblSpend[[#This Row],[Date]]&gt;AsOf,"Date after the spend-recorded-to date","OK"))))))))</f>
        <v>OK</v>
      </c>
    </row>
  </sheetData>
  <mergeCells count="3">
    <mergeCell ref="A1:K1"/>
    <mergeCell ref="B2:J2"/>
    <mergeCell ref="B4:K4"/>
  </mergeCells>
  <conditionalFormatting sqref="K7:K626">
    <cfRule type="expression" dxfId="3" priority="1">
      <formula>$K7="OK"</formula>
    </cfRule>
    <cfRule type="expression" dxfId="1" priority="2">
      <formula>AND($K7&lt;&gt;"",$K7&lt;&gt;"OK")</formula>
    </cfRule>
  </conditionalFormatting>
  <dataValidations count="8">
    <dataValidation type="date" allowBlank="1" showInputMessage="1" showErrorMessage="1" errorTitle="Check this entry" error="Enter a date between 01 Jan 2000 and 31 Dec 2100." promptTitle="Date" prompt="Invoice date for Posted, the month end for Accrued, the order date for Committed. Enter a date between 01 Jan 2000 and 31 Dec 2100." sqref="B7:B626">
      <formula1>36526</formula1>
      <formula2>73415</formula2>
    </dataValidation>
    <dataValidation type="list" allowBlank="1" showInputMessage="1" showErrorMessage="1" errorTitle="Check this entry" error="Pick from the list (edit the list on Setup: Categories)." promptTitle="Category" prompt="Pick from the list (edit the list on Setup: Categories)." sqref="C7:C626">
      <formula1>Categories</formula1>
    </dataValidation>
    <dataValidation type="list" allowBlank="1" showInputMessage="1" showErrorMessage="1" errorTitle="Check this entry" error="Pick from the list (edit the list on Setup: Areas)." promptTitle="Area" prompt="Pick from the list (edit the list on Setup: Areas)." sqref="D7:D626">
      <formula1>Areas</formula1>
    </dataValidation>
    <dataValidation type="textLength" allowBlank="1" showInputMessage="1" showErrorMessage="1" errorTitle="Check this entry" error="Text up to 255 characters." promptTitle="Description" prompt="Text up to 255 characters." sqref="E7:E626">
      <formula1>0</formula1>
      <formula2>255</formula2>
    </dataValidation>
    <dataValidation type="textLength" allowBlank="1" showInputMessage="1" showErrorMessage="1" errorTitle="Check this entry" error="Text up to 80 characters." promptTitle="Supplier" prompt="Text up to 80 characters." sqref="F7:F626">
      <formula1>0</formula1>
      <formula2>80</formula2>
    </dataValidation>
    <dataValidation type="textLength" allowBlank="1" showInputMessage="1" showErrorMessage="1" errorTitle="Check this entry" error="Text up to 40 characters." promptTitle="Reference" prompt="Invoice, accrual or purchase order number. Text up to 40 characters." sqref="G7:G626">
      <formula1>0</formula1>
      <formula2>40</formula2>
    </dataValidation>
    <dataValidation type="decimal" allowBlank="1" showInputMessage="1" showErrorMessage="1" errorTitle="Check this entry" error="Enter a number of at least -1,000,000,000." promptTitle="Amount" prompt="Net of tax. Type a credit note as a negative amount. Enter a number of at least -1,000,000,000." sqref="H7:H626">
      <formula1>-1000000000.0</formula1>
      <formula2>1000000000.0</formula2>
    </dataValidation>
    <dataValidation type="list" allowBlank="1" showInputMessage="1" showErrorMessage="1" errorTitle="Check this entry" error="Pick one of: Posted, Accrued, Committed." promptTitle="Status" prompt="Posted = invoiced; Accrued = incurred, invoice not yet received; Committed = open purchase order. Change Committed to Posted when the invoice arrives. Pick one of: Posted, Accrued, Committed." sqref="I7:I626">
      <formula1>"Posted,Accrued,Committed"</formula1>
    </dataValidation>
  </dataValidations>
  <hyperlinks>
    <hyperlink ref="K2" r:id="rId1" tooltip="Free manufacturing calculators and templates"/>
  </hyperlinks>
  <pageMargins left="0.4" right="0.4" top="0.7" bottom="0.65" header="0.3" footer="0.3"/>
  <pageSetup fitToHeight="0" orientation="landscape"/>
  <headerFooter>
    <oddHeader>&amp;L&amp;8MFG Calcs - Maintenance Budget Tracker&amp;R&amp;8&amp;A</oddHeader>
    <oddFooter>&amp;L&amp;8mfgcalcs.com - free manufacturing templates&amp;R&amp;8Page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L70"/>
  <sheetViews>
    <sheetView showGridLines="0" zoomScale="90" zoomScaleNormal="90" workbookViewId="0"/>
  </sheetViews>
  <sheetFormatPr defaultRowHeight="15" x14ac:dyDescent="0.25"/>
  <cols>
    <col min="1" max="1" width="2.7109375" customWidth="1"/>
    <col min="2" max="2" width="20.7109375" customWidth="1"/>
    <col min="3" max="12" width="10.7109375" customWidth="1"/>
  </cols>
  <sheetData>
    <row r="1" spans="1:12" ht="30" customHeight="1" x14ac:dyDescent="0.25">
      <c r="A1" s="1" t="s">
        <v>0</v>
      </c>
      <c r="B1" s="1"/>
      <c r="C1" s="1"/>
      <c r="D1" s="1"/>
      <c r="E1" s="1"/>
      <c r="F1" s="1"/>
      <c r="G1" s="1"/>
      <c r="H1" s="1"/>
      <c r="I1" s="1"/>
      <c r="J1" s="1"/>
      <c r="K1" s="1"/>
      <c r="L1" s="1"/>
    </row>
    <row r="2" spans="1:12" ht="21" customHeight="1" x14ac:dyDescent="0.25">
      <c r="B2" s="2" t="s">
        <v>24</v>
      </c>
      <c r="C2" s="2"/>
      <c r="D2" s="2"/>
      <c r="E2" s="2"/>
      <c r="F2" s="2"/>
      <c r="G2" s="2"/>
      <c r="H2" s="2"/>
      <c r="I2" s="2"/>
      <c r="J2" s="2"/>
      <c r="K2" s="3" t="s">
        <v>2</v>
      </c>
      <c r="L2" s="3"/>
    </row>
    <row r="3" spans="1:12" ht="6" customHeight="1" x14ac:dyDescent="0.25"/>
    <row r="4" spans="1:12" x14ac:dyDescent="0.25">
      <c r="B4" s="46" t="str">
        <f>IFERROR("Budget year from "&amp;TEXT(YearStart,"mmm yyyy")&amp;"; spend recorded to "&amp;TEXT(AsOf,"d mmm yyyy")&amp;" ("&amp;Elapsed&amp;" of 12 months closed). Amounts in "&amp;Currency&amp;".","")</f>
        <v>Budget year from Apr 2026; spend recorded to 30 Sep 2026 (6 of 12 months closed). Amounts in GBP.</v>
      </c>
      <c r="C4" s="46"/>
      <c r="D4" s="46"/>
      <c r="E4" s="46"/>
      <c r="F4" s="46"/>
      <c r="G4" s="46"/>
      <c r="H4" s="46"/>
      <c r="I4" s="46"/>
      <c r="J4" s="46"/>
      <c r="K4" s="46"/>
      <c r="L4" s="46"/>
    </row>
    <row r="6" spans="1:12" ht="18" customHeight="1" x14ac:dyDescent="0.25">
      <c r="B6" s="47" t="str">
        <f>"ANNUAL BUDGET ("&amp;Currency&amp;")"</f>
        <v>ANNUAL BUDGET (GBP)</v>
      </c>
      <c r="C6" s="47"/>
      <c r="D6" s="47" t="str">
        <f>"ACTUAL TO DATE ("&amp;Currency&amp;")"</f>
        <v>ACTUAL TO DATE (GBP)</v>
      </c>
      <c r="E6" s="47"/>
      <c r="F6" s="47"/>
      <c r="G6" s="47" t="str">
        <f>"BUDGET REMAINING ("&amp;Currency&amp;")"</f>
        <v>BUDGET REMAINING (GBP)</v>
      </c>
      <c r="H6" s="47"/>
      <c r="I6" s="47"/>
      <c r="J6" s="47" t="s">
        <v>333</v>
      </c>
      <c r="K6" s="47"/>
      <c r="L6" s="47"/>
    </row>
    <row r="7" spans="1:12" ht="21" customHeight="1" x14ac:dyDescent="0.25">
      <c r="B7" s="48">
        <f>SUM(tblBudget[Annual budget])</f>
        <v>836000</v>
      </c>
      <c r="C7" s="48"/>
      <c r="D7" s="48">
        <f>SUM(tblBudget[Actual to date])</f>
        <v>451158</v>
      </c>
      <c r="E7" s="48"/>
      <c r="F7" s="48"/>
      <c r="G7" s="49">
        <f>SUM(tblBudget[Remaining])</f>
        <v>340642</v>
      </c>
      <c r="H7" s="49"/>
      <c r="I7" s="49"/>
      <c r="J7" s="50">
        <f>IF((SUM(tblBudget[Annual budget]))=0,"",(SUM(tblBudget[Spent + committed]))/(SUM(tblBudget[Annual budget])))</f>
        <v>0.592533492822967</v>
      </c>
      <c r="K7" s="50"/>
      <c r="L7" s="50"/>
    </row>
    <row r="8" spans="1:12" ht="21" customHeight="1" x14ac:dyDescent="0.25">
      <c r="B8" s="48"/>
      <c r="C8" s="48"/>
      <c r="D8" s="48"/>
      <c r="E8" s="48"/>
      <c r="F8" s="48"/>
      <c r="G8" s="49"/>
      <c r="H8" s="49"/>
      <c r="I8" s="49"/>
      <c r="J8" s="50"/>
      <c r="K8" s="50"/>
      <c r="L8" s="50"/>
    </row>
    <row r="9" spans="1:12" x14ac:dyDescent="0.25">
      <c r="B9" s="51" t="s">
        <v>334</v>
      </c>
      <c r="C9" s="51"/>
      <c r="D9" s="51" t="s">
        <v>335</v>
      </c>
      <c r="E9" s="51"/>
      <c r="F9" s="51"/>
      <c r="G9" s="51" t="s">
        <v>336</v>
      </c>
      <c r="H9" s="51"/>
      <c r="I9" s="51"/>
      <c r="J9" s="52">
        <f>1</f>
        <v>1</v>
      </c>
      <c r="K9" s="52"/>
      <c r="L9" s="52"/>
    </row>
    <row r="10" spans="1:12" ht="18" customHeight="1" x14ac:dyDescent="0.25">
      <c r="B10" s="53"/>
      <c r="C10" s="53"/>
      <c r="D10" s="53"/>
      <c r="E10" s="53"/>
      <c r="F10" s="53"/>
      <c r="G10" s="53"/>
      <c r="H10" s="53"/>
      <c r="I10" s="53"/>
      <c r="J10" s="53" t="str">
        <f>IF(NOT(ISNUMBER(KpiUsed)),"No data",IF(KpiUsed&lt;=(NearAt),"Within limits",IF(KpiUsed&lt;=(1),"Check","Out of limits")))</f>
        <v>Within limits</v>
      </c>
      <c r="K10" s="53"/>
      <c r="L10" s="53"/>
    </row>
    <row r="28" spans="2:12" ht="18" customHeight="1" x14ac:dyDescent="0.25">
      <c r="B28" s="47" t="str">
        <f>"VARIANCE TO DATE ("&amp;Currency&amp;")"</f>
        <v>VARIANCE TO DATE (GBP)</v>
      </c>
      <c r="C28" s="47"/>
      <c r="D28" s="47" t="str">
        <f>"OPEN ORDERS ("&amp;Currency&amp;")"</f>
        <v>OPEN ORDERS (GBP)</v>
      </c>
      <c r="E28" s="47"/>
      <c r="F28" s="47"/>
      <c r="G28" s="47" t="s">
        <v>337</v>
      </c>
      <c r="H28" s="47"/>
      <c r="I28" s="47"/>
      <c r="J28" s="47" t="s">
        <v>338</v>
      </c>
      <c r="K28" s="47"/>
      <c r="L28" s="47"/>
    </row>
    <row r="29" spans="2:12" ht="21" customHeight="1" x14ac:dyDescent="0.25">
      <c r="B29" s="49">
        <f>SUM(tblBudget[Variance to date])</f>
        <v>-10158</v>
      </c>
      <c r="C29" s="49"/>
      <c r="D29" s="48">
        <f>SUM(tblBudget[Committed])</f>
        <v>44200</v>
      </c>
      <c r="E29" s="48"/>
      <c r="F29" s="48"/>
      <c r="G29" s="48">
        <f>COUNTIFS(tblBudget[Status],"Out of limits")</f>
        <v>1</v>
      </c>
      <c r="H29" s="48"/>
      <c r="I29" s="48"/>
      <c r="J29" s="48">
        <f>Elapsed</f>
        <v>6</v>
      </c>
      <c r="K29" s="48"/>
      <c r="L29" s="48"/>
    </row>
    <row r="30" spans="2:12" ht="21" customHeight="1" x14ac:dyDescent="0.25">
      <c r="B30" s="49"/>
      <c r="C30" s="49"/>
      <c r="D30" s="48"/>
      <c r="E30" s="48"/>
      <c r="F30" s="48"/>
      <c r="G30" s="48"/>
      <c r="H30" s="48"/>
      <c r="I30" s="48"/>
      <c r="J30" s="48"/>
      <c r="K30" s="48"/>
      <c r="L30" s="48"/>
    </row>
    <row r="31" spans="2:12" x14ac:dyDescent="0.25">
      <c r="B31" s="51" t="s">
        <v>339</v>
      </c>
      <c r="C31" s="51"/>
      <c r="D31" s="51" t="s">
        <v>340</v>
      </c>
      <c r="E31" s="51"/>
      <c r="F31" s="51"/>
      <c r="G31" s="51" t="s">
        <v>341</v>
      </c>
      <c r="H31" s="51"/>
      <c r="I31" s="51"/>
      <c r="J31" s="51" t="s">
        <v>342</v>
      </c>
      <c r="K31" s="51"/>
      <c r="L31" s="51"/>
    </row>
    <row r="32" spans="2:12" ht="18" customHeight="1" x14ac:dyDescent="0.25">
      <c r="B32" s="53"/>
      <c r="C32" s="53"/>
      <c r="D32" s="53"/>
      <c r="E32" s="53"/>
      <c r="F32" s="53"/>
      <c r="G32" s="53"/>
      <c r="H32" s="53"/>
      <c r="I32" s="53"/>
      <c r="J32" s="53"/>
      <c r="K32" s="53"/>
      <c r="L32" s="53"/>
    </row>
    <row r="34" spans="2:10" x14ac:dyDescent="0.25">
      <c r="B34" s="32" t="s">
        <v>343</v>
      </c>
      <c r="C34" s="32"/>
      <c r="D34" s="32"/>
      <c r="E34" s="32"/>
      <c r="F34" s="32"/>
      <c r="G34" s="32"/>
      <c r="H34" s="32"/>
      <c r="I34" s="32"/>
      <c r="J34" s="32"/>
    </row>
    <row r="35" spans="2:10" ht="32" customHeight="1" x14ac:dyDescent="0.25">
      <c r="B35" s="34" t="s">
        <v>97</v>
      </c>
      <c r="C35" s="33" t="s">
        <v>111</v>
      </c>
      <c r="D35" s="33" t="s">
        <v>112</v>
      </c>
      <c r="E35" s="33" t="s">
        <v>116</v>
      </c>
      <c r="F35" s="33" t="s">
        <v>115</v>
      </c>
      <c r="G35" s="33" t="s">
        <v>118</v>
      </c>
      <c r="H35" s="33" t="s">
        <v>119</v>
      </c>
      <c r="I35" s="33" t="s">
        <v>344</v>
      </c>
      <c r="J35" s="33" t="s">
        <v>121</v>
      </c>
    </row>
    <row r="36" spans="2:10" x14ac:dyDescent="0.25">
      <c r="B36" s="54" t="str">
        <f>IFERROR(INDEX(tblBudget[Category],1)&amp;"","")</f>
        <v>In-house labour</v>
      </c>
      <c r="C36" s="40">
        <f>IF($B$36="","",SUMIFS(tblBudget[Annual budget],tblBudget[Category],$B$36))</f>
        <v>360000</v>
      </c>
      <c r="D36" s="40">
        <f>IF($B$36="","",SUMIFS(tblBudget[Budget to date],tblBudget[Category],$B$36))</f>
        <v>180000</v>
      </c>
      <c r="E36" s="40">
        <f>IF($B$36="","",SUMIFS(tblBudget[Actual to date],tblBudget[Category],$B$36))</f>
        <v>182048</v>
      </c>
      <c r="F36" s="40">
        <f>IF($B$36="","",SUMIFS(tblBudget[Committed],tblBudget[Category],$B$36))</f>
        <v>0</v>
      </c>
      <c r="G36" s="40">
        <f>IF($B$36="","",SUMIFS(tblBudget[Spent + committed],tblBudget[Category],$B$36))</f>
        <v>182048</v>
      </c>
      <c r="H36" s="41">
        <f>IF($B$36="","",$C$36-$G$36)</f>
        <v>177952</v>
      </c>
      <c r="I36" s="55">
        <f>IF($B$36="","",IF(($C$36)=0,"",($G$36)/($C$36)))</f>
        <v>0.505688888888889</v>
      </c>
      <c r="J36" s="36" t="str">
        <f>IF($B$36="","",IF($I$36="","",IF($I$36&gt;1,"Out of limits",IF($I$36&gt;NearAt,"Check","Within limits"))))</f>
        <v>Within limits</v>
      </c>
    </row>
    <row r="37" spans="2:10" x14ac:dyDescent="0.25">
      <c r="B37" s="54" t="str">
        <f>IFERROR(INDEX(tblBudget[Category],2)&amp;"","")</f>
        <v>Overtime</v>
      </c>
      <c r="C37" s="40">
        <f>IF($B$37="","",SUMIFS(tblBudget[Annual budget],tblBudget[Category],$B$37))</f>
        <v>42000</v>
      </c>
      <c r="D37" s="40">
        <f>IF($B$37="","",SUMIFS(tblBudget[Budget to date],tblBudget[Category],$B$37))</f>
        <v>21000</v>
      </c>
      <c r="E37" s="40">
        <f>IF($B$37="","",SUMIFS(tblBudget[Actual to date],tblBudget[Category],$B$37))</f>
        <v>26463</v>
      </c>
      <c r="F37" s="40">
        <f>IF($B$37="","",SUMIFS(tblBudget[Committed],tblBudget[Category],$B$37))</f>
        <v>0</v>
      </c>
      <c r="G37" s="40">
        <f>IF($B$37="","",SUMIFS(tblBudget[Spent + committed],tblBudget[Category],$B$37))</f>
        <v>26463</v>
      </c>
      <c r="H37" s="41">
        <f>IF($B$37="","",$C$37-$G$37)</f>
        <v>15537</v>
      </c>
      <c r="I37" s="55">
        <f>IF($B$37="","",IF(($C$37)=0,"",($G$37)/($C$37)))</f>
        <v>0.630071428571429</v>
      </c>
      <c r="J37" s="36" t="str">
        <f>IF($B$37="","",IF($I$37="","",IF($I$37&gt;1,"Out of limits",IF($I$37&gt;NearAt,"Check","Within limits"))))</f>
        <v>Within limits</v>
      </c>
    </row>
    <row r="38" spans="2:10" x14ac:dyDescent="0.25">
      <c r="B38" s="54" t="str">
        <f>IFERROR(INDEX(tblBudget[Category],3)&amp;"","")</f>
        <v>Contractors</v>
      </c>
      <c r="C38" s="40">
        <f>IF($B$38="","",SUMIFS(tblBudget[Annual budget],tblBudget[Category],$B$38))</f>
        <v>90000</v>
      </c>
      <c r="D38" s="40">
        <f>IF($B$38="","",SUMIFS(tblBudget[Budget to date],tblBudget[Category],$B$38))</f>
        <v>48000</v>
      </c>
      <c r="E38" s="40">
        <f>IF($B$38="","",SUMIFS(tblBudget[Actual to date],tblBudget[Category],$B$38))</f>
        <v>33108</v>
      </c>
      <c r="F38" s="40">
        <f>IF($B$38="","",SUMIFS(tblBudget[Committed],tblBudget[Category],$B$38))</f>
        <v>4800</v>
      </c>
      <c r="G38" s="40">
        <f>IF($B$38="","",SUMIFS(tblBudget[Spent + committed],tblBudget[Category],$B$38))</f>
        <v>37908</v>
      </c>
      <c r="H38" s="41">
        <f>IF($B$38="","",$C$38-$G$38)</f>
        <v>52092</v>
      </c>
      <c r="I38" s="55">
        <f>IF($B$38="","",IF(($C$38)=0,"",($G$38)/($C$38)))</f>
        <v>0.4212</v>
      </c>
      <c r="J38" s="36" t="str">
        <f>IF($B$38="","",IF($I$38="","",IF($I$38&gt;1,"Out of limits",IF($I$38&gt;NearAt,"Check","Within limits"))))</f>
        <v>Within limits</v>
      </c>
    </row>
    <row r="39" spans="2:10" x14ac:dyDescent="0.25">
      <c r="B39" s="54" t="str">
        <f>IFERROR(INDEX(tblBudget[Category],4)&amp;"","")</f>
        <v>Spare parts</v>
      </c>
      <c r="C39" s="40">
        <f>IF($B$39="","",SUMIFS(tblBudget[Annual budget],tblBudget[Category],$B$39))</f>
        <v>150000</v>
      </c>
      <c r="D39" s="40">
        <f>IF($B$39="","",SUMIFS(tblBudget[Budget to date],tblBudget[Category],$B$39))</f>
        <v>75000</v>
      </c>
      <c r="E39" s="40">
        <f>IF($B$39="","",SUMIFS(tblBudget[Actual to date],tblBudget[Category],$B$39))</f>
        <v>103318</v>
      </c>
      <c r="F39" s="40">
        <f>IF($B$39="","",SUMIFS(tblBudget[Committed],tblBudget[Category],$B$39))</f>
        <v>17400</v>
      </c>
      <c r="G39" s="40">
        <f>IF($B$39="","",SUMIFS(tblBudget[Spent + committed],tblBudget[Category],$B$39))</f>
        <v>120718</v>
      </c>
      <c r="H39" s="41">
        <f>IF($B$39="","",$C$39-$G$39)</f>
        <v>29282</v>
      </c>
      <c r="I39" s="55">
        <f>IF($B$39="","",IF(($C$39)=0,"",($G$39)/($C$39)))</f>
        <v>0.804786666666667</v>
      </c>
      <c r="J39" s="36" t="str">
        <f>IF($B$39="","",IF($I$39="","",IF($I$39&gt;1,"Out of limits",IF($I$39&gt;NearAt,"Check","Within limits"))))</f>
        <v>Within limits</v>
      </c>
    </row>
    <row r="40" spans="2:10" x14ac:dyDescent="0.25">
      <c r="B40" s="54" t="str">
        <f>IFERROR(INDEX(tblBudget[Category],5)&amp;"","")</f>
        <v>Consumables and oils</v>
      </c>
      <c r="C40" s="40">
        <f>IF($B$40="","",SUMIFS(tblBudget[Annual budget],tblBudget[Category],$B$40))</f>
        <v>30000</v>
      </c>
      <c r="D40" s="40">
        <f>IF($B$40="","",SUMIFS(tblBudget[Budget to date],tblBudget[Category],$B$40))</f>
        <v>15000</v>
      </c>
      <c r="E40" s="40">
        <f>IF($B$40="","",SUMIFS(tblBudget[Actual to date],tblBudget[Category],$B$40))</f>
        <v>10455</v>
      </c>
      <c r="F40" s="40">
        <f>IF($B$40="","",SUMIFS(tblBudget[Committed],tblBudget[Category],$B$40))</f>
        <v>0</v>
      </c>
      <c r="G40" s="40">
        <f>IF($B$40="","",SUMIFS(tblBudget[Spent + committed],tblBudget[Category],$B$40))</f>
        <v>10455</v>
      </c>
      <c r="H40" s="41">
        <f>IF($B$40="","",$C$40-$G$40)</f>
        <v>19545</v>
      </c>
      <c r="I40" s="55">
        <f>IF($B$40="","",IF(($C$40)=0,"",($G$40)/($C$40)))</f>
        <v>0.3485</v>
      </c>
      <c r="J40" s="36" t="str">
        <f>IF($B$40="","",IF($I$40="","",IF($I$40&gt;1,"Out of limits",IF($I$40&gt;NearAt,"Check","Within limits"))))</f>
        <v>Within limits</v>
      </c>
    </row>
    <row r="41" spans="2:10" x14ac:dyDescent="0.25">
      <c r="B41" s="54" t="str">
        <f>IFERROR(INDEX(tblBudget[Category],6)&amp;"","")</f>
        <v>Tooling and dies</v>
      </c>
      <c r="C41" s="40">
        <f>IF($B$41="","",SUMIFS(tblBudget[Annual budget],tblBudget[Category],$B$41))</f>
        <v>60000</v>
      </c>
      <c r="D41" s="40">
        <f>IF($B$41="","",SUMIFS(tblBudget[Budget to date],tblBudget[Category],$B$41))</f>
        <v>30000</v>
      </c>
      <c r="E41" s="40">
        <f>IF($B$41="","",SUMIFS(tblBudget[Actual to date],tblBudget[Category],$B$41))</f>
        <v>23966</v>
      </c>
      <c r="F41" s="40">
        <f>IF($B$41="","",SUMIFS(tblBudget[Committed],tblBudget[Category],$B$41))</f>
        <v>7800</v>
      </c>
      <c r="G41" s="40">
        <f>IF($B$41="","",SUMIFS(tblBudget[Spent + committed],tblBudget[Category],$B$41))</f>
        <v>31766</v>
      </c>
      <c r="H41" s="41">
        <f>IF($B$41="","",$C$41-$G$41)</f>
        <v>28234</v>
      </c>
      <c r="I41" s="55">
        <f>IF($B$41="","",IF(($C$41)=0,"",($G$41)/($C$41)))</f>
        <v>0.529433333333333</v>
      </c>
      <c r="J41" s="36" t="str">
        <f>IF($B$41="","",IF($I$41="","",IF($I$41&gt;1,"Out of limits",IF($I$41&gt;NearAt,"Check","Within limits"))))</f>
        <v>Within limits</v>
      </c>
    </row>
    <row r="42" spans="2:10" x14ac:dyDescent="0.25">
      <c r="B42" s="54" t="str">
        <f>IFERROR(INDEX(tblBudget[Category],7)&amp;"","")</f>
        <v>Inspections</v>
      </c>
      <c r="C42" s="40">
        <f>IF($B$42="","",SUMIFS(tblBudget[Annual budget],tblBudget[Category],$B$42))</f>
        <v>24000</v>
      </c>
      <c r="D42" s="40">
        <f>IF($B$42="","",SUMIFS(tblBudget[Budget to date],tblBudget[Category],$B$42))</f>
        <v>12000</v>
      </c>
      <c r="E42" s="40">
        <f>IF($B$42="","",SUMIFS(tblBudget[Actual to date],tblBudget[Category],$B$42))</f>
        <v>24300</v>
      </c>
      <c r="F42" s="40">
        <f>IF($B$42="","",SUMIFS(tblBudget[Committed],tblBudget[Category],$B$42))</f>
        <v>2200</v>
      </c>
      <c r="G42" s="40">
        <f>IF($B$42="","",SUMIFS(tblBudget[Spent + committed],tblBudget[Category],$B$42))</f>
        <v>26500</v>
      </c>
      <c r="H42" s="41">
        <f>IF($B$42="","",$C$42-$G$42)</f>
        <v>-2500</v>
      </c>
      <c r="I42" s="55">
        <f>IF($B$42="","",IF(($C$42)=0,"",($G$42)/($C$42)))</f>
        <v>1.10416666666667</v>
      </c>
      <c r="J42" s="36" t="str">
        <f>IF($B$42="","",IF($I$42="","",IF($I$42&gt;1,"Out of limits",IF($I$42&gt;NearAt,"Check","Within limits"))))</f>
        <v>Out of limits</v>
      </c>
    </row>
    <row r="43" spans="2:10" x14ac:dyDescent="0.25">
      <c r="B43" s="54" t="str">
        <f>IFERROR(INDEX(tblBudget[Category],8)&amp;"","")</f>
        <v>Planned shutdown</v>
      </c>
      <c r="C43" s="40">
        <f>IF($B$43="","",SUMIFS(tblBudget[Annual budget],tblBudget[Category],$B$43))</f>
        <v>80000</v>
      </c>
      <c r="D43" s="40">
        <f>IF($B$43="","",SUMIFS(tblBudget[Budget to date],tblBudget[Category],$B$43))</f>
        <v>60000</v>
      </c>
      <c r="E43" s="40">
        <f>IF($B$43="","",SUMIFS(tblBudget[Actual to date],tblBudget[Category],$B$43))</f>
        <v>47500</v>
      </c>
      <c r="F43" s="40">
        <f>IF($B$43="","",SUMIFS(tblBudget[Committed],tblBudget[Category],$B$43))</f>
        <v>12000</v>
      </c>
      <c r="G43" s="40">
        <f>IF($B$43="","",SUMIFS(tblBudget[Spent + committed],tblBudget[Category],$B$43))</f>
        <v>59500</v>
      </c>
      <c r="H43" s="41">
        <f>IF($B$43="","",$C$43-$G$43)</f>
        <v>20500</v>
      </c>
      <c r="I43" s="55">
        <f>IF($B$43="","",IF(($C$43)=0,"",($G$43)/($C$43)))</f>
        <v>0.74375</v>
      </c>
      <c r="J43" s="36" t="str">
        <f>IF($B$43="","",IF($I$43="","",IF($I$43&gt;1,"Out of limits",IF($I$43&gt;NearAt,"Check","Within limits"))))</f>
        <v>Within limits</v>
      </c>
    </row>
    <row r="45" spans="2:10" x14ac:dyDescent="0.25">
      <c r="B45" s="32" t="s">
        <v>345</v>
      </c>
      <c r="C45" s="32"/>
      <c r="D45" s="32"/>
      <c r="E45" s="32"/>
      <c r="F45" s="32"/>
      <c r="G45" s="32"/>
      <c r="H45" s="32"/>
      <c r="I45" s="32"/>
    </row>
    <row r="46" spans="2:10" ht="32" customHeight="1" x14ac:dyDescent="0.25">
      <c r="B46" s="34" t="s">
        <v>124</v>
      </c>
      <c r="C46" s="33" t="s">
        <v>19</v>
      </c>
      <c r="D46" s="33" t="s">
        <v>113</v>
      </c>
      <c r="E46" s="33" t="s">
        <v>114</v>
      </c>
      <c r="F46" s="33" t="s">
        <v>346</v>
      </c>
      <c r="G46" s="33" t="s">
        <v>347</v>
      </c>
      <c r="H46" s="33" t="s">
        <v>348</v>
      </c>
      <c r="I46" s="33" t="s">
        <v>349</v>
      </c>
    </row>
    <row r="47" spans="2:10" x14ac:dyDescent="0.25">
      <c r="B47" s="56">
        <f>INDEX(Budget!$D$4:$O$4,1)</f>
        <v>46113</v>
      </c>
      <c r="C47" s="40">
        <f>SUM(tblBudget[M1])</f>
        <v>61500</v>
      </c>
      <c r="D47" s="40">
        <f>SUMIFS(tblSpend[Amount],tblSpend[Month no.],1,tblSpend[Status],"Posted")</f>
        <v>62447</v>
      </c>
      <c r="E47" s="40">
        <f>SUMIFS(tblSpend[Amount],tblSpend[Month no.],1,tblSpend[Status],"Accrued")</f>
        <v>0</v>
      </c>
      <c r="F47" s="40">
        <f>IF(1&gt;Elapsed,"",$D$47+$E$47)</f>
        <v>62447</v>
      </c>
      <c r="G47" s="41">
        <f>IF(1&gt;Elapsed,"",$C$47-$F$47)</f>
        <v>-947</v>
      </c>
      <c r="H47" s="40">
        <f>SUM(INDEX($C$47:$C$58,1):INDEX($C$47:$C$58,1))</f>
        <v>61500</v>
      </c>
      <c r="I47" s="40">
        <f>IF(1&gt;Elapsed,"",SUM(INDEX($F$47:$F$58,1):INDEX($F$47:$F$58,1)))</f>
        <v>62447</v>
      </c>
    </row>
    <row r="48" spans="2:10" x14ac:dyDescent="0.25">
      <c r="B48" s="56">
        <f>INDEX(Budget!$D$4:$O$4,2)</f>
        <v>46143</v>
      </c>
      <c r="C48" s="40">
        <f>SUM(tblBudget[M2])</f>
        <v>61500</v>
      </c>
      <c r="D48" s="40">
        <f>SUMIFS(tblSpend[Amount],tblSpend[Month no.],2,tblSpend[Status],"Posted")</f>
        <v>53947</v>
      </c>
      <c r="E48" s="40">
        <f>SUMIFS(tblSpend[Amount],tblSpend[Month no.],2,tblSpend[Status],"Accrued")</f>
        <v>0</v>
      </c>
      <c r="F48" s="40">
        <f>IF(2&gt;Elapsed,"",$D$48+$E$48)</f>
        <v>53947</v>
      </c>
      <c r="G48" s="41">
        <f>IF(2&gt;Elapsed,"",$C$48-$F$48)</f>
        <v>7553</v>
      </c>
      <c r="H48" s="40">
        <f>SUM(INDEX($C$47:$C$58,1):INDEX($C$47:$C$58,2))</f>
        <v>123000</v>
      </c>
      <c r="I48" s="40">
        <f>IF(2&gt;Elapsed,"",SUM(INDEX($F$47:$F$58,1):INDEX($F$47:$F$58,2)))</f>
        <v>116394</v>
      </c>
    </row>
    <row r="49" spans="2:9" x14ac:dyDescent="0.25">
      <c r="B49" s="56">
        <f>INDEX(Budget!$D$4:$O$4,3)</f>
        <v>46174</v>
      </c>
      <c r="C49" s="40">
        <f>SUM(tblBudget[M3])</f>
        <v>61500</v>
      </c>
      <c r="D49" s="40">
        <f>SUMIFS(tblSpend[Amount],tblSpend[Month no.],3,tblSpend[Status],"Posted")</f>
        <v>71843</v>
      </c>
      <c r="E49" s="40">
        <f>SUMIFS(tblSpend[Amount],tblSpend[Month no.],3,tblSpend[Status],"Accrued")</f>
        <v>0</v>
      </c>
      <c r="F49" s="40">
        <f>IF(3&gt;Elapsed,"",$D$49+$E$49)</f>
        <v>71843</v>
      </c>
      <c r="G49" s="41">
        <f>IF(3&gt;Elapsed,"",$C$49-$F$49)</f>
        <v>-10343</v>
      </c>
      <c r="H49" s="40">
        <f>SUM(INDEX($C$47:$C$58,1):INDEX($C$47:$C$58,3))</f>
        <v>184500</v>
      </c>
      <c r="I49" s="40">
        <f>IF(3&gt;Elapsed,"",SUM(INDEX($F$47:$F$58,1):INDEX($F$47:$F$58,3)))</f>
        <v>188237</v>
      </c>
    </row>
    <row r="50" spans="2:9" x14ac:dyDescent="0.25">
      <c r="B50" s="56">
        <f>INDEX(Budget!$D$4:$O$4,4)</f>
        <v>46204</v>
      </c>
      <c r="C50" s="40">
        <f>SUM(tblBudget[M4])</f>
        <v>61500</v>
      </c>
      <c r="D50" s="40">
        <f>SUMIFS(tblSpend[Amount],tblSpend[Month no.],4,tblSpend[Status],"Posted")</f>
        <v>97134</v>
      </c>
      <c r="E50" s="40">
        <f>SUMIFS(tblSpend[Amount],tblSpend[Month no.],4,tblSpend[Status],"Accrued")</f>
        <v>0</v>
      </c>
      <c r="F50" s="40">
        <f>IF(4&gt;Elapsed,"",$D$50+$E$50)</f>
        <v>97134</v>
      </c>
      <c r="G50" s="41">
        <f>IF(4&gt;Elapsed,"",$C$50-$F$50)</f>
        <v>-35634</v>
      </c>
      <c r="H50" s="40">
        <f>SUM(INDEX($C$47:$C$58,1):INDEX($C$47:$C$58,4))</f>
        <v>246000</v>
      </c>
      <c r="I50" s="40">
        <f>IF(4&gt;Elapsed,"",SUM(INDEX($F$47:$F$58,1):INDEX($F$47:$F$58,4)))</f>
        <v>285371</v>
      </c>
    </row>
    <row r="51" spans="2:9" x14ac:dyDescent="0.25">
      <c r="B51" s="56">
        <f>INDEX(Budget!$D$4:$O$4,5)</f>
        <v>46235</v>
      </c>
      <c r="C51" s="40">
        <f>SUM(tblBudget[M5])</f>
        <v>133500</v>
      </c>
      <c r="D51" s="40">
        <f>SUMIFS(tblSpend[Amount],tblSpend[Month no.],5,tblSpend[Status],"Posted")</f>
        <v>108642</v>
      </c>
      <c r="E51" s="40">
        <f>SUMIFS(tblSpend[Amount],tblSpend[Month no.],5,tblSpend[Status],"Accrued")</f>
        <v>0</v>
      </c>
      <c r="F51" s="40">
        <f>IF(5&gt;Elapsed,"",$D$51+$E$51)</f>
        <v>108642</v>
      </c>
      <c r="G51" s="41">
        <f>IF(5&gt;Elapsed,"",$C$51-$F$51)</f>
        <v>24858</v>
      </c>
      <c r="H51" s="40">
        <f>SUM(INDEX($C$47:$C$58,1):INDEX($C$47:$C$58,5))</f>
        <v>379500</v>
      </c>
      <c r="I51" s="40">
        <f>IF(5&gt;Elapsed,"",SUM(INDEX($F$47:$F$58,1):INDEX($F$47:$F$58,5)))</f>
        <v>394013</v>
      </c>
    </row>
    <row r="52" spans="2:9" x14ac:dyDescent="0.25">
      <c r="B52" s="56">
        <f>INDEX(Budget!$D$4:$O$4,6)</f>
        <v>46266</v>
      </c>
      <c r="C52" s="40">
        <f>SUM(tblBudget[M6])</f>
        <v>61500</v>
      </c>
      <c r="D52" s="40">
        <f>SUMIFS(tblSpend[Amount],tblSpend[Month no.],6,tblSpend[Status],"Posted")</f>
        <v>51845</v>
      </c>
      <c r="E52" s="40">
        <f>SUMIFS(tblSpend[Amount],tblSpend[Month no.],6,tblSpend[Status],"Accrued")</f>
        <v>5300</v>
      </c>
      <c r="F52" s="40">
        <f>IF(6&gt;Elapsed,"",$D$52+$E$52)</f>
        <v>57145</v>
      </c>
      <c r="G52" s="41">
        <f>IF(6&gt;Elapsed,"",$C$52-$F$52)</f>
        <v>4355</v>
      </c>
      <c r="H52" s="40">
        <f>SUM(INDEX($C$47:$C$58,1):INDEX($C$47:$C$58,6))</f>
        <v>441000</v>
      </c>
      <c r="I52" s="40">
        <f>IF(6&gt;Elapsed,"",SUM(INDEX($F$47:$F$58,1):INDEX($F$47:$F$58,6)))</f>
        <v>451158</v>
      </c>
    </row>
    <row r="53" spans="2:9" x14ac:dyDescent="0.25">
      <c r="B53" s="56">
        <f>INDEX(Budget!$D$4:$O$4,7)</f>
        <v>46296</v>
      </c>
      <c r="C53" s="40">
        <f>SUM(tblBudget[M7])</f>
        <v>61500</v>
      </c>
      <c r="D53" s="40">
        <f>SUMIFS(tblSpend[Amount],tblSpend[Month no.],7,tblSpend[Status],"Posted")</f>
        <v>0</v>
      </c>
      <c r="E53" s="40">
        <f>SUMIFS(tblSpend[Amount],tblSpend[Month no.],7,tblSpend[Status],"Accrued")</f>
        <v>0</v>
      </c>
      <c r="F53" s="40">
        <f>IF(7&gt;Elapsed,"",$D$53+$E$53)</f>
        <v/>
      </c>
      <c r="G53" s="41">
        <f>IF(7&gt;Elapsed,"",$C$53-$F$53)</f>
        <v/>
      </c>
      <c r="H53" s="40">
        <f>SUM(INDEX($C$47:$C$58,1):INDEX($C$47:$C$58,7))</f>
        <v>502500</v>
      </c>
      <c r="I53" s="40">
        <f>IF(7&gt;Elapsed,"",SUM(INDEX($F$47:$F$58,1):INDEX($F$47:$F$58,7)))</f>
        <v/>
      </c>
    </row>
    <row r="54" spans="2:9" x14ac:dyDescent="0.25">
      <c r="B54" s="56">
        <f>INDEX(Budget!$D$4:$O$4,8)</f>
        <v>46327</v>
      </c>
      <c r="C54" s="40">
        <f>SUM(tblBudget[M8])</f>
        <v>61500</v>
      </c>
      <c r="D54" s="40">
        <f>SUMIFS(tblSpend[Amount],tblSpend[Month no.],8,tblSpend[Status],"Posted")</f>
        <v>0</v>
      </c>
      <c r="E54" s="40">
        <f>SUMIFS(tblSpend[Amount],tblSpend[Month no.],8,tblSpend[Status],"Accrued")</f>
        <v>0</v>
      </c>
      <c r="F54" s="40">
        <f>IF(8&gt;Elapsed,"",$D$54+$E$54)</f>
        <v/>
      </c>
      <c r="G54" s="41">
        <f>IF(8&gt;Elapsed,"",$C$54-$F$54)</f>
        <v/>
      </c>
      <c r="H54" s="40">
        <f>SUM(INDEX($C$47:$C$58,1):INDEX($C$47:$C$58,8))</f>
        <v>564000</v>
      </c>
      <c r="I54" s="40">
        <f>IF(8&gt;Elapsed,"",SUM(INDEX($F$47:$F$58,1):INDEX($F$47:$F$58,8)))</f>
        <v/>
      </c>
    </row>
    <row r="55" spans="2:9" x14ac:dyDescent="0.25">
      <c r="B55" s="56">
        <f>INDEX(Budget!$D$4:$O$4,9)</f>
        <v>46357</v>
      </c>
      <c r="C55" s="40">
        <f>SUM(tblBudget[M9])</f>
        <v>81500</v>
      </c>
      <c r="D55" s="40">
        <f>SUMIFS(tblSpend[Amount],tblSpend[Month no.],9,tblSpend[Status],"Posted")</f>
        <v>0</v>
      </c>
      <c r="E55" s="40">
        <f>SUMIFS(tblSpend[Amount],tblSpend[Month no.],9,tblSpend[Status],"Accrued")</f>
        <v>0</v>
      </c>
      <c r="F55" s="40">
        <f>IF(9&gt;Elapsed,"",$D$55+$E$55)</f>
        <v/>
      </c>
      <c r="G55" s="41">
        <f>IF(9&gt;Elapsed,"",$C$55-$F$55)</f>
        <v/>
      </c>
      <c r="H55" s="40">
        <f>SUM(INDEX($C$47:$C$58,1):INDEX($C$47:$C$58,9))</f>
        <v>645500</v>
      </c>
      <c r="I55" s="40">
        <f>IF(9&gt;Elapsed,"",SUM(INDEX($F$47:$F$58,1):INDEX($F$47:$F$58,9)))</f>
        <v/>
      </c>
    </row>
    <row r="56" spans="2:9" x14ac:dyDescent="0.25">
      <c r="B56" s="56">
        <f>INDEX(Budget!$D$4:$O$4,10)</f>
        <v>46388</v>
      </c>
      <c r="C56" s="40">
        <f>SUM(tblBudget[M10])</f>
        <v>67500</v>
      </c>
      <c r="D56" s="40">
        <f>SUMIFS(tblSpend[Amount],tblSpend[Month no.],10,tblSpend[Status],"Posted")</f>
        <v>0</v>
      </c>
      <c r="E56" s="40">
        <f>SUMIFS(tblSpend[Amount],tblSpend[Month no.],10,tblSpend[Status],"Accrued")</f>
        <v>0</v>
      </c>
      <c r="F56" s="40">
        <f>IF(10&gt;Elapsed,"",$D$56+$E$56)</f>
        <v/>
      </c>
      <c r="G56" s="41">
        <f>IF(10&gt;Elapsed,"",$C$56-$F$56)</f>
        <v/>
      </c>
      <c r="H56" s="40">
        <f>SUM(INDEX($C$47:$C$58,1):INDEX($C$47:$C$58,10))</f>
        <v>713000</v>
      </c>
      <c r="I56" s="40">
        <f>IF(10&gt;Elapsed,"",SUM(INDEX($F$47:$F$58,1):INDEX($F$47:$F$58,10)))</f>
        <v/>
      </c>
    </row>
    <row r="57" spans="2:9" x14ac:dyDescent="0.25">
      <c r="B57" s="56">
        <f>INDEX(Budget!$D$4:$O$4,11)</f>
        <v>46419</v>
      </c>
      <c r="C57" s="40">
        <f>SUM(tblBudget[M11])</f>
        <v>61500</v>
      </c>
      <c r="D57" s="40">
        <f>SUMIFS(tblSpend[Amount],tblSpend[Month no.],11,tblSpend[Status],"Posted")</f>
        <v>0</v>
      </c>
      <c r="E57" s="40">
        <f>SUMIFS(tblSpend[Amount],tblSpend[Month no.],11,tblSpend[Status],"Accrued")</f>
        <v>0</v>
      </c>
      <c r="F57" s="40">
        <f>IF(11&gt;Elapsed,"",$D$57+$E$57)</f>
        <v/>
      </c>
      <c r="G57" s="41">
        <f>IF(11&gt;Elapsed,"",$C$57-$F$57)</f>
        <v/>
      </c>
      <c r="H57" s="40">
        <f>SUM(INDEX($C$47:$C$58,1):INDEX($C$47:$C$58,11))</f>
        <v>774500</v>
      </c>
      <c r="I57" s="40">
        <f>IF(11&gt;Elapsed,"",SUM(INDEX($F$47:$F$58,1):INDEX($F$47:$F$58,11)))</f>
        <v/>
      </c>
    </row>
    <row r="58" spans="2:9" x14ac:dyDescent="0.25">
      <c r="B58" s="56">
        <f>INDEX(Budget!$D$4:$O$4,12)</f>
        <v>46447</v>
      </c>
      <c r="C58" s="40">
        <f>SUM(tblBudget[M12])</f>
        <v>61500</v>
      </c>
      <c r="D58" s="40">
        <f>SUMIFS(tblSpend[Amount],tblSpend[Month no.],12,tblSpend[Status],"Posted")</f>
        <v>0</v>
      </c>
      <c r="E58" s="40">
        <f>SUMIFS(tblSpend[Amount],tblSpend[Month no.],12,tblSpend[Status],"Accrued")</f>
        <v>0</v>
      </c>
      <c r="F58" s="40">
        <f>IF(12&gt;Elapsed,"",$D$58+$E$58)</f>
        <v/>
      </c>
      <c r="G58" s="41">
        <f>IF(12&gt;Elapsed,"",$C$58-$F$58)</f>
        <v/>
      </c>
      <c r="H58" s="40">
        <f>SUM(INDEX($C$47:$C$58,1):INDEX($C$47:$C$58,12))</f>
        <v>836000</v>
      </c>
      <c r="I58" s="40">
        <f>IF(12&gt;Elapsed,"",SUM(INDEX($F$47:$F$58,1):INDEX($F$47:$F$58,12)))</f>
        <v/>
      </c>
    </row>
    <row r="60" spans="2:9" x14ac:dyDescent="0.25">
      <c r="B60" s="32" t="s">
        <v>350</v>
      </c>
      <c r="C60" s="32"/>
      <c r="D60" s="32"/>
      <c r="E60" s="32"/>
    </row>
    <row r="61" spans="2:9" ht="32" customHeight="1" x14ac:dyDescent="0.25">
      <c r="B61" s="34" t="s">
        <v>62</v>
      </c>
      <c r="C61" s="33" t="s">
        <v>116</v>
      </c>
      <c r="D61" s="33" t="s">
        <v>115</v>
      </c>
      <c r="E61" s="33" t="s">
        <v>351</v>
      </c>
    </row>
    <row r="62" spans="2:9" x14ac:dyDescent="0.25">
      <c r="B62" s="54" t="str">
        <f>IFERROR(INDEX(tblAreas[Area],1)&amp;"","")</f>
        <v>Line 1</v>
      </c>
      <c r="C62" s="40">
        <f>IF($B$62="","",SUMIFS(tblSpend[Amount],tblSpend[Area],$B$62,tblSpend[Status],"Posted",tblSpend[Month no.],"&gt;=1",tblSpend[Month no.],"&lt;=12")+SUMIFS(tblSpend[Amount],tblSpend[Area],$B$62,tblSpend[Status],"Accrued",tblSpend[Month no.],"&gt;=1",tblSpend[Month no.],"&lt;=12"))</f>
        <v>59526</v>
      </c>
      <c r="D62" s="40">
        <f>IF($B$62="","",SUMIFS(tblSpend[Amount],tblSpend[Area],$B$62,tblSpend[Status],"Committed",tblSpend[Month no.],"&gt;=1",tblSpend[Month no.],"&lt;=12"))</f>
        <v>15200</v>
      </c>
      <c r="E62" s="42">
        <f>IF($B$62="","",IF((SUM($C$62:$C$67))=0,"",($C$62)/(SUM($C$62:$C$67))))</f>
        <v>0.131940473182344</v>
      </c>
    </row>
    <row r="63" spans="2:9" x14ac:dyDescent="0.25">
      <c r="B63" s="54" t="str">
        <f>IFERROR(INDEX(tblAreas[Area],2)&amp;"","")</f>
        <v>Line 2</v>
      </c>
      <c r="C63" s="40">
        <f>IF($B$63="","",SUMIFS(tblSpend[Amount],tblSpend[Area],$B$63,tblSpend[Status],"Posted",tblSpend[Month no.],"&gt;=1",tblSpend[Month no.],"&lt;=12")+SUMIFS(tblSpend[Amount],tblSpend[Area],$B$63,tblSpend[Status],"Accrued",tblSpend[Month no.],"&gt;=1",tblSpend[Month no.],"&lt;=12"))</f>
        <v>79919</v>
      </c>
      <c r="D63" s="40">
        <f>IF($B$63="","",SUMIFS(tblSpend[Amount],tblSpend[Area],$B$63,tblSpend[Status],"Committed",tblSpend[Month no.],"&gt;=1",tblSpend[Month no.],"&lt;=12"))</f>
        <v>14200</v>
      </c>
      <c r="E63" s="42">
        <f>IF($B$63="","",IF((SUM($C$62:$C$67))=0,"",($C$63)/(SUM($C$62:$C$67))))</f>
        <v>0.177141932538047</v>
      </c>
    </row>
    <row r="64" spans="2:9" x14ac:dyDescent="0.25">
      <c r="B64" s="54" t="str">
        <f>IFERROR(INDEX(tblAreas[Area],3)&amp;"","")</f>
        <v>Line 3</v>
      </c>
      <c r="C64" s="40">
        <f>IF($B$64="","",SUMIFS(tblSpend[Amount],tblSpend[Area],$B$64,tblSpend[Status],"Posted",tblSpend[Month no.],"&gt;=1",tblSpend[Month no.],"&lt;=12")+SUMIFS(tblSpend[Amount],tblSpend[Area],$B$64,tblSpend[Status],"Accrued",tblSpend[Month no.],"&gt;=1",tblSpend[Month no.],"&lt;=12"))</f>
        <v>43619</v>
      </c>
      <c r="D64" s="40">
        <f>IF($B$64="","",SUMIFS(tblSpend[Amount],tblSpend[Area],$B$64,tblSpend[Status],"Committed",tblSpend[Month no.],"&gt;=1",tblSpend[Month no.],"&lt;=12"))</f>
        <v>7800</v>
      </c>
      <c r="E64" s="42">
        <f>IF($B$64="","",IF((SUM($C$62:$C$67))=0,"",($C$64)/(SUM($C$62:$C$67))))</f>
        <v>0.0966823152864407</v>
      </c>
    </row>
    <row r="65" spans="2:12" x14ac:dyDescent="0.25">
      <c r="B65" s="54" t="str">
        <f>IFERROR(INDEX(tblAreas[Area],4)&amp;"","")</f>
        <v>Utilities</v>
      </c>
      <c r="C65" s="40">
        <f>IF($B$65="","",SUMIFS(tblSpend[Amount],tblSpend[Area],$B$65,tblSpend[Status],"Posted",tblSpend[Month no.],"&gt;=1",tblSpend[Month no.],"&lt;=12")+SUMIFS(tblSpend[Amount],tblSpend[Area],$B$65,tblSpend[Status],"Accrued",tblSpend[Month no.],"&gt;=1",tblSpend[Month no.],"&lt;=12"))</f>
        <v>38004</v>
      </c>
      <c r="D65" s="40">
        <f>IF($B$65="","",SUMIFS(tblSpend[Amount],tblSpend[Area],$B$65,tblSpend[Status],"Committed",tblSpend[Month no.],"&gt;=1",tblSpend[Month no.],"&lt;=12"))</f>
        <v>4800</v>
      </c>
      <c r="E65" s="42">
        <f>IF($B$65="","",IF((SUM($C$62:$C$67))=0,"",($C$65)/(SUM($C$62:$C$67))))</f>
        <v>0.08423656457383</v>
      </c>
    </row>
    <row r="66" spans="2:12" x14ac:dyDescent="0.25">
      <c r="B66" s="54" t="str">
        <f>IFERROR(INDEX(tblAreas[Area],5)&amp;"","")</f>
        <v>Site</v>
      </c>
      <c r="C66" s="40">
        <f>IF($B$66="","",SUMIFS(tblSpend[Amount],tblSpend[Area],$B$66,tblSpend[Status],"Posted",tblSpend[Month no.],"&gt;=1",tblSpend[Month no.],"&lt;=12")+SUMIFS(tblSpend[Amount],tblSpend[Area],$B$66,tblSpend[Status],"Accrued",tblSpend[Month no.],"&gt;=1",tblSpend[Month no.],"&lt;=12"))</f>
        <v>19350</v>
      </c>
      <c r="D66" s="40">
        <f>IF($B$66="","",SUMIFS(tblSpend[Amount],tblSpend[Area],$B$66,tblSpend[Status],"Committed",tblSpend[Month no.],"&gt;=1",tblSpend[Month no.],"&lt;=12"))</f>
        <v>2200</v>
      </c>
      <c r="E66" s="42">
        <f>IF($B$66="","",IF((SUM($C$62:$C$67))=0,"",($C$66)/(SUM($C$62:$C$67))))</f>
        <v>0.0428896306837073</v>
      </c>
    </row>
    <row r="67" spans="2:12" x14ac:dyDescent="0.25">
      <c r="B67" s="54" t="str">
        <f>IFERROR(INDEX(tblAreas[Area],6)&amp;"","")</f>
        <v>General</v>
      </c>
      <c r="C67" s="40">
        <f>IF($B$67="","",SUMIFS(tblSpend[Amount],tblSpend[Area],$B$67,tblSpend[Status],"Posted",tblSpend[Month no.],"&gt;=1",tblSpend[Month no.],"&lt;=12")+SUMIFS(tblSpend[Amount],tblSpend[Area],$B$67,tblSpend[Status],"Accrued",tblSpend[Month no.],"&gt;=1",tblSpend[Month no.],"&lt;=12"))</f>
        <v>210740</v>
      </c>
      <c r="D67" s="40">
        <f>IF($B$67="","",SUMIFS(tblSpend[Amount],tblSpend[Area],$B$67,tblSpend[Status],"Committed",tblSpend[Month no.],"&gt;=1",tblSpend[Month no.],"&lt;=12"))</f>
        <v>0</v>
      </c>
      <c r="E67" s="42">
        <f>IF($B$67="","",IF((SUM($C$62:$C$67))=0,"",($C$67)/(SUM($C$62:$C$67))))</f>
        <v>0.467109083735631</v>
      </c>
    </row>
    <row r="68" spans="2:12" ht="8" customHeight="1" x14ac:dyDescent="0.25"/>
    <row r="69" spans="2:12" x14ac:dyDescent="0.25">
      <c r="B69" s="21" t="s">
        <v>352</v>
      </c>
      <c r="C69" s="21"/>
      <c r="D69" s="21"/>
      <c r="E69" s="21"/>
      <c r="F69" s="21"/>
      <c r="G69" s="21"/>
      <c r="H69" s="21"/>
      <c r="I69" s="21"/>
      <c r="J69" s="21"/>
      <c r="K69" s="21"/>
      <c r="L69" s="21"/>
    </row>
    <row r="70" spans="2:12" x14ac:dyDescent="0.25">
      <c r="B70" s="57">
        <f>IF(OR(COUNTA(tblBudget[Category])&gt;8,COUNTA(tblAreas[Area])&gt;6),"The Budget sheet or the Areas list is longer than the Dashboard blocks: some categories or areas are not shown.","")</f>
        <v/>
      </c>
      <c r="C70" s="57"/>
      <c r="D70" s="57"/>
      <c r="E70" s="57"/>
      <c r="F70" s="57"/>
      <c r="G70" s="57"/>
      <c r="H70" s="57"/>
      <c r="I70" s="57"/>
      <c r="J70" s="57"/>
      <c r="K70" s="57"/>
      <c r="L70" s="57"/>
    </row>
  </sheetData>
  <sheetProtection sheet="1" formatColumns="0" formatRows="0"/>
  <mergeCells count="41">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28:C28"/>
    <mergeCell ref="B29:C30"/>
    <mergeCell ref="B31:C31"/>
    <mergeCell ref="B32:C32"/>
    <mergeCell ref="D28:F28"/>
    <mergeCell ref="D29:F30"/>
    <mergeCell ref="D31:F31"/>
    <mergeCell ref="D32:F32"/>
    <mergeCell ref="G28:I28"/>
    <mergeCell ref="G29:I30"/>
    <mergeCell ref="G31:I31"/>
    <mergeCell ref="G32:I32"/>
    <mergeCell ref="J28:L28"/>
    <mergeCell ref="J29:L30"/>
    <mergeCell ref="J31:L31"/>
    <mergeCell ref="J32:L32"/>
    <mergeCell ref="B34:J34"/>
    <mergeCell ref="B45:I45"/>
    <mergeCell ref="B60:E60"/>
    <mergeCell ref="B69:L69"/>
    <mergeCell ref="B70:L70"/>
  </mergeCells>
  <conditionalFormatting sqref="E62:E67">
    <cfRule type="dataBar" priority="44">
      <dataBar>
        <cfvo type="num" val="0"/>
        <cfvo type="max"/>
        <color rgb="FFA8BDF0"/>
      </dataBar>
      <extLst>
        <ext xmlns:x14="http://schemas.microsoft.com/office/spreadsheetml/2009/9/main" uri="{B025F937-C7B1-47D3-B67F-A62EFF666E3E}">
          <x14:id>{DA7ABA51-AAAA-BBBB-0005-000000000001}</x14:id>
        </ext>
      </extLst>
    </cfRule>
  </conditionalFormatting>
  <conditionalFormatting sqref="G47:G58">
    <cfRule type="expression" dxfId="3" priority="41" stopIfTrue="1">
      <formula>AND(ISNUMBER(G47),G47&gt;=(0))</formula>
    </cfRule>
    <cfRule type="expression" dxfId="4" priority="42" stopIfTrue="1">
      <formula>AND(ISNUMBER(G47),G47&gt;=(0)*(1-0.05))</formula>
    </cfRule>
    <cfRule type="expression" dxfId="5" priority="43">
      <formula>ISNUMBER(G47)</formula>
    </cfRule>
  </conditionalFormatting>
  <conditionalFormatting sqref="J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J36:J43">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Maintenance Budget Tracker&amp;R&amp;8&amp;A</oddHeader>
    <oddFooter>&amp;L&amp;8mfgcalcs.com - free manufacturing templates&amp;R&amp;8Page &amp;P of &amp;N</oddFooter>
  </headerFooter>
  <rowBreaks count="2" manualBreakCount="2">
    <brk id="27" max="16383" man="1"/>
    <brk id="44"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5-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E62:E67</xm:sqref>
        </x14:conditionalFormatting>
      </x14:conditionalFormattings>
    </ext>
  </extLst>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60"/>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353</v>
      </c>
      <c r="C4" s="8"/>
      <c r="D4" s="8"/>
    </row>
    <row r="5" spans="1:4" ht="5" customHeight="1"/>
    <row r="6" spans="1:4" ht="55.8" customHeight="1">
      <c r="B6" s="10" t="s">
        <v>354</v>
      </c>
      <c r="C6" s="10"/>
      <c r="D6" s="10"/>
    </row>
    <row r="8" spans="1:4" ht="21" customHeight="1">
      <c r="B8" s="8" t="s">
        <v>355</v>
      </c>
      <c r="C8" s="8"/>
      <c r="D8" s="8"/>
    </row>
    <row r="9" spans="1:4" ht="5" customHeight="1"/>
    <row r="10" spans="1:4" ht="20" customHeight="1">
      <c r="B10" s="34" t="s">
        <v>356</v>
      </c>
      <c r="C10" s="34" t="s">
        <v>357</v>
      </c>
      <c r="D10" s="33" t="s">
        <v>358</v>
      </c>
    </row>
    <row r="11" spans="1:4" ht="30.4" customHeight="1">
      <c r="B11" s="58" t="s">
        <v>72</v>
      </c>
      <c r="C11" s="59" t="s">
        <v>359</v>
      </c>
      <c r="D11" s="60" t="s">
        <v>360</v>
      </c>
    </row>
    <row r="12" spans="1:4" ht="30.4" customHeight="1">
      <c r="B12" s="58" t="s">
        <v>147</v>
      </c>
      <c r="C12" s="59" t="s">
        <v>361</v>
      </c>
      <c r="D12" s="60" t="s">
        <v>362</v>
      </c>
    </row>
    <row r="13" spans="1:4" ht="17.2" customHeight="1">
      <c r="B13" s="58" t="s">
        <v>111</v>
      </c>
      <c r="C13" s="59" t="s">
        <v>363</v>
      </c>
      <c r="D13" s="60" t="s">
        <v>364</v>
      </c>
    </row>
    <row r="14" spans="1:4" ht="17.2" customHeight="1">
      <c r="B14" s="58" t="s">
        <v>112</v>
      </c>
      <c r="C14" s="59" t="s">
        <v>365</v>
      </c>
      <c r="D14" s="60" t="s">
        <v>364</v>
      </c>
    </row>
    <row r="15" spans="1:4" ht="30.4" customHeight="1">
      <c r="B15" s="58" t="s">
        <v>366</v>
      </c>
      <c r="C15" s="59" t="s">
        <v>367</v>
      </c>
      <c r="D15" s="60" t="s">
        <v>364</v>
      </c>
    </row>
    <row r="16" spans="1:4" ht="17.2" customHeight="1">
      <c r="B16" s="58" t="s">
        <v>116</v>
      </c>
      <c r="C16" s="59" t="s">
        <v>368</v>
      </c>
      <c r="D16" s="60" t="s">
        <v>364</v>
      </c>
    </row>
    <row r="17" spans="2:4" ht="17.2" customHeight="1">
      <c r="B17" s="58" t="s">
        <v>117</v>
      </c>
      <c r="C17" s="59" t="s">
        <v>369</v>
      </c>
      <c r="D17" s="60" t="s">
        <v>364</v>
      </c>
    </row>
    <row r="18" spans="2:4" ht="17.2" customHeight="1">
      <c r="B18" s="58" t="s">
        <v>118</v>
      </c>
      <c r="C18" s="59" t="s">
        <v>370</v>
      </c>
      <c r="D18" s="60" t="s">
        <v>364</v>
      </c>
    </row>
    <row r="19" spans="2:4" ht="30.4" customHeight="1">
      <c r="B19" s="58" t="s">
        <v>119</v>
      </c>
      <c r="C19" s="59" t="s">
        <v>371</v>
      </c>
      <c r="D19" s="60" t="s">
        <v>364</v>
      </c>
    </row>
    <row r="20" spans="2:4" ht="30.4" customHeight="1">
      <c r="B20" s="58" t="s">
        <v>120</v>
      </c>
      <c r="C20" s="59" t="s">
        <v>372</v>
      </c>
      <c r="D20" s="60" t="s">
        <v>373</v>
      </c>
    </row>
    <row r="21" spans="2:4" ht="30.4" customHeight="1">
      <c r="B21" s="58" t="s">
        <v>374</v>
      </c>
      <c r="C21" s="59" t="s">
        <v>375</v>
      </c>
      <c r="D21" s="60" t="s">
        <v>364</v>
      </c>
    </row>
    <row r="22" spans="2:4" ht="17.2" customHeight="1">
      <c r="B22" s="58" t="s">
        <v>376</v>
      </c>
      <c r="C22" s="59" t="s">
        <v>377</v>
      </c>
      <c r="D22" s="60" t="s">
        <v>364</v>
      </c>
    </row>
    <row r="23" spans="2:4" ht="17.2" customHeight="1">
      <c r="B23" s="58" t="s">
        <v>378</v>
      </c>
      <c r="C23" s="59" t="s">
        <v>379</v>
      </c>
      <c r="D23" s="60" t="s">
        <v>380</v>
      </c>
    </row>
    <row r="25" spans="2:4" ht="21" customHeight="1">
      <c r="B25" s="8" t="s">
        <v>381</v>
      </c>
      <c r="C25" s="8"/>
      <c r="D25" s="8"/>
    </row>
    <row r="26" spans="2:4" ht="5" customHeight="1"/>
    <row r="27" spans="2:4" ht="16.2" customHeight="1">
      <c r="B27" s="26" t="s">
        <v>55</v>
      </c>
      <c r="C27" s="10" t="s">
        <v>382</v>
      </c>
      <c r="D27" s="10"/>
    </row>
    <row r="28" spans="2:4" ht="29.4" customHeight="1">
      <c r="B28" s="26" t="s">
        <v>55</v>
      </c>
      <c r="C28" s="10" t="s">
        <v>383</v>
      </c>
      <c r="D28" s="10"/>
    </row>
    <row r="29" spans="2:4" ht="29.4" customHeight="1">
      <c r="B29" s="26" t="s">
        <v>55</v>
      </c>
      <c r="C29" s="10" t="s">
        <v>384</v>
      </c>
      <c r="D29" s="10"/>
    </row>
    <row r="30" spans="2:4" ht="16.2" customHeight="1">
      <c r="B30" s="26" t="s">
        <v>55</v>
      </c>
      <c r="C30" s="10" t="s">
        <v>385</v>
      </c>
      <c r="D30" s="10"/>
    </row>
    <row r="32" spans="2:4" ht="21" customHeight="1">
      <c r="B32" s="8" t="s">
        <v>386</v>
      </c>
      <c r="C32" s="8"/>
      <c r="D32" s="8"/>
    </row>
    <row r="33" spans="2:4" ht="5" customHeight="1"/>
    <row r="34" spans="2:4" ht="16.2" customHeight="1">
      <c r="B34" s="26" t="s">
        <v>55</v>
      </c>
      <c r="C34" s="10" t="s">
        <v>387</v>
      </c>
      <c r="D34" s="10"/>
    </row>
    <row r="35" spans="2:4" ht="29.4" customHeight="1">
      <c r="B35" s="26" t="s">
        <v>55</v>
      </c>
      <c r="C35" s="10" t="s">
        <v>388</v>
      </c>
      <c r="D35" s="10"/>
    </row>
    <row r="36" spans="2:4" ht="16.2" customHeight="1">
      <c r="B36" s="26" t="s">
        <v>55</v>
      </c>
      <c r="C36" s="10" t="s">
        <v>389</v>
      </c>
      <c r="D36" s="10"/>
    </row>
    <row r="37" spans="2:4" ht="29.4" customHeight="1">
      <c r="B37" s="26" t="s">
        <v>55</v>
      </c>
      <c r="C37" s="10" t="s">
        <v>390</v>
      </c>
      <c r="D37" s="10"/>
    </row>
    <row r="39" spans="2:4" ht="21" customHeight="1">
      <c r="B39" s="8" t="s">
        <v>391</v>
      </c>
      <c r="C39" s="8"/>
      <c r="D39" s="8"/>
    </row>
    <row r="40" spans="2:4" ht="5" customHeight="1"/>
    <row r="41" spans="2:4" ht="82.2" customHeight="1">
      <c r="B41" s="10" t="s">
        <v>392</v>
      </c>
      <c r="C41" s="10"/>
      <c r="D41" s="10"/>
    </row>
    <row r="42" spans="2:4">
      <c r="B42" s="24" t="s">
        <v>393</v>
      </c>
      <c r="C42" s="24"/>
      <c r="D42" s="24"/>
    </row>
    <row r="44" spans="2:4" ht="21" customHeight="1">
      <c r="B44" s="8" t="s">
        <v>42</v>
      </c>
      <c r="C44" s="8"/>
      <c r="D44" s="8"/>
    </row>
    <row r="45" spans="2:4" ht="5" customHeight="1"/>
    <row r="46" spans="2:4" ht="42.6" customHeight="1">
      <c r="B46" s="10" t="s">
        <v>394</v>
      </c>
      <c r="C46" s="10"/>
      <c r="D46" s="10"/>
    </row>
    <row r="48" spans="2:4" ht="21" customHeight="1">
      <c r="B48" s="8" t="s">
        <v>395</v>
      </c>
      <c r="C48" s="8"/>
      <c r="D48" s="8"/>
    </row>
    <row r="49" spans="2:4" ht="5" customHeight="1"/>
    <row r="50" spans="2:4" ht="16.2" customHeight="1">
      <c r="B50" s="26" t="s">
        <v>55</v>
      </c>
      <c r="C50" s="10" t="s">
        <v>396</v>
      </c>
      <c r="D50" s="10"/>
    </row>
    <row r="51" spans="2:4" ht="16.2" customHeight="1">
      <c r="B51" s="26" t="s">
        <v>55</v>
      </c>
      <c r="C51" s="10" t="s">
        <v>397</v>
      </c>
      <c r="D51" s="10"/>
    </row>
    <row r="52" spans="2:4" ht="29.4" customHeight="1">
      <c r="B52" s="26" t="s">
        <v>55</v>
      </c>
      <c r="C52" s="10" t="s">
        <v>398</v>
      </c>
      <c r="D52" s="10"/>
    </row>
    <row r="53" spans="2:4">
      <c r="B53" s="21" t="s">
        <v>399</v>
      </c>
      <c r="C53" s="21"/>
      <c r="D53" s="21"/>
    </row>
    <row r="55" spans="2:4" ht="21" customHeight="1">
      <c r="B55" s="8" t="s">
        <v>400</v>
      </c>
      <c r="C55" s="8"/>
      <c r="D55" s="8"/>
    </row>
    <row r="56" spans="2:4" ht="5" customHeight="1"/>
    <row r="57" spans="2:4">
      <c r="B57" s="34" t="s">
        <v>50</v>
      </c>
      <c r="C57" s="34" t="s">
        <v>401</v>
      </c>
      <c r="D57" s="33" t="s">
        <v>142</v>
      </c>
    </row>
    <row r="58" spans="2:4" ht="16.2" customHeight="1">
      <c r="B58" s="61" t="s">
        <v>402</v>
      </c>
      <c r="C58" s="62" t="s">
        <v>403</v>
      </c>
      <c r="D58" s="63" t="s">
        <v>404</v>
      </c>
    </row>
    <row r="60" spans="2:4">
      <c r="B60" s="21" t="s">
        <v>61</v>
      </c>
      <c r="C60" s="21"/>
      <c r="D60" s="21"/>
    </row>
  </sheetData>
  <sheetProtection sheet="1" formatColumns="0" formatRows="0"/>
  <mergeCells count="27">
    <mergeCell ref="A1:D1"/>
    <mergeCell ref="B2:C2"/>
    <mergeCell ref="B4:D4"/>
    <mergeCell ref="B6:D6"/>
    <mergeCell ref="B8:D8"/>
    <mergeCell ref="B25:D25"/>
    <mergeCell ref="C27:D27"/>
    <mergeCell ref="C28:D28"/>
    <mergeCell ref="C29:D29"/>
    <mergeCell ref="C30:D30"/>
    <mergeCell ref="B32:D32"/>
    <mergeCell ref="C34:D34"/>
    <mergeCell ref="C35:D35"/>
    <mergeCell ref="C36:D36"/>
    <mergeCell ref="C37:D37"/>
    <mergeCell ref="B39:D39"/>
    <mergeCell ref="B41:D41"/>
    <mergeCell ref="B42:D42"/>
    <mergeCell ref="B44:D44"/>
    <mergeCell ref="B46:D46"/>
    <mergeCell ref="B48:D48"/>
    <mergeCell ref="C50:D50"/>
    <mergeCell ref="C51:D51"/>
    <mergeCell ref="C52:D52"/>
    <mergeCell ref="B53:D53"/>
    <mergeCell ref="B55:D55"/>
    <mergeCell ref="B60:D60"/>
  </mergeCells>
  <hyperlinks>
    <hyperlink ref="D2" r:id="rId1" tooltip="Free manufacturing calculators and templates"/>
    <hyperlink ref="B42" r:id="rId2"/>
  </hyperlinks>
  <printOptions horizontalCentered="1"/>
  <pageMargins left="0.4" right="0.4" top="0.7" bottom="0.65" header="0.3" footer="0.3"/>
  <pageSetup fitToHeight="0" orientation="portrait"/>
  <headerFooter>
    <oddHeader>&amp;L&amp;8MFG Calcs - Maintenance Budget Tracker&amp;R&amp;8&amp;A</oddHeader>
    <oddFooter>&amp;L&amp;8mfgcalcs.com - free manufacturing templates&amp;R&amp;8Page &amp;P of &amp;N</oddFooter>
  </headerFooter>
  <rowBreaks count="1" manualBreakCount="1">
    <brk id="31"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AA89"/>
  <sheetViews>
    <sheetView showGridLines="0" workbookViewId="0"/>
  </sheetViews>
  <sheetFormatPr defaultRowHeight="15"/>
  <cols>
    <col min="1" max="1" width="2.7109375" customWidth="1"/>
    <col min="2" max="19" width="12.7109375" customWidth="1"/>
    <col min="20" max="20" width="10.28515625" customWidth="1"/>
    <col min="21" max="24" width="10.7109375" customWidth="1"/>
    <col min="25" max="25" width="9.7109375" customWidth="1"/>
    <col min="26" max="26" width="12.28515625" customWidth="1"/>
    <col min="27" max="27" width="18.7109375" customWidth="1"/>
  </cols>
  <sheetData>
    <row r="1" spans="1:27" ht="30" customHeight="1">
      <c r="A1" s="1" t="s">
        <v>0</v>
      </c>
      <c r="B1" s="1"/>
      <c r="C1" s="1"/>
      <c r="D1" s="1"/>
      <c r="E1" s="1"/>
      <c r="F1" s="1"/>
      <c r="G1" s="1"/>
      <c r="H1" s="1"/>
      <c r="I1" s="1"/>
      <c r="J1" s="1"/>
      <c r="K1" s="1"/>
      <c r="L1" s="1"/>
      <c r="M1" s="1"/>
      <c r="N1" s="1"/>
      <c r="O1" s="1"/>
      <c r="P1" s="1"/>
      <c r="Q1" s="1"/>
      <c r="R1" s="1"/>
      <c r="S1" s="1"/>
      <c r="T1" s="1"/>
      <c r="U1" s="1"/>
      <c r="V1" s="1"/>
      <c r="W1" s="1"/>
      <c r="X1" s="1"/>
      <c r="Y1" s="1"/>
      <c r="Z1" s="1"/>
      <c r="AA1" s="1"/>
    </row>
    <row r="2" spans="1:27" ht="21" customHeight="1">
      <c r="B2" s="2" t="s">
        <v>28</v>
      </c>
      <c r="C2" s="2"/>
      <c r="D2" s="2"/>
      <c r="E2" s="2"/>
      <c r="F2" s="2"/>
      <c r="G2" s="2"/>
      <c r="H2" s="2"/>
      <c r="I2" s="2"/>
      <c r="J2" s="2"/>
      <c r="K2" s="2"/>
      <c r="L2" s="2"/>
      <c r="M2" s="2"/>
      <c r="N2" s="2"/>
      <c r="O2" s="2"/>
      <c r="P2" s="2"/>
      <c r="Q2" s="2"/>
      <c r="R2" s="2"/>
      <c r="S2" s="2"/>
      <c r="T2" s="2"/>
      <c r="U2" s="2"/>
      <c r="V2" s="2"/>
      <c r="W2" s="2"/>
      <c r="X2" s="2"/>
      <c r="Y2" s="2"/>
      <c r="Z2" s="2"/>
      <c r="AA2" s="3" t="s">
        <v>2</v>
      </c>
    </row>
    <row r="3" spans="1:27" ht="6" customHeight="1"/>
    <row r="4" spans="1:27" ht="30" customHeight="1">
      <c r="B4" s="64" t="s">
        <v>405</v>
      </c>
      <c r="C4" s="64"/>
      <c r="D4" s="22" t="str">
        <f>IF(COUNTIF($K$11:$K$33,"PASS")=23,"PASS","FAIL")</f>
        <v>PASS</v>
      </c>
      <c r="E4" s="22"/>
      <c r="F4" s="23" t="str">
        <f>COUNTIF($K$11:$K$33,"PASS")&amp;" of 23 checks pass"</f>
        <v>23 of 23 checks pass</v>
      </c>
      <c r="G4" s="23"/>
      <c r="H4" s="23"/>
      <c r="I4" s="23"/>
      <c r="J4" s="23"/>
    </row>
    <row r="6" spans="1:27" ht="29.4" customHeight="1">
      <c r="B6" s="10" t="s">
        <v>406</v>
      </c>
      <c r="C6" s="10"/>
      <c r="D6" s="10"/>
      <c r="E6" s="10"/>
      <c r="F6" s="10"/>
      <c r="G6" s="10"/>
      <c r="H6" s="10"/>
      <c r="I6" s="10"/>
      <c r="J6" s="10"/>
      <c r="K6" s="10"/>
      <c r="L6" s="10"/>
    </row>
    <row r="8" spans="1:27" ht="21" customHeight="1">
      <c r="B8" s="8" t="s">
        <v>407</v>
      </c>
      <c r="C8" s="8"/>
      <c r="D8" s="8"/>
      <c r="E8" s="8"/>
      <c r="F8" s="8"/>
      <c r="G8" s="8"/>
      <c r="H8" s="8"/>
      <c r="I8" s="8"/>
      <c r="J8" s="8"/>
      <c r="K8" s="8"/>
      <c r="L8" s="8"/>
    </row>
    <row r="9" spans="1:27" ht="5" customHeight="1"/>
    <row r="10" spans="1:27" ht="30" customHeight="1">
      <c r="B10" s="33" t="s">
        <v>408</v>
      </c>
      <c r="C10" s="34" t="s">
        <v>122</v>
      </c>
      <c r="D10" s="34"/>
      <c r="E10" s="34"/>
      <c r="F10" s="34"/>
      <c r="G10" s="33" t="s">
        <v>409</v>
      </c>
      <c r="H10" s="33" t="s">
        <v>410</v>
      </c>
      <c r="I10" s="33" t="s">
        <v>411</v>
      </c>
      <c r="J10" s="33" t="s">
        <v>412</v>
      </c>
      <c r="K10" s="33" t="s">
        <v>413</v>
      </c>
    </row>
    <row r="11" spans="1:27" ht="16.2" customHeight="1">
      <c r="B11" s="65">
        <v>1</v>
      </c>
      <c r="C11" s="62" t="s">
        <v>414</v>
      </c>
      <c r="D11" s="62"/>
      <c r="E11" s="62"/>
      <c r="F11" s="62"/>
      <c r="G11" s="66">
        <v>6</v>
      </c>
      <c r="H11" s="40">
        <f>$E$44</f>
        <v>6</v>
      </c>
      <c r="I11" s="67">
        <f>IF(AND(ISNUMBER($G$11),ISNUMBER($H$11)),ABS($H$11-$G$11),"")</f>
        <v>0</v>
      </c>
      <c r="J11" s="68">
        <v>1E-09</v>
      </c>
      <c r="K11" s="36" t="str">
        <f>IF(AND(ISNUMBER($G$11),ISNUMBER($H$11)),IF(ABS($H$11-$G$11)&lt;=$J$11,"PASS","FAIL"),"FAIL")</f>
        <v>PASS</v>
      </c>
    </row>
    <row r="12" spans="1:27" ht="16.2" customHeight="1">
      <c r="B12" s="65">
        <v>2</v>
      </c>
      <c r="C12" s="62" t="s">
        <v>415</v>
      </c>
      <c r="D12" s="62"/>
      <c r="E12" s="62"/>
      <c r="F12" s="62"/>
      <c r="G12" s="66">
        <v>0</v>
      </c>
      <c r="H12" s="40">
        <f>$J$67</f>
        <v>0</v>
      </c>
      <c r="I12" s="67">
        <f>IF(AND(ISNUMBER($G$12),ISNUMBER($H$12)),ABS($H$12-$G$12),"")</f>
        <v>0</v>
      </c>
      <c r="J12" s="68">
        <v>1E-09</v>
      </c>
      <c r="K12" s="36" t="str">
        <f>IF(AND(ISNUMBER($G$12),ISNUMBER($H$12)),IF(ABS($H$12-$G$12)&lt;=$J$12,"PASS","FAIL"),"FAIL")</f>
        <v>PASS</v>
      </c>
    </row>
    <row r="13" spans="1:27" ht="16.2" customHeight="1">
      <c r="B13" s="65">
        <v>3</v>
      </c>
      <c r="C13" s="62" t="s">
        <v>416</v>
      </c>
      <c r="D13" s="62"/>
      <c r="E13" s="62"/>
      <c r="F13" s="62"/>
      <c r="G13" s="61" t="s">
        <v>417</v>
      </c>
      <c r="H13" s="69" t="str">
        <f>$K$67</f>
        <v>Date outside the budget year</v>
      </c>
      <c r="I13" s="69"/>
      <c r="J13" s="63" t="s">
        <v>418</v>
      </c>
      <c r="K13" s="36" t="str">
        <f>IF($H$13&amp;""=$G$13&amp;"","PASS","FAIL")</f>
        <v>PASS</v>
      </c>
    </row>
    <row r="14" spans="1:27" ht="16.2" customHeight="1">
      <c r="B14" s="65">
        <v>4</v>
      </c>
      <c r="C14" s="62" t="s">
        <v>419</v>
      </c>
      <c r="D14" s="62"/>
      <c r="E14" s="62"/>
      <c r="F14" s="62"/>
      <c r="G14" s="61" t="s">
        <v>420</v>
      </c>
      <c r="H14" s="69" t="str">
        <f>$K$70</f>
        <v>Category not on the Budget sheet</v>
      </c>
      <c r="I14" s="69"/>
      <c r="J14" s="63" t="s">
        <v>418</v>
      </c>
      <c r="K14" s="36" t="str">
        <f>IF($H$14&amp;""=$G$14&amp;"","PASS","FAIL")</f>
        <v>PASS</v>
      </c>
    </row>
    <row r="15" spans="1:27" ht="16.2" customHeight="1">
      <c r="B15" s="65">
        <v>5</v>
      </c>
      <c r="C15" s="62" t="s">
        <v>421</v>
      </c>
      <c r="D15" s="62"/>
      <c r="E15" s="62"/>
      <c r="F15" s="62"/>
      <c r="G15" s="66">
        <v>1200000</v>
      </c>
      <c r="H15" s="40">
        <f>$P$53</f>
        <v>1200000</v>
      </c>
      <c r="I15" s="67">
        <f>IF(AND(ISNUMBER($G$15),ISNUMBER($H$15)),ABS($H$15-$G$15),"")</f>
        <v>0</v>
      </c>
      <c r="J15" s="68">
        <v>1E-09</v>
      </c>
      <c r="K15" s="36" t="str">
        <f>IF(AND(ISNUMBER($G$15),ISNUMBER($H$15)),IF(ABS($H$15-$G$15)&lt;=$J$15,"PASS","FAIL"),"FAIL")</f>
        <v>PASS</v>
      </c>
    </row>
    <row r="16" spans="1:27" ht="16.2" customHeight="1">
      <c r="B16" s="65">
        <v>6</v>
      </c>
      <c r="C16" s="62" t="s">
        <v>422</v>
      </c>
      <c r="D16" s="62"/>
      <c r="E16" s="62"/>
      <c r="F16" s="62"/>
      <c r="G16" s="66">
        <v>600000</v>
      </c>
      <c r="H16" s="40">
        <f>$Q$53</f>
        <v>600000</v>
      </c>
      <c r="I16" s="67">
        <f>IF(AND(ISNUMBER($G$16),ISNUMBER($H$16)),ABS($H$16-$G$16),"")</f>
        <v>0</v>
      </c>
      <c r="J16" s="68">
        <v>1E-09</v>
      </c>
      <c r="K16" s="36" t="str">
        <f>IF(AND(ISNUMBER($G$16),ISNUMBER($H$16)),IF(ABS($H$16-$G$16)&lt;=$J$16,"PASS","FAIL"),"FAIL")</f>
        <v>PASS</v>
      </c>
    </row>
    <row r="17" spans="2:11" ht="16.2" customHeight="1">
      <c r="B17" s="65">
        <v>7</v>
      </c>
      <c r="C17" s="62" t="s">
        <v>423</v>
      </c>
      <c r="D17" s="62"/>
      <c r="E17" s="62"/>
      <c r="F17" s="62"/>
      <c r="G17" s="66">
        <v>1180000</v>
      </c>
      <c r="H17" s="40">
        <f>$W$53</f>
        <v>1180000</v>
      </c>
      <c r="I17" s="67">
        <f>IF(AND(ISNUMBER($G$17),ISNUMBER($H$17)),ABS($H$17-$G$17),"")</f>
        <v>0</v>
      </c>
      <c r="J17" s="68">
        <v>1E-09</v>
      </c>
      <c r="K17" s="36" t="str">
        <f>IF(AND(ISNUMBER($G$17),ISNUMBER($H$17)),IF(ABS($H$17-$G$17)&lt;=$J$17,"PASS","FAIL"),"FAIL")</f>
        <v>PASS</v>
      </c>
    </row>
    <row r="18" spans="2:11" ht="16.2" customHeight="1">
      <c r="B18" s="65">
        <v>8</v>
      </c>
      <c r="C18" s="62" t="s">
        <v>424</v>
      </c>
      <c r="D18" s="62"/>
      <c r="E18" s="62"/>
      <c r="F18" s="62"/>
      <c r="G18" s="66">
        <v>20000</v>
      </c>
      <c r="H18" s="40">
        <f>$X$53</f>
        <v>20000</v>
      </c>
      <c r="I18" s="67">
        <f>IF(AND(ISNUMBER($G$18),ISNUMBER($H$18)),ABS($H$18-$G$18),"")</f>
        <v>0</v>
      </c>
      <c r="J18" s="68">
        <v>1E-09</v>
      </c>
      <c r="K18" s="36" t="str">
        <f>IF(AND(ISNUMBER($G$18),ISNUMBER($H$18)),IF(ABS($H$18-$G$18)&lt;=$J$18,"PASS","FAIL"),"FAIL")</f>
        <v>PASS</v>
      </c>
    </row>
    <row r="19" spans="2:11" ht="16.2" customHeight="1">
      <c r="B19" s="65">
        <v>9</v>
      </c>
      <c r="C19" s="62" t="s">
        <v>425</v>
      </c>
      <c r="D19" s="62"/>
      <c r="E19" s="62"/>
      <c r="F19" s="62"/>
      <c r="G19" s="70">
        <v>0.9833333333333333</v>
      </c>
      <c r="H19" s="71">
        <f>$Y$53</f>
        <v>0.983333333333333</v>
      </c>
      <c r="I19" s="67">
        <f>IF(AND(ISNUMBER($G$19),ISNUMBER($H$19)),ABS($H$19-$G$19),"")</f>
        <v>0</v>
      </c>
      <c r="J19" s="68">
        <v>1E-09</v>
      </c>
      <c r="K19" s="36" t="str">
        <f>IF(AND(ISNUMBER($G$19),ISNUMBER($H$19)),IF(ABS($H$19-$G$19)&lt;=$J$19,"PASS","FAIL"),"FAIL")</f>
        <v>PASS</v>
      </c>
    </row>
    <row r="20" spans="2:11" ht="16.2" customHeight="1">
      <c r="B20" s="65">
        <v>10</v>
      </c>
      <c r="C20" s="62" t="s">
        <v>426</v>
      </c>
      <c r="D20" s="62"/>
      <c r="E20" s="62"/>
      <c r="F20" s="62"/>
      <c r="G20" s="61" t="s">
        <v>122</v>
      </c>
      <c r="H20" s="69" t="str">
        <f>$Z$53</f>
        <v>Check</v>
      </c>
      <c r="I20" s="69"/>
      <c r="J20" s="63" t="s">
        <v>418</v>
      </c>
      <c r="K20" s="36" t="str">
        <f>IF($H$20&amp;""=$G$20&amp;"","PASS","FAIL")</f>
        <v>PASS</v>
      </c>
    </row>
    <row r="21" spans="2:11" ht="16.2" customHeight="1">
      <c r="B21" s="65">
        <v>11</v>
      </c>
      <c r="C21" s="62" t="s">
        <v>427</v>
      </c>
      <c r="D21" s="62"/>
      <c r="E21" s="62"/>
      <c r="F21" s="62"/>
      <c r="G21" s="66">
        <v>30000</v>
      </c>
      <c r="H21" s="40">
        <f>$R$54</f>
        <v>30000</v>
      </c>
      <c r="I21" s="67">
        <f>IF(AND(ISNUMBER($G$21),ISNUMBER($H$21)),ABS($H$21-$G$21),"")</f>
        <v>0</v>
      </c>
      <c r="J21" s="68">
        <v>1E-09</v>
      </c>
      <c r="K21" s="36" t="str">
        <f>IF(AND(ISNUMBER($G$21),ISNUMBER($H$21)),IF(ABS($H$21-$G$21)&lt;=$J$21,"PASS","FAIL"),"FAIL")</f>
        <v>PASS</v>
      </c>
    </row>
    <row r="22" spans="2:11" ht="16.2" customHeight="1">
      <c r="B22" s="65">
        <v>12</v>
      </c>
      <c r="C22" s="62" t="s">
        <v>428</v>
      </c>
      <c r="D22" s="62"/>
      <c r="E22" s="62"/>
      <c r="F22" s="62"/>
      <c r="G22" s="66">
        <v>-2000</v>
      </c>
      <c r="H22" s="40">
        <f>$V$54</f>
        <v>-2000</v>
      </c>
      <c r="I22" s="67">
        <f>IF(AND(ISNUMBER($G$22),ISNUMBER($H$22)),ABS($H$22-$G$22),"")</f>
        <v>0</v>
      </c>
      <c r="J22" s="68">
        <v>1E-09</v>
      </c>
      <c r="K22" s="36" t="str">
        <f>IF(AND(ISNUMBER($G$22),ISNUMBER($H$22)),IF(ABS($H$22-$G$22)&lt;=$J$22,"PASS","FAIL"),"FAIL")</f>
        <v>PASS</v>
      </c>
    </row>
    <row r="23" spans="2:11" ht="16.2" customHeight="1">
      <c r="B23" s="65">
        <v>13</v>
      </c>
      <c r="C23" s="62" t="s">
        <v>429</v>
      </c>
      <c r="D23" s="62"/>
      <c r="E23" s="62"/>
      <c r="F23" s="62"/>
      <c r="G23" s="61" t="s">
        <v>430</v>
      </c>
      <c r="H23" s="69" t="str">
        <f>$Z$54</f>
        <v>Within limits</v>
      </c>
      <c r="I23" s="69"/>
      <c r="J23" s="63" t="s">
        <v>418</v>
      </c>
      <c r="K23" s="36" t="str">
        <f>IF($H$23&amp;""=$G$23&amp;"","PASS","FAIL")</f>
        <v>PASS</v>
      </c>
    </row>
    <row r="24" spans="2:11" ht="16.2" customHeight="1">
      <c r="B24" s="65">
        <v>14</v>
      </c>
      <c r="C24" s="62" t="s">
        <v>431</v>
      </c>
      <c r="D24" s="62"/>
      <c r="E24" s="62"/>
      <c r="F24" s="62"/>
      <c r="G24" s="61" t="s">
        <v>432</v>
      </c>
      <c r="H24" s="69" t="str">
        <f>$Z$55</f>
        <v>Out of limits</v>
      </c>
      <c r="I24" s="69"/>
      <c r="J24" s="63" t="s">
        <v>418</v>
      </c>
      <c r="K24" s="36" t="str">
        <f>IF($H$24&amp;""=$G$24&amp;"","PASS","FAIL")</f>
        <v>PASS</v>
      </c>
    </row>
    <row r="25" spans="2:11" ht="16.2" customHeight="1">
      <c r="B25" s="65">
        <v>15</v>
      </c>
      <c r="C25" s="62" t="s">
        <v>433</v>
      </c>
      <c r="D25" s="62"/>
      <c r="E25" s="62"/>
      <c r="F25" s="62"/>
      <c r="G25" s="61" t="s">
        <v>434</v>
      </c>
      <c r="H25" s="69" t="str">
        <f>$AA$56</f>
        <v>Spend but no budget</v>
      </c>
      <c r="I25" s="69"/>
      <c r="J25" s="63" t="s">
        <v>418</v>
      </c>
      <c r="K25" s="36" t="str">
        <f>IF($H$25&amp;""=$G$25&amp;"","PASS","FAIL")</f>
        <v>PASS</v>
      </c>
    </row>
    <row r="26" spans="2:11" ht="16.2" customHeight="1">
      <c r="B26" s="65">
        <v>16</v>
      </c>
      <c r="C26" s="62" t="s">
        <v>435</v>
      </c>
      <c r="D26" s="62"/>
      <c r="E26" s="62"/>
      <c r="F26" s="62"/>
      <c r="G26" s="66">
        <v>537000</v>
      </c>
      <c r="H26" s="40">
        <f>$F$83</f>
        <v>537000</v>
      </c>
      <c r="I26" s="67">
        <f>IF(AND(ISNUMBER($G$26),ISNUMBER($H$26)),ABS($H$26-$G$26),"")</f>
        <v>0</v>
      </c>
      <c r="J26" s="68">
        <v>1E-09</v>
      </c>
      <c r="K26" s="36" t="str">
        <f>IF(AND(ISNUMBER($G$26),ISNUMBER($H$26)),IF(ABS($H$26-$G$26)&lt;=$J$26,"PASS","FAIL"),"FAIL")</f>
        <v>PASS</v>
      </c>
    </row>
    <row r="27" spans="2:11" ht="16.2" customHeight="1">
      <c r="B27" s="65">
        <v>17</v>
      </c>
      <c r="C27" s="62" t="s">
        <v>436</v>
      </c>
      <c r="D27" s="62"/>
      <c r="E27" s="62"/>
      <c r="F27" s="62"/>
      <c r="G27" s="61" t="s">
        <v>437</v>
      </c>
      <c r="H27" s="69">
        <f>$F$84</f>
        <v/>
      </c>
      <c r="I27" s="69"/>
      <c r="J27" s="63" t="s">
        <v>418</v>
      </c>
      <c r="K27" s="36" t="str">
        <f>IF($H$27&amp;""=$G$27&amp;"","PASS","FAIL")</f>
        <v>PASS</v>
      </c>
    </row>
    <row r="28" spans="2:11" ht="16.2" customHeight="1">
      <c r="B28" s="65">
        <v>18</v>
      </c>
      <c r="C28" s="62" t="s">
        <v>438</v>
      </c>
      <c r="D28" s="62"/>
      <c r="E28" s="62"/>
      <c r="F28" s="62"/>
      <c r="G28" s="66">
        <v>636000</v>
      </c>
      <c r="H28" s="40">
        <f>$H$83</f>
        <v>636000</v>
      </c>
      <c r="I28" s="67">
        <f>IF(AND(ISNUMBER($G$28),ISNUMBER($H$28)),ABS($H$28-$G$28),"")</f>
        <v>0</v>
      </c>
      <c r="J28" s="68">
        <v>1E-09</v>
      </c>
      <c r="K28" s="36" t="str">
        <f>IF(AND(ISNUMBER($G$28),ISNUMBER($H$28)),IF(ABS($H$28-$G$28)&lt;=$J$28,"PASS","FAIL"),"FAIL")</f>
        <v>PASS</v>
      </c>
    </row>
    <row r="29" spans="2:11" ht="16.2" customHeight="1">
      <c r="B29" s="65">
        <v>19</v>
      </c>
      <c r="C29" s="62" t="s">
        <v>439</v>
      </c>
      <c r="D29" s="62"/>
      <c r="E29" s="62"/>
      <c r="F29" s="62"/>
      <c r="G29" s="66">
        <v>1181300</v>
      </c>
      <c r="H29" s="40">
        <f>$I$83</f>
        <v>1181300</v>
      </c>
      <c r="I29" s="67">
        <f>IF(AND(ISNUMBER($G$29),ISNUMBER($H$29)),ABS($H$29-$G$29),"")</f>
        <v>0</v>
      </c>
      <c r="J29" s="68">
        <v>1E-09</v>
      </c>
      <c r="K29" s="36" t="str">
        <f>IF(AND(ISNUMBER($G$29),ISNUMBER($H$29)),IF(ABS($H$29-$G$29)&lt;=$J$29,"PASS","FAIL"),"FAIL")</f>
        <v>PASS</v>
      </c>
    </row>
    <row r="30" spans="2:11" ht="16.2" customHeight="1">
      <c r="B30" s="65">
        <v>20</v>
      </c>
      <c r="C30" s="62" t="s">
        <v>440</v>
      </c>
      <c r="D30" s="62"/>
      <c r="E30" s="62"/>
      <c r="F30" s="62"/>
      <c r="G30" s="66">
        <v>45700</v>
      </c>
      <c r="H30" s="40">
        <f>SUM(tblVerifyBudget[Remaining])</f>
        <v>45700</v>
      </c>
      <c r="I30" s="67">
        <f>IF(AND(ISNUMBER($G$30),ISNUMBER($H$30)),ABS($H$30-$G$30),"")</f>
        <v>0</v>
      </c>
      <c r="J30" s="68">
        <v>1E-09</v>
      </c>
      <c r="K30" s="36" t="str">
        <f>IF(AND(ISNUMBER($G$30),ISNUMBER($H$30)),IF(ABS($H$30-$G$30)&lt;=$J$30,"PASS","FAIL"),"FAIL")</f>
        <v>PASS</v>
      </c>
    </row>
    <row r="31" spans="2:11" ht="16.2" customHeight="1">
      <c r="B31" s="65">
        <v>21</v>
      </c>
      <c r="C31" s="62" t="s">
        <v>441</v>
      </c>
      <c r="D31" s="62"/>
      <c r="E31" s="62"/>
      <c r="F31" s="62"/>
      <c r="G31" s="70">
        <v>0.9640723270440251</v>
      </c>
      <c r="H31" s="71">
        <f>IF((SUM(tblVerifyBudget[Annual budget]))=0,"",(SUM(tblVerifyBudget[Spent + committed]))/(SUM(tblVerifyBudget[Annual budget])))</f>
        <v>0.964072327044025</v>
      </c>
      <c r="I31" s="67">
        <f>IF(AND(ISNUMBER($G$31),ISNUMBER($H$31)),ABS($H$31-$G$31),"")</f>
        <v>0</v>
      </c>
      <c r="J31" s="68">
        <v>1E-09</v>
      </c>
      <c r="K31" s="36" t="str">
        <f>IF(AND(ISNUMBER($G$31),ISNUMBER($H$31)),IF(ABS($H$31-$G$31)&lt;=$J$31,"PASS","FAIL"),"FAIL")</f>
        <v>PASS</v>
      </c>
    </row>
    <row r="32" spans="2:11" ht="16.2" customHeight="1">
      <c r="B32" s="65">
        <v>22</v>
      </c>
      <c r="C32" s="62" t="s">
        <v>442</v>
      </c>
      <c r="D32" s="62"/>
      <c r="E32" s="62"/>
      <c r="F32" s="62"/>
      <c r="G32" s="66">
        <v>-545300</v>
      </c>
      <c r="H32" s="40">
        <f>SUM(tblVerifyBudget[Variance to date])</f>
        <v>-545300</v>
      </c>
      <c r="I32" s="67">
        <f>IF(AND(ISNUMBER($G$32),ISNUMBER($H$32)),ABS($H$32-$G$32),"")</f>
        <v>0</v>
      </c>
      <c r="J32" s="68">
        <v>1E-09</v>
      </c>
      <c r="K32" s="36" t="str">
        <f>IF(AND(ISNUMBER($G$32),ISNUMBER($H$32)),IF(ABS($H$32-$G$32)&lt;=$J$32,"PASS","FAIL"),"FAIL")</f>
        <v>PASS</v>
      </c>
    </row>
    <row r="33" spans="2:12" ht="16.2" customHeight="1">
      <c r="B33" s="65">
        <v>23</v>
      </c>
      <c r="C33" s="62" t="s">
        <v>443</v>
      </c>
      <c r="D33" s="62"/>
      <c r="E33" s="62"/>
      <c r="F33" s="62"/>
      <c r="G33" s="66">
        <v>1</v>
      </c>
      <c r="H33" s="40">
        <f>COUNTIFS(tblVerifyBudget[Status],"Out of limits")</f>
        <v>1</v>
      </c>
      <c r="I33" s="67">
        <f>IF(AND(ISNUMBER($G$33),ISNUMBER($H$33)),ABS($H$33-$G$33),"")</f>
        <v>0</v>
      </c>
      <c r="J33" s="68">
        <v>1E-09</v>
      </c>
      <c r="K33" s="36" t="str">
        <f>IF(AND(ISNUMBER($G$33),ISNUMBER($H$33)),IF(ABS($H$33-$G$33)&lt;=$J$33,"PASS","FAIL"),"FAIL")</f>
        <v>PASS</v>
      </c>
    </row>
    <row r="35" spans="2:12" ht="21" customHeight="1">
      <c r="B35" s="8" t="s">
        <v>444</v>
      </c>
      <c r="C35" s="8"/>
      <c r="D35" s="8"/>
      <c r="E35" s="8"/>
      <c r="F35" s="8"/>
      <c r="G35" s="8"/>
      <c r="H35" s="8"/>
      <c r="I35" s="8"/>
      <c r="J35" s="8"/>
      <c r="K35" s="8"/>
      <c r="L35" s="8"/>
    </row>
    <row r="36" spans="2:12" ht="5" customHeight="1"/>
    <row r="37" spans="2:12">
      <c r="B37" s="21" t="s">
        <v>445</v>
      </c>
      <c r="C37" s="21"/>
      <c r="D37" s="21"/>
      <c r="E37" s="21"/>
      <c r="F37" s="21"/>
      <c r="G37" s="21"/>
      <c r="H37" s="21"/>
      <c r="I37" s="21"/>
      <c r="J37" s="21"/>
      <c r="K37" s="21"/>
      <c r="L37" s="21"/>
    </row>
    <row r="38" spans="2:12">
      <c r="B38" s="32" t="s">
        <v>446</v>
      </c>
      <c r="C38" s="32"/>
      <c r="D38" s="32"/>
      <c r="E38" s="32"/>
      <c r="F38" s="32"/>
    </row>
    <row r="39" spans="2:12">
      <c r="B39" s="27" t="s">
        <v>74</v>
      </c>
      <c r="C39" s="27"/>
      <c r="D39" s="27"/>
      <c r="E39" s="72">
        <v>0.95</v>
      </c>
      <c r="F39" s="7"/>
    </row>
    <row r="41" spans="2:12">
      <c r="B41" s="32" t="s">
        <v>447</v>
      </c>
      <c r="C41" s="32"/>
      <c r="D41" s="32"/>
      <c r="E41" s="32"/>
      <c r="F41" s="32"/>
      <c r="G41" s="32"/>
      <c r="H41" s="32"/>
      <c r="I41" s="32"/>
      <c r="J41" s="32"/>
      <c r="K41" s="32"/>
      <c r="L41" s="32"/>
    </row>
    <row r="42" spans="2:12">
      <c r="B42" s="27" t="s">
        <v>70</v>
      </c>
      <c r="C42" s="27"/>
      <c r="D42" s="27"/>
      <c r="E42" s="73">
        <v>46023</v>
      </c>
      <c r="F42" s="7"/>
    </row>
    <row r="43" spans="2:12">
      <c r="B43" s="27" t="s">
        <v>71</v>
      </c>
      <c r="C43" s="27"/>
      <c r="D43" s="27"/>
      <c r="E43" s="73">
        <v>46203</v>
      </c>
      <c r="F43" s="7"/>
    </row>
    <row r="44" spans="2:12">
      <c r="B44" s="17" t="s">
        <v>72</v>
      </c>
      <c r="C44" s="17"/>
      <c r="D44" s="17"/>
      <c r="E44" s="30">
        <f>MAX(0,MIN(12,(YEAR($E$43)-YEAR($E$42))*12+MONTH($E$43)-MONTH($E$42)+1))</f>
        <v>6</v>
      </c>
      <c r="F44" s="7" t="s">
        <v>73</v>
      </c>
    </row>
    <row r="46" spans="2:12">
      <c r="B46" s="32" t="s">
        <v>448</v>
      </c>
      <c r="C46" s="32"/>
      <c r="D46" s="32"/>
      <c r="E46" s="32"/>
      <c r="F46" s="32"/>
      <c r="G46" s="32"/>
      <c r="H46" s="32"/>
      <c r="I46" s="32"/>
      <c r="J46" s="32"/>
      <c r="K46" s="32"/>
      <c r="L46" s="32"/>
    </row>
    <row r="47" spans="2:12" ht="20" customHeight="1">
      <c r="B47" s="33" t="s">
        <v>62</v>
      </c>
      <c r="C47" s="33" t="s">
        <v>63</v>
      </c>
      <c r="D47" s="33" t="s">
        <v>64</v>
      </c>
    </row>
    <row r="48" spans="2:12">
      <c r="B48" s="61" t="s">
        <v>449</v>
      </c>
      <c r="C48" s="61" t="s">
        <v>437</v>
      </c>
      <c r="D48" s="61" t="s">
        <v>437</v>
      </c>
    </row>
    <row r="50" spans="2:27">
      <c r="B50" s="32" t="s">
        <v>450</v>
      </c>
      <c r="C50" s="32"/>
      <c r="D50" s="32"/>
      <c r="E50" s="32"/>
      <c r="F50" s="32"/>
      <c r="G50" s="32"/>
      <c r="H50" s="32"/>
      <c r="I50" s="32"/>
      <c r="J50" s="32"/>
      <c r="K50" s="32"/>
      <c r="L50" s="32"/>
    </row>
    <row r="51" spans="2:27" ht="14" customHeight="1">
      <c r="B51" s="38"/>
      <c r="C51" s="38"/>
      <c r="D51" s="38" t="str">
        <f>Currency</f>
        <v>GBP</v>
      </c>
      <c r="E51" s="38" t="str">
        <f>Currency</f>
        <v>GBP</v>
      </c>
      <c r="F51" s="38" t="str">
        <f>Currency</f>
        <v>GBP</v>
      </c>
      <c r="G51" s="38" t="str">
        <f>Currency</f>
        <v>GBP</v>
      </c>
      <c r="H51" s="38" t="str">
        <f>Currency</f>
        <v>GBP</v>
      </c>
      <c r="I51" s="38" t="str">
        <f>Currency</f>
        <v>GBP</v>
      </c>
      <c r="J51" s="38" t="str">
        <f>Currency</f>
        <v>GBP</v>
      </c>
      <c r="K51" s="38" t="str">
        <f>Currency</f>
        <v>GBP</v>
      </c>
      <c r="L51" s="38" t="str">
        <f>Currency</f>
        <v>GBP</v>
      </c>
      <c r="M51" s="38" t="str">
        <f>Currency</f>
        <v>GBP</v>
      </c>
      <c r="N51" s="38" t="str">
        <f>Currency</f>
        <v>GBP</v>
      </c>
      <c r="O51" s="38" t="str">
        <f>Currency</f>
        <v>GBP</v>
      </c>
      <c r="P51" s="38" t="str">
        <f>Currency</f>
        <v>GBP</v>
      </c>
      <c r="Q51" s="38" t="str">
        <f>Currency</f>
        <v>GBP</v>
      </c>
      <c r="R51" s="38" t="str">
        <f>Currency</f>
        <v>GBP</v>
      </c>
      <c r="S51" s="38" t="str">
        <f>Currency</f>
        <v>GBP</v>
      </c>
      <c r="T51" s="38" t="str">
        <f>Currency</f>
        <v>GBP</v>
      </c>
      <c r="U51" s="38" t="str">
        <f>Currency</f>
        <v>GBP</v>
      </c>
      <c r="V51" s="38" t="str">
        <f>Currency</f>
        <v>GBP</v>
      </c>
      <c r="W51" s="38" t="str">
        <f>Currency</f>
        <v>GBP</v>
      </c>
      <c r="X51" s="38" t="str">
        <f>Currency</f>
        <v>GBP</v>
      </c>
      <c r="Y51" s="38"/>
      <c r="Z51" s="38"/>
      <c r="AA51" s="38"/>
    </row>
    <row r="52" spans="2:27" ht="32" customHeight="1">
      <c r="B52" s="33" t="s">
        <v>97</v>
      </c>
      <c r="C52" s="33" t="s">
        <v>98</v>
      </c>
      <c r="D52" s="33" t="s">
        <v>99</v>
      </c>
      <c r="E52" s="33" t="s">
        <v>100</v>
      </c>
      <c r="F52" s="33" t="s">
        <v>101</v>
      </c>
      <c r="G52" s="33" t="s">
        <v>102</v>
      </c>
      <c r="H52" s="33" t="s">
        <v>103</v>
      </c>
      <c r="I52" s="33" t="s">
        <v>104</v>
      </c>
      <c r="J52" s="33" t="s">
        <v>105</v>
      </c>
      <c r="K52" s="33" t="s">
        <v>106</v>
      </c>
      <c r="L52" s="33" t="s">
        <v>107</v>
      </c>
      <c r="M52" s="33" t="s">
        <v>108</v>
      </c>
      <c r="N52" s="33" t="s">
        <v>109</v>
      </c>
      <c r="O52" s="33" t="s">
        <v>110</v>
      </c>
      <c r="P52" s="33" t="s">
        <v>111</v>
      </c>
      <c r="Q52" s="33" t="s">
        <v>112</v>
      </c>
      <c r="R52" s="33" t="s">
        <v>113</v>
      </c>
      <c r="S52" s="33" t="s">
        <v>114</v>
      </c>
      <c r="T52" s="33" t="s">
        <v>115</v>
      </c>
      <c r="U52" s="33" t="s">
        <v>116</v>
      </c>
      <c r="V52" s="33" t="s">
        <v>117</v>
      </c>
      <c r="W52" s="33" t="s">
        <v>118</v>
      </c>
      <c r="X52" s="33" t="s">
        <v>119</v>
      </c>
      <c r="Y52" s="33" t="s">
        <v>120</v>
      </c>
      <c r="Z52" s="33" t="s">
        <v>121</v>
      </c>
      <c r="AA52" s="33" t="s">
        <v>122</v>
      </c>
    </row>
    <row r="53" spans="2:27">
      <c r="B53" s="61" t="s">
        <v>451</v>
      </c>
      <c r="C53" s="61" t="s">
        <v>437</v>
      </c>
      <c r="D53" s="66">
        <v>100000</v>
      </c>
      <c r="E53" s="66">
        <v>100000</v>
      </c>
      <c r="F53" s="66">
        <v>100000</v>
      </c>
      <c r="G53" s="66">
        <v>100000</v>
      </c>
      <c r="H53" s="66">
        <v>100000</v>
      </c>
      <c r="I53" s="66">
        <v>100000</v>
      </c>
      <c r="J53" s="66">
        <v>100000</v>
      </c>
      <c r="K53" s="66">
        <v>100000</v>
      </c>
      <c r="L53" s="66">
        <v>100000</v>
      </c>
      <c r="M53" s="66">
        <v>100000</v>
      </c>
      <c r="N53" s="66">
        <v>100000</v>
      </c>
      <c r="O53" s="66">
        <v>100000</v>
      </c>
      <c r="P53" s="40">
        <f>IF(tblVerifyBudget[[#This Row],[Category]]="","",SUM(tblVerifyBudget[[#This Row],[M1]],tblVerifyBudget[[#This Row],[M2]],tblVerifyBudget[[#This Row],[M3]],tblVerifyBudget[[#This Row],[M4]],tblVerifyBudget[[#This Row],[M5]],tblVerifyBudget[[#This Row],[M6]],tblVerifyBudget[[#This Row],[M7]],tblVerifyBudget[[#This Row],[M8]],tblVerifyBudget[[#This Row],[M9]],tblVerifyBudget[[#This Row],[M10]],tblVerifyBudget[[#This Row],[M11]],tblVerifyBudget[[#This Row],[M12]]))</f>
        <v>1200000</v>
      </c>
      <c r="Q53" s="40">
        <f>IF(tblVerifyBudget[[#This Row],[Category]]="","",tblVerifyBudget[[#This Row],[M1]]*($E$44&gt;=1)+tblVerifyBudget[[#This Row],[M2]]*($E$44&gt;=2)+tblVerifyBudget[[#This Row],[M3]]*($E$44&gt;=3)+tblVerifyBudget[[#This Row],[M4]]*($E$44&gt;=4)+tblVerifyBudget[[#This Row],[M5]]*($E$44&gt;=5)+tblVerifyBudget[[#This Row],[M6]]*($E$44&gt;=6)+tblVerifyBudget[[#This Row],[M7]]*($E$44&gt;=7)+tblVerifyBudget[[#This Row],[M8]]*($E$44&gt;=8)+tblVerifyBudget[[#This Row],[M9]]*($E$44&gt;=9)+tblVerifyBudget[[#This Row],[M10]]*($E$44&gt;=10)+tblVerifyBudget[[#This Row],[M11]]*($E$44&gt;=11)+tblVerifyBudget[[#This Row],[M12]]*($E$44&gt;=12))</f>
        <v>600000</v>
      </c>
      <c r="R53" s="40">
        <f>IF(tblVerifyBudget[[#This Row],[Category]]="","",SUMIFS(tblVerifySpend[Amount],tblVerifySpend[Category],tblVerifyBudget[[#This Row],[Category]],tblVerifySpend[Status],"Posted",tblVerifySpend[Month no.],"&gt;=1",tblVerifySpend[Month no.],"&lt;=12"))</f>
        <v>1120000</v>
      </c>
      <c r="S53" s="40">
        <f>IF(tblVerifyBudget[[#This Row],[Category]]="","",SUMIFS(tblVerifySpend[Amount],tblVerifySpend[Category],tblVerifyBudget[[#This Row],[Category]],tblVerifySpend[Status],"Accrued",tblVerifySpend[Month no.],"&gt;=1",tblVerifySpend[Month no.],"&lt;=12"))</f>
        <v>15000</v>
      </c>
      <c r="T53" s="40">
        <f>IF(tblVerifyBudget[[#This Row],[Category]]="","",SUMIFS(tblVerifySpend[Amount],tblVerifySpend[Category],tblVerifyBudget[[#This Row],[Category]],tblVerifySpend[Status],"Committed",tblVerifySpend[Month no.],"&gt;=1",tblVerifySpend[Month no.],"&lt;=12"))</f>
        <v>45000</v>
      </c>
      <c r="U53" s="40">
        <f>IF(tblVerifyBudget[[#This Row],[Category]]="","",tblVerifyBudget[[#This Row],[Posted]]+tblVerifyBudget[[#This Row],[Accrued]])</f>
        <v>1135000</v>
      </c>
      <c r="V53" s="41">
        <f>IF(tblVerifyBudget[[#This Row],[Category]]="","",tblVerifyBudget[[#This Row],[Budget to date]]-tblVerifyBudget[[#This Row],[Actual to date]])</f>
        <v>-535000</v>
      </c>
      <c r="W53" s="40">
        <f>IF(tblVerifyBudget[[#This Row],[Category]]="","",tblVerifyBudget[[#This Row],[Actual to date]]+tblVerifyBudget[[#This Row],[Committed]])</f>
        <v>1180000</v>
      </c>
      <c r="X53" s="41">
        <f>IF(tblVerifyBudget[[#This Row],[Category]]="","",tblVerifyBudget[[#This Row],[Annual budget]]-tblVerifyBudget[[#This Row],[Spent + committed]])</f>
        <v>20000</v>
      </c>
      <c r="Y53" s="42">
        <f>IF(tblVerifyBudget[[#This Row],[Category]]="","",IF(tblVerifyBudget[[#This Row],[Annual budget]]&gt;0,tblVerifyBudget[[#This Row],[Spent + committed]]/tblVerifyBudget[[#This Row],[Annual budget]],""))</f>
        <v>0.983333333333333</v>
      </c>
      <c r="Z53" s="36" t="str">
        <f>IF(tblVerifyBudget[[#This Row],[Category]]="","",IF(NOT(ISNUMBER(tblVerifyBudget[[#This Row],[Budget used]])),"",IF(tblVerifyBudget[[#This Row],[Budget used]]&gt;1,"Out of limits",IF(tblVerifyBudget[[#This Row],[Budget used]]&gt;$E$39,"Check","Within limits"))))</f>
        <v>Check</v>
      </c>
      <c r="AA53" s="43" t="str">
        <f>IF(tblVerifyBudget[[#This Row],[Category]]="","",IF(COUNTIF(tblVerifyBudget[Category],tblVerifyBudget[[#This Row],[Category]])&gt;1,"Duplicate category",IF(AND(tblVerifyBudget[[#This Row],[Annual budget]]=0,tblVerifyBudget[[#This Row],[Spent + committed]]&lt;&gt;0),"Spend but no budget","OK")))</f>
        <v>OK</v>
      </c>
    </row>
    <row r="54" spans="2:27">
      <c r="B54" s="61" t="s">
        <v>430</v>
      </c>
      <c r="C54" s="61" t="s">
        <v>437</v>
      </c>
      <c r="D54" s="66">
        <v>5000</v>
      </c>
      <c r="E54" s="66">
        <v>5000</v>
      </c>
      <c r="F54" s="66">
        <v>5000</v>
      </c>
      <c r="G54" s="66">
        <v>5000</v>
      </c>
      <c r="H54" s="66">
        <v>5000</v>
      </c>
      <c r="I54" s="66">
        <v>5000</v>
      </c>
      <c r="J54" s="66">
        <v>5000</v>
      </c>
      <c r="K54" s="66">
        <v>5000</v>
      </c>
      <c r="L54" s="66">
        <v>5000</v>
      </c>
      <c r="M54" s="66">
        <v>5000</v>
      </c>
      <c r="N54" s="66">
        <v>5000</v>
      </c>
      <c r="O54" s="66">
        <v>5000</v>
      </c>
      <c r="P54" s="40">
        <f>IF(tblVerifyBudget[[#This Row],[Category]]="","",SUM(tblVerifyBudget[[#This Row],[M1]],tblVerifyBudget[[#This Row],[M2]],tblVerifyBudget[[#This Row],[M3]],tblVerifyBudget[[#This Row],[M4]],tblVerifyBudget[[#This Row],[M5]],tblVerifyBudget[[#This Row],[M6]],tblVerifyBudget[[#This Row],[M7]],tblVerifyBudget[[#This Row],[M8]],tblVerifyBudget[[#This Row],[M9]],tblVerifyBudget[[#This Row],[M10]],tblVerifyBudget[[#This Row],[M11]],tblVerifyBudget[[#This Row],[M12]]))</f>
        <v>60000</v>
      </c>
      <c r="Q54" s="40">
        <f>IF(tblVerifyBudget[[#This Row],[Category]]="","",tblVerifyBudget[[#This Row],[M1]]*($E$44&gt;=1)+tblVerifyBudget[[#This Row],[M2]]*($E$44&gt;=2)+tblVerifyBudget[[#This Row],[M3]]*($E$44&gt;=3)+tblVerifyBudget[[#This Row],[M4]]*($E$44&gt;=4)+tblVerifyBudget[[#This Row],[M5]]*($E$44&gt;=5)+tblVerifyBudget[[#This Row],[M6]]*($E$44&gt;=6)+tblVerifyBudget[[#This Row],[M7]]*($E$44&gt;=7)+tblVerifyBudget[[#This Row],[M8]]*($E$44&gt;=8)+tblVerifyBudget[[#This Row],[M9]]*($E$44&gt;=9)+tblVerifyBudget[[#This Row],[M10]]*($E$44&gt;=10)+tblVerifyBudget[[#This Row],[M11]]*($E$44&gt;=11)+tblVerifyBudget[[#This Row],[M12]]*($E$44&gt;=12))</f>
        <v>30000</v>
      </c>
      <c r="R54" s="40">
        <f>IF(tblVerifyBudget[[#This Row],[Category]]="","",SUMIFS(tblVerifySpend[Amount],tblVerifySpend[Category],tblVerifyBudget[[#This Row],[Category]],tblVerifySpend[Status],"Posted",tblVerifySpend[Month no.],"&gt;=1",tblVerifySpend[Month no.],"&lt;=12"))</f>
        <v>30000</v>
      </c>
      <c r="S54" s="40">
        <f>IF(tblVerifyBudget[[#This Row],[Category]]="","",SUMIFS(tblVerifySpend[Amount],tblVerifySpend[Category],tblVerifyBudget[[#This Row],[Category]],tblVerifySpend[Status],"Accrued",tblVerifySpend[Month no.],"&gt;=1",tblVerifySpend[Month no.],"&lt;=12"))</f>
        <v>2000</v>
      </c>
      <c r="T54" s="40">
        <f>IF(tblVerifyBudget[[#This Row],[Category]]="","",SUMIFS(tblVerifySpend[Amount],tblVerifySpend[Category],tblVerifyBudget[[#This Row],[Category]],tblVerifySpend[Status],"Committed",tblVerifySpend[Month no.],"&gt;=1",tblVerifySpend[Month no.],"&lt;=12"))</f>
        <v>0</v>
      </c>
      <c r="U54" s="40">
        <f>IF(tblVerifyBudget[[#This Row],[Category]]="","",tblVerifyBudget[[#This Row],[Posted]]+tblVerifyBudget[[#This Row],[Accrued]])</f>
        <v>32000</v>
      </c>
      <c r="V54" s="41">
        <f>IF(tblVerifyBudget[[#This Row],[Category]]="","",tblVerifyBudget[[#This Row],[Budget to date]]-tblVerifyBudget[[#This Row],[Actual to date]])</f>
        <v>-2000</v>
      </c>
      <c r="W54" s="40">
        <f>IF(tblVerifyBudget[[#This Row],[Category]]="","",tblVerifyBudget[[#This Row],[Actual to date]]+tblVerifyBudget[[#This Row],[Committed]])</f>
        <v>32000</v>
      </c>
      <c r="X54" s="41">
        <f>IF(tblVerifyBudget[[#This Row],[Category]]="","",tblVerifyBudget[[#This Row],[Annual budget]]-tblVerifyBudget[[#This Row],[Spent + committed]])</f>
        <v>28000</v>
      </c>
      <c r="Y54" s="42">
        <f>IF(tblVerifyBudget[[#This Row],[Category]]="","",IF(tblVerifyBudget[[#This Row],[Annual budget]]&gt;0,tblVerifyBudget[[#This Row],[Spent + committed]]/tblVerifyBudget[[#This Row],[Annual budget]],""))</f>
        <v>0.533333333333333</v>
      </c>
      <c r="Z54" s="36" t="str">
        <f>IF(tblVerifyBudget[[#This Row],[Category]]="","",IF(NOT(ISNUMBER(tblVerifyBudget[[#This Row],[Budget used]])),"",IF(tblVerifyBudget[[#This Row],[Budget used]]&gt;1,"Out of limits",IF(tblVerifyBudget[[#This Row],[Budget used]]&gt;$E$39,"Check","Within limits"))))</f>
        <v>Within limits</v>
      </c>
      <c r="AA54" s="43" t="str">
        <f>IF(tblVerifyBudget[[#This Row],[Category]]="","",IF(COUNTIF(tblVerifyBudget[Category],tblVerifyBudget[[#This Row],[Category]])&gt;1,"Duplicate category",IF(AND(tblVerifyBudget[[#This Row],[Annual budget]]=0,tblVerifyBudget[[#This Row],[Spent + committed]]&lt;&gt;0),"Spend but no budget","OK")))</f>
        <v>OK</v>
      </c>
    </row>
    <row r="55" spans="2:27">
      <c r="B55" s="61" t="s">
        <v>452</v>
      </c>
      <c r="C55" s="61" t="s">
        <v>437</v>
      </c>
      <c r="D55" s="66">
        <v>1000</v>
      </c>
      <c r="E55" s="66">
        <v>1000</v>
      </c>
      <c r="F55" s="66">
        <v>1000</v>
      </c>
      <c r="G55" s="66">
        <v>1000</v>
      </c>
      <c r="H55" s="66">
        <v>1000</v>
      </c>
      <c r="I55" s="66">
        <v>1000</v>
      </c>
      <c r="J55" s="66">
        <v>1000</v>
      </c>
      <c r="K55" s="66">
        <v>1000</v>
      </c>
      <c r="L55" s="66">
        <v>1000</v>
      </c>
      <c r="M55" s="66">
        <v>1000</v>
      </c>
      <c r="N55" s="66">
        <v>1000</v>
      </c>
      <c r="O55" s="66">
        <v>1000</v>
      </c>
      <c r="P55" s="40">
        <f>IF(tblVerifyBudget[[#This Row],[Category]]="","",SUM(tblVerifyBudget[[#This Row],[M1]],tblVerifyBudget[[#This Row],[M2]],tblVerifyBudget[[#This Row],[M3]],tblVerifyBudget[[#This Row],[M4]],tblVerifyBudget[[#This Row],[M5]],tblVerifyBudget[[#This Row],[M6]],tblVerifyBudget[[#This Row],[M7]],tblVerifyBudget[[#This Row],[M8]],tblVerifyBudget[[#This Row],[M9]],tblVerifyBudget[[#This Row],[M10]],tblVerifyBudget[[#This Row],[M11]],tblVerifyBudget[[#This Row],[M12]]))</f>
        <v>12000</v>
      </c>
      <c r="Q55" s="40">
        <f>IF(tblVerifyBudget[[#This Row],[Category]]="","",tblVerifyBudget[[#This Row],[M1]]*($E$44&gt;=1)+tblVerifyBudget[[#This Row],[M2]]*($E$44&gt;=2)+tblVerifyBudget[[#This Row],[M3]]*($E$44&gt;=3)+tblVerifyBudget[[#This Row],[M4]]*($E$44&gt;=4)+tblVerifyBudget[[#This Row],[M5]]*($E$44&gt;=5)+tblVerifyBudget[[#This Row],[M6]]*($E$44&gt;=6)+tblVerifyBudget[[#This Row],[M7]]*($E$44&gt;=7)+tblVerifyBudget[[#This Row],[M8]]*($E$44&gt;=8)+tblVerifyBudget[[#This Row],[M9]]*($E$44&gt;=9)+tblVerifyBudget[[#This Row],[M10]]*($E$44&gt;=10)+tblVerifyBudget[[#This Row],[M11]]*($E$44&gt;=11)+tblVerifyBudget[[#This Row],[M12]]*($E$44&gt;=12))</f>
        <v>6000</v>
      </c>
      <c r="R55" s="40">
        <f>IF(tblVerifyBudget[[#This Row],[Category]]="","",SUMIFS(tblVerifySpend[Amount],tblVerifySpend[Category],tblVerifyBudget[[#This Row],[Category]],tblVerifySpend[Status],"Posted",tblVerifySpend[Month no.],"&gt;=1",tblVerifySpend[Month no.],"&lt;=12"))</f>
        <v>13500</v>
      </c>
      <c r="S55" s="40">
        <f>IF(tblVerifyBudget[[#This Row],[Category]]="","",SUMIFS(tblVerifySpend[Amount],tblVerifySpend[Category],tblVerifyBudget[[#This Row],[Category]],tblVerifySpend[Status],"Accrued",tblVerifySpend[Month no.],"&gt;=1",tblVerifySpend[Month no.],"&lt;=12"))</f>
        <v>0</v>
      </c>
      <c r="T55" s="40">
        <f>IF(tblVerifyBudget[[#This Row],[Category]]="","",SUMIFS(tblVerifySpend[Amount],tblVerifySpend[Category],tblVerifyBudget[[#This Row],[Category]],tblVerifySpend[Status],"Committed",tblVerifySpend[Month no.],"&gt;=1",tblVerifySpend[Month no.],"&lt;=12"))</f>
        <v>0</v>
      </c>
      <c r="U55" s="40">
        <f>IF(tblVerifyBudget[[#This Row],[Category]]="","",tblVerifyBudget[[#This Row],[Posted]]+tblVerifyBudget[[#This Row],[Accrued]])</f>
        <v>13500</v>
      </c>
      <c r="V55" s="41">
        <f>IF(tblVerifyBudget[[#This Row],[Category]]="","",tblVerifyBudget[[#This Row],[Budget to date]]-tblVerifyBudget[[#This Row],[Actual to date]])</f>
        <v>-7500</v>
      </c>
      <c r="W55" s="40">
        <f>IF(tblVerifyBudget[[#This Row],[Category]]="","",tblVerifyBudget[[#This Row],[Actual to date]]+tblVerifyBudget[[#This Row],[Committed]])</f>
        <v>13500</v>
      </c>
      <c r="X55" s="41">
        <f>IF(tblVerifyBudget[[#This Row],[Category]]="","",tblVerifyBudget[[#This Row],[Annual budget]]-tblVerifyBudget[[#This Row],[Spent + committed]])</f>
        <v>-1500</v>
      </c>
      <c r="Y55" s="42">
        <f>IF(tblVerifyBudget[[#This Row],[Category]]="","",IF(tblVerifyBudget[[#This Row],[Annual budget]]&gt;0,tblVerifyBudget[[#This Row],[Spent + committed]]/tblVerifyBudget[[#This Row],[Annual budget]],""))</f>
        <v>1.125</v>
      </c>
      <c r="Z55" s="36" t="str">
        <f>IF(tblVerifyBudget[[#This Row],[Category]]="","",IF(NOT(ISNUMBER(tblVerifyBudget[[#This Row],[Budget used]])),"",IF(tblVerifyBudget[[#This Row],[Budget used]]&gt;1,"Out of limits",IF(tblVerifyBudget[[#This Row],[Budget used]]&gt;$E$39,"Check","Within limits"))))</f>
        <v>Out of limits</v>
      </c>
      <c r="AA55" s="43" t="str">
        <f>IF(tblVerifyBudget[[#This Row],[Category]]="","",IF(COUNTIF(tblVerifyBudget[Category],tblVerifyBudget[[#This Row],[Category]])&gt;1,"Duplicate category",IF(AND(tblVerifyBudget[[#This Row],[Annual budget]]=0,tblVerifyBudget[[#This Row],[Spent + committed]]&lt;&gt;0),"Spend but no budget","OK")))</f>
        <v>OK</v>
      </c>
    </row>
    <row r="56" spans="2:27">
      <c r="B56" s="61" t="s">
        <v>453</v>
      </c>
      <c r="C56" s="61" t="s">
        <v>437</v>
      </c>
      <c r="D56" s="66">
        <v>0</v>
      </c>
      <c r="E56" s="66">
        <v>0</v>
      </c>
      <c r="F56" s="66">
        <v>0</v>
      </c>
      <c r="G56" s="66">
        <v>0</v>
      </c>
      <c r="H56" s="66">
        <v>0</v>
      </c>
      <c r="I56" s="66">
        <v>0</v>
      </c>
      <c r="J56" s="66">
        <v>0</v>
      </c>
      <c r="K56" s="66">
        <v>0</v>
      </c>
      <c r="L56" s="66">
        <v>0</v>
      </c>
      <c r="M56" s="66">
        <v>0</v>
      </c>
      <c r="N56" s="66">
        <v>0</v>
      </c>
      <c r="O56" s="66">
        <v>0</v>
      </c>
      <c r="P56" s="40">
        <f>IF(tblVerifyBudget[[#This Row],[Category]]="","",SUM(tblVerifyBudget[[#This Row],[M1]],tblVerifyBudget[[#This Row],[M2]],tblVerifyBudget[[#This Row],[M3]],tblVerifyBudget[[#This Row],[M4]],tblVerifyBudget[[#This Row],[M5]],tblVerifyBudget[[#This Row],[M6]],tblVerifyBudget[[#This Row],[M7]],tblVerifyBudget[[#This Row],[M8]],tblVerifyBudget[[#This Row],[M9]],tblVerifyBudget[[#This Row],[M10]],tblVerifyBudget[[#This Row],[M11]],tblVerifyBudget[[#This Row],[M12]]))</f>
        <v>0</v>
      </c>
      <c r="Q56" s="40">
        <f>IF(tblVerifyBudget[[#This Row],[Category]]="","",tblVerifyBudget[[#This Row],[M1]]*($E$44&gt;=1)+tblVerifyBudget[[#This Row],[M2]]*($E$44&gt;=2)+tblVerifyBudget[[#This Row],[M3]]*($E$44&gt;=3)+tblVerifyBudget[[#This Row],[M4]]*($E$44&gt;=4)+tblVerifyBudget[[#This Row],[M5]]*($E$44&gt;=5)+tblVerifyBudget[[#This Row],[M6]]*($E$44&gt;=6)+tblVerifyBudget[[#This Row],[M7]]*($E$44&gt;=7)+tblVerifyBudget[[#This Row],[M8]]*($E$44&gt;=8)+tblVerifyBudget[[#This Row],[M9]]*($E$44&gt;=9)+tblVerifyBudget[[#This Row],[M10]]*($E$44&gt;=10)+tblVerifyBudget[[#This Row],[M11]]*($E$44&gt;=11)+tblVerifyBudget[[#This Row],[M12]]*($E$44&gt;=12))</f>
        <v>0</v>
      </c>
      <c r="R56" s="40">
        <f>IF(tblVerifyBudget[[#This Row],[Category]]="","",SUMIFS(tblVerifySpend[Amount],tblVerifySpend[Category],tblVerifyBudget[[#This Row],[Category]],tblVerifySpend[Status],"Posted",tblVerifySpend[Month no.],"&gt;=1",tblVerifySpend[Month no.],"&lt;=12"))</f>
        <v>800</v>
      </c>
      <c r="S56" s="40">
        <f>IF(tblVerifyBudget[[#This Row],[Category]]="","",SUMIFS(tblVerifySpend[Amount],tblVerifySpend[Category],tblVerifyBudget[[#This Row],[Category]],tblVerifySpend[Status],"Accrued",tblVerifySpend[Month no.],"&gt;=1",tblVerifySpend[Month no.],"&lt;=12"))</f>
        <v>0</v>
      </c>
      <c r="T56" s="40">
        <f>IF(tblVerifyBudget[[#This Row],[Category]]="","",SUMIFS(tblVerifySpend[Amount],tblVerifySpend[Category],tblVerifyBudget[[#This Row],[Category]],tblVerifySpend[Status],"Committed",tblVerifySpend[Month no.],"&gt;=1",tblVerifySpend[Month no.],"&lt;=12"))</f>
        <v>0</v>
      </c>
      <c r="U56" s="40">
        <f>IF(tblVerifyBudget[[#This Row],[Category]]="","",tblVerifyBudget[[#This Row],[Posted]]+tblVerifyBudget[[#This Row],[Accrued]])</f>
        <v>800</v>
      </c>
      <c r="V56" s="41">
        <f>IF(tblVerifyBudget[[#This Row],[Category]]="","",tblVerifyBudget[[#This Row],[Budget to date]]-tblVerifyBudget[[#This Row],[Actual to date]])</f>
        <v>-800</v>
      </c>
      <c r="W56" s="40">
        <f>IF(tblVerifyBudget[[#This Row],[Category]]="","",tblVerifyBudget[[#This Row],[Actual to date]]+tblVerifyBudget[[#This Row],[Committed]])</f>
        <v>800</v>
      </c>
      <c r="X56" s="41">
        <f>IF(tblVerifyBudget[[#This Row],[Category]]="","",tblVerifyBudget[[#This Row],[Annual budget]]-tblVerifyBudget[[#This Row],[Spent + committed]])</f>
        <v>-800</v>
      </c>
      <c r="Y56" s="42">
        <f>IF(tblVerifyBudget[[#This Row],[Category]]="","",IF(tblVerifyBudget[[#This Row],[Annual budget]]&gt;0,tblVerifyBudget[[#This Row],[Spent + committed]]/tblVerifyBudget[[#This Row],[Annual budget]],""))</f>
        <v/>
      </c>
      <c r="Z56" s="36">
        <f>IF(tblVerifyBudget[[#This Row],[Category]]="","",IF(NOT(ISNUMBER(tblVerifyBudget[[#This Row],[Budget used]])),"",IF(tblVerifyBudget[[#This Row],[Budget used]]&gt;1,"Out of limits",IF(tblVerifyBudget[[#This Row],[Budget used]]&gt;$E$39,"Check","Within limits"))))</f>
        <v/>
      </c>
      <c r="AA56" s="43" t="str">
        <f>IF(tblVerifyBudget[[#This Row],[Category]]="","",IF(COUNTIF(tblVerifyBudget[Category],tblVerifyBudget[[#This Row],[Category]])&gt;1,"Duplicate category",IF(AND(tblVerifyBudget[[#This Row],[Annual budget]]=0,tblVerifyBudget[[#This Row],[Spent + committed]]&lt;&gt;0),"Spend but no budget","OK")))</f>
        <v>Spend but no budget</v>
      </c>
    </row>
    <row r="58" spans="2:27">
      <c r="B58" s="32" t="s">
        <v>454</v>
      </c>
      <c r="C58" s="32"/>
      <c r="D58" s="32"/>
      <c r="E58" s="32"/>
      <c r="F58" s="32"/>
      <c r="G58" s="32"/>
      <c r="H58" s="32"/>
      <c r="I58" s="32"/>
      <c r="J58" s="32"/>
      <c r="K58" s="32"/>
      <c r="L58" s="32"/>
    </row>
    <row r="59" spans="2:27" ht="14" customHeight="1">
      <c r="B59" s="38"/>
      <c r="C59" s="38"/>
      <c r="D59" s="38"/>
      <c r="E59" s="38"/>
      <c r="F59" s="38"/>
      <c r="G59" s="38"/>
      <c r="H59" s="38" t="str">
        <f>Currency</f>
        <v>GBP</v>
      </c>
      <c r="I59" s="38"/>
      <c r="J59" s="38"/>
      <c r="K59" s="38"/>
    </row>
    <row r="60" spans="2:27" ht="32" customHeight="1">
      <c r="B60" s="33" t="s">
        <v>142</v>
      </c>
      <c r="C60" s="33" t="s">
        <v>97</v>
      </c>
      <c r="D60" s="33" t="s">
        <v>62</v>
      </c>
      <c r="E60" s="33" t="s">
        <v>143</v>
      </c>
      <c r="F60" s="33" t="s">
        <v>144</v>
      </c>
      <c r="G60" s="33" t="s">
        <v>145</v>
      </c>
      <c r="H60" s="33" t="s">
        <v>146</v>
      </c>
      <c r="I60" s="33" t="s">
        <v>121</v>
      </c>
      <c r="J60" s="33" t="s">
        <v>147</v>
      </c>
      <c r="K60" s="33" t="s">
        <v>122</v>
      </c>
    </row>
    <row r="61" spans="2:27">
      <c r="B61" s="73">
        <v>46112</v>
      </c>
      <c r="C61" s="61" t="s">
        <v>451</v>
      </c>
      <c r="D61" s="61" t="s">
        <v>449</v>
      </c>
      <c r="E61" s="61" t="s">
        <v>113</v>
      </c>
      <c r="F61" s="61" t="s">
        <v>437</v>
      </c>
      <c r="G61" s="61" t="s">
        <v>437</v>
      </c>
      <c r="H61" s="74">
        <v>600000</v>
      </c>
      <c r="I61" s="61" t="s">
        <v>113</v>
      </c>
      <c r="J61" s="40">
        <f>IF(tblVerifySpend[[#This Row],[Date]]="","",(YEAR(tblVerifySpend[[#This Row],[Date]])-YEAR($E$42))*12+MONTH(tblVerifySpend[[#This Row],[Date]])-MONTH($E$42)+1)</f>
        <v>3</v>
      </c>
      <c r="K61" s="43" t="str">
        <f>IF(tblVerifySpend[[#This Row],[Date]]="","",IF(tblVerifySpend[[#This Row],[Category]]="","Missing category",IF(tblVerifySpend[[#This Row],[Amount]]="","Missing amount",IF(tblVerifySpend[[#This Row],[Status]]="","Missing status",IF(COUNTIF(tblVerifyBudget[Category],tblVerifySpend[[#This Row],[Category]])=0,"Category not on the Budget sheet",IF(AND(tblVerifySpend[[#This Row],[Area]]&lt;&gt;"",COUNTIF(tblVerifyAreas[Area],tblVerifySpend[[#This Row],[Area]])=0),"Area not on Setup list",IF(OR(tblVerifySpend[[#This Row],[Month no.]]&lt;1,tblVerifySpend[[#This Row],[Month no.]]&gt;12),"Date outside the budget year",IF(tblVerifySpend[[#This Row],[Date]]&gt;$E$43,"Date after the spend-recorded-to date","OK"))))))))</f>
        <v>OK</v>
      </c>
    </row>
    <row r="62" spans="2:27">
      <c r="B62" s="73">
        <v>46203</v>
      </c>
      <c r="C62" s="61" t="s">
        <v>451</v>
      </c>
      <c r="D62" s="61" t="s">
        <v>449</v>
      </c>
      <c r="E62" s="61" t="s">
        <v>113</v>
      </c>
      <c r="F62" s="61" t="s">
        <v>437</v>
      </c>
      <c r="G62" s="61" t="s">
        <v>437</v>
      </c>
      <c r="H62" s="74">
        <v>520000</v>
      </c>
      <c r="I62" s="61" t="s">
        <v>113</v>
      </c>
      <c r="J62" s="40">
        <f>IF(tblVerifySpend[[#This Row],[Date]]="","",(YEAR(tblVerifySpend[[#This Row],[Date]])-YEAR($E$42))*12+MONTH(tblVerifySpend[[#This Row],[Date]])-MONTH($E$42)+1)</f>
        <v>6</v>
      </c>
      <c r="K62" s="43" t="str">
        <f>IF(tblVerifySpend[[#This Row],[Date]]="","",IF(tblVerifySpend[[#This Row],[Category]]="","Missing category",IF(tblVerifySpend[[#This Row],[Amount]]="","Missing amount",IF(tblVerifySpend[[#This Row],[Status]]="","Missing status",IF(COUNTIF(tblVerifyBudget[Category],tblVerifySpend[[#This Row],[Category]])=0,"Category not on the Budget sheet",IF(AND(tblVerifySpend[[#This Row],[Area]]&lt;&gt;"",COUNTIF(tblVerifyAreas[Area],tblVerifySpend[[#This Row],[Area]])=0),"Area not on Setup list",IF(OR(tblVerifySpend[[#This Row],[Month no.]]&lt;1,tblVerifySpend[[#This Row],[Month no.]]&gt;12),"Date outside the budget year",IF(tblVerifySpend[[#This Row],[Date]]&gt;$E$43,"Date after the spend-recorded-to date","OK"))))))))</f>
        <v>OK</v>
      </c>
    </row>
    <row r="63" spans="2:27">
      <c r="B63" s="73">
        <v>46188</v>
      </c>
      <c r="C63" s="61" t="s">
        <v>451</v>
      </c>
      <c r="D63" s="61" t="s">
        <v>449</v>
      </c>
      <c r="E63" s="61" t="s">
        <v>455</v>
      </c>
      <c r="F63" s="61" t="s">
        <v>437</v>
      </c>
      <c r="G63" s="61" t="s">
        <v>437</v>
      </c>
      <c r="H63" s="74">
        <v>45000</v>
      </c>
      <c r="I63" s="61" t="s">
        <v>115</v>
      </c>
      <c r="J63" s="40">
        <f>IF(tblVerifySpend[[#This Row],[Date]]="","",(YEAR(tblVerifySpend[[#This Row],[Date]])-YEAR($E$42))*12+MONTH(tblVerifySpend[[#This Row],[Date]])-MONTH($E$42)+1)</f>
        <v>6</v>
      </c>
      <c r="K63" s="43" t="str">
        <f>IF(tblVerifySpend[[#This Row],[Date]]="","",IF(tblVerifySpend[[#This Row],[Category]]="","Missing category",IF(tblVerifySpend[[#This Row],[Amount]]="","Missing amount",IF(tblVerifySpend[[#This Row],[Status]]="","Missing status",IF(COUNTIF(tblVerifyBudget[Category],tblVerifySpend[[#This Row],[Category]])=0,"Category not on the Budget sheet",IF(AND(tblVerifySpend[[#This Row],[Area]]&lt;&gt;"",COUNTIF(tblVerifyAreas[Area],tblVerifySpend[[#This Row],[Area]])=0),"Area not on Setup list",IF(OR(tblVerifySpend[[#This Row],[Month no.]]&lt;1,tblVerifySpend[[#This Row],[Month no.]]&gt;12),"Date outside the budget year",IF(tblVerifySpend[[#This Row],[Date]]&gt;$E$43,"Date after the spend-recorded-to date","OK"))))))))</f>
        <v>OK</v>
      </c>
    </row>
    <row r="64" spans="2:27">
      <c r="B64" s="73">
        <v>46203</v>
      </c>
      <c r="C64" s="61" t="s">
        <v>451</v>
      </c>
      <c r="D64" s="61" t="s">
        <v>449</v>
      </c>
      <c r="E64" s="61" t="s">
        <v>456</v>
      </c>
      <c r="F64" s="61" t="s">
        <v>437</v>
      </c>
      <c r="G64" s="61" t="s">
        <v>437</v>
      </c>
      <c r="H64" s="74">
        <v>15000</v>
      </c>
      <c r="I64" s="61" t="s">
        <v>114</v>
      </c>
      <c r="J64" s="40">
        <f>IF(tblVerifySpend[[#This Row],[Date]]="","",(YEAR(tblVerifySpend[[#This Row],[Date]])-YEAR($E$42))*12+MONTH(tblVerifySpend[[#This Row],[Date]])-MONTH($E$42)+1)</f>
        <v>6</v>
      </c>
      <c r="K64" s="43" t="str">
        <f>IF(tblVerifySpend[[#This Row],[Date]]="","",IF(tblVerifySpend[[#This Row],[Category]]="","Missing category",IF(tblVerifySpend[[#This Row],[Amount]]="","Missing amount",IF(tblVerifySpend[[#This Row],[Status]]="","Missing status",IF(COUNTIF(tblVerifyBudget[Category],tblVerifySpend[[#This Row],[Category]])=0,"Category not on the Budget sheet",IF(AND(tblVerifySpend[[#This Row],[Area]]&lt;&gt;"",COUNTIF(tblVerifyAreas[Area],tblVerifySpend[[#This Row],[Area]])=0),"Area not on Setup list",IF(OR(tblVerifySpend[[#This Row],[Month no.]]&lt;1,tblVerifySpend[[#This Row],[Month no.]]&gt;12),"Date outside the budget year",IF(tblVerifySpend[[#This Row],[Date]]&gt;$E$43,"Date after the spend-recorded-to date","OK"))))))))</f>
        <v>OK</v>
      </c>
    </row>
    <row r="65" spans="2:16">
      <c r="B65" s="73">
        <v>46063</v>
      </c>
      <c r="C65" s="61" t="s">
        <v>430</v>
      </c>
      <c r="D65" s="61" t="s">
        <v>449</v>
      </c>
      <c r="E65" s="61" t="s">
        <v>113</v>
      </c>
      <c r="F65" s="61" t="s">
        <v>437</v>
      </c>
      <c r="G65" s="61" t="s">
        <v>437</v>
      </c>
      <c r="H65" s="74">
        <v>30000</v>
      </c>
      <c r="I65" s="61" t="s">
        <v>113</v>
      </c>
      <c r="J65" s="40">
        <f>IF(tblVerifySpend[[#This Row],[Date]]="","",(YEAR(tblVerifySpend[[#This Row],[Date]])-YEAR($E$42))*12+MONTH(tblVerifySpend[[#This Row],[Date]])-MONTH($E$42)+1)</f>
        <v>2</v>
      </c>
      <c r="K65" s="43" t="str">
        <f>IF(tblVerifySpend[[#This Row],[Date]]="","",IF(tblVerifySpend[[#This Row],[Category]]="","Missing category",IF(tblVerifySpend[[#This Row],[Amount]]="","Missing amount",IF(tblVerifySpend[[#This Row],[Status]]="","Missing status",IF(COUNTIF(tblVerifyBudget[Category],tblVerifySpend[[#This Row],[Category]])=0,"Category not on the Budget sheet",IF(AND(tblVerifySpend[[#This Row],[Area]]&lt;&gt;"",COUNTIF(tblVerifyAreas[Area],tblVerifySpend[[#This Row],[Area]])=0),"Area not on Setup list",IF(OR(tblVerifySpend[[#This Row],[Month no.]]&lt;1,tblVerifySpend[[#This Row],[Month no.]]&gt;12),"Date outside the budget year",IF(tblVerifySpend[[#This Row],[Date]]&gt;$E$43,"Date after the spend-recorded-to date","OK"))))))))</f>
        <v>OK</v>
      </c>
    </row>
    <row r="66" spans="2:16">
      <c r="B66" s="73">
        <v>46203</v>
      </c>
      <c r="C66" s="61" t="s">
        <v>430</v>
      </c>
      <c r="D66" s="61" t="s">
        <v>437</v>
      </c>
      <c r="E66" s="61" t="s">
        <v>456</v>
      </c>
      <c r="F66" s="61" t="s">
        <v>437</v>
      </c>
      <c r="G66" s="61" t="s">
        <v>437</v>
      </c>
      <c r="H66" s="74">
        <v>2000</v>
      </c>
      <c r="I66" s="61" t="s">
        <v>114</v>
      </c>
      <c r="J66" s="40">
        <f>IF(tblVerifySpend[[#This Row],[Date]]="","",(YEAR(tblVerifySpend[[#This Row],[Date]])-YEAR($E$42))*12+MONTH(tblVerifySpend[[#This Row],[Date]])-MONTH($E$42)+1)</f>
        <v>6</v>
      </c>
      <c r="K66" s="43" t="str">
        <f>IF(tblVerifySpend[[#This Row],[Date]]="","",IF(tblVerifySpend[[#This Row],[Category]]="","Missing category",IF(tblVerifySpend[[#This Row],[Amount]]="","Missing amount",IF(tblVerifySpend[[#This Row],[Status]]="","Missing status",IF(COUNTIF(tblVerifyBudget[Category],tblVerifySpend[[#This Row],[Category]])=0,"Category not on the Budget sheet",IF(AND(tblVerifySpend[[#This Row],[Area]]&lt;&gt;"",COUNTIF(tblVerifyAreas[Area],tblVerifySpend[[#This Row],[Area]])=0),"Area not on Setup list",IF(OR(tblVerifySpend[[#This Row],[Month no.]]&lt;1,tblVerifySpend[[#This Row],[Month no.]]&gt;12),"Date outside the budget year",IF(tblVerifySpend[[#This Row],[Date]]&gt;$E$43,"Date after the spend-recorded-to date","OK"))))))))</f>
        <v>OK</v>
      </c>
    </row>
    <row r="67" spans="2:16">
      <c r="B67" s="73">
        <v>46011</v>
      </c>
      <c r="C67" s="61" t="s">
        <v>430</v>
      </c>
      <c r="D67" s="61" t="s">
        <v>449</v>
      </c>
      <c r="E67" s="61" t="s">
        <v>457</v>
      </c>
      <c r="F67" s="61" t="s">
        <v>437</v>
      </c>
      <c r="G67" s="61" t="s">
        <v>437</v>
      </c>
      <c r="H67" s="74">
        <v>5000</v>
      </c>
      <c r="I67" s="61" t="s">
        <v>113</v>
      </c>
      <c r="J67" s="40">
        <f>IF(tblVerifySpend[[#This Row],[Date]]="","",(YEAR(tblVerifySpend[[#This Row],[Date]])-YEAR($E$42))*12+MONTH(tblVerifySpend[[#This Row],[Date]])-MONTH($E$42)+1)</f>
        <v>0</v>
      </c>
      <c r="K67" s="43" t="str">
        <f>IF(tblVerifySpend[[#This Row],[Date]]="","",IF(tblVerifySpend[[#This Row],[Category]]="","Missing category",IF(tblVerifySpend[[#This Row],[Amount]]="","Missing amount",IF(tblVerifySpend[[#This Row],[Status]]="","Missing status",IF(COUNTIF(tblVerifyBudget[Category],tblVerifySpend[[#This Row],[Category]])=0,"Category not on the Budget sheet",IF(AND(tblVerifySpend[[#This Row],[Area]]&lt;&gt;"",COUNTIF(tblVerifyAreas[Area],tblVerifySpend[[#This Row],[Area]])=0),"Area not on Setup list",IF(OR(tblVerifySpend[[#This Row],[Month no.]]&lt;1,tblVerifySpend[[#This Row],[Month no.]]&gt;12),"Date outside the budget year",IF(tblVerifySpend[[#This Row],[Date]]&gt;$E$43,"Date after the spend-recorded-to date","OK"))))))))</f>
        <v>Date outside the budget year</v>
      </c>
    </row>
    <row r="68" spans="2:16">
      <c r="B68" s="73">
        <v>46147</v>
      </c>
      <c r="C68" s="61" t="s">
        <v>452</v>
      </c>
      <c r="D68" s="61" t="s">
        <v>449</v>
      </c>
      <c r="E68" s="61" t="s">
        <v>113</v>
      </c>
      <c r="F68" s="61" t="s">
        <v>437</v>
      </c>
      <c r="G68" s="61" t="s">
        <v>437</v>
      </c>
      <c r="H68" s="74">
        <v>13500</v>
      </c>
      <c r="I68" s="61" t="s">
        <v>113</v>
      </c>
      <c r="J68" s="40">
        <f>IF(tblVerifySpend[[#This Row],[Date]]="","",(YEAR(tblVerifySpend[[#This Row],[Date]])-YEAR($E$42))*12+MONTH(tblVerifySpend[[#This Row],[Date]])-MONTH($E$42)+1)</f>
        <v>5</v>
      </c>
      <c r="K68" s="43" t="str">
        <f>IF(tblVerifySpend[[#This Row],[Date]]="","",IF(tblVerifySpend[[#This Row],[Category]]="","Missing category",IF(tblVerifySpend[[#This Row],[Amount]]="","Missing amount",IF(tblVerifySpend[[#This Row],[Status]]="","Missing status",IF(COUNTIF(tblVerifyBudget[Category],tblVerifySpend[[#This Row],[Category]])=0,"Category not on the Budget sheet",IF(AND(tblVerifySpend[[#This Row],[Area]]&lt;&gt;"",COUNTIF(tblVerifyAreas[Area],tblVerifySpend[[#This Row],[Area]])=0),"Area not on Setup list",IF(OR(tblVerifySpend[[#This Row],[Month no.]]&lt;1,tblVerifySpend[[#This Row],[Month no.]]&gt;12),"Date outside the budget year",IF(tblVerifySpend[[#This Row],[Date]]&gt;$E$43,"Date after the spend-recorded-to date","OK"))))))))</f>
        <v>OK</v>
      </c>
    </row>
    <row r="69" spans="2:16">
      <c r="B69" s="73">
        <v>46113</v>
      </c>
      <c r="C69" s="61" t="s">
        <v>453</v>
      </c>
      <c r="D69" s="61" t="s">
        <v>449</v>
      </c>
      <c r="E69" s="61" t="s">
        <v>113</v>
      </c>
      <c r="F69" s="61" t="s">
        <v>437</v>
      </c>
      <c r="G69" s="61" t="s">
        <v>437</v>
      </c>
      <c r="H69" s="74">
        <v>800</v>
      </c>
      <c r="I69" s="61" t="s">
        <v>113</v>
      </c>
      <c r="J69" s="40">
        <f>IF(tblVerifySpend[[#This Row],[Date]]="","",(YEAR(tblVerifySpend[[#This Row],[Date]])-YEAR($E$42))*12+MONTH(tblVerifySpend[[#This Row],[Date]])-MONTH($E$42)+1)</f>
        <v>4</v>
      </c>
      <c r="K69" s="43" t="str">
        <f>IF(tblVerifySpend[[#This Row],[Date]]="","",IF(tblVerifySpend[[#This Row],[Category]]="","Missing category",IF(tblVerifySpend[[#This Row],[Amount]]="","Missing amount",IF(tblVerifySpend[[#This Row],[Status]]="","Missing status",IF(COUNTIF(tblVerifyBudget[Category],tblVerifySpend[[#This Row],[Category]])=0,"Category not on the Budget sheet",IF(AND(tblVerifySpend[[#This Row],[Area]]&lt;&gt;"",COUNTIF(tblVerifyAreas[Area],tblVerifySpend[[#This Row],[Area]])=0),"Area not on Setup list",IF(OR(tblVerifySpend[[#This Row],[Month no.]]&lt;1,tblVerifySpend[[#This Row],[Month no.]]&gt;12),"Date outside the budget year",IF(tblVerifySpend[[#This Row],[Date]]&gt;$E$43,"Date after the spend-recorded-to date","OK"))))))))</f>
        <v>OK</v>
      </c>
    </row>
    <row r="70" spans="2:16">
      <c r="B70" s="73">
        <v>46205</v>
      </c>
      <c r="C70" s="61" t="s">
        <v>458</v>
      </c>
      <c r="D70" s="61" t="s">
        <v>449</v>
      </c>
      <c r="E70" s="61" t="s">
        <v>459</v>
      </c>
      <c r="F70" s="61" t="s">
        <v>437</v>
      </c>
      <c r="G70" s="61" t="s">
        <v>437</v>
      </c>
      <c r="H70" s="74">
        <v>100</v>
      </c>
      <c r="I70" s="61" t="s">
        <v>113</v>
      </c>
      <c r="J70" s="40">
        <f>IF(tblVerifySpend[[#This Row],[Date]]="","",(YEAR(tblVerifySpend[[#This Row],[Date]])-YEAR($E$42))*12+MONTH(tblVerifySpend[[#This Row],[Date]])-MONTH($E$42)+1)</f>
        <v>7</v>
      </c>
      <c r="K70" s="43" t="str">
        <f>IF(tblVerifySpend[[#This Row],[Date]]="","",IF(tblVerifySpend[[#This Row],[Category]]="","Missing category",IF(tblVerifySpend[[#This Row],[Amount]]="","Missing amount",IF(tblVerifySpend[[#This Row],[Status]]="","Missing status",IF(COUNTIF(tblVerifyBudget[Category],tblVerifySpend[[#This Row],[Category]])=0,"Category not on the Budget sheet",IF(AND(tblVerifySpend[[#This Row],[Area]]&lt;&gt;"",COUNTIF(tblVerifyAreas[Area],tblVerifySpend[[#This Row],[Area]])=0),"Area not on Setup list",IF(OR(tblVerifySpend[[#This Row],[Month no.]]&lt;1,tblVerifySpend[[#This Row],[Month no.]]&gt;12),"Date outside the budget year",IF(tblVerifySpend[[#This Row],[Date]]&gt;$E$43,"Date after the spend-recorded-to date","OK"))))))))</f>
        <v>Category not on the Budget sheet</v>
      </c>
    </row>
    <row r="72" spans="2:16">
      <c r="B72" s="32" t="s">
        <v>460</v>
      </c>
      <c r="C72" s="32"/>
      <c r="D72" s="32"/>
      <c r="E72" s="32"/>
      <c r="F72" s="32"/>
      <c r="G72" s="32"/>
      <c r="H72" s="32"/>
      <c r="I72" s="32"/>
      <c r="J72" s="32"/>
      <c r="K72" s="32"/>
      <c r="L72" s="32"/>
    </row>
    <row r="73" spans="2:16">
      <c r="B73" s="34" t="s">
        <v>123</v>
      </c>
      <c r="C73" s="34"/>
      <c r="D73" s="34"/>
      <c r="E73" s="35">
        <f>DATE(YEAR($E$42),MONTH($E$42),1)</f>
        <v>46023</v>
      </c>
      <c r="F73" s="35">
        <f>IF($E$73="","",EDATE($E$73,1))</f>
        <v>46054</v>
      </c>
      <c r="G73" s="35">
        <f>IF($F$73="","",EDATE($F$73,1))</f>
        <v>46082</v>
      </c>
      <c r="H73" s="35">
        <f>IF($G$73="","",EDATE($G$73,1))</f>
        <v>46113</v>
      </c>
      <c r="I73" s="35">
        <f>IF($H$73="","",EDATE($H$73,1))</f>
        <v>46143</v>
      </c>
      <c r="J73" s="35">
        <f>IF($I$73="","",EDATE($I$73,1))</f>
        <v>46174</v>
      </c>
      <c r="K73" s="35">
        <f>IF($J$73="","",EDATE($J$73,1))</f>
        <v>46204</v>
      </c>
      <c r="L73" s="35">
        <f>IF($K$73="","",EDATE($K$73,1))</f>
        <v>46235</v>
      </c>
      <c r="M73" s="35">
        <f>IF($L$73="","",EDATE($L$73,1))</f>
        <v>46266</v>
      </c>
      <c r="N73" s="35">
        <f>IF($M$73="","",EDATE($M$73,1))</f>
        <v>46296</v>
      </c>
      <c r="O73" s="35">
        <f>IF($N$73="","",EDATE($N$73,1))</f>
        <v>46327</v>
      </c>
      <c r="P73" s="35">
        <f>IF($O$73="","",EDATE($O$73,1))</f>
        <v>46357</v>
      </c>
    </row>
    <row r="74" spans="2:16">
      <c r="B74" s="27" t="s">
        <v>124</v>
      </c>
      <c r="C74" s="27"/>
      <c r="D74" s="27"/>
      <c r="E74" s="36" t="str">
        <f>IF($E$73="","",IF(1&lt;=$E$44,"Closed","Open"))</f>
        <v>Closed</v>
      </c>
      <c r="F74" s="36" t="str">
        <f>IF($F$73="","",IF(2&lt;=$E$44,"Closed","Open"))</f>
        <v>Closed</v>
      </c>
      <c r="G74" s="36" t="str">
        <f>IF($G$73="","",IF(3&lt;=$E$44,"Closed","Open"))</f>
        <v>Closed</v>
      </c>
      <c r="H74" s="36" t="str">
        <f>IF($H$73="","",IF(4&lt;=$E$44,"Closed","Open"))</f>
        <v>Closed</v>
      </c>
      <c r="I74" s="36" t="str">
        <f>IF($I$73="","",IF(5&lt;=$E$44,"Closed","Open"))</f>
        <v>Closed</v>
      </c>
      <c r="J74" s="36" t="str">
        <f>IF($J$73="","",IF(6&lt;=$E$44,"Closed","Open"))</f>
        <v>Closed</v>
      </c>
      <c r="K74" s="36" t="str">
        <f>IF($K$73="","",IF(7&lt;=$E$44,"Closed","Open"))</f>
        <v>Open</v>
      </c>
      <c r="L74" s="36" t="str">
        <f>IF($L$73="","",IF(8&lt;=$E$44,"Closed","Open"))</f>
        <v>Open</v>
      </c>
      <c r="M74" s="36" t="str">
        <f>IF($M$73="","",IF(9&lt;=$E$44,"Closed","Open"))</f>
        <v>Open</v>
      </c>
      <c r="N74" s="36" t="str">
        <f>IF($N$73="","",IF(10&lt;=$E$44,"Closed","Open"))</f>
        <v>Open</v>
      </c>
      <c r="O74" s="36" t="str">
        <f>IF($O$73="","",IF(11&lt;=$E$44,"Closed","Open"))</f>
        <v>Open</v>
      </c>
      <c r="P74" s="36" t="str">
        <f>IF($P$73="","",IF(12&lt;=$E$44,"Closed","Open"))</f>
        <v>Open</v>
      </c>
    </row>
    <row r="76" spans="2:16">
      <c r="B76" s="32" t="s">
        <v>461</v>
      </c>
      <c r="C76" s="32"/>
      <c r="D76" s="32"/>
      <c r="E76" s="32"/>
      <c r="F76" s="32"/>
      <c r="G76" s="32"/>
      <c r="H76" s="32"/>
      <c r="I76" s="32"/>
      <c r="J76" s="32"/>
      <c r="K76" s="32"/>
      <c r="L76" s="32"/>
    </row>
    <row r="77" spans="2:16" ht="32" customHeight="1">
      <c r="B77" s="34" t="s">
        <v>124</v>
      </c>
      <c r="C77" s="33" t="s">
        <v>19</v>
      </c>
      <c r="D77" s="33" t="s">
        <v>113</v>
      </c>
      <c r="E77" s="33" t="s">
        <v>114</v>
      </c>
      <c r="F77" s="33" t="s">
        <v>346</v>
      </c>
      <c r="G77" s="33" t="s">
        <v>347</v>
      </c>
      <c r="H77" s="33" t="s">
        <v>348</v>
      </c>
      <c r="I77" s="33" t="s">
        <v>349</v>
      </c>
    </row>
    <row r="78" spans="2:16">
      <c r="B78" s="56">
        <f>INDEX($E$73:$P$73,1)</f>
        <v>46023</v>
      </c>
      <c r="C78" s="40">
        <f>SUM(tblVerifyBudget[M1])</f>
        <v>106000</v>
      </c>
      <c r="D78" s="40">
        <f>SUMIFS(tblVerifySpend[Amount],tblVerifySpend[Month no.],1,tblVerifySpend[Status],"Posted")</f>
        <v>0</v>
      </c>
      <c r="E78" s="40">
        <f>SUMIFS(tblVerifySpend[Amount],tblVerifySpend[Month no.],1,tblVerifySpend[Status],"Accrued")</f>
        <v>0</v>
      </c>
      <c r="F78" s="40">
        <f>IF(1&gt;$E$44,"",$D$78+$E$78)</f>
        <v>0</v>
      </c>
      <c r="G78" s="41">
        <f>IF(1&gt;$E$44,"",$C$78-$F$78)</f>
        <v>106000</v>
      </c>
      <c r="H78" s="40">
        <f>SUM(INDEX($C$78:$C$89,1):INDEX($C$78:$C$89,1))</f>
        <v>106000</v>
      </c>
      <c r="I78" s="40">
        <f>IF(1&gt;$E$44,"",SUM(INDEX($F$78:$F$89,1):INDEX($F$78:$F$89,1)))</f>
        <v>0</v>
      </c>
    </row>
    <row r="79" spans="2:16">
      <c r="B79" s="56">
        <f>INDEX($E$73:$P$73,2)</f>
        <v>46054</v>
      </c>
      <c r="C79" s="40">
        <f>SUM(tblVerifyBudget[M2])</f>
        <v>106000</v>
      </c>
      <c r="D79" s="40">
        <f>SUMIFS(tblVerifySpend[Amount],tblVerifySpend[Month no.],2,tblVerifySpend[Status],"Posted")</f>
        <v>30000</v>
      </c>
      <c r="E79" s="40">
        <f>SUMIFS(tblVerifySpend[Amount],tblVerifySpend[Month no.],2,tblVerifySpend[Status],"Accrued")</f>
        <v>0</v>
      </c>
      <c r="F79" s="40">
        <f>IF(2&gt;$E$44,"",$D$79+$E$79)</f>
        <v>30000</v>
      </c>
      <c r="G79" s="41">
        <f>IF(2&gt;$E$44,"",$C$79-$F$79)</f>
        <v>76000</v>
      </c>
      <c r="H79" s="40">
        <f>SUM(INDEX($C$78:$C$89,1):INDEX($C$78:$C$89,2))</f>
        <v>212000</v>
      </c>
      <c r="I79" s="40">
        <f>IF(2&gt;$E$44,"",SUM(INDEX($F$78:$F$89,1):INDEX($F$78:$F$89,2)))</f>
        <v>30000</v>
      </c>
    </row>
    <row r="80" spans="2:16">
      <c r="B80" s="56">
        <f>INDEX($E$73:$P$73,3)</f>
        <v>46082</v>
      </c>
      <c r="C80" s="40">
        <f>SUM(tblVerifyBudget[M3])</f>
        <v>106000</v>
      </c>
      <c r="D80" s="40">
        <f>SUMIFS(tblVerifySpend[Amount],tblVerifySpend[Month no.],3,tblVerifySpend[Status],"Posted")</f>
        <v>600000</v>
      </c>
      <c r="E80" s="40">
        <f>SUMIFS(tblVerifySpend[Amount],tblVerifySpend[Month no.],3,tblVerifySpend[Status],"Accrued")</f>
        <v>0</v>
      </c>
      <c r="F80" s="40">
        <f>IF(3&gt;$E$44,"",$D$80+$E$80)</f>
        <v>600000</v>
      </c>
      <c r="G80" s="41">
        <f>IF(3&gt;$E$44,"",$C$80-$F$80)</f>
        <v>-494000</v>
      </c>
      <c r="H80" s="40">
        <f>SUM(INDEX($C$78:$C$89,1):INDEX($C$78:$C$89,3))</f>
        <v>318000</v>
      </c>
      <c r="I80" s="40">
        <f>IF(3&gt;$E$44,"",SUM(INDEX($F$78:$F$89,1):INDEX($F$78:$F$89,3)))</f>
        <v>630000</v>
      </c>
    </row>
    <row r="81" spans="2:9">
      <c r="B81" s="56">
        <f>INDEX($E$73:$P$73,4)</f>
        <v>46113</v>
      </c>
      <c r="C81" s="40">
        <f>SUM(tblVerifyBudget[M4])</f>
        <v>106000</v>
      </c>
      <c r="D81" s="40">
        <f>SUMIFS(tblVerifySpend[Amount],tblVerifySpend[Month no.],4,tblVerifySpend[Status],"Posted")</f>
        <v>800</v>
      </c>
      <c r="E81" s="40">
        <f>SUMIFS(tblVerifySpend[Amount],tblVerifySpend[Month no.],4,tblVerifySpend[Status],"Accrued")</f>
        <v>0</v>
      </c>
      <c r="F81" s="40">
        <f>IF(4&gt;$E$44,"",$D$81+$E$81)</f>
        <v>800</v>
      </c>
      <c r="G81" s="41">
        <f>IF(4&gt;$E$44,"",$C$81-$F$81)</f>
        <v>105200</v>
      </c>
      <c r="H81" s="40">
        <f>SUM(INDEX($C$78:$C$89,1):INDEX($C$78:$C$89,4))</f>
        <v>424000</v>
      </c>
      <c r="I81" s="40">
        <f>IF(4&gt;$E$44,"",SUM(INDEX($F$78:$F$89,1):INDEX($F$78:$F$89,4)))</f>
        <v>630800</v>
      </c>
    </row>
    <row r="82" spans="2:9">
      <c r="B82" s="56">
        <f>INDEX($E$73:$P$73,5)</f>
        <v>46143</v>
      </c>
      <c r="C82" s="40">
        <f>SUM(tblVerifyBudget[M5])</f>
        <v>106000</v>
      </c>
      <c r="D82" s="40">
        <f>SUMIFS(tblVerifySpend[Amount],tblVerifySpend[Month no.],5,tblVerifySpend[Status],"Posted")</f>
        <v>13500</v>
      </c>
      <c r="E82" s="40">
        <f>SUMIFS(tblVerifySpend[Amount],tblVerifySpend[Month no.],5,tblVerifySpend[Status],"Accrued")</f>
        <v>0</v>
      </c>
      <c r="F82" s="40">
        <f>IF(5&gt;$E$44,"",$D$82+$E$82)</f>
        <v>13500</v>
      </c>
      <c r="G82" s="41">
        <f>IF(5&gt;$E$44,"",$C$82-$F$82)</f>
        <v>92500</v>
      </c>
      <c r="H82" s="40">
        <f>SUM(INDEX($C$78:$C$89,1):INDEX($C$78:$C$89,5))</f>
        <v>530000</v>
      </c>
      <c r="I82" s="40">
        <f>IF(5&gt;$E$44,"",SUM(INDEX($F$78:$F$89,1):INDEX($F$78:$F$89,5)))</f>
        <v>644300</v>
      </c>
    </row>
    <row r="83" spans="2:9">
      <c r="B83" s="56">
        <f>INDEX($E$73:$P$73,6)</f>
        <v>46174</v>
      </c>
      <c r="C83" s="40">
        <f>SUM(tblVerifyBudget[M6])</f>
        <v>106000</v>
      </c>
      <c r="D83" s="40">
        <f>SUMIFS(tblVerifySpend[Amount],tblVerifySpend[Month no.],6,tblVerifySpend[Status],"Posted")</f>
        <v>520000</v>
      </c>
      <c r="E83" s="40">
        <f>SUMIFS(tblVerifySpend[Amount],tblVerifySpend[Month no.],6,tblVerifySpend[Status],"Accrued")</f>
        <v>17000</v>
      </c>
      <c r="F83" s="40">
        <f>IF(6&gt;$E$44,"",$D$83+$E$83)</f>
        <v>537000</v>
      </c>
      <c r="G83" s="41">
        <f>IF(6&gt;$E$44,"",$C$83-$F$83)</f>
        <v>-431000</v>
      </c>
      <c r="H83" s="40">
        <f>SUM(INDEX($C$78:$C$89,1):INDEX($C$78:$C$89,6))</f>
        <v>636000</v>
      </c>
      <c r="I83" s="40">
        <f>IF(6&gt;$E$44,"",SUM(INDEX($F$78:$F$89,1):INDEX($F$78:$F$89,6)))</f>
        <v>1181300</v>
      </c>
    </row>
    <row r="84" spans="2:9">
      <c r="B84" s="56">
        <f>INDEX($E$73:$P$73,7)</f>
        <v>46204</v>
      </c>
      <c r="C84" s="40">
        <f>SUM(tblVerifyBudget[M7])</f>
        <v>106000</v>
      </c>
      <c r="D84" s="40">
        <f>SUMIFS(tblVerifySpend[Amount],tblVerifySpend[Month no.],7,tblVerifySpend[Status],"Posted")</f>
        <v>100</v>
      </c>
      <c r="E84" s="40">
        <f>SUMIFS(tblVerifySpend[Amount],tblVerifySpend[Month no.],7,tblVerifySpend[Status],"Accrued")</f>
        <v>0</v>
      </c>
      <c r="F84" s="40">
        <f>IF(7&gt;$E$44,"",$D$84+$E$84)</f>
        <v/>
      </c>
      <c r="G84" s="41">
        <f>IF(7&gt;$E$44,"",$C$84-$F$84)</f>
        <v/>
      </c>
      <c r="H84" s="40">
        <f>SUM(INDEX($C$78:$C$89,1):INDEX($C$78:$C$89,7))</f>
        <v>742000</v>
      </c>
      <c r="I84" s="40">
        <f>IF(7&gt;$E$44,"",SUM(INDEX($F$78:$F$89,1):INDEX($F$78:$F$89,7)))</f>
        <v/>
      </c>
    </row>
    <row r="85" spans="2:9">
      <c r="B85" s="56">
        <f>INDEX($E$73:$P$73,8)</f>
        <v>46235</v>
      </c>
      <c r="C85" s="40">
        <f>SUM(tblVerifyBudget[M8])</f>
        <v>106000</v>
      </c>
      <c r="D85" s="40">
        <f>SUMIFS(tblVerifySpend[Amount],tblVerifySpend[Month no.],8,tblVerifySpend[Status],"Posted")</f>
        <v>0</v>
      </c>
      <c r="E85" s="40">
        <f>SUMIFS(tblVerifySpend[Amount],tblVerifySpend[Month no.],8,tblVerifySpend[Status],"Accrued")</f>
        <v>0</v>
      </c>
      <c r="F85" s="40">
        <f>IF(8&gt;$E$44,"",$D$85+$E$85)</f>
        <v/>
      </c>
      <c r="G85" s="41">
        <f>IF(8&gt;$E$44,"",$C$85-$F$85)</f>
        <v/>
      </c>
      <c r="H85" s="40">
        <f>SUM(INDEX($C$78:$C$89,1):INDEX($C$78:$C$89,8))</f>
        <v>848000</v>
      </c>
      <c r="I85" s="40">
        <f>IF(8&gt;$E$44,"",SUM(INDEX($F$78:$F$89,1):INDEX($F$78:$F$89,8)))</f>
        <v/>
      </c>
    </row>
    <row r="86" spans="2:9">
      <c r="B86" s="56">
        <f>INDEX($E$73:$P$73,9)</f>
        <v>46266</v>
      </c>
      <c r="C86" s="40">
        <f>SUM(tblVerifyBudget[M9])</f>
        <v>106000</v>
      </c>
      <c r="D86" s="40">
        <f>SUMIFS(tblVerifySpend[Amount],tblVerifySpend[Month no.],9,tblVerifySpend[Status],"Posted")</f>
        <v>0</v>
      </c>
      <c r="E86" s="40">
        <f>SUMIFS(tblVerifySpend[Amount],tblVerifySpend[Month no.],9,tblVerifySpend[Status],"Accrued")</f>
        <v>0</v>
      </c>
      <c r="F86" s="40">
        <f>IF(9&gt;$E$44,"",$D$86+$E$86)</f>
        <v/>
      </c>
      <c r="G86" s="41">
        <f>IF(9&gt;$E$44,"",$C$86-$F$86)</f>
        <v/>
      </c>
      <c r="H86" s="40">
        <f>SUM(INDEX($C$78:$C$89,1):INDEX($C$78:$C$89,9))</f>
        <v>954000</v>
      </c>
      <c r="I86" s="40">
        <f>IF(9&gt;$E$44,"",SUM(INDEX($F$78:$F$89,1):INDEX($F$78:$F$89,9)))</f>
        <v/>
      </c>
    </row>
    <row r="87" spans="2:9">
      <c r="B87" s="56">
        <f>INDEX($E$73:$P$73,10)</f>
        <v>46296</v>
      </c>
      <c r="C87" s="40">
        <f>SUM(tblVerifyBudget[M10])</f>
        <v>106000</v>
      </c>
      <c r="D87" s="40">
        <f>SUMIFS(tblVerifySpend[Amount],tblVerifySpend[Month no.],10,tblVerifySpend[Status],"Posted")</f>
        <v>0</v>
      </c>
      <c r="E87" s="40">
        <f>SUMIFS(tblVerifySpend[Amount],tblVerifySpend[Month no.],10,tblVerifySpend[Status],"Accrued")</f>
        <v>0</v>
      </c>
      <c r="F87" s="40">
        <f>IF(10&gt;$E$44,"",$D$87+$E$87)</f>
        <v/>
      </c>
      <c r="G87" s="41">
        <f>IF(10&gt;$E$44,"",$C$87-$F$87)</f>
        <v/>
      </c>
      <c r="H87" s="40">
        <f>SUM(INDEX($C$78:$C$89,1):INDEX($C$78:$C$89,10))</f>
        <v>1060000</v>
      </c>
      <c r="I87" s="40">
        <f>IF(10&gt;$E$44,"",SUM(INDEX($F$78:$F$89,1):INDEX($F$78:$F$89,10)))</f>
        <v/>
      </c>
    </row>
    <row r="88" spans="2:9">
      <c r="B88" s="56">
        <f>INDEX($E$73:$P$73,11)</f>
        <v>46327</v>
      </c>
      <c r="C88" s="40">
        <f>SUM(tblVerifyBudget[M11])</f>
        <v>106000</v>
      </c>
      <c r="D88" s="40">
        <f>SUMIFS(tblVerifySpend[Amount],tblVerifySpend[Month no.],11,tblVerifySpend[Status],"Posted")</f>
        <v>0</v>
      </c>
      <c r="E88" s="40">
        <f>SUMIFS(tblVerifySpend[Amount],tblVerifySpend[Month no.],11,tblVerifySpend[Status],"Accrued")</f>
        <v>0</v>
      </c>
      <c r="F88" s="40">
        <f>IF(11&gt;$E$44,"",$D$88+$E$88)</f>
        <v/>
      </c>
      <c r="G88" s="41">
        <f>IF(11&gt;$E$44,"",$C$88-$F$88)</f>
        <v/>
      </c>
      <c r="H88" s="40">
        <f>SUM(INDEX($C$78:$C$89,1):INDEX($C$78:$C$89,11))</f>
        <v>1166000</v>
      </c>
      <c r="I88" s="40">
        <f>IF(11&gt;$E$44,"",SUM(INDEX($F$78:$F$89,1):INDEX($F$78:$F$89,11)))</f>
        <v/>
      </c>
    </row>
    <row r="89" spans="2:9">
      <c r="B89" s="56">
        <f>INDEX($E$73:$P$73,12)</f>
        <v>46357</v>
      </c>
      <c r="C89" s="40">
        <f>SUM(tblVerifyBudget[M12])</f>
        <v>106000</v>
      </c>
      <c r="D89" s="40">
        <f>SUMIFS(tblVerifySpend[Amount],tblVerifySpend[Month no.],12,tblVerifySpend[Status],"Posted")</f>
        <v>0</v>
      </c>
      <c r="E89" s="40">
        <f>SUMIFS(tblVerifySpend[Amount],tblVerifySpend[Month no.],12,tblVerifySpend[Status],"Accrued")</f>
        <v>0</v>
      </c>
      <c r="F89" s="40">
        <f>IF(12&gt;$E$44,"",$D$89+$E$89)</f>
        <v/>
      </c>
      <c r="G89" s="41">
        <f>IF(12&gt;$E$44,"",$C$89-$F$89)</f>
        <v/>
      </c>
      <c r="H89" s="40">
        <f>SUM(INDEX($C$78:$C$89,1):INDEX($C$78:$C$89,12))</f>
        <v>1272000</v>
      </c>
      <c r="I89" s="40">
        <f>IF(12&gt;$E$44,"",SUM(INDEX($F$78:$F$89,1):INDEX($F$78:$F$89,12)))</f>
        <v/>
      </c>
    </row>
  </sheetData>
  <sheetProtection sheet="1" formatColumns="0" formatRows="0"/>
  <mergeCells count="46">
    <mergeCell ref="A1:AA1"/>
    <mergeCell ref="B2:Z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B35:L35"/>
    <mergeCell ref="B37:L37"/>
    <mergeCell ref="B38:F38"/>
    <mergeCell ref="B39:D39"/>
    <mergeCell ref="B41:L41"/>
    <mergeCell ref="B42:D42"/>
    <mergeCell ref="B43:D43"/>
    <mergeCell ref="B44:D44"/>
    <mergeCell ref="B46:L46"/>
    <mergeCell ref="B50:L50"/>
    <mergeCell ref="B58:L58"/>
    <mergeCell ref="B72:L72"/>
    <mergeCell ref="B73:D73"/>
    <mergeCell ref="B74:D74"/>
    <mergeCell ref="B76:L76"/>
  </mergeCells>
  <conditionalFormatting sqref="AA53:AA56">
    <cfRule type="expression" dxfId="3" priority="41">
      <formula>$AA53="OK"</formula>
    </cfRule>
    <cfRule type="expression" dxfId="1" priority="42">
      <formula>AND($AA53&lt;&gt;"",$AA53&lt;&gt;"OK")</formula>
    </cfRule>
  </conditionalFormatting>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G78:G89">
    <cfRule type="expression" dxfId="3" priority="45" stopIfTrue="1">
      <formula>AND(ISNUMBER(G78),G78&gt;=(0))</formula>
    </cfRule>
    <cfRule type="expression" dxfId="4" priority="46" stopIfTrue="1">
      <formula>AND(ISNUMBER(G78),G78&gt;=(0)*(1-0.05))</formula>
    </cfRule>
    <cfRule type="expression" dxfId="5" priority="47">
      <formula>ISNUMBER(G78)</formula>
    </cfRule>
  </conditionalFormatting>
  <conditionalFormatting sqref="K11:K33">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K61:K70">
    <cfRule type="expression" dxfId="3" priority="43">
      <formula>$K61="OK"</formula>
    </cfRule>
    <cfRule type="expression" dxfId="1" priority="44">
      <formula>AND($K61&lt;&gt;"",$K61&lt;&gt;"OK")</formula>
    </cfRule>
  </conditionalFormatting>
  <hyperlinks>
    <hyperlink ref="AA2" r:id="rId1" tooltip="Free manufacturing calculators and templates"/>
  </hyperlinks>
  <printOptions horizontalCentered="1"/>
  <pageMargins left="0.4" right="0.4" top="0.7" bottom="0.65" header="0.3" footer="0.3"/>
  <pageSetup fitToHeight="0" orientation="landscape"/>
  <headerFooter>
    <oddHeader>&amp;L&amp;8MFG Calcs - Maintenance Budget Tracker&amp;R&amp;8&amp;A</oddHeader>
    <oddFooter>&amp;L&amp;8mfgcalcs.com - free manufacturing templates&amp;R&amp;8Page &amp;P of &amp;N</oddFooter>
  </headerFooter>
  <rowBreaks count="1" manualBreakCount="1">
    <brk id="57" max="16383" man="1"/>
  </rowBreaks>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26</vt:i4>
      </vt:variant>
    </vt:vector>
  </HeadingPairs>
  <TitlesOfParts>
    <vt:vector size="33" baseType="lpstr">
      <vt:lpstr>Start Here</vt:lpstr>
      <vt:lpstr>Setup</vt:lpstr>
      <vt:lpstr>Budget</vt:lpstr>
      <vt:lpstr>Spend Log</vt:lpstr>
      <vt:lpstr>Dashboard</vt:lpstr>
      <vt:lpstr>Method</vt:lpstr>
      <vt:lpstr>Verify</vt:lpstr>
      <vt:lpstr>AsOf</vt:lpstr>
      <vt:lpstr>Currency</vt:lpstr>
      <vt:lpstr>Elapsed</vt:lpstr>
      <vt:lpstr>KpiActual</vt:lpstr>
      <vt:lpstr>KpiAnnual</vt:lpstr>
      <vt:lpstr>KpiCommitted</vt:lpstr>
      <vt:lpstr>KpiElapsed</vt:lpstr>
      <vt:lpstr>KpiOver</vt:lpstr>
      <vt:lpstr>KpiRemaining</vt:lpstr>
      <vt:lpstr>KpiUsed</vt:lpstr>
      <vt:lpstr>KpiVariance</vt:lpstr>
      <vt:lpstr>NearAt</vt:lpstr>
      <vt:lpstr>PlantName</vt:lpstr>
      <vt:lpstr>Budget!Print_Area</vt:lpstr>
      <vt:lpstr>Dashboard!Print_Area</vt:lpstr>
      <vt:lpstr>Method!Print_Area</vt:lpstr>
      <vt:lpstr>Setup!Print_Area</vt:lpstr>
      <vt:lpstr>'Spend Log'!Print_Area</vt:lpstr>
      <vt:lpstr>'Start Here'!Print_Area</vt:lpstr>
      <vt:lpstr>Verify!Print_Area</vt:lpstr>
      <vt:lpstr>Budget!Print_Titles</vt:lpstr>
      <vt:lpstr>Method!Print_Titles</vt:lpstr>
      <vt:lpstr>'Spend Log'!Print_Titles</vt:lpstr>
      <vt:lpstr>SelfCheck</vt:lpstr>
      <vt:lpstr>SelfCheckSummary</vt:lpstr>
      <vt:lpstr>YearStart</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Maintenance Budget Tracker - free Excel template from MFG Calcs</dc:title>
  <dc:subject>Phase the maintenance budget by month and category, log spend, accruals and open orders, and see what is left, what is over and how the year is tracking.</dc:subject>
  <dc:creator>MFG Calcs</dc:creator>
  <cp:keywords>maintenance budget, budget vs actual, maintenance cost, commitments, accruals, variance, cost control, MRO spend</cp:keywords>
  <dc:description>https://www.mfgcalcs.com/templates/maintenance-budget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maintenance-budget</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planner</vt:lpwstr>
  </property>
  <property fmtid="{D5CDD505-2E9C-101B-9397-08002B2CF9AE}" pid="6" name="Template URL">
    <vt:lpwstr>https://www.mfgcalcs.com/templates/maintenance-budget</vt:lpwstr>
  </property>
  <property fmtid="{D5CDD505-2E9C-101B-9397-08002B2CF9AE}" pid="7" name="Template sheet roles">
    <vt:lpwstr>Start Here=start;Setup=setup;Budget=work;Spend Log=work;Dashboard=dashboard;Method=method;Verify=verify</vt:lpwstr>
  </property>
</Properties>
</file>