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Work Orders" sheetId="3" r:id="rId3"/>
    <sheet name="Dashboard" sheetId="4" r:id="rId4"/>
    <sheet name="Method" sheetId="5" r:id="rId5"/>
    <sheet name="Verify" sheetId="6" r:id="rId6"/>
  </sheets>
  <definedNames>
    <definedName name="AsOf">Setup!$C$8</definedName>
    <definedName name="Assets">tblAssets[Asset ID]</definedName>
    <definedName name="CrewHours">Setup!$C$13</definedName>
    <definedName name="Currency">Setup!$C$7</definedName>
    <definedName name="DashFrom">Dashboard!$C$4</definedName>
    <definedName name="DashTo">Dashboard!$G$4</definedName>
    <definedName name="DueSoonDays">Setup!$C$22</definedName>
    <definedName name="FFrom">IF(DashFrom="",0,DashFrom)</definedName>
    <definedName name="FTo">IF(DashTo="",2958465,DashTo)</definedName>
    <definedName name="KpiBacklogH">Dashboard!$B$30</definedName>
    <definedName name="KpiCost">Dashboard!$J$30</definedName>
    <definedName name="KpiEmerg">Dashboard!$D$8</definedName>
    <definedName name="KpiOnTime">Dashboard!$G$8</definedName>
    <definedName name="KpiOpen">Dashboard!$D$30</definedName>
    <definedName name="KpiOverdue">Dashboard!$J$8</definedName>
    <definedName name="KpiPlanned">Dashboard!$G$30</definedName>
    <definedName name="KpiWeeks">Dashboard!$B$8</definedName>
    <definedName name="LabourRate">Setup!$C$9</definedName>
    <definedName name="MaxEmergency">Setup!$C$20</definedName>
    <definedName name="NetCrewHours">Setup!$C$15</definedName>
    <definedName name="OtherHours">Setup!$C$14</definedName>
    <definedName name="PlantName">Setup!$C$6</definedName>
    <definedName name="_xlnm.Print_Area" localSheetId="3">Dashboard!$A$1:$L$71</definedName>
    <definedName name="_xlnm.Print_Area" localSheetId="4">Method!$A$1:$D$64</definedName>
    <definedName name="_xlnm.Print_Area" localSheetId="1">Setup!$A$1:$E$66</definedName>
    <definedName name="_xlnm.Print_Area" localSheetId="0">'Start Here'!$A$1:$F$56</definedName>
    <definedName name="_xlnm.Print_Area" localSheetId="5">Verify!$A$1:$AB$57</definedName>
    <definedName name="_xlnm.Print_Area" localSheetId="2">'Work Orders'!$A$1:$AB$150</definedName>
    <definedName name="_xlnm.Print_Titles" localSheetId="4">Method!$1:$2</definedName>
    <definedName name="_xlnm.Print_Titles" localSheetId="2">'Work Orders'!$1:$6</definedName>
    <definedName name="Priorities">tblPriorities[Priority]</definedName>
    <definedName name="SelfCheck">Verify!$D$4</definedName>
    <definedName name="SelfCheckSummary">Verify!$F$4</definedName>
    <definedName name="TargetOnTime">Setup!$C$21</definedName>
    <definedName name="TargetWeeks">Setup!$C$19</definedName>
    <definedName name="Technicians">tblTechnicians[Technician]</definedName>
    <definedName name="WorkTypes">tblWorkTypes[Work type]</definedName>
  </definedNames>
  <calcPr calcId="124519" fullCalcOnLoad="1"/>
</workbook>
</file>

<file path=xl/sharedStrings.xml><?xml version="1.0" encoding="utf-8"?>
<sst xmlns="http://schemas.openxmlformats.org/spreadsheetml/2006/main" count="1604" uniqueCount="560">
  <si>
    <t>Maintenance Work Order Log</t>
  </si>
  <si>
    <t>Read this first: what the workbook does and how to use it.</t>
  </si>
  <si>
    <t>mfgcalcs.com</t>
  </si>
  <si>
    <t>Log every maintenance work order and see the open backlog in crew-weeks, overdue jobs, emergency work and where the hours and money go.</t>
  </si>
  <si>
    <t>For: Maintenance managers, planners, supervisors and technicians in plants that track work orders without a full CMMS.</t>
  </si>
  <si>
    <t>Version 1.0.0  ·  updated 15 October 2026</t>
  </si>
  <si>
    <t>Quick start</t>
  </si>
  <si>
    <t>1.</t>
  </si>
  <si>
    <t>On Setup, set the status date, your labour rate, the crew's weekly hours and your targets, then replace the example assets, work types, priorities and technicians.</t>
  </si>
  <si>
    <t>2.</t>
  </si>
  <si>
    <t>On Work Orders, add one row per job: number, date raised, asset, description, work type, priority, technician and status.</t>
  </si>
  <si>
    <t>3.</t>
  </si>
  <si>
    <t>Keep each row current: estimated and actual hours, parts and contractor cost, and the completion date when it is done.</t>
  </si>
  <si>
    <t>4.</t>
  </si>
  <si>
    <t>Read the Check column: anything other than OK names the problem in words.</t>
  </si>
  <si>
    <t>5.</t>
  </si>
  <si>
    <t>Move the status date forward when you update the log, then open the Dashboard (set Raised from and Raised to for a month or a quarter).</t>
  </si>
  <si>
    <t>What is in this workbook</t>
  </si>
  <si>
    <t>Start Here</t>
  </si>
  <si>
    <t>Setup</t>
  </si>
  <si>
    <t>Status date, labour rate, crew hours, your targets, and the asset, work type, priority and technician lists.</t>
  </si>
  <si>
    <t>Work Orders</t>
  </si>
  <si>
    <t>One row per work order: what, where, priority, status, hours and cost. Due dates, age and backlog are calculated.</t>
  </si>
  <si>
    <t>Dashboard</t>
  </si>
  <si>
    <t>Backlog, overdue and emergency work, on-time completion, and where maintenance hours and money go.</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</si>
  <si>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</si>
  <si>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</si>
  <si>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</si>
  <si>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</si>
  <si>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</si>
  <si>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</si>
  <si>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</si>
  <si>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</si>
  <si>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</si>
  <si>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</si>
  <si>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</si>
  <si>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</si>
  <si>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</si>
  <si>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</si>
  <si>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</si>
  <si>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</si>
  <si>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</si>
  <si>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</si>
  <si>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</si>
  <si>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</si>
  <si>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Maintenance Backlog Weeks Calculator on mfgcalcs.com</t>
  </si>
  <si>
    <t>Latest version</t>
  </si>
  <si>
    <t>mfgcalcs.com/templates/maintenance-work-orders</t>
  </si>
  <si>
    <t>More free templates</t>
  </si>
  <si>
    <t>mfgcalcs.com/templates</t>
  </si>
  <si>
    <t>Version</t>
  </si>
  <si>
    <t>1.0.0 (updated 15 October 2026)</t>
  </si>
  <si>
    <t>About the example data</t>
  </si>
  <si>
    <t>Every number already in this workbook is example data for Harbourside Foods, a fictional business invented for this template, so the dashboard and charts show something meaningful on day one. It covers twelve assets and a five-person crew over eight weeks (17 August to 9 October 2026, status date 9 October), plus a few older orders still open,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</si>
  <si>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</si>
  <si>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</si>
  <si>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</si>
  <si>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</si>
  <si>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</si>
  <si>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</si>
  <si>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</si>
  <si>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</si>
  <si>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Asset ID</t>
  </si>
  <si>
    <t>Area</t>
  </si>
  <si>
    <t>Asset</t>
  </si>
  <si>
    <t>Work type</t>
  </si>
  <si>
    <t>Category</t>
  </si>
  <si>
    <t>Definition</t>
  </si>
  <si>
    <t>Priority</t>
  </si>
  <si>
    <t>Target (days)</t>
  </si>
  <si>
    <t>Meaning</t>
  </si>
  <si>
    <t>Technician</t>
  </si>
  <si>
    <t>Craft</t>
  </si>
  <si>
    <t>Notes</t>
  </si>
  <si>
    <t>Plant and costs</t>
  </si>
  <si>
    <t>Plant or site name</t>
  </si>
  <si>
    <t>Harbourside Foods (example)</t>
  </si>
  <si>
    <t>Currency label</t>
  </si>
  <si>
    <t>USD</t>
  </si>
  <si>
    <t>Status date (as of)</t>
  </si>
  <si>
    <t>Loaded labour rate</t>
  </si>
  <si>
    <t>Crew capacity</t>
  </si>
  <si>
    <t>Crew hours per week</t>
  </si>
  <si>
    <t>person-h/week</t>
  </si>
  <si>
    <t>Hours per week committed elsewhere</t>
  </si>
  <si>
    <t>Net crew hours for backlog work</t>
  </si>
  <si>
    <t>Targets (yours to set)</t>
  </si>
  <si>
    <t>Backlog limit</t>
  </si>
  <si>
    <t>crew-weeks</t>
  </si>
  <si>
    <t>Emergency work limit</t>
  </si>
  <si>
    <t>On-time completion target</t>
  </si>
  <si>
    <t>Due soon window</t>
  </si>
  <si>
    <t>days</t>
  </si>
  <si>
    <t>Targets are yours to set; nothing here assumes an industry benchmark. 'Near target' means within 5% of the target (for example 3.0 to 3.15 crew-weeks against a 3.0 limit).</t>
  </si>
  <si>
    <t>Lists that feed the dropdowns</t>
  </si>
  <si>
    <t>Edit, add or remove rows; the Work Orders dropdowns read these lists. Each work type maps to one of three categories the Dashboard uses (Emergency, Corrective, Planned), and each priority sets the days allowed to complete. Keep names unique: a renamed item stops matching old rows, and their Check column says so.</t>
  </si>
  <si>
    <t>Assets</t>
  </si>
  <si>
    <t>MX-01</t>
  </si>
  <si>
    <t>Processing</t>
  </si>
  <si>
    <t>Batch mixer 1</t>
  </si>
  <si>
    <t>MX-02</t>
  </si>
  <si>
    <t>Batch mixer 2</t>
  </si>
  <si>
    <t>PS-01</t>
  </si>
  <si>
    <t>Pasteuriser</t>
  </si>
  <si>
    <t>FL-01</t>
  </si>
  <si>
    <t>Line 1</t>
  </si>
  <si>
    <t>Bottle filler, Line 1</t>
  </si>
  <si>
    <t>CP-01</t>
  </si>
  <si>
    <t>Capper, Line 1</t>
  </si>
  <si>
    <t>LB-01</t>
  </si>
  <si>
    <t>Labeller, Line 1</t>
  </si>
  <si>
    <t>FL-02</t>
  </si>
  <si>
    <t>Line 2</t>
  </si>
  <si>
    <t>Pouch filler, Line 2</t>
  </si>
  <si>
    <t>CS-02</t>
  </si>
  <si>
    <t>Case packer, Line 2</t>
  </si>
  <si>
    <t>PL-01</t>
  </si>
  <si>
    <t>End of line</t>
  </si>
  <si>
    <t>Palletiser</t>
  </si>
  <si>
    <t>AC-01</t>
  </si>
  <si>
    <t>Utilities</t>
  </si>
  <si>
    <t>Air compressor</t>
  </si>
  <si>
    <t>BL-01</t>
  </si>
  <si>
    <t>Steam boiler</t>
  </si>
  <si>
    <t>CH-01</t>
  </si>
  <si>
    <t>Glycol chiller</t>
  </si>
  <si>
    <t>Work types</t>
  </si>
  <si>
    <t>Emergency breakdown</t>
  </si>
  <si>
    <t>Emergency</t>
  </si>
  <si>
    <t>Break-in work that drops the schedule: asset stopped or unsafe</t>
  </si>
  <si>
    <t>Corrective repair</t>
  </si>
  <si>
    <t>Corrective</t>
  </si>
  <si>
    <t>A fault found and fixed through the plan, not as a break-in</t>
  </si>
  <si>
    <t>Preventive (PM)</t>
  </si>
  <si>
    <t>Planned</t>
  </si>
  <si>
    <t>Time- or usage-based routine from the PM schedule</t>
  </si>
  <si>
    <t>Predictive (PdM)</t>
  </si>
  <si>
    <t>Condition-based task: vibration, oil analysis, thermography</t>
  </si>
  <si>
    <t>Improvement</t>
  </si>
  <si>
    <t>Modification that removes a recurring problem</t>
  </si>
  <si>
    <t>Safety or compliance</t>
  </si>
  <si>
    <t>Statutory inspection, guarding, permit or audit action</t>
  </si>
  <si>
    <t>Priorities and target days to complete</t>
  </si>
  <si>
    <t>P1 Immediate</t>
  </si>
  <si>
    <t>Safety risk or line stopped: start now</t>
  </si>
  <si>
    <t>P2 Urgent</t>
  </si>
  <si>
    <t>Production at risk: complete within days</t>
  </si>
  <si>
    <t>P3 Normal</t>
  </si>
  <si>
    <t>Plan and schedule within two weeks</t>
  </si>
  <si>
    <t>P4 Opportunity</t>
  </si>
  <si>
    <t>Do when the asset is down or the crew is free</t>
  </si>
  <si>
    <t>Technicians</t>
  </si>
  <si>
    <t>Rivera</t>
  </si>
  <si>
    <t>Mechanical</t>
  </si>
  <si>
    <t>Day shift</t>
  </si>
  <si>
    <t>Okafor</t>
  </si>
  <si>
    <t>Electrical</t>
  </si>
  <si>
    <t>Lindqvist</t>
  </si>
  <si>
    <t>Back shift</t>
  </si>
  <si>
    <t>Mehta</t>
  </si>
  <si>
    <t>Instrumentation</t>
  </si>
  <si>
    <t>Contractor</t>
  </si>
  <si>
    <t>External</t>
  </si>
  <si>
    <t>Booked per job</t>
  </si>
  <si>
    <t>WO no.</t>
  </si>
  <si>
    <t>Date raised</t>
  </si>
  <si>
    <t>Description</t>
  </si>
  <si>
    <t>Assigned to</t>
  </si>
  <si>
    <t>Status</t>
  </si>
  <si>
    <t>Date completed</t>
  </si>
  <si>
    <t>Estimated (h)</t>
  </si>
  <si>
    <t>Actual (h)</t>
  </si>
  <si>
    <t>Parts cost</t>
  </si>
  <si>
    <t>Contractor cost</t>
  </si>
  <si>
    <t>Downtime (h)</t>
  </si>
  <si>
    <t>Due date</t>
  </si>
  <si>
    <t>Open</t>
  </si>
  <si>
    <t>Age (days)</t>
  </si>
  <si>
    <t>Remaining (h)</t>
  </si>
  <si>
    <t>Labour cost</t>
  </si>
  <si>
    <t>Total cost</t>
  </si>
  <si>
    <t>Due status</t>
  </si>
  <si>
    <t>On time</t>
  </si>
  <si>
    <t>View date</t>
  </si>
  <si>
    <t>Check</t>
  </si>
  <si>
    <t>Example data for Harbourside Foods (fictional). Replace it with your own: select the example rows, right-click, Delete &gt; Table Rows. Yellow = you type; blue = calculated; Check names any problem. Ages and overdue flags are measured to the status date on Setup.</t>
  </si>
  <si>
    <t>WO-26-0401</t>
  </si>
  <si>
    <t>Replace worn agitator coupling</t>
  </si>
  <si>
    <t>Waiting parts</t>
  </si>
  <si>
    <t>WO-26-0402</t>
  </si>
  <si>
    <t>Fit second light curtain on infeed (audit action)</t>
  </si>
  <si>
    <t>WO-26-0403</t>
  </si>
  <si>
    <t>Install condensate return meter</t>
  </si>
  <si>
    <t>WO-26-0404</t>
  </si>
  <si>
    <t>Redesign infeed guide to stop star wheel jams</t>
  </si>
  <si>
    <t>In progress</t>
  </si>
  <si>
    <t>WO-26-0405</t>
  </si>
  <si>
    <t>Regasket pasteuriser plate pack (October shutdown)</t>
  </si>
  <si>
    <t>WO-26-0406</t>
  </si>
  <si>
    <t>Replace glycol pump seal</t>
  </si>
  <si>
    <t>Complete</t>
  </si>
  <si>
    <t>WO-26-0407</t>
  </si>
  <si>
    <t>Recalibrate holding-tube temperature probes</t>
  </si>
  <si>
    <t>WO-26-0408</t>
  </si>
  <si>
    <t>Annual pressure vessel inspection</t>
  </si>
  <si>
    <t>WO-26-0409</t>
  </si>
  <si>
    <t>Monthly compressor PM: filters, oil, drains</t>
  </si>
  <si>
    <t>WO-26-0410</t>
  </si>
  <si>
    <t>Monthly boiler PM: water treatment, burner check</t>
  </si>
  <si>
    <t>WO-26-0411</t>
  </si>
  <si>
    <t>Weekly capper PM: chucks and torque check</t>
  </si>
  <si>
    <t>WO-26-0412</t>
  </si>
  <si>
    <t>Weekly filler PM: seals, nozzles, lubrication</t>
  </si>
  <si>
    <t>WO-26-0413</t>
  </si>
  <si>
    <t>Weekly pouch filler PM: jaws and film path</t>
  </si>
  <si>
    <t>WO-26-0414</t>
  </si>
  <si>
    <t>Weekly lubrication route, Lines 1 and 2</t>
  </si>
  <si>
    <t>WO-26-0415</t>
  </si>
  <si>
    <t>Monthly chiller PM: condenser clean, refrigerant check</t>
  </si>
  <si>
    <t>WO-26-0416</t>
  </si>
  <si>
    <t>Monthly case packer PM: vacuum, glue, guards</t>
  </si>
  <si>
    <t>WO-26-0417</t>
  </si>
  <si>
    <t>Pouch film tracking off</t>
  </si>
  <si>
    <t>WO-26-0418</t>
  </si>
  <si>
    <t>Vibration route: compressors, pumps, mixer gearboxes</t>
  </si>
  <si>
    <t>WO-26-0419</t>
  </si>
  <si>
    <t>Filler valve leaking, bottles under-filled</t>
  </si>
  <si>
    <t>WO-26-0420</t>
  </si>
  <si>
    <t>Monthly mixer PM: gearbox oil, seals</t>
  </si>
  <si>
    <t>WO-26-0421</t>
  </si>
  <si>
    <t>Monthly pasteuriser PM: plate pack and probes</t>
  </si>
  <si>
    <t>WO-26-0422</t>
  </si>
  <si>
    <t>Pasteuriser temperature alarm</t>
  </si>
  <si>
    <t>WO-26-0423</t>
  </si>
  <si>
    <t>Case erector vacuum cup torn</t>
  </si>
  <si>
    <t>WO-26-0424</t>
  </si>
  <si>
    <t>Pouch sealing jaw temperature low</t>
  </si>
  <si>
    <t>WO-26-0425</t>
  </si>
  <si>
    <t>Monthly labeller PM: glue system, sensors</t>
  </si>
  <si>
    <t>WO-26-0426</t>
  </si>
  <si>
    <t>WO-26-0427</t>
  </si>
  <si>
    <t>WO-26-0428</t>
  </si>
  <si>
    <t>Fix compressed-air leaks found in survey</t>
  </si>
  <si>
    <t>WO-26-0429</t>
  </si>
  <si>
    <t>WO-26-0430</t>
  </si>
  <si>
    <t>WO-26-0431</t>
  </si>
  <si>
    <t>WO-26-0432</t>
  </si>
  <si>
    <t>WO-26-0433</t>
  </si>
  <si>
    <t>WO-26-0434</t>
  </si>
  <si>
    <t>Thermography survey: panels, motors, steam traps</t>
  </si>
  <si>
    <t>WO-26-0435</t>
  </si>
  <si>
    <t>WO-26-0436</t>
  </si>
  <si>
    <t>Hot-melt glue gun blocked</t>
  </si>
  <si>
    <t>WO-26-0437</t>
  </si>
  <si>
    <t>Palletiser light curtain fault</t>
  </si>
  <si>
    <t>WO-26-0438</t>
  </si>
  <si>
    <t>Mixer discharge valve sticking</t>
  </si>
  <si>
    <t>WO-26-0439</t>
  </si>
  <si>
    <t>WO-26-0440</t>
  </si>
  <si>
    <t>Label sensor misreading</t>
  </si>
  <si>
    <t>WO-26-0441</t>
  </si>
  <si>
    <t>Torque head bearing noisy</t>
  </si>
  <si>
    <t>WO-26-0442</t>
  </si>
  <si>
    <t>WO-26-0443</t>
  </si>
  <si>
    <t>Level probe fault, filler stopped</t>
  </si>
  <si>
    <t>WO-26-0444</t>
  </si>
  <si>
    <t>WO-26-0445</t>
  </si>
  <si>
    <t>WO-26-0446</t>
  </si>
  <si>
    <t>WO-26-0447</t>
  </si>
  <si>
    <t>Cap chute blocked</t>
  </si>
  <si>
    <t>WO-26-0448</t>
  </si>
  <si>
    <t>Load cell drift on mixer 2</t>
  </si>
  <si>
    <t>WO-26-0449</t>
  </si>
  <si>
    <t>WO-26-0450</t>
  </si>
  <si>
    <t>Chiller low refrigerant pressure</t>
  </si>
  <si>
    <t>WO-26-0451</t>
  </si>
  <si>
    <t>Capper chuck slipping, loose caps</t>
  </si>
  <si>
    <t>WO-26-0452</t>
  </si>
  <si>
    <t>Filler valve leaking (duplicate request)</t>
  </si>
  <si>
    <t>Cancelled</t>
  </si>
  <si>
    <t>WO-26-0453</t>
  </si>
  <si>
    <t>WO-26-0454</t>
  </si>
  <si>
    <t>WO-26-0455</t>
  </si>
  <si>
    <t>Rebuild filler valve block (spare unit)</t>
  </si>
  <si>
    <t>WO-26-0456</t>
  </si>
  <si>
    <t>WO-26-0457</t>
  </si>
  <si>
    <t>WO-26-0458</t>
  </si>
  <si>
    <t>WO-26-0459</t>
  </si>
  <si>
    <t>WO-26-0460</t>
  </si>
  <si>
    <t>WO-26-0461</t>
  </si>
  <si>
    <t>WO-26-0462</t>
  </si>
  <si>
    <t>WO-26-0463</t>
  </si>
  <si>
    <t>WO-26-0464</t>
  </si>
  <si>
    <t>WO-26-0465</t>
  </si>
  <si>
    <t>WO-26-0466</t>
  </si>
  <si>
    <t>WO-26-0467</t>
  </si>
  <si>
    <t>Infeed conveyor chain jumped</t>
  </si>
  <si>
    <t>WO-26-0468</t>
  </si>
  <si>
    <t>WO-26-0469</t>
  </si>
  <si>
    <t>WO-26-0470</t>
  </si>
  <si>
    <t>Agitator gearbox oil leak</t>
  </si>
  <si>
    <t>WO-26-0471</t>
  </si>
  <si>
    <t>WO-26-0472</t>
  </si>
  <si>
    <t>Plate pack gasket leak</t>
  </si>
  <si>
    <t>WO-26-0473</t>
  </si>
  <si>
    <t>Labels creasing, glue roller worn</t>
  </si>
  <si>
    <t>WO-26-0474</t>
  </si>
  <si>
    <t>WO-26-0475</t>
  </si>
  <si>
    <t>Layer gripper air leak</t>
  </si>
  <si>
    <t>WO-26-0476</t>
  </si>
  <si>
    <t>WO-26-0477</t>
  </si>
  <si>
    <t>WO-26-0478</t>
  </si>
  <si>
    <t>WO-26-0479</t>
  </si>
  <si>
    <t>WO-26-0480</t>
  </si>
  <si>
    <t>WO-26-0481</t>
  </si>
  <si>
    <t>WO-26-0482</t>
  </si>
  <si>
    <t>Fit glue-level sensor to labeller</t>
  </si>
  <si>
    <t>WO-26-0483</t>
  </si>
  <si>
    <t>WO-26-0484</t>
  </si>
  <si>
    <t>Compressor high-temperature trip</t>
  </si>
  <si>
    <t>WO-26-0485</t>
  </si>
  <si>
    <t>WO-26-0486</t>
  </si>
  <si>
    <t>WO-26-0487</t>
  </si>
  <si>
    <t>WO-26-0488</t>
  </si>
  <si>
    <t>WO-26-0489</t>
  </si>
  <si>
    <t>Fill nozzle seal failed</t>
  </si>
  <si>
    <t>WO-26-0490</t>
  </si>
  <si>
    <t>WO-26-0491</t>
  </si>
  <si>
    <t>WO-26-0492</t>
  </si>
  <si>
    <t>Replace case packer guard interlocks</t>
  </si>
  <si>
    <t>WO-26-0493</t>
  </si>
  <si>
    <t>WO-26-0494</t>
  </si>
  <si>
    <t>WO-26-0495</t>
  </si>
  <si>
    <t>WO-26-0496</t>
  </si>
  <si>
    <t>WO-26-0497</t>
  </si>
  <si>
    <t>WO-26-0498</t>
  </si>
  <si>
    <t>WO-26-0499</t>
  </si>
  <si>
    <t>WO-26-0500</t>
  </si>
  <si>
    <t>Air dryer drain stuck</t>
  </si>
  <si>
    <t>WO-26-0501</t>
  </si>
  <si>
    <t>Glycol pump seal weeping</t>
  </si>
  <si>
    <t>WO-26-0502</t>
  </si>
  <si>
    <t>WO-26-0503</t>
  </si>
  <si>
    <t>WO-26-0504</t>
  </si>
  <si>
    <t>WO-26-0505</t>
  </si>
  <si>
    <t>Boiler annual inspection preparation</t>
  </si>
  <si>
    <t>WO-26-0506</t>
  </si>
  <si>
    <t>WO-26-0507</t>
  </si>
  <si>
    <t>WO-26-0508</t>
  </si>
  <si>
    <t>WO-26-0509</t>
  </si>
  <si>
    <t>WO-26-0510</t>
  </si>
  <si>
    <t>WO-26-0511</t>
  </si>
  <si>
    <t>WO-26-0512</t>
  </si>
  <si>
    <t>WO-26-0513</t>
  </si>
  <si>
    <t>WO-26-0514</t>
  </si>
  <si>
    <t>WO-26-0515</t>
  </si>
  <si>
    <t>WO-26-0516</t>
  </si>
  <si>
    <t>WO-26-0517</t>
  </si>
  <si>
    <t>WO-26-0518</t>
  </si>
  <si>
    <t>WO-26-0519</t>
  </si>
  <si>
    <t>WO-26-0520</t>
  </si>
  <si>
    <t>WO-26-0521</t>
  </si>
  <si>
    <t>WO-26-0522</t>
  </si>
  <si>
    <t>WO-26-0523</t>
  </si>
  <si>
    <t>WO-26-0524</t>
  </si>
  <si>
    <t>WO-26-0525</t>
  </si>
  <si>
    <t>WO-26-0526</t>
  </si>
  <si>
    <t>WO-26-0527</t>
  </si>
  <si>
    <t>WO-26-0528</t>
  </si>
  <si>
    <t>WO-26-0529</t>
  </si>
  <si>
    <t>WO-26-0530</t>
  </si>
  <si>
    <t>Replace palletiser layer gripper cylinders</t>
  </si>
  <si>
    <t>WO-26-0531</t>
  </si>
  <si>
    <t>WO-26-0532</t>
  </si>
  <si>
    <t>WO-26-0533</t>
  </si>
  <si>
    <t>WO-26-0534</t>
  </si>
  <si>
    <t>WO-26-0535</t>
  </si>
  <si>
    <t>WO-26-0536</t>
  </si>
  <si>
    <t>WO-26-0537</t>
  </si>
  <si>
    <t>Burner flame failure</t>
  </si>
  <si>
    <t>WO-26-0538</t>
  </si>
  <si>
    <t>WO-26-0539</t>
  </si>
  <si>
    <t>WO-26-0540</t>
  </si>
  <si>
    <t>Boiler feed pump noisy</t>
  </si>
  <si>
    <t>WO-26-0541</t>
  </si>
  <si>
    <t>WO-26-0542</t>
  </si>
  <si>
    <t>WO-26-0543</t>
  </si>
  <si>
    <t>WO-26-0544</t>
  </si>
  <si>
    <t>Raised from</t>
  </si>
  <si>
    <t>Raised to</t>
  </si>
  <si>
    <t>BACKLOG (CREW-WEEKS)</t>
  </si>
  <si>
    <t>EMERGENCY WORK SHARE</t>
  </si>
  <si>
    <t>COMPLETED ON TIME</t>
  </si>
  <si>
    <t>OVERDUE OPEN ORDERS</t>
  </si>
  <si>
    <t>Open past their priority's target date</t>
  </si>
  <si>
    <t>BACKLOG (PERSON-HOURS)</t>
  </si>
  <si>
    <t>OPEN WORK ORDERS</t>
  </si>
  <si>
    <t>PLANNED WORK SHARE (HOURS)</t>
  </si>
  <si>
    <t>Estimated hours left on open orders</t>
  </si>
  <si>
    <t>Open, Waiting parts or In progress</t>
  </si>
  <si>
    <t>PM, PdM, improvement and compliance hours</t>
  </si>
  <si>
    <t>Labour + parts + contractors, period</t>
  </si>
  <si>
    <t>Weekly flow (the 8 weeks up to the status date; not filtered)</t>
  </si>
  <si>
    <t>Week starting (Mon)</t>
  </si>
  <si>
    <t>Raised</t>
  </si>
  <si>
    <t>Emergency raised</t>
  </si>
  <si>
    <t>Completed</t>
  </si>
  <si>
    <t>Completed on time</t>
  </si>
  <si>
    <t>Hours on completed orders</t>
  </si>
  <si>
    <t>Open at week end</t>
  </si>
  <si>
    <t>By work category</t>
  </si>
  <si>
    <t>Work category</t>
  </si>
  <si>
    <t>Orders (period)</t>
  </si>
  <si>
    <t>Share of orders</t>
  </si>
  <si>
    <t>Actual hours (period)</t>
  </si>
  <si>
    <t>Share of hours</t>
  </si>
  <si>
    <t>Total cost (period)</t>
  </si>
  <si>
    <t>Open now</t>
  </si>
  <si>
    <t>Backlog (h)</t>
  </si>
  <si>
    <t>Open backlog by priority (average age, status date)</t>
  </si>
  <si>
    <t>Maintenance cost by asset, period (Pareto)</t>
  </si>
  <si>
    <t>Overdue</t>
  </si>
  <si>
    <t>Rank</t>
  </si>
  <si>
    <t>Share</t>
  </si>
  <si>
    <t>Cumulative</t>
  </si>
  <si>
    <t>Helper: Asset (list order)</t>
  </si>
  <si>
    <t>Helper: value (-1 = unused slot)</t>
  </si>
  <si>
    <t>Helper: rank, ties by list order</t>
  </si>
  <si>
    <t>%</t>
  </si>
  <si>
    <t>Workload by technician (hours: period)</t>
  </si>
  <si>
    <t>Open orders</t>
  </si>
  <si>
    <t>Hours</t>
  </si>
  <si>
    <t>Total</t>
  </si>
  <si>
    <t>The Dashboard shows the 12 assets, 4 priorities and 5 technicians of the Setup lists. If you add more, extend those blocks (see Method) or they will not appear here.</t>
  </si>
  <si>
    <t>What this workbook calculates</t>
  </si>
  <si>
    <t>A work order is one job for one asset. This workbook keeps every order in one table and works out, per row, when it is due (date raised plus the days its priority allows), whether it is still open, how old it is, how many estimated hours are left, and what it cost. The Dashboard then answers the questions a maintenance meeting asks: how many weeks of work are waiting for the crew, what is overdue, how much of the work is emergency break-in, how much finishes on time, and which assets take the money. Backlog figures are a snapshot of every open order on the status date; period figures use the orders raised between the Dashboard's From and To dates.</t>
  </si>
  <si>
    <t>Calculations</t>
  </si>
  <si>
    <t>Quantity</t>
  </si>
  <si>
    <t>How it is calculated</t>
  </si>
  <si>
    <t>Units</t>
  </si>
  <si>
    <t>Date raised + the priority's target days (Setup).</t>
  </si>
  <si>
    <t>date</t>
  </si>
  <si>
    <t>1 when the status is Open, Waiting parts or In progress; 0 when Complete or Cancelled.</t>
  </si>
  <si>
    <t>1/0</t>
  </si>
  <si>
    <t>Age</t>
  </si>
  <si>
    <t>Open order: status date - date raised. Completed order: date completed - date raised. Cancelled: blank.</t>
  </si>
  <si>
    <t>Remaining hours</t>
  </si>
  <si>
    <t>Open order: MAX(0, estimated hours - actual hours booked). Closed orders: 0. This is the order's share of the backlog.</t>
  </si>
  <si>
    <t>person-h</t>
  </si>
  <si>
    <t>Actual hours x loaded labour rate (Setup).</t>
  </si>
  <si>
    <t>currency</t>
  </si>
  <si>
    <t>Labour cost + parts cost + contractor cost.</t>
  </si>
  <si>
    <t>Cancelled: blank. Closed: Complete. Open: Overdue when the status date is after the due date, Due soon when the due date is within the Setup window, otherwise OK.</t>
  </si>
  <si>
    <t>-</t>
  </si>
  <si>
    <t>Completed orders only: Yes when date completed &lt;= due date, otherwise No.</t>
  </si>
  <si>
    <t>Backlog (person-hours)</t>
  </si>
  <si>
    <t>Sum of remaining hours over all open orders.</t>
  </si>
  <si>
    <t>Net crew hours</t>
  </si>
  <si>
    <t>Crew hours per week - hours per week committed elsewhere (Setup).</t>
  </si>
  <si>
    <t>Backlog (crew-weeks)</t>
  </si>
  <si>
    <t>Backlog person-hours / net crew hours per week: how long the crew would take to clear it with no new work (the Maintenance Backlog Weeks calculator).</t>
  </si>
  <si>
    <t>weeks</t>
  </si>
  <si>
    <t>Emergency work share</t>
  </si>
  <si>
    <t>Orders raised in the period whose work type is in the Emergency category / all orders raised in the period, cancelled orders excluded (the Emergency Work Ratio calculator).</t>
  </si>
  <si>
    <t>Orders raised in the period, completed and with On time = Yes / orders raised in the period with status Complete.</t>
  </si>
  <si>
    <t>Planned work share</t>
  </si>
  <si>
    <t>Actual hours on Planned-category orders / all actual hours, orders raised in the period.</t>
  </si>
  <si>
    <t>Orders raised before the end of the week (not cancelled) - orders completed before the end of the week.</t>
  </si>
  <si>
    <t>orders</t>
  </si>
  <si>
    <t>Age by priority</t>
  </si>
  <si>
    <t>Average age of the open orders of each priority: sum of their ages / number of open orders.</t>
  </si>
  <si>
    <t>Cost Pareto</t>
  </si>
  <si>
    <t>Total cost per asset for the period, ranked largest first by COUNTIF ranks (ties keep list order), with share and cumulative share. Hidden helper columns AO:AQ on the Dashboard hold the unsorted values and ranks.</t>
  </si>
  <si>
    <t>currency, %</t>
  </si>
  <si>
    <t>Assumptions</t>
  </si>
  <si>
    <t>Estimated hours are the planner's estimate for the whole job; remaining hours assume the estimate still holds.</t>
  </si>
  <si>
    <t>Net crew hours are available for backlog work every week; holidays, absence and overtime are not modelled week by week.</t>
  </si>
  <si>
    <t>Costs belong to the period in which the order was raised, not the period in which the money was spent.</t>
  </si>
  <si>
    <t>The categories Emergency, Corrective and Planned are fixed words the Dashboard counts; rename work types freely, but map each one to one of the three.</t>
  </si>
  <si>
    <t>Limitations</t>
  </si>
  <si>
    <t>Status is what you typed: an order left Open after the work was done stays in the backlog until you update it.</t>
  </si>
  <si>
    <t>Backlog weeks do not distinguish crafts: an electrical backlog cannot be cleared by mechanics, so check the by-technician block too.</t>
  </si>
  <si>
    <t>The weekly block shows the eight weeks up to the status date and counts orders by their own dates; orders logged before the first row are not known to it.</t>
  </si>
  <si>
    <t>The Dashboard has fixed blocks for 12 assets, 4 priorities and 5 technicians; longer Setup lists need the blocks extended (copy a block row and change its slot number), and the Dashboard warns when a list is longer.</t>
  </si>
  <si>
    <t>Agreement with the live calculator</t>
  </si>
  <si>
    <t>Backlog (crew-weeks) is the live Maintenance Backlog Weeks calculator's formula: recorded backlog labour / (weekly gross crew capacity - weekly other commitments); here the backlog labour is summed from the open orders' remaining hours. The emergency work share is the Emergency Work Ratio calculator's emergency orders / total orders. The workbook adds the log, due dates, costs and the Dashboard. The template's reference implementation is checked against both calculator engines on every build, for each calculator's own example (1,680 backlog hours, 320 crew hours and 80 other hours: 7.0 weeks; 42 emergency orders of 310: 13.5%) and for the Verify sheet's test orders.</t>
  </si>
  <si>
    <t>Open the Maintenance Backlog Weeks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</si>
  <si>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</si>
  <si>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</si>
  <si>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EN 13306:2017, Maintenance - Maintenance terminology (corrective, preventive and condition-based maintenance), by definition.</t>
  </si>
  <si>
    <t>SMRP Best Practices, Maintenance and Reliability Body of Knowledge metrics (backlog, planned work and reactive work metrics), by name; no published target values are used.</t>
  </si>
  <si>
    <t>MFG Calcs Maintenance Backlog Weeks calculator (maintenance-backlog-weeks) and Emergency Work Ratio calculator (emergency-work-ratio): the same formulas for one snapshot.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</si>
  <si>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</si>
  <si>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</si>
  <si>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</si>
  <si>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</si>
  <si>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</si>
  <si>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</si>
  <si>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</si>
  <si>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</si>
  <si>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</si>
  <si>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</si>
  <si>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</si>
  <si>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</si>
  <si>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</si>
  <si>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</si>
  <si>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</si>
  <si>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</si>
  <si>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due date (raised + 3 days)</t>
  </si>
  <si>
    <t>T-1: age of a completed order</t>
  </si>
  <si>
    <t>T-1: labour cost (3.5 h x 50)</t>
  </si>
  <si>
    <t>T-1: total cost</t>
  </si>
  <si>
    <t>T-1: on time</t>
  </si>
  <si>
    <t>Yes</t>
  </si>
  <si>
    <t>exact</t>
  </si>
  <si>
    <t>T-2: emergency finished after its 1-day target</t>
  </si>
  <si>
    <t>No</t>
  </si>
  <si>
    <t>T-2: total cost with a contractor</t>
  </si>
  <si>
    <t>T-3: open order age to the status date</t>
  </si>
  <si>
    <t>T-3: remaining hours</t>
  </si>
  <si>
    <t>T-3: due status</t>
  </si>
  <si>
    <t>T-4: due status (due in 3 days)</t>
  </si>
  <si>
    <t>Due soon</t>
  </si>
  <si>
    <t>T-5: remaining never below zero (actual &gt; estimate)</t>
  </si>
  <si>
    <t>T-5: due status (not yet due)</t>
  </si>
  <si>
    <t>OK</t>
  </si>
  <si>
    <t>T-6: cancelled order is closed</t>
  </si>
  <si>
    <t>T-7: Check reports completed before raised</t>
  </si>
  <si>
    <t>Completed before raised</t>
  </si>
  <si>
    <t>All rows: backlog person-hours (Dashboard formula)</t>
  </si>
  <si>
    <t>All rows: backlog crew-weeks (Dashboard formula)</t>
  </si>
  <si>
    <t>All rows: emergency work share (Dashboard formula)</t>
  </si>
  <si>
    <t>All rows: completed on time (Dashboard formula)</t>
  </si>
  <si>
    <t>All rows: planned work share of hours (Dashboard formula)</t>
  </si>
  <si>
    <t>All rows: overdue open orders (Dashboard formula)</t>
  </si>
  <si>
    <t>Fixed test inputs</t>
  </si>
  <si>
    <t>White cells are fixed test inputs; blue cells are the workbook's formulas evaluated on them.</t>
  </si>
  <si>
    <t>Parameters</t>
  </si>
  <si>
    <t>Status date</t>
  </si>
  <si>
    <t>Due soon window (days)</t>
  </si>
  <si>
    <t>Filter: raised from (0 = no limit)</t>
  </si>
  <si>
    <t>Filter: raised to (2958465 = no limit)</t>
  </si>
  <si>
    <t>Test crew capacity (the Maintenance Backlog Weeks calculator's example)</t>
  </si>
  <si>
    <t>Test table: WorkOrders</t>
  </si>
  <si>
    <t>T-1</t>
  </si>
  <si>
    <t>A1</t>
  </si>
  <si>
    <t>Tech</t>
  </si>
  <si>
    <t>T-2</t>
  </si>
  <si>
    <t>Emergency, finished late</t>
  </si>
  <si>
    <t>T-3</t>
  </si>
  <si>
    <t>A2</t>
  </si>
  <si>
    <t>Open past its due date</t>
  </si>
  <si>
    <t>T-4</t>
  </si>
  <si>
    <t>Due within the window</t>
  </si>
  <si>
    <t>T-5</t>
  </si>
  <si>
    <t>A3</t>
  </si>
  <si>
    <t>Open, not yet due</t>
  </si>
  <si>
    <t>T-6</t>
  </si>
  <si>
    <t>T-7</t>
  </si>
  <si>
    <t>Check: completed before raised</t>
  </si>
</sst>
</file>

<file path=xl/styles.xml><?xml version="1.0" encoding="utf-8"?>
<styleSheet xmlns="http://schemas.openxmlformats.org/spreadsheetml/2006/main">
  <numFmts count="10">
    <numFmt numFmtId="164" formatCode="d mmm yyyy"/>
    <numFmt numFmtId="165" formatCode="#,##0.00"/>
    <numFmt numFmtId="166" formatCode="#,##0.0"/>
    <numFmt numFmtId="167" formatCode="0.0%"/>
    <numFmt numFmtId="168" formatCode="#,##0"/>
    <numFmt numFmtId="169" formatCode="&quot;Limit &quot;#,##0.0"/>
    <numFmt numFmtId="170" formatCode="&quot;Limit &quot;0.0%"/>
    <numFmt numFmtId="171" formatCode="&quot;Target &quot;0.0%"/>
    <numFmt numFmtId="172" formatCode="0.0E+00"/>
    <numFmt numFmtId="173"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6" fontId="9"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64"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4" fontId="9" fillId="0" borderId="9" xfId="0" applyNumberFormat="1" applyFont="1" applyBorder="1" applyAlignment="1">
      <alignment vertical="center"/>
    </xf>
    <xf numFmtId="0" fontId="9" fillId="0" borderId="9" xfId="0" applyFont="1" applyBorder="1" applyAlignment="1">
      <alignment vertical="center"/>
    </xf>
    <xf numFmtId="167" fontId="10" fillId="4" borderId="3" xfId="0" applyNumberFormat="1" applyFont="1" applyFill="1" applyBorder="1" applyAlignment="1">
      <alignment vertical="center"/>
    </xf>
    <xf numFmtId="168" fontId="9" fillId="0" borderId="9" xfId="0" applyNumberFormat="1" applyFont="1" applyBorder="1" applyAlignment="1">
      <alignment horizontal="center" vertical="center"/>
    </xf>
    <xf numFmtId="168" fontId="10" fillId="0" borderId="0" xfId="0" applyNumberFormat="1" applyFont="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8"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Work orders by week</a:t>
            </a:r>
          </a:p>
        </c:rich>
      </c:tx>
      <c:layout/>
    </c:title>
    <c:plotArea>
      <c:layout/>
      <c:barChart>
        <c:barDir val="col"/>
        <c:grouping val="clustered"/>
        <c:ser>
          <c:idx val="0"/>
          <c:order val="0"/>
          <c:tx>
            <c:v>Raised</c:v>
          </c:tx>
          <c:spPr>
            <a:solidFill>
              <a:srgbClr val="3B64D8"/>
            </a:solidFill>
            <a:ln w="9525">
              <a:solidFill>
                <a:srgbClr val="FFFFFF"/>
              </a:solidFill>
            </a:ln>
          </c:spPr>
          <c:cat>
            <c:numRef>
              <c:f>Dashboard!$B$37:$B$44</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Dashboard!$C$37:$C$44</c:f>
              <c:numCache>
                <c:formatCode>General</c:formatCode>
                <c:ptCount val="8"/>
                <c:pt idx="0">
                  <c:v>19</c:v>
                </c:pt>
                <c:pt idx="1">
                  <c:v>13</c:v>
                </c:pt>
                <c:pt idx="2">
                  <c:v>12</c:v>
                </c:pt>
                <c:pt idx="3">
                  <c:v>25</c:v>
                </c:pt>
                <c:pt idx="4">
                  <c:v>11</c:v>
                </c:pt>
                <c:pt idx="5">
                  <c:v>15</c:v>
                </c:pt>
                <c:pt idx="6">
                  <c:v>17</c:v>
                </c:pt>
                <c:pt idx="7">
                  <c:v>23</c:v>
                </c:pt>
              </c:numCache>
            </c:numRef>
          </c:val>
        </c:ser>
        <c:ser>
          <c:idx val="1"/>
          <c:order val="1"/>
          <c:tx>
            <c:v>Completed</c:v>
          </c:tx>
          <c:spPr>
            <a:solidFill>
              <a:srgbClr val="E8702A"/>
            </a:solidFill>
            <a:ln w="9525">
              <a:solidFill>
                <a:srgbClr val="FFFFFF"/>
              </a:solidFill>
            </a:ln>
          </c:spPr>
          <c:cat>
            <c:numRef>
              <c:f>Dashboard!$B$37:$B$44</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Dashboard!$E$37:$E$44</c:f>
              <c:numCache>
                <c:formatCode>General</c:formatCode>
                <c:ptCount val="8"/>
                <c:pt idx="0">
                  <c:v>10</c:v>
                </c:pt>
                <c:pt idx="1">
                  <c:v>17</c:v>
                </c:pt>
                <c:pt idx="2">
                  <c:v>11</c:v>
                </c:pt>
                <c:pt idx="3">
                  <c:v>16</c:v>
                </c:pt>
                <c:pt idx="4">
                  <c:v>17</c:v>
                </c:pt>
                <c:pt idx="5">
                  <c:v>15</c:v>
                </c:pt>
                <c:pt idx="6">
                  <c:v>12</c:v>
                </c:pt>
                <c:pt idx="7">
                  <c:v>18</c:v>
                </c:pt>
              </c:numCache>
            </c:numRef>
          </c:val>
        </c:ser>
        <c:gapWidth val="60"/>
        <c:overlap val="-10"/>
        <c:axId val="50010001"/>
        <c:axId val="50010002"/>
      </c:barChart>
      <c:lineChart>
        <c:grouping val="standard"/>
        <c:ser>
          <c:idx val="2"/>
          <c:order val="2"/>
          <c:tx>
            <c:v>Open at week end</c:v>
          </c:tx>
          <c:spPr>
            <a:ln w="28575">
              <a:solidFill>
                <a:srgbClr val="1BA37A"/>
              </a:solidFill>
            </a:ln>
          </c:spPr>
          <c:marker>
            <c:symbol val="circle"/>
            <c:size val="5"/>
            <c:spPr>
              <a:solidFill>
                <a:srgbClr val="1BA37A"/>
              </a:solidFill>
              <a:ln>
                <a:solidFill>
                  <a:srgbClr val="1BA37A"/>
                </a:solidFill>
              </a:ln>
            </c:spPr>
          </c:marker>
          <c:cat>
            <c:numRef>
              <c:f>Dashboard!$B$37:$B$44</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Dashboard!$H$37:$H$44</c:f>
              <c:numCache>
                <c:formatCode>General</c:formatCode>
                <c:ptCount val="8"/>
                <c:pt idx="0">
                  <c:v>15</c:v>
                </c:pt>
                <c:pt idx="1">
                  <c:v>11</c:v>
                </c:pt>
                <c:pt idx="2">
                  <c:v>12</c:v>
                </c:pt>
                <c:pt idx="3">
                  <c:v>21</c:v>
                </c:pt>
                <c:pt idx="4">
                  <c:v>15</c:v>
                </c:pt>
                <c:pt idx="5">
                  <c:v>15</c:v>
                </c:pt>
                <c:pt idx="6">
                  <c:v>20</c:v>
                </c:pt>
                <c:pt idx="7">
                  <c:v>25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Maintenance cost by asset</a:t>
            </a:r>
          </a:p>
        </c:rich>
      </c:tx>
      <c:layout/>
    </c:title>
    <c:plotArea>
      <c:layout/>
      <c:barChart>
        <c:barDir val="col"/>
        <c:grouping val="clustered"/>
        <c:ser>
          <c:idx val="0"/>
          <c:order val="0"/>
          <c:tx>
            <c:v>Total cost</c:v>
          </c:tx>
          <c:spPr>
            <a:solidFill>
              <a:srgbClr val="3B64D8"/>
            </a:solidFill>
            <a:ln w="9525">
              <a:solidFill>
                <a:srgbClr val="FFFFFF"/>
              </a:solidFill>
            </a:ln>
          </c:spPr>
          <c:cat>
            <c:strRef>
              <c:f>Dashboard!$H$56:$H$67</c:f>
              <c:strCache>
                <c:ptCount val="12"/>
                <c:pt idx="0">
                  <c:v>FL-01</c:v>
                </c:pt>
                <c:pt idx="1">
                  <c:v>CS-02</c:v>
                </c:pt>
                <c:pt idx="2">
                  <c:v>AC-01</c:v>
                </c:pt>
                <c:pt idx="3">
                  <c:v>MX-01</c:v>
                </c:pt>
                <c:pt idx="4">
                  <c:v>CH-01</c:v>
                </c:pt>
                <c:pt idx="5">
                  <c:v>FL-02</c:v>
                </c:pt>
                <c:pt idx="6">
                  <c:v>CP-01</c:v>
                </c:pt>
                <c:pt idx="7">
                  <c:v>PL-01</c:v>
                </c:pt>
                <c:pt idx="8">
                  <c:v>BL-01</c:v>
                </c:pt>
                <c:pt idx="9">
                  <c:v>LB-01</c:v>
                </c:pt>
                <c:pt idx="10">
                  <c:v>PS-01</c:v>
                </c:pt>
                <c:pt idx="11">
                  <c:v>MX-02</c:v>
                </c:pt>
              </c:strCache>
            </c:strRef>
          </c:cat>
          <c:val>
            <c:numRef>
              <c:f>Dashboard!$J$56:$J$67</c:f>
              <c:numCache>
                <c:formatCode>General</c:formatCode>
                <c:ptCount val="12"/>
                <c:pt idx="0">
                  <c:v>10767</c:v>
                </c:pt>
                <c:pt idx="1">
                  <c:v>6074</c:v>
                </c:pt>
                <c:pt idx="2">
                  <c:v>4989</c:v>
                </c:pt>
                <c:pt idx="3">
                  <c:v>3676</c:v>
                </c:pt>
                <c:pt idx="4">
                  <c:v>3518</c:v>
                </c:pt>
                <c:pt idx="5">
                  <c:v>3509</c:v>
                </c:pt>
                <c:pt idx="6">
                  <c:v>3159</c:v>
                </c:pt>
                <c:pt idx="7">
                  <c:v>2898</c:v>
                </c:pt>
                <c:pt idx="8">
                  <c:v>2387</c:v>
                </c:pt>
                <c:pt idx="9">
                  <c:v>2342</c:v>
                </c:pt>
                <c:pt idx="10">
                  <c:v>1830</c:v>
                </c:pt>
                <c:pt idx="11">
                  <c:v>620</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Dashboard!$H$56:$H$67</c:f>
              <c:strCache>
                <c:ptCount val="12"/>
                <c:pt idx="0">
                  <c:v>FL-01</c:v>
                </c:pt>
                <c:pt idx="1">
                  <c:v>CS-02</c:v>
                </c:pt>
                <c:pt idx="2">
                  <c:v>AC-01</c:v>
                </c:pt>
                <c:pt idx="3">
                  <c:v>MX-01</c:v>
                </c:pt>
                <c:pt idx="4">
                  <c:v>CH-01</c:v>
                </c:pt>
                <c:pt idx="5">
                  <c:v>FL-02</c:v>
                </c:pt>
                <c:pt idx="6">
                  <c:v>CP-01</c:v>
                </c:pt>
                <c:pt idx="7">
                  <c:v>PL-01</c:v>
                </c:pt>
                <c:pt idx="8">
                  <c:v>BL-01</c:v>
                </c:pt>
                <c:pt idx="9">
                  <c:v>LB-01</c:v>
                </c:pt>
                <c:pt idx="10">
                  <c:v>PS-01</c:v>
                </c:pt>
                <c:pt idx="11">
                  <c:v>MX-02</c:v>
                </c:pt>
              </c:strCache>
            </c:strRef>
          </c:cat>
          <c:val>
            <c:numRef>
              <c:f>Dashboard!$L$56:$L$67</c:f>
              <c:numCache>
                <c:formatCode>General</c:formatCode>
                <c:ptCount val="12"/>
                <c:pt idx="0">
                  <c:v>0.235246564268391</c:v>
                </c:pt>
                <c:pt idx="1">
                  <c:v>0.367956477091481</c:v>
                </c:pt>
                <c:pt idx="2">
                  <c:v>0.47696038803557</c:v>
                </c:pt>
                <c:pt idx="3">
                  <c:v>0.557276759378619</c:v>
                </c:pt>
                <c:pt idx="4">
                  <c:v>0.634141012475693</c:v>
                </c:pt>
                <c:pt idx="5">
                  <c:v>0.710808625925845</c:v>
                </c:pt>
                <c:pt idx="6">
                  <c:v>0.779829141995674</c:v>
                </c:pt>
                <c:pt idx="7">
                  <c:v>0.843147108304748</c:v>
                </c:pt>
                <c:pt idx="8">
                  <c:v>0.89530031243855</c:v>
                </c:pt>
                <c:pt idx="9">
                  <c:v>0.94647031833774</c:v>
                </c:pt>
                <c:pt idx="10">
                  <c:v>0.986453713211999</c:v>
                </c:pt>
                <c:pt idx="11">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rot="-2700000" vert="horz"/>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work orders raised and completed in each of the eight weeks up to the status date, with the number still open at each week end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total maintenance cost by asset for the period,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ssets" displayName="tblAssets" ref="B30:D42" totalsRowShown="0">
  <autoFilter ref="B30:D42"/>
  <tableColumns count="3">
    <tableColumn id="1" name="Asset ID"/>
    <tableColumn id="2" name="Area"/>
    <tableColumn id="3" name="Asset"/>
  </tableColumns>
  <tableStyleInfo name="TableStyleLight1" showFirstColumn="0" showLastColumn="0" showRowStripes="0" showColumnStripes="0"/>
</table>
</file>

<file path=xl/tables/table2.xml><?xml version="1.0" encoding="utf-8"?>
<table xmlns="http://schemas.openxmlformats.org/spreadsheetml/2006/main" id="2" name="tblWorkTypes" displayName="tblWorkTypes" ref="B45:D51" totalsRowShown="0">
  <autoFilter ref="B45:D51"/>
  <tableColumns count="3">
    <tableColumn id="1" name="Work type"/>
    <tableColumn id="2" name="Category"/>
    <tableColumn id="3" name="Definition"/>
  </tableColumns>
  <tableStyleInfo name="TableStyleLight1" showFirstColumn="0" showLastColumn="0" showRowStripes="0" showColumnStripes="0"/>
</table>
</file>

<file path=xl/tables/table3.xml><?xml version="1.0" encoding="utf-8"?>
<table xmlns="http://schemas.openxmlformats.org/spreadsheetml/2006/main" id="3" name="tblPriorities" displayName="tblPriorities" ref="B54:D58" totalsRowShown="0">
  <autoFilter ref="B54:D58"/>
  <tableColumns count="3">
    <tableColumn id="1" name="Priority"/>
    <tableColumn id="2" name="Target (days)"/>
    <tableColumn id="3" name="Meaning"/>
  </tableColumns>
  <tableStyleInfo name="TableStyleLight1" showFirstColumn="0" showLastColumn="0" showRowStripes="0" showColumnStripes="0"/>
</table>
</file>

<file path=xl/tables/table4.xml><?xml version="1.0" encoding="utf-8"?>
<table xmlns="http://schemas.openxmlformats.org/spreadsheetml/2006/main" id="4" name="tblTechnicians" displayName="tblTechnicians" ref="B61:D66" totalsRowShown="0">
  <autoFilter ref="B61:D66"/>
  <tableColumns count="3">
    <tableColumn id="1" name="Technician"/>
    <tableColumn id="2" name="Craft"/>
    <tableColumn id="3" name="Notes"/>
  </tableColumns>
  <tableStyleInfo name="TableStyleLight1" showFirstColumn="0" showLastColumn="0" showRowStripes="0" showColumnStripes="0"/>
</table>
</file>

<file path=xl/tables/table5.xml><?xml version="1.0" encoding="utf-8"?>
<table xmlns="http://schemas.openxmlformats.org/spreadsheetml/2006/main" id="5" name="tblWorkOrders" displayName="tblWorkOrders" ref="B6:AB150" totalsRowShown="0">
  <autoFilter ref="B6:AB150"/>
  <tableColumns count="27">
    <tableColumn id="1" name="WO no."/>
    <tableColumn id="2" name="Date raised"/>
    <tableColumn id="3" name="Asset"/>
    <tableColumn id="4" name="Description"/>
    <tableColumn id="5" name="Work type"/>
    <tableColumn id="6" name="Priority"/>
    <tableColumn id="7" name="Assigned to"/>
    <tableColumn id="8" name="Status"/>
    <tableColumn id="9" name="Date completed"/>
    <tableColumn id="10" name="Estimated (h)"/>
    <tableColumn id="11" name="Actual (h)"/>
    <tableColumn id="12" name="Parts cost"/>
    <tableColumn id="13" name="Contractor cost"/>
    <tableColumn id="14" name="Downtime (h)"/>
    <tableColumn id="15" name="Area">
      <calculatedColumnFormula>IF(tblWorkOrders[[#This Row],[WO no.]]="","",IFERROR(INDEX(tblAssets[Area],MATCH(tblWorkOrders[[#This Row],[Asset]],tblAssets[Asset ID],0)),""))</calculatedColumnFormula>
    </tableColumn>
    <tableColumn id="16" name="Category">
      <calculatedColumnFormula>IF(tblWorkOrders[[#This Row],[WO no.]]="","",IFERROR(INDEX(tblWorkTypes[Category],MATCH(tblWorkOrders[[#This Row],[Work type]],tblWorkTypes[Work type],0)),""))</calculatedColumnFormula>
    </tableColumn>
    <tableColumn id="17" name="Target (days)">
      <calculatedColumnFormula>IF(tblWorkOrders[[#This Row],[WO no.]]="","",IFERROR(INDEX(tblPriorities[Target (days)],MATCH(tblWorkOrders[[#This Row],[Priority]],tblPriorities[Priority],0)),""))</calculatedColumnFormula>
    </tableColumn>
    <tableColumn id="18" name="Due date">
      <calculatedColumnFormula>IF(tblWorkOrders[[#This Row],[WO no.]]="","",IF(tblWorkOrders[[#This Row],[Target (days)]]="","",tblWorkOrders[[#This Row],[Date raised]]+tblWorkOrders[[#This Row],[Target (days)]]))</calculatedColumnFormula>
    </tableColumn>
    <tableColumn id="19" name="Open">
      <calculatedColumnFormula>IF(tblWorkOrders[[#This Row],[WO no.]]="","",IF(OR(tblWorkOrders[[#This Row],[Status]]="Complete",tblWorkOrders[[#This Row],[Status]]="Cancelled"),0,1))</calculatedColumnFormula>
    </tableColumn>
    <tableColumn id="20" name="Age (days)">
      <calculatedColumnFormula>IF(tblWorkOrders[[#This Row],[WO no.]]="","",IF(tblWorkOrders[[#This Row],[Status]]="Cancelled","",IF(tblWorkOrders[[#This Row],[Open]]=1,AsOf-tblWorkOrders[[#This Row],[Date raised]],IF(tblWorkOrders[[#This Row],[Date completed]]="","",tblWorkOrders[[#This Row],[Date completed]]-tblWorkOrders[[#This Row],[Date raised]]))))</calculatedColumnFormula>
    </tableColumn>
    <tableColumn id="21" name="Remaining (h)">
      <calculatedColumnFormula>IF(tblWorkOrders[[#This Row],[WO no.]]="","",IF(tblWorkOrders[[#This Row],[Open]]=1,MAX(0,tblWorkOrders[[#This Row],[Estimated (h)]]-tblWorkOrders[[#This Row],[Actual (h)]]),0))</calculatedColumnFormula>
    </tableColumn>
    <tableColumn id="22" name="Labour cost">
      <calculatedColumnFormula>IF(tblWorkOrders[[#This Row],[WO no.]]="","",tblWorkOrders[[#This Row],[Actual (h)]]*LabourRate)</calculatedColumnFormula>
    </tableColumn>
    <tableColumn id="23" name="Total cost">
      <calculatedColumnFormula>IF(tblWorkOrders[[#This Row],[WO no.]]="","",tblWorkOrders[[#This Row],[Labour cost]]+tblWorkOrders[[#This Row],[Parts cost]]+tblWorkOrders[[#This Row],[Contractor cost]])</calculatedColumnFormula>
    </tableColumn>
    <tableColumn id="24" name="Due status">
      <calculatedColumnFormula>IF(tblWorkOrders[[#This Row],[WO no.]]="","",IF(tblWorkOrders[[#This Row],[Status]]="Cancelled","",IF(tblWorkOrders[[#This Row],[Open]]=0,"Complete",IF(tblWorkOrders[[#This Row],[Due date]]="","",IF(AsOf&gt;tblWorkOrders[[#This Row],[Due date]],"Overdue",IF(tblWorkOrders[[#This Row],[Due date]]-AsOf&lt;=DueSoonDays,"Due soon","OK"))))))</calculatedColumnFormula>
    </tableColumn>
    <tableColumn id="25" name="On time">
      <calculatedColumnFormula>IF(tblWorkOrders[[#This Row],[WO no.]]="","",IF(OR(tblWorkOrders[[#This Row],[Status]]&lt;&gt;"Complete",tblWorkOrders[[#This Row],[Date completed]]="",tblWorkOrders[[#This Row],[Due date]]=""),"",IF(tblWorkOrders[[#This Row],[Date completed]]&lt;=tblWorkOrders[[#This Row],[Due date]],"Yes","No")))</calculatedColumnFormula>
    </tableColumn>
    <tableColumn id="26" name="View date">
      <calculatedColumnFormula>IF(tblWorkOrders[[#This Row],[WO no.]]="","",IF(AND(tblWorkOrders[[#This Row],[Date raised]]&gt;=FFrom,tblWorkOrders[[#This Row],[Date raised]]&lt;=FTo),tblWorkOrders[[#This Row],[Date raised]],""))</calculatedColumnFormula>
    </tableColumn>
    <tableColumn id="27" name="Check">
      <calculatedColumnFormula>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WorkOrders" displayName="tblVerifyWorkOrders" ref="B50:AB57" totalsRowShown="0">
  <tableColumns count="27">
    <tableColumn id="1" name="WO no."/>
    <tableColumn id="2" name="Date raised"/>
    <tableColumn id="3" name="Asset"/>
    <tableColumn id="4" name="Description"/>
    <tableColumn id="5" name="Work type"/>
    <tableColumn id="6" name="Priority"/>
    <tableColumn id="7" name="Assigned to"/>
    <tableColumn id="8" name="Status"/>
    <tableColumn id="9" name="Date completed"/>
    <tableColumn id="10" name="Estimated (h)"/>
    <tableColumn id="11" name="Actual (h)"/>
    <tableColumn id="12" name="Parts cost"/>
    <tableColumn id="13" name="Contractor cost"/>
    <tableColumn id="14" name="Downtime (h)"/>
    <tableColumn id="15" name="Area"/>
    <tableColumn id="16" name="Category"/>
    <tableColumn id="17" name="Target (days)"/>
    <tableColumn id="18" name="Due date">
      <calculatedColumnFormula>IF(tblVerifyWorkOrders[[#This Row],[WO no.]]="","",IF(tblVerifyWorkOrders[[#This Row],[Target (days)]]="","",tblVerifyWorkOrders[[#This Row],[Date raised]]+tblVerifyWorkOrders[[#This Row],[Target (days)]]))</calculatedColumnFormula>
    </tableColumn>
    <tableColumn id="19" name="Open">
      <calculatedColumnFormula>IF(tblVerifyWorkOrders[[#This Row],[WO no.]]="","",IF(OR(tblVerifyWorkOrders[[#This Row],[Status]]="Complete",tblVerifyWorkOrders[[#This Row],[Status]]="Cancelled"),0,1))</calculatedColumnFormula>
    </tableColumn>
    <tableColumn id="20" name="Age (days)">
      <calculatedColumnFormula>IF(tblVerifyWorkOrders[[#This Row],[WO no.]]="","",IF(tblVerifyWorkOrders[[#This Row],[Status]]="Cancelled","",IF(tblVerifyWorkOrders[[#This Row],[Open]]=1,$E$37-tblVerifyWorkOrders[[#This Row],[Date raised]],IF(tblVerifyWorkOrders[[#This Row],[Date completed]]="","",tblVerifyWorkOrders[[#This Row],[Date completed]]-tblVerifyWorkOrders[[#This Row],[Date raised]]))))</calculatedColumnFormula>
    </tableColumn>
    <tableColumn id="21" name="Remaining (h)">
      <calculatedColumnFormula>IF(tblVerifyWorkOrders[[#This Row],[WO no.]]="","",IF(tblVerifyWorkOrders[[#This Row],[Open]]=1,MAX(0,tblVerifyWorkOrders[[#This Row],[Estimated (h)]]-tblVerifyWorkOrders[[#This Row],[Actual (h)]]),0))</calculatedColumnFormula>
    </tableColumn>
    <tableColumn id="22" name="Labour cost">
      <calculatedColumnFormula>IF(tblVerifyWorkOrders[[#This Row],[WO no.]]="","",tblVerifyWorkOrders[[#This Row],[Actual (h)]]*$E$38)</calculatedColumnFormula>
    </tableColumn>
    <tableColumn id="23" name="Total cost">
      <calculatedColumnFormula>IF(tblVerifyWorkOrders[[#This Row],[WO no.]]="","",tblVerifyWorkOrders[[#This Row],[Labour cost]]+tblVerifyWorkOrders[[#This Row],[Parts cost]]+tblVerifyWorkOrders[[#This Row],[Contractor cost]])</calculatedColumnFormula>
    </tableColumn>
    <tableColumn id="24" name="Due status">
      <calculatedColumnFormula>IF(tblVerifyWorkOrders[[#This Row],[WO no.]]="","",IF(tblVerifyWorkOrders[[#This Row],[Status]]="Cancelled","",IF(tblVerifyWorkOrders[[#This Row],[Open]]=0,"Complete",IF(tblVerifyWorkOrders[[#This Row],[Due date]]="","",IF($E$37&gt;tblVerifyWorkOrders[[#This Row],[Due date]],"Overdue",IF(tblVerifyWorkOrders[[#This Row],[Due date]]-$E$37&lt;=$E$39,"Due soon","OK"))))))</calculatedColumnFormula>
    </tableColumn>
    <tableColumn id="25" name="On time">
      <calculatedColumnFormula>IF(tblVerifyWorkOrders[[#This Row],[WO no.]]="","",IF(OR(tblVerifyWorkOrders[[#This Row],[Status]]&lt;&gt;"Complete",tblVerifyWorkOrders[[#This Row],[Date completed]]="",tblVerifyWorkOrders[[#This Row],[Due date]]=""),"",IF(tblVerifyWorkOrders[[#This Row],[Date completed]]&lt;=tblVerifyWorkOrders[[#This Row],[Due date]],"Yes","No")))</calculatedColumnFormula>
    </tableColumn>
    <tableColumn id="26" name="View date">
      <calculatedColumnFormula>IF(tblVerifyWorkOrders[[#This Row],[WO no.]]="","",IF(AND(tblVerifyWorkOrders[[#This Row],[Date raised]]&gt;=$E$40,tblVerifyWorkOrders[[#This Row],[Date raised]]&lt;=$E$41),tblVerifyWorkOrders[[#This Row],[Date raised]],""))</calculatedColumnFormula>
    </tableColumn>
    <tableColumn id="27" name="Check">
      <calculatedColumnFormula>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hyperlink" Target="https://www.mfgcalcs.com/calculators/cmms-eam-spare-parts-management/maintenance-backlog-weeks?utm_source=mfgcalcs-template&amp;utm_medium=xlsx&amp;utm_campaign=maintenance-work-orders" TargetMode="External"/><Relationship Id="rId3" Type="http://schemas.openxmlformats.org/officeDocument/2006/relationships/hyperlink" Target="https://www.mfgcalcs.com/templates/maintenance-work-orders?utm_source=mfgcalcs-template&amp;utm_medium=xlsx&amp;utm_campaign=maintenance-work-orders" TargetMode="External"/><Relationship Id="rId4" Type="http://schemas.openxmlformats.org/officeDocument/2006/relationships/hyperlink" Target="https://www.mfgcalcs.com/templates?utm_source=mfgcalcs-template&amp;utm_medium=xlsx&amp;utm_campaign=maintenance-work-order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hyperlink" Target="https://www.mfgcalcs.com/calculators/cmms-eam-spare-parts-management/maintenance-backlog-weeks?utm_source=mfgcalcs-template&amp;utm_medium=xlsx&amp;utm_campaign=maintenance-work-order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intenance-work-orders" TargetMode="External"/><Relationship Id="rId2"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21 of 21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Work Orders'!A1" tooltip="Go to Work Orders" display="Work Order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Maintenance Work Order Log&amp;R&amp;8&amp;A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66"/>
  <sheetViews>
    <sheetView showGridLines="0" workbookViewId="0"/>
  </sheetViews>
  <sheetFormatPr defaultRowHeight="15"/>
  <cols>
    <col min="1" max="1" width="2.7109375" customWidth="1"/>
    <col min="2" max="2" width="32.7109375" customWidth="1"/>
    <col min="3" max="3" width="22.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74</v>
      </c>
      <c r="C4" s="8"/>
      <c r="D4" s="8"/>
    </row>
    <row r="5" spans="1:5" ht="5" customHeight="1"/>
    <row r="6" spans="1:5">
      <c r="B6" s="27" t="s">
        <v>75</v>
      </c>
      <c r="C6" s="28" t="s">
        <v>76</v>
      </c>
      <c r="D6" s="28"/>
    </row>
    <row r="7" spans="1:5">
      <c r="B7" s="27" t="s">
        <v>77</v>
      </c>
      <c r="C7" s="28" t="s">
        <v>78</v>
      </c>
      <c r="D7" s="28"/>
    </row>
    <row r="8" spans="1:5">
      <c r="B8" s="27" t="s">
        <v>79</v>
      </c>
      <c r="C8" s="29">
        <v>46304</v>
      </c>
      <c r="D8" s="7"/>
    </row>
    <row r="9" spans="1:5">
      <c r="B9" s="27" t="s">
        <v>80</v>
      </c>
      <c r="C9" s="30">
        <v>48</v>
      </c>
      <c r="D9" s="7" t="str">
        <f>Currency&amp;" per hour"</f>
        <v>USD per hour</v>
      </c>
    </row>
    <row r="11" spans="1:5" ht="21" customHeight="1">
      <c r="B11" s="8" t="s">
        <v>81</v>
      </c>
      <c r="C11" s="8"/>
      <c r="D11" s="8"/>
    </row>
    <row r="12" spans="1:5" ht="5" customHeight="1"/>
    <row r="13" spans="1:5">
      <c r="B13" s="27" t="s">
        <v>82</v>
      </c>
      <c r="C13" s="31">
        <v>160</v>
      </c>
      <c r="D13" s="7" t="s">
        <v>83</v>
      </c>
    </row>
    <row r="14" spans="1:5">
      <c r="B14" s="27" t="s">
        <v>84</v>
      </c>
      <c r="C14" s="31">
        <v>40</v>
      </c>
      <c r="D14" s="7" t="s">
        <v>83</v>
      </c>
    </row>
    <row r="15" spans="1:5">
      <c r="B15" s="17" t="s">
        <v>85</v>
      </c>
      <c r="C15" s="32">
        <f>CrewHours-OtherHours</f>
        <v>120</v>
      </c>
      <c r="D15" s="7" t="s">
        <v>83</v>
      </c>
    </row>
    <row r="17" spans="2:4" ht="21" customHeight="1">
      <c r="B17" s="8" t="s">
        <v>86</v>
      </c>
      <c r="C17" s="8"/>
      <c r="D17" s="8"/>
    </row>
    <row r="18" spans="2:4" ht="5" customHeight="1"/>
    <row r="19" spans="2:4">
      <c r="B19" s="27" t="s">
        <v>87</v>
      </c>
      <c r="C19" s="31">
        <v>3</v>
      </c>
      <c r="D19" s="7" t="s">
        <v>88</v>
      </c>
    </row>
    <row r="20" spans="2:4">
      <c r="B20" s="27" t="s">
        <v>89</v>
      </c>
      <c r="C20" s="33">
        <v>0.1</v>
      </c>
      <c r="D20" s="7"/>
    </row>
    <row r="21" spans="2:4">
      <c r="B21" s="27" t="s">
        <v>90</v>
      </c>
      <c r="C21" s="33">
        <v>0.9</v>
      </c>
      <c r="D21" s="7"/>
    </row>
    <row r="22" spans="2:4">
      <c r="B22" s="27" t="s">
        <v>91</v>
      </c>
      <c r="C22" s="34">
        <v>3</v>
      </c>
      <c r="D22" s="7" t="s">
        <v>92</v>
      </c>
    </row>
    <row r="24" spans="2:4" ht="35.4" customHeight="1">
      <c r="B24" s="25" t="s">
        <v>93</v>
      </c>
      <c r="C24" s="25"/>
      <c r="D24" s="25"/>
    </row>
    <row r="26" spans="2:4" ht="21" customHeight="1">
      <c r="B26" s="8" t="s">
        <v>94</v>
      </c>
      <c r="C26" s="8"/>
      <c r="D26" s="8"/>
    </row>
    <row r="27" spans="2:4" ht="5" customHeight="1"/>
    <row r="28" spans="2:4" ht="38.64" customHeight="1">
      <c r="B28" s="21" t="s">
        <v>95</v>
      </c>
      <c r="C28" s="21"/>
      <c r="D28" s="21"/>
    </row>
    <row r="29" spans="2:4">
      <c r="B29" s="35" t="s">
        <v>96</v>
      </c>
      <c r="C29" s="35"/>
      <c r="D29" s="35"/>
    </row>
    <row r="30" spans="2:4" ht="20" customHeight="1">
      <c r="B30" s="36" t="s">
        <v>62</v>
      </c>
      <c r="C30" s="36" t="s">
        <v>63</v>
      </c>
      <c r="D30" s="36" t="s">
        <v>64</v>
      </c>
    </row>
    <row r="31" spans="2:4">
      <c r="B31" s="28" t="s">
        <v>97</v>
      </c>
      <c r="C31" s="28" t="s">
        <v>98</v>
      </c>
      <c r="D31" s="28" t="s">
        <v>99</v>
      </c>
    </row>
    <row r="32" spans="2:4">
      <c r="B32" s="28" t="s">
        <v>100</v>
      </c>
      <c r="C32" s="28" t="s">
        <v>98</v>
      </c>
      <c r="D32" s="28" t="s">
        <v>101</v>
      </c>
    </row>
    <row r="33" spans="2:4">
      <c r="B33" s="28" t="s">
        <v>102</v>
      </c>
      <c r="C33" s="28" t="s">
        <v>98</v>
      </c>
      <c r="D33" s="28" t="s">
        <v>103</v>
      </c>
    </row>
    <row r="34" spans="2:4">
      <c r="B34" s="28" t="s">
        <v>104</v>
      </c>
      <c r="C34" s="28" t="s">
        <v>105</v>
      </c>
      <c r="D34" s="28" t="s">
        <v>106</v>
      </c>
    </row>
    <row r="35" spans="2:4">
      <c r="B35" s="28" t="s">
        <v>107</v>
      </c>
      <c r="C35" s="28" t="s">
        <v>105</v>
      </c>
      <c r="D35" s="28" t="s">
        <v>108</v>
      </c>
    </row>
    <row r="36" spans="2:4">
      <c r="B36" s="28" t="s">
        <v>109</v>
      </c>
      <c r="C36" s="28" t="s">
        <v>105</v>
      </c>
      <c r="D36" s="28" t="s">
        <v>110</v>
      </c>
    </row>
    <row r="37" spans="2:4">
      <c r="B37" s="28" t="s">
        <v>111</v>
      </c>
      <c r="C37" s="28" t="s">
        <v>112</v>
      </c>
      <c r="D37" s="28" t="s">
        <v>113</v>
      </c>
    </row>
    <row r="38" spans="2:4">
      <c r="B38" s="28" t="s">
        <v>114</v>
      </c>
      <c r="C38" s="28" t="s">
        <v>112</v>
      </c>
      <c r="D38" s="28" t="s">
        <v>115</v>
      </c>
    </row>
    <row r="39" spans="2:4">
      <c r="B39" s="28" t="s">
        <v>116</v>
      </c>
      <c r="C39" s="28" t="s">
        <v>117</v>
      </c>
      <c r="D39" s="28" t="s">
        <v>118</v>
      </c>
    </row>
    <row r="40" spans="2:4">
      <c r="B40" s="28" t="s">
        <v>119</v>
      </c>
      <c r="C40" s="28" t="s">
        <v>120</v>
      </c>
      <c r="D40" s="28" t="s">
        <v>121</v>
      </c>
    </row>
    <row r="41" spans="2:4">
      <c r="B41" s="28" t="s">
        <v>122</v>
      </c>
      <c r="C41" s="28" t="s">
        <v>120</v>
      </c>
      <c r="D41" s="28" t="s">
        <v>123</v>
      </c>
    </row>
    <row r="42" spans="2:4">
      <c r="B42" s="28" t="s">
        <v>124</v>
      </c>
      <c r="C42" s="28" t="s">
        <v>120</v>
      </c>
      <c r="D42" s="28" t="s">
        <v>125</v>
      </c>
    </row>
    <row r="44" spans="2:4">
      <c r="B44" s="35" t="s">
        <v>126</v>
      </c>
      <c r="C44" s="35"/>
      <c r="D44" s="35"/>
    </row>
    <row r="45" spans="2:4" ht="20" customHeight="1">
      <c r="B45" s="36" t="s">
        <v>65</v>
      </c>
      <c r="C45" s="36" t="s">
        <v>66</v>
      </c>
      <c r="D45" s="36" t="s">
        <v>67</v>
      </c>
    </row>
    <row r="46" spans="2:4">
      <c r="B46" s="28" t="s">
        <v>127</v>
      </c>
      <c r="C46" s="28" t="s">
        <v>128</v>
      </c>
      <c r="D46" s="28" t="s">
        <v>129</v>
      </c>
    </row>
    <row r="47" spans="2:4">
      <c r="B47" s="28" t="s">
        <v>130</v>
      </c>
      <c r="C47" s="28" t="s">
        <v>131</v>
      </c>
      <c r="D47" s="28" t="s">
        <v>132</v>
      </c>
    </row>
    <row r="48" spans="2:4">
      <c r="B48" s="28" t="s">
        <v>133</v>
      </c>
      <c r="C48" s="28" t="s">
        <v>134</v>
      </c>
      <c r="D48" s="28" t="s">
        <v>135</v>
      </c>
    </row>
    <row r="49" spans="2:4">
      <c r="B49" s="28" t="s">
        <v>136</v>
      </c>
      <c r="C49" s="28" t="s">
        <v>134</v>
      </c>
      <c r="D49" s="28" t="s">
        <v>137</v>
      </c>
    </row>
    <row r="50" spans="2:4">
      <c r="B50" s="28" t="s">
        <v>138</v>
      </c>
      <c r="C50" s="28" t="s">
        <v>134</v>
      </c>
      <c r="D50" s="28" t="s">
        <v>139</v>
      </c>
    </row>
    <row r="51" spans="2:4">
      <c r="B51" s="28" t="s">
        <v>140</v>
      </c>
      <c r="C51" s="28" t="s">
        <v>134</v>
      </c>
      <c r="D51" s="28" t="s">
        <v>141</v>
      </c>
    </row>
    <row r="53" spans="2:4">
      <c r="B53" s="35" t="s">
        <v>142</v>
      </c>
      <c r="C53" s="35"/>
      <c r="D53" s="35"/>
    </row>
    <row r="54" spans="2:4" ht="32" customHeight="1">
      <c r="B54" s="36" t="s">
        <v>68</v>
      </c>
      <c r="C54" s="36" t="s">
        <v>69</v>
      </c>
      <c r="D54" s="36" t="s">
        <v>70</v>
      </c>
    </row>
    <row r="55" spans="2:4">
      <c r="B55" s="28" t="s">
        <v>143</v>
      </c>
      <c r="C55" s="34">
        <v>1</v>
      </c>
      <c r="D55" s="28" t="s">
        <v>144</v>
      </c>
    </row>
    <row r="56" spans="2:4">
      <c r="B56" s="28" t="s">
        <v>145</v>
      </c>
      <c r="C56" s="34">
        <v>3</v>
      </c>
      <c r="D56" s="28" t="s">
        <v>146</v>
      </c>
    </row>
    <row r="57" spans="2:4">
      <c r="B57" s="28" t="s">
        <v>147</v>
      </c>
      <c r="C57" s="34">
        <v>14</v>
      </c>
      <c r="D57" s="28" t="s">
        <v>148</v>
      </c>
    </row>
    <row r="58" spans="2:4">
      <c r="B58" s="28" t="s">
        <v>149</v>
      </c>
      <c r="C58" s="34">
        <v>45</v>
      </c>
      <c r="D58" s="28" t="s">
        <v>150</v>
      </c>
    </row>
    <row r="60" spans="2:4">
      <c r="B60" s="35" t="s">
        <v>151</v>
      </c>
      <c r="C60" s="35"/>
      <c r="D60" s="35"/>
    </row>
    <row r="61" spans="2:4" ht="20" customHeight="1">
      <c r="B61" s="36" t="s">
        <v>71</v>
      </c>
      <c r="C61" s="36" t="s">
        <v>72</v>
      </c>
      <c r="D61" s="36" t="s">
        <v>73</v>
      </c>
    </row>
    <row r="62" spans="2:4">
      <c r="B62" s="28" t="s">
        <v>152</v>
      </c>
      <c r="C62" s="28" t="s">
        <v>153</v>
      </c>
      <c r="D62" s="28" t="s">
        <v>154</v>
      </c>
    </row>
    <row r="63" spans="2:4">
      <c r="B63" s="28" t="s">
        <v>155</v>
      </c>
      <c r="C63" s="28" t="s">
        <v>156</v>
      </c>
      <c r="D63" s="28" t="s">
        <v>154</v>
      </c>
    </row>
    <row r="64" spans="2:4">
      <c r="B64" s="28" t="s">
        <v>157</v>
      </c>
      <c r="C64" s="28" t="s">
        <v>153</v>
      </c>
      <c r="D64" s="28" t="s">
        <v>158</v>
      </c>
    </row>
    <row r="65" spans="2:4">
      <c r="B65" s="28" t="s">
        <v>159</v>
      </c>
      <c r="C65" s="28" t="s">
        <v>160</v>
      </c>
      <c r="D65" s="28" t="s">
        <v>154</v>
      </c>
    </row>
    <row r="66" spans="2:4">
      <c r="B66" s="28" t="s">
        <v>161</v>
      </c>
      <c r="C66" s="28" t="s">
        <v>162</v>
      </c>
      <c r="D66" s="28" t="s">
        <v>163</v>
      </c>
    </row>
  </sheetData>
  <mergeCells count="15">
    <mergeCell ref="A1:E1"/>
    <mergeCell ref="B2:C2"/>
    <mergeCell ref="D2:E2"/>
    <mergeCell ref="B4:D4"/>
    <mergeCell ref="C6:D6"/>
    <mergeCell ref="C7:D7"/>
    <mergeCell ref="B11:D11"/>
    <mergeCell ref="B17:D17"/>
    <mergeCell ref="B24:D24"/>
    <mergeCell ref="B26:D26"/>
    <mergeCell ref="B28:D28"/>
    <mergeCell ref="B29:D29"/>
    <mergeCell ref="B44:D44"/>
    <mergeCell ref="B53:D53"/>
    <mergeCell ref="B60:D60"/>
  </mergeCells>
  <dataValidations count="22">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Status date (as of)" prompt="The date the log was last brought up to date. Ages and overdue flags are measured to this date; move it forward when you update the log. Enter a date between 01 Jan 2000 and 31 Dec 2100." sqref="C8">
      <formula1>36526</formula1>
      <formula2>73415</formula2>
    </dataValidation>
    <dataValidation type="decimal" allowBlank="1" showInputMessage="1" showErrorMessage="1" errorTitle="Check this entry" error="Enter a number from 0 to 1,000,000." promptTitle="Loaded labour rate" prompt="Wage plus on-costs per technician hour (example value). Labour cost = actual hours x this rate. Enter a number from 0 to 1,000,000." sqref="C9">
      <formula1>0</formula1>
      <formula2>1000000.0</formula2>
    </dataValidation>
    <dataValidation type="decimal" allowBlank="1" showInputMessage="1" showErrorMessage="1" errorTitle="Check this entry" error="Enter a number from 0 to 1,000,000." promptTitle="Crew hours per week" prompt="Paid hours of the maintenance crew in a normal week: technicians x hours each. Enter a number from 0 to 1,000,000." sqref="C13">
      <formula1>0</formula1>
      <formula2>1000000.0</formula2>
    </dataValidation>
    <dataValidation type="decimal" allowBlank="1" showInputMessage="1" showErrorMessage="1" errorTitle="Check this entry" error="Enter a number from 0 to 1,000,000." promptTitle="Hours per week committed else..." prompt="Meetings, training, stores runs and routine rounds that are not logged as work orders. Enter a number from 0 to 1,000,000." sqref="C14">
      <formula1>0</formula1>
      <formula2>1000000.0</formula2>
    </dataValidation>
    <dataValidation type="decimal" allowBlank="1" showInputMessage="1" showErrorMessage="1" errorTitle="Check this entry" error="Enter a number from 0 to 520." promptTitle="Backlog limit" prompt="Most backlog you are willing to carry, in weeks of net crew hours. There is no universal figure; pick one your crew can clear. Enter a number from 0 to 520." sqref="C19">
      <formula1>0</formula1>
      <formula2>520</formula2>
    </dataValidation>
    <dataValidation type="decimal" allowBlank="1" showInputMessage="1" showErrorMessage="1" errorTitle="Check this entry" error="Enter a percentage from 0% to 100% (type 85% or 0.85)." promptTitle="Emergency work limit" prompt="Highest share of work orders you accept as emergency break-in work. Enter a percentage from 0% to 100% (type 85% or 0.85)." sqref="C20">
      <formula1>0</formula1>
      <formula2>1</formula2>
    </dataValidation>
    <dataValidation type="decimal" allowBlank="1" showInputMessage="1" showErrorMessage="1" errorTitle="Check this entry" error="Enter a percentage from 0% to 100% (type 85% or 0.85)." promptTitle="On-time completion target" prompt="Share of completed orders that should finish by their priority's target date. Enter a percentage from 0% to 100% (type 85% or 0.85)." sqref="C21">
      <formula1>0</formula1>
      <formula2>1</formula2>
    </dataValidation>
    <dataValidation type="whole" allowBlank="1" showInputMessage="1" showErrorMessage="1" errorTitle="Check this entry" error="Enter a whole number from 0 to 365." promptTitle="Due soon window" prompt="Open orders due within this many days of the status date read Due soon. Enter a whole number from 0 to 365." sqref="C22">
      <formula1>0</formula1>
      <formula2>365</formula2>
    </dataValidation>
    <dataValidation type="textLength" allowBlank="1" showInputMessage="1" showErrorMessage="1" errorTitle="Check this entry" error="Text up to 30 characters." promptTitle="Asset ID" prompt="Text up to 30 characters." sqref="B31:B142">
      <formula1>0</formula1>
      <formula2>30</formula2>
    </dataValidation>
    <dataValidation type="textLength" allowBlank="1" showInputMessage="1" showErrorMessage="1" errorTitle="Check this entry" error="Text up to 40 characters." promptTitle="Area" prompt="Text up to 40 characters." sqref="C31:C142">
      <formula1>0</formula1>
      <formula2>40</formula2>
    </dataValidation>
    <dataValidation type="textLength" allowBlank="1" showInputMessage="1" showErrorMessage="1" errorTitle="Check this entry" error="Text up to 60 characters." promptTitle="Asset" prompt="Text up to 60 characters." sqref="D31:D142">
      <formula1>0</formula1>
      <formula2>60</formula2>
    </dataValidation>
    <dataValidation type="textLength" allowBlank="1" showInputMessage="1" showErrorMessage="1" errorTitle="Check this entry" error="Text up to 40 characters." promptTitle="Work type" prompt="Text up to 40 characters." sqref="B46:B151">
      <formula1>0</formula1>
      <formula2>40</formula2>
    </dataValidation>
    <dataValidation type="list" allowBlank="1" showInputMessage="1" showErrorMessage="1" errorTitle="Check this entry" error="Pick one of: Emergency, Corrective, Planned." promptTitle="Category" prompt="Emergency = break-in work; Corrective = repairs scheduled through the plan; Planned = PM, PdM, improvement, compliance. Pick one of: Emergency, Corrective, Planned." sqref="C46:C151">
      <formula1>"Emergency,Corrective,Planned"</formula1>
    </dataValidation>
    <dataValidation type="textLength" allowBlank="1" showInputMessage="1" showErrorMessage="1" errorTitle="Check this entry" error="Text up to 120 characters." promptTitle="Definition" prompt="Text up to 120 characters." sqref="D46:D151">
      <formula1>0</formula1>
      <formula2>120</formula2>
    </dataValidation>
    <dataValidation type="textLength" allowBlank="1" showInputMessage="1" showErrorMessage="1" errorTitle="Check this entry" error="Text up to 30 characters." promptTitle="Priority" prompt="Text up to 30 characters." sqref="B55:B158">
      <formula1>0</formula1>
      <formula2>30</formula2>
    </dataValidation>
    <dataValidation type="whole" allowBlank="1" showInputMessage="1" showErrorMessage="1" errorTitle="Check this entry" error="Enter a whole number from 0 to 3,650." promptTitle="Target (days)" prompt="Calendar days from the date raised to the due date. Enter a whole number from 0 to 3,650." sqref="C55:C158">
      <formula1>0</formula1>
      <formula2>3650</formula2>
    </dataValidation>
    <dataValidation type="textLength" allowBlank="1" showInputMessage="1" showErrorMessage="1" errorTitle="Check this entry" error="Text up to 120 characters." promptTitle="Meaning" prompt="Text up to 120 characters." sqref="D55:D158">
      <formula1>0</formula1>
      <formula2>120</formula2>
    </dataValidation>
    <dataValidation type="textLength" allowBlank="1" showInputMessage="1" showErrorMessage="1" errorTitle="Check this entry" error="Text up to 40 characters." promptTitle="Technician" prompt="Text up to 40 characters." sqref="B62:B166">
      <formula1>0</formula1>
      <formula2>40</formula2>
    </dataValidation>
    <dataValidation type="textLength" allowBlank="1" showInputMessage="1" showErrorMessage="1" errorTitle="Check this entry" error="Text up to 40 characters." promptTitle="Craft" prompt="Text up to 40 characters." sqref="C62:C166">
      <formula1>0</formula1>
      <formula2>40</formula2>
    </dataValidation>
    <dataValidation type="textLength" allowBlank="1" showInputMessage="1" showErrorMessage="1" errorTitle="Check this entry" error="Text up to 120 characters." promptTitle="Notes" prompt="Text up to 120 characters." sqref="D62:D166">
      <formula1>0</formula1>
      <formula2>120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Maintenance Work Order Log&amp;R&amp;8&amp;A</oddHeader>
    <oddFooter>&amp;L&amp;8mfgcalcs.com - free manufacturing templates&amp;R&amp;8Page &amp;P of &amp;N</oddFooter>
  </headerFooter>
  <rowBreaks count="2" manualBreakCount="2">
    <brk id="28" max="16383" man="1"/>
    <brk id="58"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AB150"/>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3" width="12.28515625" customWidth="1"/>
    <col min="4" max="4" width="9.28515625" customWidth="1"/>
    <col min="5" max="5" width="40.7109375" customWidth="1"/>
    <col min="6" max="6" width="15.7109375" customWidth="1"/>
    <col min="7" max="7" width="12.7109375" customWidth="1"/>
    <col min="8" max="8" width="11.28515625" customWidth="1"/>
    <col min="9" max="9" width="11.7109375" customWidth="1"/>
    <col min="10" max="10" width="12.28515625" customWidth="1"/>
    <col min="11" max="11" width="9.7109375" customWidth="1"/>
    <col min="12" max="12" width="9.28515625" customWidth="1"/>
    <col min="13" max="13" width="10.28515625" customWidth="1"/>
    <col min="14" max="14" width="11.28515625" customWidth="1"/>
    <col min="15" max="15" width="10.28515625" customWidth="1"/>
    <col min="16" max="16" width="11.7109375" customWidth="1"/>
    <col min="17" max="17" width="11.28515625" customWidth="1"/>
    <col min="18" max="18" width="9.28515625" customWidth="1"/>
    <col min="19" max="19" width="12.28515625" customWidth="1"/>
    <col min="20" max="20" width="7.28515625" customWidth="1"/>
    <col min="21" max="21" width="8.28515625" customWidth="1"/>
    <col min="22" max="23" width="10.28515625" customWidth="1"/>
    <col min="24" max="25" width="10.7109375" customWidth="1"/>
    <col min="26" max="26" width="8.28515625" customWidth="1"/>
    <col min="27" max="27" width="12.28515625" customWidth="1"/>
    <col min="28" max="28" width="24.7109375" customWidth="1"/>
  </cols>
  <sheetData>
    <row r="1" spans="1:28" ht="30"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21" customHeight="1" x14ac:dyDescent="0.25">
      <c r="B2" s="2" t="s">
        <v>22</v>
      </c>
      <c r="C2" s="2"/>
      <c r="D2" s="2"/>
      <c r="E2" s="2"/>
      <c r="F2" s="2"/>
      <c r="G2" s="2"/>
      <c r="H2" s="2"/>
      <c r="I2" s="2"/>
      <c r="J2" s="2"/>
      <c r="K2" s="2"/>
      <c r="L2" s="2"/>
      <c r="M2" s="2"/>
      <c r="N2" s="2"/>
      <c r="O2" s="2"/>
      <c r="P2" s="2"/>
      <c r="Q2" s="2"/>
      <c r="R2" s="2"/>
      <c r="S2" s="2"/>
      <c r="T2" s="2"/>
      <c r="U2" s="2"/>
      <c r="V2" s="2"/>
      <c r="W2" s="2"/>
      <c r="X2" s="2"/>
      <c r="Y2" s="2"/>
      <c r="Z2" s="2"/>
      <c r="AA2" s="2"/>
      <c r="AB2" s="3" t="s">
        <v>2</v>
      </c>
    </row>
    <row r="3" spans="1:28" ht="6" customHeight="1" x14ac:dyDescent="0.25"/>
    <row r="4" spans="1:28" ht="18" customHeight="1" x14ac:dyDescent="0.25">
      <c r="B4" s="37" t="s">
        <v>185</v>
      </c>
      <c r="C4" s="37"/>
      <c r="D4" s="37"/>
      <c r="E4" s="37"/>
      <c r="F4" s="37"/>
      <c r="G4" s="37"/>
      <c r="H4" s="37"/>
      <c r="I4" s="37"/>
      <c r="J4" s="37"/>
      <c r="K4" s="37"/>
      <c r="L4" s="37"/>
      <c r="M4" s="37"/>
      <c r="N4" s="37"/>
      <c r="O4" s="37"/>
      <c r="P4" s="37"/>
      <c r="Q4" s="37"/>
      <c r="R4" s="37"/>
      <c r="S4" s="37"/>
      <c r="T4" s="37"/>
      <c r="U4" s="37"/>
      <c r="V4" s="37"/>
      <c r="W4" s="37"/>
      <c r="X4" s="37"/>
      <c r="Y4" s="37"/>
      <c r="Z4" s="37"/>
      <c r="AA4" s="37"/>
      <c r="AB4" s="37"/>
    </row>
    <row r="5" spans="1:28" ht="14" customHeight="1" x14ac:dyDescent="0.25">
      <c r="B5" s="38"/>
      <c r="C5" s="38"/>
      <c r="D5" s="38"/>
      <c r="E5" s="38"/>
      <c r="F5" s="38"/>
      <c r="G5" s="38"/>
      <c r="H5" s="38"/>
      <c r="I5" s="38"/>
      <c r="J5" s="38"/>
      <c r="K5" s="38"/>
      <c r="L5" s="38"/>
      <c r="M5" s="38" t="str">
        <f>Currency</f>
        <v>USD</v>
      </c>
      <c r="N5" s="38" t="str">
        <f>Currency</f>
        <v>USD</v>
      </c>
      <c r="O5" s="38"/>
      <c r="P5" s="38"/>
      <c r="Q5" s="38"/>
      <c r="R5" s="38"/>
      <c r="S5" s="38"/>
      <c r="T5" s="38"/>
      <c r="U5" s="38"/>
      <c r="V5" s="38"/>
      <c r="W5" s="38" t="str">
        <f>Currency</f>
        <v>USD</v>
      </c>
      <c r="X5" s="38" t="str">
        <f>Currency</f>
        <v>USD</v>
      </c>
      <c r="Y5" s="38"/>
      <c r="Z5" s="38"/>
      <c r="AA5" s="38"/>
      <c r="AB5" s="38"/>
    </row>
    <row r="6" spans="1:28" ht="32" customHeight="1" x14ac:dyDescent="0.25">
      <c r="B6" s="36" t="s">
        <v>164</v>
      </c>
      <c r="C6" s="36" t="s">
        <v>165</v>
      </c>
      <c r="D6" s="36" t="s">
        <v>64</v>
      </c>
      <c r="E6" s="36" t="s">
        <v>166</v>
      </c>
      <c r="F6" s="36" t="s">
        <v>65</v>
      </c>
      <c r="G6" s="36" t="s">
        <v>68</v>
      </c>
      <c r="H6" s="36" t="s">
        <v>167</v>
      </c>
      <c r="I6" s="36" t="s">
        <v>168</v>
      </c>
      <c r="J6" s="36" t="s">
        <v>169</v>
      </c>
      <c r="K6" s="36" t="s">
        <v>170</v>
      </c>
      <c r="L6" s="36" t="s">
        <v>171</v>
      </c>
      <c r="M6" s="36" t="s">
        <v>172</v>
      </c>
      <c r="N6" s="36" t="s">
        <v>173</v>
      </c>
      <c r="O6" s="36" t="s">
        <v>174</v>
      </c>
      <c r="P6" s="36" t="s">
        <v>63</v>
      </c>
      <c r="Q6" s="36" t="s">
        <v>66</v>
      </c>
      <c r="R6" s="36" t="s">
        <v>69</v>
      </c>
      <c r="S6" s="36" t="s">
        <v>175</v>
      </c>
      <c r="T6" s="36" t="s">
        <v>176</v>
      </c>
      <c r="U6" s="36" t="s">
        <v>177</v>
      </c>
      <c r="V6" s="36" t="s">
        <v>178</v>
      </c>
      <c r="W6" s="36" t="s">
        <v>179</v>
      </c>
      <c r="X6" s="36" t="s">
        <v>180</v>
      </c>
      <c r="Y6" s="36" t="s">
        <v>181</v>
      </c>
      <c r="Z6" s="36" t="s">
        <v>182</v>
      </c>
      <c r="AA6" s="36" t="s">
        <v>183</v>
      </c>
      <c r="AB6" s="36" t="s">
        <v>184</v>
      </c>
    </row>
    <row r="7" spans="1:28" x14ac:dyDescent="0.25">
      <c r="B7" s="28" t="s">
        <v>186</v>
      </c>
      <c r="C7" s="29">
        <v>46209</v>
      </c>
      <c r="D7" s="28" t="s">
        <v>100</v>
      </c>
      <c r="E7" s="39" t="s">
        <v>187</v>
      </c>
      <c r="F7" s="28" t="s">
        <v>130</v>
      </c>
      <c r="G7" s="28" t="s">
        <v>147</v>
      </c>
      <c r="H7" s="28" t="s">
        <v>152</v>
      </c>
      <c r="I7" s="28" t="s">
        <v>188</v>
      </c>
      <c r="J7" s="29"/>
      <c r="K7" s="31">
        <v>6</v>
      </c>
      <c r="L7" s="31">
        <v>0</v>
      </c>
      <c r="M7" s="30">
        <v>0</v>
      </c>
      <c r="N7" s="30">
        <v>0</v>
      </c>
      <c r="O7" s="31">
        <v>0</v>
      </c>
      <c r="P7" s="40" t="str">
        <f>IF(tblWorkOrders[[#This Row],[WO no.]]="","",IFERROR(INDEX(tblAssets[Area],MATCH(tblWorkOrders[[#This Row],[Asset]],tblAssets[Asset ID],0)),""))</f>
        <v>Processing</v>
      </c>
      <c r="Q7" s="40" t="str">
        <f>IF(tblWorkOrders[[#This Row],[WO no.]]="","",IFERROR(INDEX(tblWorkTypes[Category],MATCH(tblWorkOrders[[#This Row],[Work type]],tblWorkTypes[Work type],0)),""))</f>
        <v>Corrective</v>
      </c>
      <c r="R7" s="41">
        <f>IF(tblWorkOrders[[#This Row],[WO no.]]="","",IFERROR(INDEX(tblPriorities[Target (days)],MATCH(tblWorkOrders[[#This Row],[Priority]],tblPriorities[Priority],0)),""))</f>
        <v>14</v>
      </c>
      <c r="S7" s="42">
        <f>IF(tblWorkOrders[[#This Row],[WO no.]]="","",IF(tblWorkOrders[[#This Row],[Target (days)]]="","",tblWorkOrders[[#This Row],[Date raised]]+tblWorkOrders[[#This Row],[Target (days)]]))</f>
        <v>46223</v>
      </c>
      <c r="T7" s="41">
        <f>IF(tblWorkOrders[[#This Row],[WO no.]]="","",IF(OR(tblWorkOrders[[#This Row],[Status]]="Complete",tblWorkOrders[[#This Row],[Status]]="Cancelled"),0,1))</f>
        <v>1</v>
      </c>
      <c r="U7" s="41">
        <f>IF(tblWorkOrders[[#This Row],[WO no.]]="","",IF(tblWorkOrders[[#This Row],[Status]]="Cancelled","",IF(tblWorkOrders[[#This Row],[Open]]=1,AsOf-tblWorkOrders[[#This Row],[Date raised]],IF(tblWorkOrders[[#This Row],[Date completed]]="","",tblWorkOrders[[#This Row],[Date completed]]-tblWorkOrders[[#This Row],[Date raised]]))))</f>
        <v>95</v>
      </c>
      <c r="V7" s="43">
        <f>IF(tblWorkOrders[[#This Row],[WO no.]]="","",IF(tblWorkOrders[[#This Row],[Open]]=1,MAX(0,tblWorkOrders[[#This Row],[Estimated (h)]]-tblWorkOrders[[#This Row],[Actual (h)]]),0))</f>
        <v>6</v>
      </c>
      <c r="W7" s="44">
        <f>IF(tblWorkOrders[[#This Row],[WO no.]]="","",tblWorkOrders[[#This Row],[Actual (h)]]*LabourRate)</f>
        <v>0</v>
      </c>
      <c r="X7" s="44">
        <f>IF(tblWorkOrders[[#This Row],[WO no.]]="","",tblWorkOrders[[#This Row],[Labour cost]]+tblWorkOrders[[#This Row],[Parts cost]]+tblWorkOrders[[#This Row],[Contractor cost]])</f>
        <v>0</v>
      </c>
      <c r="Y7" s="45" t="str">
        <f>IF(tblWorkOrders[[#This Row],[WO no.]]="","",IF(tblWorkOrders[[#This Row],[Status]]="Cancelled","",IF(tblWorkOrders[[#This Row],[Open]]=0,"Complete",IF(tblWorkOrders[[#This Row],[Due date]]="","",IF(AsOf&gt;tblWorkOrders[[#This Row],[Due date]],"Overdue",IF(tblWorkOrders[[#This Row],[Due date]]-AsOf&lt;=DueSoonDays,"Due soon","OK"))))))</f>
        <v>Overdue</v>
      </c>
      <c r="Z7" s="45">
        <f>IF(tblWorkOrders[[#This Row],[WO no.]]="","",IF(OR(tblWorkOrders[[#This Row],[Status]]&lt;&gt;"Complete",tblWorkOrders[[#This Row],[Date completed]]="",tblWorkOrders[[#This Row],[Due date]]=""),"",IF(tblWorkOrders[[#This Row],[Date completed]]&lt;=tblWorkOrders[[#This Row],[Due date]],"Yes","No")))</f>
        <v/>
      </c>
      <c r="AA7" s="42">
        <f>IF(tblWorkOrders[[#This Row],[WO no.]]="","",IF(AND(tblWorkOrders[[#This Row],[Date raised]]&gt;=FFrom,tblWorkOrders[[#This Row],[Date raised]]&lt;=FTo),tblWorkOrders[[#This Row],[Date raised]],""))</f>
        <v>46209</v>
      </c>
      <c r="AB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 spans="1:28" x14ac:dyDescent="0.25">
      <c r="B8" s="28" t="s">
        <v>189</v>
      </c>
      <c r="C8" s="29">
        <v>46217</v>
      </c>
      <c r="D8" s="28" t="s">
        <v>116</v>
      </c>
      <c r="E8" s="39" t="s">
        <v>190</v>
      </c>
      <c r="F8" s="28" t="s">
        <v>140</v>
      </c>
      <c r="G8" s="28" t="s">
        <v>147</v>
      </c>
      <c r="H8" s="28" t="s">
        <v>155</v>
      </c>
      <c r="I8" s="28" t="s">
        <v>176</v>
      </c>
      <c r="J8" s="29"/>
      <c r="K8" s="31">
        <v>10</v>
      </c>
      <c r="L8" s="31">
        <v>0</v>
      </c>
      <c r="M8" s="30">
        <v>0</v>
      </c>
      <c r="N8" s="30">
        <v>0</v>
      </c>
      <c r="O8" s="31">
        <v>0</v>
      </c>
      <c r="P8" s="40" t="str">
        <f>IF(tblWorkOrders[[#This Row],[WO no.]]="","",IFERROR(INDEX(tblAssets[Area],MATCH(tblWorkOrders[[#This Row],[Asset]],tblAssets[Asset ID],0)),""))</f>
        <v>End of line</v>
      </c>
      <c r="Q8" s="40" t="str">
        <f>IF(tblWorkOrders[[#This Row],[WO no.]]="","",IFERROR(INDEX(tblWorkTypes[Category],MATCH(tblWorkOrders[[#This Row],[Work type]],tblWorkTypes[Work type],0)),""))</f>
        <v>Planned</v>
      </c>
      <c r="R8" s="41">
        <f>IF(tblWorkOrders[[#This Row],[WO no.]]="","",IFERROR(INDEX(tblPriorities[Target (days)],MATCH(tblWorkOrders[[#This Row],[Priority]],tblPriorities[Priority],0)),""))</f>
        <v>14</v>
      </c>
      <c r="S8" s="42">
        <f>IF(tblWorkOrders[[#This Row],[WO no.]]="","",IF(tblWorkOrders[[#This Row],[Target (days)]]="","",tblWorkOrders[[#This Row],[Date raised]]+tblWorkOrders[[#This Row],[Target (days)]]))</f>
        <v>46231</v>
      </c>
      <c r="T8" s="41">
        <f>IF(tblWorkOrders[[#This Row],[WO no.]]="","",IF(OR(tblWorkOrders[[#This Row],[Status]]="Complete",tblWorkOrders[[#This Row],[Status]]="Cancelled"),0,1))</f>
        <v>1</v>
      </c>
      <c r="U8" s="41">
        <f>IF(tblWorkOrders[[#This Row],[WO no.]]="","",IF(tblWorkOrders[[#This Row],[Status]]="Cancelled","",IF(tblWorkOrders[[#This Row],[Open]]=1,AsOf-tblWorkOrders[[#This Row],[Date raised]],IF(tblWorkOrders[[#This Row],[Date completed]]="","",tblWorkOrders[[#This Row],[Date completed]]-tblWorkOrders[[#This Row],[Date raised]]))))</f>
        <v>87</v>
      </c>
      <c r="V8" s="43">
        <f>IF(tblWorkOrders[[#This Row],[WO no.]]="","",IF(tblWorkOrders[[#This Row],[Open]]=1,MAX(0,tblWorkOrders[[#This Row],[Estimated (h)]]-tblWorkOrders[[#This Row],[Actual (h)]]),0))</f>
        <v>10</v>
      </c>
      <c r="W8" s="44">
        <f>IF(tblWorkOrders[[#This Row],[WO no.]]="","",tblWorkOrders[[#This Row],[Actual (h)]]*LabourRate)</f>
        <v>0</v>
      </c>
      <c r="X8" s="44">
        <f>IF(tblWorkOrders[[#This Row],[WO no.]]="","",tblWorkOrders[[#This Row],[Labour cost]]+tblWorkOrders[[#This Row],[Parts cost]]+tblWorkOrders[[#This Row],[Contractor cost]])</f>
        <v>0</v>
      </c>
      <c r="Y8" s="45" t="str">
        <f>IF(tblWorkOrders[[#This Row],[WO no.]]="","",IF(tblWorkOrders[[#This Row],[Status]]="Cancelled","",IF(tblWorkOrders[[#This Row],[Open]]=0,"Complete",IF(tblWorkOrders[[#This Row],[Due date]]="","",IF(AsOf&gt;tblWorkOrders[[#This Row],[Due date]],"Overdue",IF(tblWorkOrders[[#This Row],[Due date]]-AsOf&lt;=DueSoonDays,"Due soon","OK"))))))</f>
        <v>Overdue</v>
      </c>
      <c r="Z8" s="45">
        <f>IF(tblWorkOrders[[#This Row],[WO no.]]="","",IF(OR(tblWorkOrders[[#This Row],[Status]]&lt;&gt;"Complete",tblWorkOrders[[#This Row],[Date completed]]="",tblWorkOrders[[#This Row],[Due date]]=""),"",IF(tblWorkOrders[[#This Row],[Date completed]]&lt;=tblWorkOrders[[#This Row],[Due date]],"Yes","No")))</f>
        <v/>
      </c>
      <c r="AA8" s="42">
        <f>IF(tblWorkOrders[[#This Row],[WO no.]]="","",IF(AND(tblWorkOrders[[#This Row],[Date raised]]&gt;=FFrom,tblWorkOrders[[#This Row],[Date raised]]&lt;=FTo),tblWorkOrders[[#This Row],[Date raised]],""))</f>
        <v>46217</v>
      </c>
      <c r="AB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 spans="1:28" x14ac:dyDescent="0.25">
      <c r="B9" s="28" t="s">
        <v>191</v>
      </c>
      <c r="C9" s="29">
        <v>46224</v>
      </c>
      <c r="D9" s="28" t="s">
        <v>122</v>
      </c>
      <c r="E9" s="39" t="s">
        <v>192</v>
      </c>
      <c r="F9" s="28" t="s">
        <v>138</v>
      </c>
      <c r="G9" s="28" t="s">
        <v>149</v>
      </c>
      <c r="H9" s="28" t="s">
        <v>159</v>
      </c>
      <c r="I9" s="28" t="s">
        <v>176</v>
      </c>
      <c r="J9" s="29"/>
      <c r="K9" s="31">
        <v>16</v>
      </c>
      <c r="L9" s="31">
        <v>0</v>
      </c>
      <c r="M9" s="30">
        <v>0</v>
      </c>
      <c r="N9" s="30">
        <v>0</v>
      </c>
      <c r="O9" s="31">
        <v>0</v>
      </c>
      <c r="P9" s="40" t="str">
        <f>IF(tblWorkOrders[[#This Row],[WO no.]]="","",IFERROR(INDEX(tblAssets[Area],MATCH(tblWorkOrders[[#This Row],[Asset]],tblAssets[Asset ID],0)),""))</f>
        <v>Utilities</v>
      </c>
      <c r="Q9" s="40" t="str">
        <f>IF(tblWorkOrders[[#This Row],[WO no.]]="","",IFERROR(INDEX(tblWorkTypes[Category],MATCH(tblWorkOrders[[#This Row],[Work type]],tblWorkTypes[Work type],0)),""))</f>
        <v>Planned</v>
      </c>
      <c r="R9" s="41">
        <f>IF(tblWorkOrders[[#This Row],[WO no.]]="","",IFERROR(INDEX(tblPriorities[Target (days)],MATCH(tblWorkOrders[[#This Row],[Priority]],tblPriorities[Priority],0)),""))</f>
        <v>45</v>
      </c>
      <c r="S9" s="42">
        <f>IF(tblWorkOrders[[#This Row],[WO no.]]="","",IF(tblWorkOrders[[#This Row],[Target (days)]]="","",tblWorkOrders[[#This Row],[Date raised]]+tblWorkOrders[[#This Row],[Target (days)]]))</f>
        <v>46269</v>
      </c>
      <c r="T9" s="41">
        <f>IF(tblWorkOrders[[#This Row],[WO no.]]="","",IF(OR(tblWorkOrders[[#This Row],[Status]]="Complete",tblWorkOrders[[#This Row],[Status]]="Cancelled"),0,1))</f>
        <v>1</v>
      </c>
      <c r="U9" s="41">
        <f>IF(tblWorkOrders[[#This Row],[WO no.]]="","",IF(tblWorkOrders[[#This Row],[Status]]="Cancelled","",IF(tblWorkOrders[[#This Row],[Open]]=1,AsOf-tblWorkOrders[[#This Row],[Date raised]],IF(tblWorkOrders[[#This Row],[Date completed]]="","",tblWorkOrders[[#This Row],[Date completed]]-tblWorkOrders[[#This Row],[Date raised]]))))</f>
        <v>80</v>
      </c>
      <c r="V9" s="43">
        <f>IF(tblWorkOrders[[#This Row],[WO no.]]="","",IF(tblWorkOrders[[#This Row],[Open]]=1,MAX(0,tblWorkOrders[[#This Row],[Estimated (h)]]-tblWorkOrders[[#This Row],[Actual (h)]]),0))</f>
        <v>16</v>
      </c>
      <c r="W9" s="44">
        <f>IF(tblWorkOrders[[#This Row],[WO no.]]="","",tblWorkOrders[[#This Row],[Actual (h)]]*LabourRate)</f>
        <v>0</v>
      </c>
      <c r="X9" s="44">
        <f>IF(tblWorkOrders[[#This Row],[WO no.]]="","",tblWorkOrders[[#This Row],[Labour cost]]+tblWorkOrders[[#This Row],[Parts cost]]+tblWorkOrders[[#This Row],[Contractor cost]])</f>
        <v>0</v>
      </c>
      <c r="Y9" s="45" t="str">
        <f>IF(tblWorkOrders[[#This Row],[WO no.]]="","",IF(tblWorkOrders[[#This Row],[Status]]="Cancelled","",IF(tblWorkOrders[[#This Row],[Open]]=0,"Complete",IF(tblWorkOrders[[#This Row],[Due date]]="","",IF(AsOf&gt;tblWorkOrders[[#This Row],[Due date]],"Overdue",IF(tblWorkOrders[[#This Row],[Due date]]-AsOf&lt;=DueSoonDays,"Due soon","OK"))))))</f>
        <v>Overdue</v>
      </c>
      <c r="Z9" s="45">
        <f>IF(tblWorkOrders[[#This Row],[WO no.]]="","",IF(OR(tblWorkOrders[[#This Row],[Status]]&lt;&gt;"Complete",tblWorkOrders[[#This Row],[Date completed]]="",tblWorkOrders[[#This Row],[Due date]]=""),"",IF(tblWorkOrders[[#This Row],[Date completed]]&lt;=tblWorkOrders[[#This Row],[Due date]],"Yes","No")))</f>
        <v/>
      </c>
      <c r="AA9" s="42">
        <f>IF(tblWorkOrders[[#This Row],[WO no.]]="","",IF(AND(tblWorkOrders[[#This Row],[Date raised]]&gt;=FFrom,tblWorkOrders[[#This Row],[Date raised]]&lt;=FTo),tblWorkOrders[[#This Row],[Date raised]],""))</f>
        <v>46224</v>
      </c>
      <c r="AB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 spans="1:28" x14ac:dyDescent="0.25">
      <c r="B10" s="28" t="s">
        <v>193</v>
      </c>
      <c r="C10" s="29">
        <v>46231</v>
      </c>
      <c r="D10" s="28" t="s">
        <v>104</v>
      </c>
      <c r="E10" s="39" t="s">
        <v>194</v>
      </c>
      <c r="F10" s="28" t="s">
        <v>138</v>
      </c>
      <c r="G10" s="28" t="s">
        <v>149</v>
      </c>
      <c r="H10" s="28" t="s">
        <v>157</v>
      </c>
      <c r="I10" s="28" t="s">
        <v>195</v>
      </c>
      <c r="J10" s="29"/>
      <c r="K10" s="31">
        <v>32</v>
      </c>
      <c r="L10" s="31">
        <v>16</v>
      </c>
      <c r="M10" s="30">
        <v>0</v>
      </c>
      <c r="N10" s="30">
        <v>0</v>
      </c>
      <c r="O10" s="31">
        <v>0</v>
      </c>
      <c r="P10" s="40" t="str">
        <f>IF(tblWorkOrders[[#This Row],[WO no.]]="","",IFERROR(INDEX(tblAssets[Area],MATCH(tblWorkOrders[[#This Row],[Asset]],tblAssets[Asset ID],0)),""))</f>
        <v>Line 1</v>
      </c>
      <c r="Q10" s="40" t="str">
        <f>IF(tblWorkOrders[[#This Row],[WO no.]]="","",IFERROR(INDEX(tblWorkTypes[Category],MATCH(tblWorkOrders[[#This Row],[Work type]],tblWorkTypes[Work type],0)),""))</f>
        <v>Planned</v>
      </c>
      <c r="R10" s="41">
        <f>IF(tblWorkOrders[[#This Row],[WO no.]]="","",IFERROR(INDEX(tblPriorities[Target (days)],MATCH(tblWorkOrders[[#This Row],[Priority]],tblPriorities[Priority],0)),""))</f>
        <v>45</v>
      </c>
      <c r="S10" s="42">
        <f>IF(tblWorkOrders[[#This Row],[WO no.]]="","",IF(tblWorkOrders[[#This Row],[Target (days)]]="","",tblWorkOrders[[#This Row],[Date raised]]+tblWorkOrders[[#This Row],[Target (days)]]))</f>
        <v>46276</v>
      </c>
      <c r="T10" s="41">
        <f>IF(tblWorkOrders[[#This Row],[WO no.]]="","",IF(OR(tblWorkOrders[[#This Row],[Status]]="Complete",tblWorkOrders[[#This Row],[Status]]="Cancelled"),0,1))</f>
        <v>1</v>
      </c>
      <c r="U10" s="41">
        <f>IF(tblWorkOrders[[#This Row],[WO no.]]="","",IF(tblWorkOrders[[#This Row],[Status]]="Cancelled","",IF(tblWorkOrders[[#This Row],[Open]]=1,AsOf-tblWorkOrders[[#This Row],[Date raised]],IF(tblWorkOrders[[#This Row],[Date completed]]="","",tblWorkOrders[[#This Row],[Date completed]]-tblWorkOrders[[#This Row],[Date raised]]))))</f>
        <v>73</v>
      </c>
      <c r="V10" s="43">
        <f>IF(tblWorkOrders[[#This Row],[WO no.]]="","",IF(tblWorkOrders[[#This Row],[Open]]=1,MAX(0,tblWorkOrders[[#This Row],[Estimated (h)]]-tblWorkOrders[[#This Row],[Actual (h)]]),0))</f>
        <v>16</v>
      </c>
      <c r="W10" s="44">
        <f>IF(tblWorkOrders[[#This Row],[WO no.]]="","",tblWorkOrders[[#This Row],[Actual (h)]]*LabourRate)</f>
        <v>768</v>
      </c>
      <c r="X10" s="44">
        <f>IF(tblWorkOrders[[#This Row],[WO no.]]="","",tblWorkOrders[[#This Row],[Labour cost]]+tblWorkOrders[[#This Row],[Parts cost]]+tblWorkOrders[[#This Row],[Contractor cost]])</f>
        <v>768</v>
      </c>
      <c r="Y10" s="45" t="str">
        <f>IF(tblWorkOrders[[#This Row],[WO no.]]="","",IF(tblWorkOrders[[#This Row],[Status]]="Cancelled","",IF(tblWorkOrders[[#This Row],[Open]]=0,"Complete",IF(tblWorkOrders[[#This Row],[Due date]]="","",IF(AsOf&gt;tblWorkOrders[[#This Row],[Due date]],"Overdue",IF(tblWorkOrders[[#This Row],[Due date]]-AsOf&lt;=DueSoonDays,"Due soon","OK"))))))</f>
        <v>Overdue</v>
      </c>
      <c r="Z10" s="45">
        <f>IF(tblWorkOrders[[#This Row],[WO no.]]="","",IF(OR(tblWorkOrders[[#This Row],[Status]]&lt;&gt;"Complete",tblWorkOrders[[#This Row],[Date completed]]="",tblWorkOrders[[#This Row],[Due date]]=""),"",IF(tblWorkOrders[[#This Row],[Date completed]]&lt;=tblWorkOrders[[#This Row],[Due date]],"Yes","No")))</f>
        <v/>
      </c>
      <c r="AA10" s="42">
        <f>IF(tblWorkOrders[[#This Row],[WO no.]]="","",IF(AND(tblWorkOrders[[#This Row],[Date raised]]&gt;=FFrom,tblWorkOrders[[#This Row],[Date raised]]&lt;=FTo),tblWorkOrders[[#This Row],[Date raised]],""))</f>
        <v>46231</v>
      </c>
      <c r="AB1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 spans="1:28" x14ac:dyDescent="0.25">
      <c r="B11" s="28" t="s">
        <v>196</v>
      </c>
      <c r="C11" s="29">
        <v>46233</v>
      </c>
      <c r="D11" s="28" t="s">
        <v>102</v>
      </c>
      <c r="E11" s="39" t="s">
        <v>197</v>
      </c>
      <c r="F11" s="28" t="s">
        <v>133</v>
      </c>
      <c r="G11" s="28" t="s">
        <v>149</v>
      </c>
      <c r="H11" s="28" t="s">
        <v>161</v>
      </c>
      <c r="I11" s="28" t="s">
        <v>195</v>
      </c>
      <c r="J11" s="29"/>
      <c r="K11" s="31">
        <v>40</v>
      </c>
      <c r="L11" s="31">
        <v>0</v>
      </c>
      <c r="M11" s="30">
        <v>0</v>
      </c>
      <c r="N11" s="30">
        <v>0</v>
      </c>
      <c r="O11" s="31">
        <v>0</v>
      </c>
      <c r="P11" s="40" t="str">
        <f>IF(tblWorkOrders[[#This Row],[WO no.]]="","",IFERROR(INDEX(tblAssets[Area],MATCH(tblWorkOrders[[#This Row],[Asset]],tblAssets[Asset ID],0)),""))</f>
        <v>Processing</v>
      </c>
      <c r="Q11" s="40" t="str">
        <f>IF(tblWorkOrders[[#This Row],[WO no.]]="","",IFERROR(INDEX(tblWorkTypes[Category],MATCH(tblWorkOrders[[#This Row],[Work type]],tblWorkTypes[Work type],0)),""))</f>
        <v>Planned</v>
      </c>
      <c r="R11" s="41">
        <f>IF(tblWorkOrders[[#This Row],[WO no.]]="","",IFERROR(INDEX(tblPriorities[Target (days)],MATCH(tblWorkOrders[[#This Row],[Priority]],tblPriorities[Priority],0)),""))</f>
        <v>45</v>
      </c>
      <c r="S11" s="42">
        <f>IF(tblWorkOrders[[#This Row],[WO no.]]="","",IF(tblWorkOrders[[#This Row],[Target (days)]]="","",tblWorkOrders[[#This Row],[Date raised]]+tblWorkOrders[[#This Row],[Target (days)]]))</f>
        <v>46278</v>
      </c>
      <c r="T11" s="41">
        <f>IF(tblWorkOrders[[#This Row],[WO no.]]="","",IF(OR(tblWorkOrders[[#This Row],[Status]]="Complete",tblWorkOrders[[#This Row],[Status]]="Cancelled"),0,1))</f>
        <v>1</v>
      </c>
      <c r="U11" s="41">
        <f>IF(tblWorkOrders[[#This Row],[WO no.]]="","",IF(tblWorkOrders[[#This Row],[Status]]="Cancelled","",IF(tblWorkOrders[[#This Row],[Open]]=1,AsOf-tblWorkOrders[[#This Row],[Date raised]],IF(tblWorkOrders[[#This Row],[Date completed]]="","",tblWorkOrders[[#This Row],[Date completed]]-tblWorkOrders[[#This Row],[Date raised]]))))</f>
        <v>71</v>
      </c>
      <c r="V11" s="43">
        <f>IF(tblWorkOrders[[#This Row],[WO no.]]="","",IF(tblWorkOrders[[#This Row],[Open]]=1,MAX(0,tblWorkOrders[[#This Row],[Estimated (h)]]-tblWorkOrders[[#This Row],[Actual (h)]]),0))</f>
        <v>40</v>
      </c>
      <c r="W11" s="44">
        <f>IF(tblWorkOrders[[#This Row],[WO no.]]="","",tblWorkOrders[[#This Row],[Actual (h)]]*LabourRate)</f>
        <v>0</v>
      </c>
      <c r="X11" s="44">
        <f>IF(tblWorkOrders[[#This Row],[WO no.]]="","",tblWorkOrders[[#This Row],[Labour cost]]+tblWorkOrders[[#This Row],[Parts cost]]+tblWorkOrders[[#This Row],[Contractor cost]])</f>
        <v>0</v>
      </c>
      <c r="Y11" s="45" t="str">
        <f>IF(tblWorkOrders[[#This Row],[WO no.]]="","",IF(tblWorkOrders[[#This Row],[Status]]="Cancelled","",IF(tblWorkOrders[[#This Row],[Open]]=0,"Complete",IF(tblWorkOrders[[#This Row],[Due date]]="","",IF(AsOf&gt;tblWorkOrders[[#This Row],[Due date]],"Overdue",IF(tblWorkOrders[[#This Row],[Due date]]-AsOf&lt;=DueSoonDays,"Due soon","OK"))))))</f>
        <v>Overdue</v>
      </c>
      <c r="Z11" s="45">
        <f>IF(tblWorkOrders[[#This Row],[WO no.]]="","",IF(OR(tblWorkOrders[[#This Row],[Status]]&lt;&gt;"Complete",tblWorkOrders[[#This Row],[Date completed]]="",tblWorkOrders[[#This Row],[Due date]]=""),"",IF(tblWorkOrders[[#This Row],[Date completed]]&lt;=tblWorkOrders[[#This Row],[Due date]],"Yes","No")))</f>
        <v/>
      </c>
      <c r="AA11" s="42">
        <f>IF(tblWorkOrders[[#This Row],[WO no.]]="","",IF(AND(tblWorkOrders[[#This Row],[Date raised]]&gt;=FFrom,tblWorkOrders[[#This Row],[Date raised]]&lt;=FTo),tblWorkOrders[[#This Row],[Date raised]],""))</f>
        <v>46233</v>
      </c>
      <c r="AB1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 spans="1:28" x14ac:dyDescent="0.25">
      <c r="B12" s="28" t="s">
        <v>198</v>
      </c>
      <c r="C12" s="29">
        <v>46237</v>
      </c>
      <c r="D12" s="28" t="s">
        <v>124</v>
      </c>
      <c r="E12" s="39" t="s">
        <v>199</v>
      </c>
      <c r="F12" s="28" t="s">
        <v>130</v>
      </c>
      <c r="G12" s="28" t="s">
        <v>147</v>
      </c>
      <c r="H12" s="28" t="s">
        <v>157</v>
      </c>
      <c r="I12" s="28" t="s">
        <v>200</v>
      </c>
      <c r="J12" s="29">
        <v>46249</v>
      </c>
      <c r="K12" s="31">
        <v>4</v>
      </c>
      <c r="L12" s="31">
        <v>4</v>
      </c>
      <c r="M12" s="30">
        <v>310</v>
      </c>
      <c r="N12" s="30">
        <v>0</v>
      </c>
      <c r="O12" s="31">
        <v>0</v>
      </c>
      <c r="P12" s="40" t="str">
        <f>IF(tblWorkOrders[[#This Row],[WO no.]]="","",IFERROR(INDEX(tblAssets[Area],MATCH(tblWorkOrders[[#This Row],[Asset]],tblAssets[Asset ID],0)),""))</f>
        <v>Utilities</v>
      </c>
      <c r="Q12" s="40" t="str">
        <f>IF(tblWorkOrders[[#This Row],[WO no.]]="","",IFERROR(INDEX(tblWorkTypes[Category],MATCH(tblWorkOrders[[#This Row],[Work type]],tblWorkTypes[Work type],0)),""))</f>
        <v>Corrective</v>
      </c>
      <c r="R12" s="41">
        <f>IF(tblWorkOrders[[#This Row],[WO no.]]="","",IFERROR(INDEX(tblPriorities[Target (days)],MATCH(tblWorkOrders[[#This Row],[Priority]],tblPriorities[Priority],0)),""))</f>
        <v>14</v>
      </c>
      <c r="S12" s="42">
        <f>IF(tblWorkOrders[[#This Row],[WO no.]]="","",IF(tblWorkOrders[[#This Row],[Target (days)]]="","",tblWorkOrders[[#This Row],[Date raised]]+tblWorkOrders[[#This Row],[Target (days)]]))</f>
        <v>46251</v>
      </c>
      <c r="T12" s="41">
        <f>IF(tblWorkOrders[[#This Row],[WO no.]]="","",IF(OR(tblWorkOrders[[#This Row],[Status]]="Complete",tblWorkOrders[[#This Row],[Status]]="Cancelled"),0,1))</f>
        <v>0</v>
      </c>
      <c r="U12" s="41">
        <f>IF(tblWorkOrders[[#This Row],[WO no.]]="","",IF(tblWorkOrders[[#This Row],[Status]]="Cancelled","",IF(tblWorkOrders[[#This Row],[Open]]=1,AsOf-tblWorkOrders[[#This Row],[Date raised]],IF(tblWorkOrders[[#This Row],[Date completed]]="","",tblWorkOrders[[#This Row],[Date completed]]-tblWorkOrders[[#This Row],[Date raised]]))))</f>
        <v>12</v>
      </c>
      <c r="V12" s="43">
        <f>IF(tblWorkOrders[[#This Row],[WO no.]]="","",IF(tblWorkOrders[[#This Row],[Open]]=1,MAX(0,tblWorkOrders[[#This Row],[Estimated (h)]]-tblWorkOrders[[#This Row],[Actual (h)]]),0))</f>
        <v>0</v>
      </c>
      <c r="W12" s="44">
        <f>IF(tblWorkOrders[[#This Row],[WO no.]]="","",tblWorkOrders[[#This Row],[Actual (h)]]*LabourRate)</f>
        <v>192</v>
      </c>
      <c r="X12" s="44">
        <f>IF(tblWorkOrders[[#This Row],[WO no.]]="","",tblWorkOrders[[#This Row],[Labour cost]]+tblWorkOrders[[#This Row],[Parts cost]]+tblWorkOrders[[#This Row],[Contractor cost]])</f>
        <v>502</v>
      </c>
      <c r="Y12" s="45" t="str">
        <f>IF(tblWorkOrders[[#This Row],[WO no.]]="","",IF(tblWorkOrders[[#This Row],[Status]]="Cancelled","",IF(tblWorkOrders[[#This Row],[Open]]=0,"Complete",IF(tblWorkOrders[[#This Row],[Due date]]="","",IF(AsOf&gt;tblWorkOrders[[#This Row],[Due date]],"Overdue",IF(tblWorkOrders[[#This Row],[Due date]]-AsOf&lt;=DueSoonDays,"Due soon","OK"))))))</f>
        <v>Complete</v>
      </c>
      <c r="Z12" s="45" t="str">
        <f>IF(tblWorkOrders[[#This Row],[WO no.]]="","",IF(OR(tblWorkOrders[[#This Row],[Status]]&lt;&gt;"Complete",tblWorkOrders[[#This Row],[Date completed]]="",tblWorkOrders[[#This Row],[Due date]]=""),"",IF(tblWorkOrders[[#This Row],[Date completed]]&lt;=tblWorkOrders[[#This Row],[Due date]],"Yes","No")))</f>
        <v>Yes</v>
      </c>
      <c r="AA12" s="42">
        <f>IF(tblWorkOrders[[#This Row],[WO no.]]="","",IF(AND(tblWorkOrders[[#This Row],[Date raised]]&gt;=FFrom,tblWorkOrders[[#This Row],[Date raised]]&lt;=FTo),tblWorkOrders[[#This Row],[Date raised]],""))</f>
        <v>46237</v>
      </c>
      <c r="AB1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 spans="1:28" x14ac:dyDescent="0.25">
      <c r="B13" s="28" t="s">
        <v>201</v>
      </c>
      <c r="C13" s="29">
        <v>46239</v>
      </c>
      <c r="D13" s="28" t="s">
        <v>102</v>
      </c>
      <c r="E13" s="39" t="s">
        <v>202</v>
      </c>
      <c r="F13" s="28" t="s">
        <v>140</v>
      </c>
      <c r="G13" s="28" t="s">
        <v>145</v>
      </c>
      <c r="H13" s="28" t="s">
        <v>159</v>
      </c>
      <c r="I13" s="28" t="s">
        <v>200</v>
      </c>
      <c r="J13" s="29">
        <v>46241</v>
      </c>
      <c r="K13" s="31">
        <v>3</v>
      </c>
      <c r="L13" s="31">
        <v>3</v>
      </c>
      <c r="M13" s="30">
        <v>0</v>
      </c>
      <c r="N13" s="30">
        <v>0</v>
      </c>
      <c r="O13" s="31">
        <v>0</v>
      </c>
      <c r="P13" s="40" t="str">
        <f>IF(tblWorkOrders[[#This Row],[WO no.]]="","",IFERROR(INDEX(tblAssets[Area],MATCH(tblWorkOrders[[#This Row],[Asset]],tblAssets[Asset ID],0)),""))</f>
        <v>Processing</v>
      </c>
      <c r="Q13" s="40" t="str">
        <f>IF(tblWorkOrders[[#This Row],[WO no.]]="","",IFERROR(INDEX(tblWorkTypes[Category],MATCH(tblWorkOrders[[#This Row],[Work type]],tblWorkTypes[Work type],0)),""))</f>
        <v>Planned</v>
      </c>
      <c r="R13" s="41">
        <f>IF(tblWorkOrders[[#This Row],[WO no.]]="","",IFERROR(INDEX(tblPriorities[Target (days)],MATCH(tblWorkOrders[[#This Row],[Priority]],tblPriorities[Priority],0)),""))</f>
        <v>3</v>
      </c>
      <c r="S13" s="42">
        <f>IF(tblWorkOrders[[#This Row],[WO no.]]="","",IF(tblWorkOrders[[#This Row],[Target (days)]]="","",tblWorkOrders[[#This Row],[Date raised]]+tblWorkOrders[[#This Row],[Target (days)]]))</f>
        <v>46242</v>
      </c>
      <c r="T13" s="41">
        <f>IF(tblWorkOrders[[#This Row],[WO no.]]="","",IF(OR(tblWorkOrders[[#This Row],[Status]]="Complete",tblWorkOrders[[#This Row],[Status]]="Cancelled"),0,1))</f>
        <v>0</v>
      </c>
      <c r="U13" s="41">
        <f>IF(tblWorkOrders[[#This Row],[WO no.]]="","",IF(tblWorkOrders[[#This Row],[Status]]="Cancelled","",IF(tblWorkOrders[[#This Row],[Open]]=1,AsOf-tblWorkOrders[[#This Row],[Date raised]],IF(tblWorkOrders[[#This Row],[Date completed]]="","",tblWorkOrders[[#This Row],[Date completed]]-tblWorkOrders[[#This Row],[Date raised]]))))</f>
        <v>2</v>
      </c>
      <c r="V13" s="43">
        <f>IF(tblWorkOrders[[#This Row],[WO no.]]="","",IF(tblWorkOrders[[#This Row],[Open]]=1,MAX(0,tblWorkOrders[[#This Row],[Estimated (h)]]-tblWorkOrders[[#This Row],[Actual (h)]]),0))</f>
        <v>0</v>
      </c>
      <c r="W13" s="44">
        <f>IF(tblWorkOrders[[#This Row],[WO no.]]="","",tblWorkOrders[[#This Row],[Actual (h)]]*LabourRate)</f>
        <v>144</v>
      </c>
      <c r="X13" s="44">
        <f>IF(tblWorkOrders[[#This Row],[WO no.]]="","",tblWorkOrders[[#This Row],[Labour cost]]+tblWorkOrders[[#This Row],[Parts cost]]+tblWorkOrders[[#This Row],[Contractor cost]])</f>
        <v>144</v>
      </c>
      <c r="Y13" s="45" t="str">
        <f>IF(tblWorkOrders[[#This Row],[WO no.]]="","",IF(tblWorkOrders[[#This Row],[Status]]="Cancelled","",IF(tblWorkOrders[[#This Row],[Open]]=0,"Complete",IF(tblWorkOrders[[#This Row],[Due date]]="","",IF(AsOf&gt;tblWorkOrders[[#This Row],[Due date]],"Overdue",IF(tblWorkOrders[[#This Row],[Due date]]-AsOf&lt;=DueSoonDays,"Due soon","OK"))))))</f>
        <v>Complete</v>
      </c>
      <c r="Z13" s="45" t="str">
        <f>IF(tblWorkOrders[[#This Row],[WO no.]]="","",IF(OR(tblWorkOrders[[#This Row],[Status]]&lt;&gt;"Complete",tblWorkOrders[[#This Row],[Date completed]]="",tblWorkOrders[[#This Row],[Due date]]=""),"",IF(tblWorkOrders[[#This Row],[Date completed]]&lt;=tblWorkOrders[[#This Row],[Due date]],"Yes","No")))</f>
        <v>Yes</v>
      </c>
      <c r="AA13" s="42">
        <f>IF(tblWorkOrders[[#This Row],[WO no.]]="","",IF(AND(tblWorkOrders[[#This Row],[Date raised]]&gt;=FFrom,tblWorkOrders[[#This Row],[Date raised]]&lt;=FTo),tblWorkOrders[[#This Row],[Date raised]],""))</f>
        <v>46239</v>
      </c>
      <c r="AB1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 spans="1:28" x14ac:dyDescent="0.25">
      <c r="B14" s="28" t="s">
        <v>203</v>
      </c>
      <c r="C14" s="29">
        <v>46245</v>
      </c>
      <c r="D14" s="28" t="s">
        <v>119</v>
      </c>
      <c r="E14" s="39" t="s">
        <v>204</v>
      </c>
      <c r="F14" s="28" t="s">
        <v>140</v>
      </c>
      <c r="G14" s="28" t="s">
        <v>147</v>
      </c>
      <c r="H14" s="28" t="s">
        <v>161</v>
      </c>
      <c r="I14" s="28" t="s">
        <v>200</v>
      </c>
      <c r="J14" s="29">
        <v>46254</v>
      </c>
      <c r="K14" s="31">
        <v>2</v>
      </c>
      <c r="L14" s="31">
        <v>2</v>
      </c>
      <c r="M14" s="30">
        <v>0</v>
      </c>
      <c r="N14" s="30">
        <v>650</v>
      </c>
      <c r="O14" s="31">
        <v>0</v>
      </c>
      <c r="P14" s="40" t="str">
        <f>IF(tblWorkOrders[[#This Row],[WO no.]]="","",IFERROR(INDEX(tblAssets[Area],MATCH(tblWorkOrders[[#This Row],[Asset]],tblAssets[Asset ID],0)),""))</f>
        <v>Utilities</v>
      </c>
      <c r="Q14" s="40" t="str">
        <f>IF(tblWorkOrders[[#This Row],[WO no.]]="","",IFERROR(INDEX(tblWorkTypes[Category],MATCH(tblWorkOrders[[#This Row],[Work type]],tblWorkTypes[Work type],0)),""))</f>
        <v>Planned</v>
      </c>
      <c r="R14" s="41">
        <f>IF(tblWorkOrders[[#This Row],[WO no.]]="","",IFERROR(INDEX(tblPriorities[Target (days)],MATCH(tblWorkOrders[[#This Row],[Priority]],tblPriorities[Priority],0)),""))</f>
        <v>14</v>
      </c>
      <c r="S14" s="42">
        <f>IF(tblWorkOrders[[#This Row],[WO no.]]="","",IF(tblWorkOrders[[#This Row],[Target (days)]]="","",tblWorkOrders[[#This Row],[Date raised]]+tblWorkOrders[[#This Row],[Target (days)]]))</f>
        <v>46259</v>
      </c>
      <c r="T14" s="41">
        <f>IF(tblWorkOrders[[#This Row],[WO no.]]="","",IF(OR(tblWorkOrders[[#This Row],[Status]]="Complete",tblWorkOrders[[#This Row],[Status]]="Cancelled"),0,1))</f>
        <v>0</v>
      </c>
      <c r="U14" s="41">
        <f>IF(tblWorkOrders[[#This Row],[WO no.]]="","",IF(tblWorkOrders[[#This Row],[Status]]="Cancelled","",IF(tblWorkOrders[[#This Row],[Open]]=1,AsOf-tblWorkOrders[[#This Row],[Date raised]],IF(tblWorkOrders[[#This Row],[Date completed]]="","",tblWorkOrders[[#This Row],[Date completed]]-tblWorkOrders[[#This Row],[Date raised]]))))</f>
        <v>9</v>
      </c>
      <c r="V14" s="43">
        <f>IF(tblWorkOrders[[#This Row],[WO no.]]="","",IF(tblWorkOrders[[#This Row],[Open]]=1,MAX(0,tblWorkOrders[[#This Row],[Estimated (h)]]-tblWorkOrders[[#This Row],[Actual (h)]]),0))</f>
        <v>0</v>
      </c>
      <c r="W14" s="44">
        <f>IF(tblWorkOrders[[#This Row],[WO no.]]="","",tblWorkOrders[[#This Row],[Actual (h)]]*LabourRate)</f>
        <v>96</v>
      </c>
      <c r="X14" s="44">
        <f>IF(tblWorkOrders[[#This Row],[WO no.]]="","",tblWorkOrders[[#This Row],[Labour cost]]+tblWorkOrders[[#This Row],[Parts cost]]+tblWorkOrders[[#This Row],[Contractor cost]])</f>
        <v>746</v>
      </c>
      <c r="Y14" s="45" t="str">
        <f>IF(tblWorkOrders[[#This Row],[WO no.]]="","",IF(tblWorkOrders[[#This Row],[Status]]="Cancelled","",IF(tblWorkOrders[[#This Row],[Open]]=0,"Complete",IF(tblWorkOrders[[#This Row],[Due date]]="","",IF(AsOf&gt;tblWorkOrders[[#This Row],[Due date]],"Overdue",IF(tblWorkOrders[[#This Row],[Due date]]-AsOf&lt;=DueSoonDays,"Due soon","OK"))))))</f>
        <v>Complete</v>
      </c>
      <c r="Z14" s="45" t="str">
        <f>IF(tblWorkOrders[[#This Row],[WO no.]]="","",IF(OR(tblWorkOrders[[#This Row],[Status]]&lt;&gt;"Complete",tblWorkOrders[[#This Row],[Date completed]]="",tblWorkOrders[[#This Row],[Due date]]=""),"",IF(tblWorkOrders[[#This Row],[Date completed]]&lt;=tblWorkOrders[[#This Row],[Due date]],"Yes","No")))</f>
        <v>Yes</v>
      </c>
      <c r="AA14" s="42">
        <f>IF(tblWorkOrders[[#This Row],[WO no.]]="","",IF(AND(tblWorkOrders[[#This Row],[Date raised]]&gt;=FFrom,tblWorkOrders[[#This Row],[Date raised]]&lt;=FTo),tblWorkOrders[[#This Row],[Date raised]],""))</f>
        <v>46245</v>
      </c>
      <c r="AB1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5" spans="1:28" x14ac:dyDescent="0.25">
      <c r="B15" s="28" t="s">
        <v>205</v>
      </c>
      <c r="C15" s="29">
        <v>46251</v>
      </c>
      <c r="D15" s="28" t="s">
        <v>119</v>
      </c>
      <c r="E15" s="39" t="s">
        <v>206</v>
      </c>
      <c r="F15" s="28" t="s">
        <v>133</v>
      </c>
      <c r="G15" s="28" t="s">
        <v>147</v>
      </c>
      <c r="H15" s="28" t="s">
        <v>152</v>
      </c>
      <c r="I15" s="28" t="s">
        <v>200</v>
      </c>
      <c r="J15" s="29">
        <v>46263</v>
      </c>
      <c r="K15" s="31">
        <v>3</v>
      </c>
      <c r="L15" s="31">
        <v>3</v>
      </c>
      <c r="M15" s="30">
        <v>0</v>
      </c>
      <c r="N15" s="30">
        <v>0</v>
      </c>
      <c r="O15" s="31">
        <v>0</v>
      </c>
      <c r="P15" s="40" t="str">
        <f>IF(tblWorkOrders[[#This Row],[WO no.]]="","",IFERROR(INDEX(tblAssets[Area],MATCH(tblWorkOrders[[#This Row],[Asset]],tblAssets[Asset ID],0)),""))</f>
        <v>Utilities</v>
      </c>
      <c r="Q15" s="40" t="str">
        <f>IF(tblWorkOrders[[#This Row],[WO no.]]="","",IFERROR(INDEX(tblWorkTypes[Category],MATCH(tblWorkOrders[[#This Row],[Work type]],tblWorkTypes[Work type],0)),""))</f>
        <v>Planned</v>
      </c>
      <c r="R15" s="41">
        <f>IF(tblWorkOrders[[#This Row],[WO no.]]="","",IFERROR(INDEX(tblPriorities[Target (days)],MATCH(tblWorkOrders[[#This Row],[Priority]],tblPriorities[Priority],0)),""))</f>
        <v>14</v>
      </c>
      <c r="S15" s="42">
        <f>IF(tblWorkOrders[[#This Row],[WO no.]]="","",IF(tblWorkOrders[[#This Row],[Target (days)]]="","",tblWorkOrders[[#This Row],[Date raised]]+tblWorkOrders[[#This Row],[Target (days)]]))</f>
        <v>46265</v>
      </c>
      <c r="T15" s="41">
        <f>IF(tblWorkOrders[[#This Row],[WO no.]]="","",IF(OR(tblWorkOrders[[#This Row],[Status]]="Complete",tblWorkOrders[[#This Row],[Status]]="Cancelled"),0,1))</f>
        <v>0</v>
      </c>
      <c r="U15" s="41">
        <f>IF(tblWorkOrders[[#This Row],[WO no.]]="","",IF(tblWorkOrders[[#This Row],[Status]]="Cancelled","",IF(tblWorkOrders[[#This Row],[Open]]=1,AsOf-tblWorkOrders[[#This Row],[Date raised]],IF(tblWorkOrders[[#This Row],[Date completed]]="","",tblWorkOrders[[#This Row],[Date completed]]-tblWorkOrders[[#This Row],[Date raised]]))))</f>
        <v>12</v>
      </c>
      <c r="V15" s="43">
        <f>IF(tblWorkOrders[[#This Row],[WO no.]]="","",IF(tblWorkOrders[[#This Row],[Open]]=1,MAX(0,tblWorkOrders[[#This Row],[Estimated (h)]]-tblWorkOrders[[#This Row],[Actual (h)]]),0))</f>
        <v>0</v>
      </c>
      <c r="W15" s="44">
        <f>IF(tblWorkOrders[[#This Row],[WO no.]]="","",tblWorkOrders[[#This Row],[Actual (h)]]*LabourRate)</f>
        <v>144</v>
      </c>
      <c r="X15" s="44">
        <f>IF(tblWorkOrders[[#This Row],[WO no.]]="","",tblWorkOrders[[#This Row],[Labour cost]]+tblWorkOrders[[#This Row],[Parts cost]]+tblWorkOrders[[#This Row],[Contractor cost]])</f>
        <v>144</v>
      </c>
      <c r="Y15" s="45" t="str">
        <f>IF(tblWorkOrders[[#This Row],[WO no.]]="","",IF(tblWorkOrders[[#This Row],[Status]]="Cancelled","",IF(tblWorkOrders[[#This Row],[Open]]=0,"Complete",IF(tblWorkOrders[[#This Row],[Due date]]="","",IF(AsOf&gt;tblWorkOrders[[#This Row],[Due date]],"Overdue",IF(tblWorkOrders[[#This Row],[Due date]]-AsOf&lt;=DueSoonDays,"Due soon","OK"))))))</f>
        <v>Complete</v>
      </c>
      <c r="Z15" s="45" t="str">
        <f>IF(tblWorkOrders[[#This Row],[WO no.]]="","",IF(OR(tblWorkOrders[[#This Row],[Status]]&lt;&gt;"Complete",tblWorkOrders[[#This Row],[Date completed]]="",tblWorkOrders[[#This Row],[Due date]]=""),"",IF(tblWorkOrders[[#This Row],[Date completed]]&lt;=tblWorkOrders[[#This Row],[Due date]],"Yes","No")))</f>
        <v>Yes</v>
      </c>
      <c r="AA15" s="42">
        <f>IF(tblWorkOrders[[#This Row],[WO no.]]="","",IF(AND(tblWorkOrders[[#This Row],[Date raised]]&gt;=FFrom,tblWorkOrders[[#This Row],[Date raised]]&lt;=FTo),tblWorkOrders[[#This Row],[Date raised]],""))</f>
        <v>46251</v>
      </c>
      <c r="AB1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6" spans="1:28" x14ac:dyDescent="0.25">
      <c r="B16" s="28" t="s">
        <v>207</v>
      </c>
      <c r="C16" s="29">
        <v>46251</v>
      </c>
      <c r="D16" s="28" t="s">
        <v>122</v>
      </c>
      <c r="E16" s="39" t="s">
        <v>208</v>
      </c>
      <c r="F16" s="28" t="s">
        <v>133</v>
      </c>
      <c r="G16" s="28" t="s">
        <v>147</v>
      </c>
      <c r="H16" s="28" t="s">
        <v>152</v>
      </c>
      <c r="I16" s="28" t="s">
        <v>200</v>
      </c>
      <c r="J16" s="29">
        <v>46254</v>
      </c>
      <c r="K16" s="31">
        <v>4</v>
      </c>
      <c r="L16" s="31">
        <v>3.5</v>
      </c>
      <c r="M16" s="30">
        <v>120</v>
      </c>
      <c r="N16" s="30">
        <v>0</v>
      </c>
      <c r="O16" s="31">
        <v>0</v>
      </c>
      <c r="P16" s="40" t="str">
        <f>IF(tblWorkOrders[[#This Row],[WO no.]]="","",IFERROR(INDEX(tblAssets[Area],MATCH(tblWorkOrders[[#This Row],[Asset]],tblAssets[Asset ID],0)),""))</f>
        <v>Utilities</v>
      </c>
      <c r="Q16" s="40" t="str">
        <f>IF(tblWorkOrders[[#This Row],[WO no.]]="","",IFERROR(INDEX(tblWorkTypes[Category],MATCH(tblWorkOrders[[#This Row],[Work type]],tblWorkTypes[Work type],0)),""))</f>
        <v>Planned</v>
      </c>
      <c r="R16" s="41">
        <f>IF(tblWorkOrders[[#This Row],[WO no.]]="","",IFERROR(INDEX(tblPriorities[Target (days)],MATCH(tblWorkOrders[[#This Row],[Priority]],tblPriorities[Priority],0)),""))</f>
        <v>14</v>
      </c>
      <c r="S16" s="42">
        <f>IF(tblWorkOrders[[#This Row],[WO no.]]="","",IF(tblWorkOrders[[#This Row],[Target (days)]]="","",tblWorkOrders[[#This Row],[Date raised]]+tblWorkOrders[[#This Row],[Target (days)]]))</f>
        <v>46265</v>
      </c>
      <c r="T16" s="41">
        <f>IF(tblWorkOrders[[#This Row],[WO no.]]="","",IF(OR(tblWorkOrders[[#This Row],[Status]]="Complete",tblWorkOrders[[#This Row],[Status]]="Cancelled"),0,1))</f>
        <v>0</v>
      </c>
      <c r="U16" s="41">
        <f>IF(tblWorkOrders[[#This Row],[WO no.]]="","",IF(tblWorkOrders[[#This Row],[Status]]="Cancelled","",IF(tblWorkOrders[[#This Row],[Open]]=1,AsOf-tblWorkOrders[[#This Row],[Date raised]],IF(tblWorkOrders[[#This Row],[Date completed]]="","",tblWorkOrders[[#This Row],[Date completed]]-tblWorkOrders[[#This Row],[Date raised]]))))</f>
        <v>3</v>
      </c>
      <c r="V16" s="43">
        <f>IF(tblWorkOrders[[#This Row],[WO no.]]="","",IF(tblWorkOrders[[#This Row],[Open]]=1,MAX(0,tblWorkOrders[[#This Row],[Estimated (h)]]-tblWorkOrders[[#This Row],[Actual (h)]]),0))</f>
        <v>0</v>
      </c>
      <c r="W16" s="44">
        <f>IF(tblWorkOrders[[#This Row],[WO no.]]="","",tblWorkOrders[[#This Row],[Actual (h)]]*LabourRate)</f>
        <v>168</v>
      </c>
      <c r="X16" s="44">
        <f>IF(tblWorkOrders[[#This Row],[WO no.]]="","",tblWorkOrders[[#This Row],[Labour cost]]+tblWorkOrders[[#This Row],[Parts cost]]+tblWorkOrders[[#This Row],[Contractor cost]])</f>
        <v>288</v>
      </c>
      <c r="Y16" s="45" t="str">
        <f>IF(tblWorkOrders[[#This Row],[WO no.]]="","",IF(tblWorkOrders[[#This Row],[Status]]="Cancelled","",IF(tblWorkOrders[[#This Row],[Open]]=0,"Complete",IF(tblWorkOrders[[#This Row],[Due date]]="","",IF(AsOf&gt;tblWorkOrders[[#This Row],[Due date]],"Overdue",IF(tblWorkOrders[[#This Row],[Due date]]-AsOf&lt;=DueSoonDays,"Due soon","OK"))))))</f>
        <v>Complete</v>
      </c>
      <c r="Z16" s="45" t="str">
        <f>IF(tblWorkOrders[[#This Row],[WO no.]]="","",IF(OR(tblWorkOrders[[#This Row],[Status]]&lt;&gt;"Complete",tblWorkOrders[[#This Row],[Date completed]]="",tblWorkOrders[[#This Row],[Due date]]=""),"",IF(tblWorkOrders[[#This Row],[Date completed]]&lt;=tblWorkOrders[[#This Row],[Due date]],"Yes","No")))</f>
        <v>Yes</v>
      </c>
      <c r="AA16" s="42">
        <f>IF(tblWorkOrders[[#This Row],[WO no.]]="","",IF(AND(tblWorkOrders[[#This Row],[Date raised]]&gt;=FFrom,tblWorkOrders[[#This Row],[Date raised]]&lt;=FTo),tblWorkOrders[[#This Row],[Date raised]],""))</f>
        <v>46251</v>
      </c>
      <c r="AB1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7" spans="2:28" x14ac:dyDescent="0.25">
      <c r="B17" s="28" t="s">
        <v>209</v>
      </c>
      <c r="C17" s="29">
        <v>46251</v>
      </c>
      <c r="D17" s="28" t="s">
        <v>107</v>
      </c>
      <c r="E17" s="39" t="s">
        <v>210</v>
      </c>
      <c r="F17" s="28" t="s">
        <v>133</v>
      </c>
      <c r="G17" s="28" t="s">
        <v>147</v>
      </c>
      <c r="H17" s="28" t="s">
        <v>152</v>
      </c>
      <c r="I17" s="28" t="s">
        <v>200</v>
      </c>
      <c r="J17" s="29">
        <v>46252</v>
      </c>
      <c r="K17" s="31">
        <v>2</v>
      </c>
      <c r="L17" s="31">
        <v>2</v>
      </c>
      <c r="M17" s="30">
        <v>60</v>
      </c>
      <c r="N17" s="30">
        <v>0</v>
      </c>
      <c r="O17" s="31">
        <v>0</v>
      </c>
      <c r="P17" s="40" t="str">
        <f>IF(tblWorkOrders[[#This Row],[WO no.]]="","",IFERROR(INDEX(tblAssets[Area],MATCH(tblWorkOrders[[#This Row],[Asset]],tblAssets[Asset ID],0)),""))</f>
        <v>Line 1</v>
      </c>
      <c r="Q17" s="40" t="str">
        <f>IF(tblWorkOrders[[#This Row],[WO no.]]="","",IFERROR(INDEX(tblWorkTypes[Category],MATCH(tblWorkOrders[[#This Row],[Work type]],tblWorkTypes[Work type],0)),""))</f>
        <v>Planned</v>
      </c>
      <c r="R17" s="41">
        <f>IF(tblWorkOrders[[#This Row],[WO no.]]="","",IFERROR(INDEX(tblPriorities[Target (days)],MATCH(tblWorkOrders[[#This Row],[Priority]],tblPriorities[Priority],0)),""))</f>
        <v>14</v>
      </c>
      <c r="S17" s="42">
        <f>IF(tblWorkOrders[[#This Row],[WO no.]]="","",IF(tblWorkOrders[[#This Row],[Target (days)]]="","",tblWorkOrders[[#This Row],[Date raised]]+tblWorkOrders[[#This Row],[Target (days)]]))</f>
        <v>46265</v>
      </c>
      <c r="T17" s="41">
        <f>IF(tblWorkOrders[[#This Row],[WO no.]]="","",IF(OR(tblWorkOrders[[#This Row],[Status]]="Complete",tblWorkOrders[[#This Row],[Status]]="Cancelled"),0,1))</f>
        <v>0</v>
      </c>
      <c r="U17" s="41">
        <f>IF(tblWorkOrders[[#This Row],[WO no.]]="","",IF(tblWorkOrders[[#This Row],[Status]]="Cancelled","",IF(tblWorkOrders[[#This Row],[Open]]=1,AsOf-tblWorkOrders[[#This Row],[Date raised]],IF(tblWorkOrders[[#This Row],[Date completed]]="","",tblWorkOrders[[#This Row],[Date completed]]-tblWorkOrders[[#This Row],[Date raised]]))))</f>
        <v>1</v>
      </c>
      <c r="V17" s="43">
        <f>IF(tblWorkOrders[[#This Row],[WO no.]]="","",IF(tblWorkOrders[[#This Row],[Open]]=1,MAX(0,tblWorkOrders[[#This Row],[Estimated (h)]]-tblWorkOrders[[#This Row],[Actual (h)]]),0))</f>
        <v>0</v>
      </c>
      <c r="W17" s="44">
        <f>IF(tblWorkOrders[[#This Row],[WO no.]]="","",tblWorkOrders[[#This Row],[Actual (h)]]*LabourRate)</f>
        <v>96</v>
      </c>
      <c r="X17" s="44">
        <f>IF(tblWorkOrders[[#This Row],[WO no.]]="","",tblWorkOrders[[#This Row],[Labour cost]]+tblWorkOrders[[#This Row],[Parts cost]]+tblWorkOrders[[#This Row],[Contractor cost]])</f>
        <v>156</v>
      </c>
      <c r="Y17" s="45" t="str">
        <f>IF(tblWorkOrders[[#This Row],[WO no.]]="","",IF(tblWorkOrders[[#This Row],[Status]]="Cancelled","",IF(tblWorkOrders[[#This Row],[Open]]=0,"Complete",IF(tblWorkOrders[[#This Row],[Due date]]="","",IF(AsOf&gt;tblWorkOrders[[#This Row],[Due date]],"Overdue",IF(tblWorkOrders[[#This Row],[Due date]]-AsOf&lt;=DueSoonDays,"Due soon","OK"))))))</f>
        <v>Complete</v>
      </c>
      <c r="Z17" s="45" t="str">
        <f>IF(tblWorkOrders[[#This Row],[WO no.]]="","",IF(OR(tblWorkOrders[[#This Row],[Status]]&lt;&gt;"Complete",tblWorkOrders[[#This Row],[Date completed]]="",tblWorkOrders[[#This Row],[Due date]]=""),"",IF(tblWorkOrders[[#This Row],[Date completed]]&lt;=tblWorkOrders[[#This Row],[Due date]],"Yes","No")))</f>
        <v>Yes</v>
      </c>
      <c r="AA17" s="42">
        <f>IF(tblWorkOrders[[#This Row],[WO no.]]="","",IF(AND(tblWorkOrders[[#This Row],[Date raised]]&gt;=FFrom,tblWorkOrders[[#This Row],[Date raised]]&lt;=FTo),tblWorkOrders[[#This Row],[Date raised]],""))</f>
        <v>46251</v>
      </c>
      <c r="AB1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8" spans="2:28" x14ac:dyDescent="0.25">
      <c r="B18" s="28" t="s">
        <v>211</v>
      </c>
      <c r="C18" s="29">
        <v>46251</v>
      </c>
      <c r="D18" s="28" t="s">
        <v>104</v>
      </c>
      <c r="E18" s="39" t="s">
        <v>212</v>
      </c>
      <c r="F18" s="28" t="s">
        <v>133</v>
      </c>
      <c r="G18" s="28" t="s">
        <v>147</v>
      </c>
      <c r="H18" s="28" t="s">
        <v>155</v>
      </c>
      <c r="I18" s="28" t="s">
        <v>200</v>
      </c>
      <c r="J18" s="29">
        <v>46252</v>
      </c>
      <c r="K18" s="31">
        <v>4</v>
      </c>
      <c r="L18" s="31">
        <v>4.5</v>
      </c>
      <c r="M18" s="30">
        <v>0</v>
      </c>
      <c r="N18" s="30">
        <v>0</v>
      </c>
      <c r="O18" s="31">
        <v>0</v>
      </c>
      <c r="P18" s="40" t="str">
        <f>IF(tblWorkOrders[[#This Row],[WO no.]]="","",IFERROR(INDEX(tblAssets[Area],MATCH(tblWorkOrders[[#This Row],[Asset]],tblAssets[Asset ID],0)),""))</f>
        <v>Line 1</v>
      </c>
      <c r="Q18" s="40" t="str">
        <f>IF(tblWorkOrders[[#This Row],[WO no.]]="","",IFERROR(INDEX(tblWorkTypes[Category],MATCH(tblWorkOrders[[#This Row],[Work type]],tblWorkTypes[Work type],0)),""))</f>
        <v>Planned</v>
      </c>
      <c r="R18" s="41">
        <f>IF(tblWorkOrders[[#This Row],[WO no.]]="","",IFERROR(INDEX(tblPriorities[Target (days)],MATCH(tblWorkOrders[[#This Row],[Priority]],tblPriorities[Priority],0)),""))</f>
        <v>14</v>
      </c>
      <c r="S18" s="42">
        <f>IF(tblWorkOrders[[#This Row],[WO no.]]="","",IF(tblWorkOrders[[#This Row],[Target (days)]]="","",tblWorkOrders[[#This Row],[Date raised]]+tblWorkOrders[[#This Row],[Target (days)]]))</f>
        <v>46265</v>
      </c>
      <c r="T18" s="41">
        <f>IF(tblWorkOrders[[#This Row],[WO no.]]="","",IF(OR(tblWorkOrders[[#This Row],[Status]]="Complete",tblWorkOrders[[#This Row],[Status]]="Cancelled"),0,1))</f>
        <v>0</v>
      </c>
      <c r="U18" s="41">
        <f>IF(tblWorkOrders[[#This Row],[WO no.]]="","",IF(tblWorkOrders[[#This Row],[Status]]="Cancelled","",IF(tblWorkOrders[[#This Row],[Open]]=1,AsOf-tblWorkOrders[[#This Row],[Date raised]],IF(tblWorkOrders[[#This Row],[Date completed]]="","",tblWorkOrders[[#This Row],[Date completed]]-tblWorkOrders[[#This Row],[Date raised]]))))</f>
        <v>1</v>
      </c>
      <c r="V18" s="43">
        <f>IF(tblWorkOrders[[#This Row],[WO no.]]="","",IF(tblWorkOrders[[#This Row],[Open]]=1,MAX(0,tblWorkOrders[[#This Row],[Estimated (h)]]-tblWorkOrders[[#This Row],[Actual (h)]]),0))</f>
        <v>0</v>
      </c>
      <c r="W18" s="44">
        <f>IF(tblWorkOrders[[#This Row],[WO no.]]="","",tblWorkOrders[[#This Row],[Actual (h)]]*LabourRate)</f>
        <v>216</v>
      </c>
      <c r="X18" s="44">
        <f>IF(tblWorkOrders[[#This Row],[WO no.]]="","",tblWorkOrders[[#This Row],[Labour cost]]+tblWorkOrders[[#This Row],[Parts cost]]+tblWorkOrders[[#This Row],[Contractor cost]])</f>
        <v>216</v>
      </c>
      <c r="Y18" s="45" t="str">
        <f>IF(tblWorkOrders[[#This Row],[WO no.]]="","",IF(tblWorkOrders[[#This Row],[Status]]="Cancelled","",IF(tblWorkOrders[[#This Row],[Open]]=0,"Complete",IF(tblWorkOrders[[#This Row],[Due date]]="","",IF(AsOf&gt;tblWorkOrders[[#This Row],[Due date]],"Overdue",IF(tblWorkOrders[[#This Row],[Due date]]-AsOf&lt;=DueSoonDays,"Due soon","OK"))))))</f>
        <v>Complete</v>
      </c>
      <c r="Z18" s="45" t="str">
        <f>IF(tblWorkOrders[[#This Row],[WO no.]]="","",IF(OR(tblWorkOrders[[#This Row],[Status]]&lt;&gt;"Complete",tblWorkOrders[[#This Row],[Date completed]]="",tblWorkOrders[[#This Row],[Due date]]=""),"",IF(tblWorkOrders[[#This Row],[Date completed]]&lt;=tblWorkOrders[[#This Row],[Due date]],"Yes","No")))</f>
        <v>Yes</v>
      </c>
      <c r="AA18" s="42">
        <f>IF(tblWorkOrders[[#This Row],[WO no.]]="","",IF(AND(tblWorkOrders[[#This Row],[Date raised]]&gt;=FFrom,tblWorkOrders[[#This Row],[Date raised]]&lt;=FTo),tblWorkOrders[[#This Row],[Date raised]],""))</f>
        <v>46251</v>
      </c>
      <c r="AB1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9" spans="2:28" x14ac:dyDescent="0.25">
      <c r="B19" s="28" t="s">
        <v>213</v>
      </c>
      <c r="C19" s="29">
        <v>46251</v>
      </c>
      <c r="D19" s="28" t="s">
        <v>111</v>
      </c>
      <c r="E19" s="39" t="s">
        <v>214</v>
      </c>
      <c r="F19" s="28" t="s">
        <v>133</v>
      </c>
      <c r="G19" s="28" t="s">
        <v>147</v>
      </c>
      <c r="H19" s="28" t="s">
        <v>152</v>
      </c>
      <c r="I19" s="28" t="s">
        <v>200</v>
      </c>
      <c r="J19" s="29">
        <v>46253</v>
      </c>
      <c r="K19" s="31">
        <v>3</v>
      </c>
      <c r="L19" s="31">
        <v>3.5</v>
      </c>
      <c r="M19" s="30">
        <v>40</v>
      </c>
      <c r="N19" s="30">
        <v>0</v>
      </c>
      <c r="O19" s="31">
        <v>0</v>
      </c>
      <c r="P19" s="40" t="str">
        <f>IF(tblWorkOrders[[#This Row],[WO no.]]="","",IFERROR(INDEX(tblAssets[Area],MATCH(tblWorkOrders[[#This Row],[Asset]],tblAssets[Asset ID],0)),""))</f>
        <v>Line 2</v>
      </c>
      <c r="Q19" s="40" t="str">
        <f>IF(tblWorkOrders[[#This Row],[WO no.]]="","",IFERROR(INDEX(tblWorkTypes[Category],MATCH(tblWorkOrders[[#This Row],[Work type]],tblWorkTypes[Work type],0)),""))</f>
        <v>Planned</v>
      </c>
      <c r="R19" s="41">
        <f>IF(tblWorkOrders[[#This Row],[WO no.]]="","",IFERROR(INDEX(tblPriorities[Target (days)],MATCH(tblWorkOrders[[#This Row],[Priority]],tblPriorities[Priority],0)),""))</f>
        <v>14</v>
      </c>
      <c r="S19" s="42">
        <f>IF(tblWorkOrders[[#This Row],[WO no.]]="","",IF(tblWorkOrders[[#This Row],[Target (days)]]="","",tblWorkOrders[[#This Row],[Date raised]]+tblWorkOrders[[#This Row],[Target (days)]]))</f>
        <v>46265</v>
      </c>
      <c r="T19" s="41">
        <f>IF(tblWorkOrders[[#This Row],[WO no.]]="","",IF(OR(tblWorkOrders[[#This Row],[Status]]="Complete",tblWorkOrders[[#This Row],[Status]]="Cancelled"),0,1))</f>
        <v>0</v>
      </c>
      <c r="U19" s="41">
        <f>IF(tblWorkOrders[[#This Row],[WO no.]]="","",IF(tblWorkOrders[[#This Row],[Status]]="Cancelled","",IF(tblWorkOrders[[#This Row],[Open]]=1,AsOf-tblWorkOrders[[#This Row],[Date raised]],IF(tblWorkOrders[[#This Row],[Date completed]]="","",tblWorkOrders[[#This Row],[Date completed]]-tblWorkOrders[[#This Row],[Date raised]]))))</f>
        <v>2</v>
      </c>
      <c r="V19" s="43">
        <f>IF(tblWorkOrders[[#This Row],[WO no.]]="","",IF(tblWorkOrders[[#This Row],[Open]]=1,MAX(0,tblWorkOrders[[#This Row],[Estimated (h)]]-tblWorkOrders[[#This Row],[Actual (h)]]),0))</f>
        <v>0</v>
      </c>
      <c r="W19" s="44">
        <f>IF(tblWorkOrders[[#This Row],[WO no.]]="","",tblWorkOrders[[#This Row],[Actual (h)]]*LabourRate)</f>
        <v>168</v>
      </c>
      <c r="X19" s="44">
        <f>IF(tblWorkOrders[[#This Row],[WO no.]]="","",tblWorkOrders[[#This Row],[Labour cost]]+tblWorkOrders[[#This Row],[Parts cost]]+tblWorkOrders[[#This Row],[Contractor cost]])</f>
        <v>208</v>
      </c>
      <c r="Y19" s="45" t="str">
        <f>IF(tblWorkOrders[[#This Row],[WO no.]]="","",IF(tblWorkOrders[[#This Row],[Status]]="Cancelled","",IF(tblWorkOrders[[#This Row],[Open]]=0,"Complete",IF(tblWorkOrders[[#This Row],[Due date]]="","",IF(AsOf&gt;tblWorkOrders[[#This Row],[Due date]],"Overdue",IF(tblWorkOrders[[#This Row],[Due date]]-AsOf&lt;=DueSoonDays,"Due soon","OK"))))))</f>
        <v>Complete</v>
      </c>
      <c r="Z19" s="45" t="str">
        <f>IF(tblWorkOrders[[#This Row],[WO no.]]="","",IF(OR(tblWorkOrders[[#This Row],[Status]]&lt;&gt;"Complete",tblWorkOrders[[#This Row],[Date completed]]="",tblWorkOrders[[#This Row],[Due date]]=""),"",IF(tblWorkOrders[[#This Row],[Date completed]]&lt;=tblWorkOrders[[#This Row],[Due date]],"Yes","No")))</f>
        <v>Yes</v>
      </c>
      <c r="AA19" s="42">
        <f>IF(tblWorkOrders[[#This Row],[WO no.]]="","",IF(AND(tblWorkOrders[[#This Row],[Date raised]]&gt;=FFrom,tblWorkOrders[[#This Row],[Date raised]]&lt;=FTo),tblWorkOrders[[#This Row],[Date raised]],""))</f>
        <v>46251</v>
      </c>
      <c r="AB1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0" spans="2:28" x14ac:dyDescent="0.25">
      <c r="B20" s="28" t="s">
        <v>215</v>
      </c>
      <c r="C20" s="29">
        <v>46251</v>
      </c>
      <c r="D20" s="28" t="s">
        <v>116</v>
      </c>
      <c r="E20" s="39" t="s">
        <v>216</v>
      </c>
      <c r="F20" s="28" t="s">
        <v>133</v>
      </c>
      <c r="G20" s="28" t="s">
        <v>147</v>
      </c>
      <c r="H20" s="28" t="s">
        <v>152</v>
      </c>
      <c r="I20" s="28" t="s">
        <v>200</v>
      </c>
      <c r="J20" s="29">
        <v>46251</v>
      </c>
      <c r="K20" s="31">
        <v>5</v>
      </c>
      <c r="L20" s="31">
        <v>5.5</v>
      </c>
      <c r="M20" s="30">
        <v>0</v>
      </c>
      <c r="N20" s="30">
        <v>0</v>
      </c>
      <c r="O20" s="31">
        <v>0</v>
      </c>
      <c r="P20" s="40" t="str">
        <f>IF(tblWorkOrders[[#This Row],[WO no.]]="","",IFERROR(INDEX(tblAssets[Area],MATCH(tblWorkOrders[[#This Row],[Asset]],tblAssets[Asset ID],0)),""))</f>
        <v>End of line</v>
      </c>
      <c r="Q20" s="40" t="str">
        <f>IF(tblWorkOrders[[#This Row],[WO no.]]="","",IFERROR(INDEX(tblWorkTypes[Category],MATCH(tblWorkOrders[[#This Row],[Work type]],tblWorkTypes[Work type],0)),""))</f>
        <v>Planned</v>
      </c>
      <c r="R20" s="41">
        <f>IF(tblWorkOrders[[#This Row],[WO no.]]="","",IFERROR(INDEX(tblPriorities[Target (days)],MATCH(tblWorkOrders[[#This Row],[Priority]],tblPriorities[Priority],0)),""))</f>
        <v>14</v>
      </c>
      <c r="S20" s="42">
        <f>IF(tblWorkOrders[[#This Row],[WO no.]]="","",IF(tblWorkOrders[[#This Row],[Target (days)]]="","",tblWorkOrders[[#This Row],[Date raised]]+tblWorkOrders[[#This Row],[Target (days)]]))</f>
        <v>46265</v>
      </c>
      <c r="T20" s="41">
        <f>IF(tblWorkOrders[[#This Row],[WO no.]]="","",IF(OR(tblWorkOrders[[#This Row],[Status]]="Complete",tblWorkOrders[[#This Row],[Status]]="Cancelled"),0,1))</f>
        <v>0</v>
      </c>
      <c r="U20" s="41">
        <f>IF(tblWorkOrders[[#This Row],[WO no.]]="","",IF(tblWorkOrders[[#This Row],[Status]]="Cancelled","",IF(tblWorkOrders[[#This Row],[Open]]=1,AsOf-tblWorkOrders[[#This Row],[Date raised]],IF(tblWorkOrders[[#This Row],[Date completed]]="","",tblWorkOrders[[#This Row],[Date completed]]-tblWorkOrders[[#This Row],[Date raised]]))))</f>
        <v>0</v>
      </c>
      <c r="V20" s="43">
        <f>IF(tblWorkOrders[[#This Row],[WO no.]]="","",IF(tblWorkOrders[[#This Row],[Open]]=1,MAX(0,tblWorkOrders[[#This Row],[Estimated (h)]]-tblWorkOrders[[#This Row],[Actual (h)]]),0))</f>
        <v>0</v>
      </c>
      <c r="W20" s="44">
        <f>IF(tblWorkOrders[[#This Row],[WO no.]]="","",tblWorkOrders[[#This Row],[Actual (h)]]*LabourRate)</f>
        <v>264</v>
      </c>
      <c r="X20" s="44">
        <f>IF(tblWorkOrders[[#This Row],[WO no.]]="","",tblWorkOrders[[#This Row],[Labour cost]]+tblWorkOrders[[#This Row],[Parts cost]]+tblWorkOrders[[#This Row],[Contractor cost]])</f>
        <v>264</v>
      </c>
      <c r="Y20" s="45" t="str">
        <f>IF(tblWorkOrders[[#This Row],[WO no.]]="","",IF(tblWorkOrders[[#This Row],[Status]]="Cancelled","",IF(tblWorkOrders[[#This Row],[Open]]=0,"Complete",IF(tblWorkOrders[[#This Row],[Due date]]="","",IF(AsOf&gt;tblWorkOrders[[#This Row],[Due date]],"Overdue",IF(tblWorkOrders[[#This Row],[Due date]]-AsOf&lt;=DueSoonDays,"Due soon","OK"))))))</f>
        <v>Complete</v>
      </c>
      <c r="Z20" s="45" t="str">
        <f>IF(tblWorkOrders[[#This Row],[WO no.]]="","",IF(OR(tblWorkOrders[[#This Row],[Status]]&lt;&gt;"Complete",tblWorkOrders[[#This Row],[Date completed]]="",tblWorkOrders[[#This Row],[Due date]]=""),"",IF(tblWorkOrders[[#This Row],[Date completed]]&lt;=tblWorkOrders[[#This Row],[Due date]],"Yes","No")))</f>
        <v>Yes</v>
      </c>
      <c r="AA20" s="42">
        <f>IF(tblWorkOrders[[#This Row],[WO no.]]="","",IF(AND(tblWorkOrders[[#This Row],[Date raised]]&gt;=FFrom,tblWorkOrders[[#This Row],[Date raised]]&lt;=FTo),tblWorkOrders[[#This Row],[Date raised]],""))</f>
        <v>46251</v>
      </c>
      <c r="AB2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1" spans="2:28" x14ac:dyDescent="0.25">
      <c r="B21" s="28" t="s">
        <v>217</v>
      </c>
      <c r="C21" s="29">
        <v>46252</v>
      </c>
      <c r="D21" s="28" t="s">
        <v>124</v>
      </c>
      <c r="E21" s="39" t="s">
        <v>218</v>
      </c>
      <c r="F21" s="28" t="s">
        <v>133</v>
      </c>
      <c r="G21" s="28" t="s">
        <v>147</v>
      </c>
      <c r="H21" s="28" t="s">
        <v>159</v>
      </c>
      <c r="I21" s="28" t="s">
        <v>200</v>
      </c>
      <c r="J21" s="29">
        <v>46259</v>
      </c>
      <c r="K21" s="31">
        <v>3</v>
      </c>
      <c r="L21" s="31">
        <v>3</v>
      </c>
      <c r="M21" s="30">
        <v>55</v>
      </c>
      <c r="N21" s="30">
        <v>0</v>
      </c>
      <c r="O21" s="31">
        <v>0</v>
      </c>
      <c r="P21" s="40" t="str">
        <f>IF(tblWorkOrders[[#This Row],[WO no.]]="","",IFERROR(INDEX(tblAssets[Area],MATCH(tblWorkOrders[[#This Row],[Asset]],tblAssets[Asset ID],0)),""))</f>
        <v>Utilities</v>
      </c>
      <c r="Q21" s="40" t="str">
        <f>IF(tblWorkOrders[[#This Row],[WO no.]]="","",IFERROR(INDEX(tblWorkTypes[Category],MATCH(tblWorkOrders[[#This Row],[Work type]],tblWorkTypes[Work type],0)),""))</f>
        <v>Planned</v>
      </c>
      <c r="R21" s="41">
        <f>IF(tblWorkOrders[[#This Row],[WO no.]]="","",IFERROR(INDEX(tblPriorities[Target (days)],MATCH(tblWorkOrders[[#This Row],[Priority]],tblPriorities[Priority],0)),""))</f>
        <v>14</v>
      </c>
      <c r="S21" s="42">
        <f>IF(tblWorkOrders[[#This Row],[WO no.]]="","",IF(tblWorkOrders[[#This Row],[Target (days)]]="","",tblWorkOrders[[#This Row],[Date raised]]+tblWorkOrders[[#This Row],[Target (days)]]))</f>
        <v>46266</v>
      </c>
      <c r="T21" s="41">
        <f>IF(tblWorkOrders[[#This Row],[WO no.]]="","",IF(OR(tblWorkOrders[[#This Row],[Status]]="Complete",tblWorkOrders[[#This Row],[Status]]="Cancelled"),0,1))</f>
        <v>0</v>
      </c>
      <c r="U21" s="41">
        <f>IF(tblWorkOrders[[#This Row],[WO no.]]="","",IF(tblWorkOrders[[#This Row],[Status]]="Cancelled","",IF(tblWorkOrders[[#This Row],[Open]]=1,AsOf-tblWorkOrders[[#This Row],[Date raised]],IF(tblWorkOrders[[#This Row],[Date completed]]="","",tblWorkOrders[[#This Row],[Date completed]]-tblWorkOrders[[#This Row],[Date raised]]))))</f>
        <v>7</v>
      </c>
      <c r="V21" s="43">
        <f>IF(tblWorkOrders[[#This Row],[WO no.]]="","",IF(tblWorkOrders[[#This Row],[Open]]=1,MAX(0,tblWorkOrders[[#This Row],[Estimated (h)]]-tblWorkOrders[[#This Row],[Actual (h)]]),0))</f>
        <v>0</v>
      </c>
      <c r="W21" s="44">
        <f>IF(tblWorkOrders[[#This Row],[WO no.]]="","",tblWorkOrders[[#This Row],[Actual (h)]]*LabourRate)</f>
        <v>144</v>
      </c>
      <c r="X21" s="44">
        <f>IF(tblWorkOrders[[#This Row],[WO no.]]="","",tblWorkOrders[[#This Row],[Labour cost]]+tblWorkOrders[[#This Row],[Parts cost]]+tblWorkOrders[[#This Row],[Contractor cost]])</f>
        <v>199</v>
      </c>
      <c r="Y21" s="45" t="str">
        <f>IF(tblWorkOrders[[#This Row],[WO no.]]="","",IF(tblWorkOrders[[#This Row],[Status]]="Cancelled","",IF(tblWorkOrders[[#This Row],[Open]]=0,"Complete",IF(tblWorkOrders[[#This Row],[Due date]]="","",IF(AsOf&gt;tblWorkOrders[[#This Row],[Due date]],"Overdue",IF(tblWorkOrders[[#This Row],[Due date]]-AsOf&lt;=DueSoonDays,"Due soon","OK"))))))</f>
        <v>Complete</v>
      </c>
      <c r="Z21" s="45" t="str">
        <f>IF(tblWorkOrders[[#This Row],[WO no.]]="","",IF(OR(tblWorkOrders[[#This Row],[Status]]&lt;&gt;"Complete",tblWorkOrders[[#This Row],[Date completed]]="",tblWorkOrders[[#This Row],[Due date]]=""),"",IF(tblWorkOrders[[#This Row],[Date completed]]&lt;=tblWorkOrders[[#This Row],[Due date]],"Yes","No")))</f>
        <v>Yes</v>
      </c>
      <c r="AA21" s="42">
        <f>IF(tblWorkOrders[[#This Row],[WO no.]]="","",IF(AND(tblWorkOrders[[#This Row],[Date raised]]&gt;=FFrom,tblWorkOrders[[#This Row],[Date raised]]&lt;=FTo),tblWorkOrders[[#This Row],[Date raised]],""))</f>
        <v>46252</v>
      </c>
      <c r="AB2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2" spans="2:28" x14ac:dyDescent="0.25">
      <c r="B22" s="28" t="s">
        <v>219</v>
      </c>
      <c r="C22" s="29">
        <v>46252</v>
      </c>
      <c r="D22" s="28" t="s">
        <v>114</v>
      </c>
      <c r="E22" s="39" t="s">
        <v>220</v>
      </c>
      <c r="F22" s="28" t="s">
        <v>133</v>
      </c>
      <c r="G22" s="28" t="s">
        <v>147</v>
      </c>
      <c r="H22" s="28" t="s">
        <v>159</v>
      </c>
      <c r="I22" s="28" t="s">
        <v>200</v>
      </c>
      <c r="J22" s="29">
        <v>46259</v>
      </c>
      <c r="K22" s="31">
        <v>3</v>
      </c>
      <c r="L22" s="31">
        <v>2.5</v>
      </c>
      <c r="M22" s="30">
        <v>120</v>
      </c>
      <c r="N22" s="30">
        <v>0</v>
      </c>
      <c r="O22" s="31">
        <v>0</v>
      </c>
      <c r="P22" s="40" t="str">
        <f>IF(tblWorkOrders[[#This Row],[WO no.]]="","",IFERROR(INDEX(tblAssets[Area],MATCH(tblWorkOrders[[#This Row],[Asset]],tblAssets[Asset ID],0)),""))</f>
        <v>Line 2</v>
      </c>
      <c r="Q22" s="40" t="str">
        <f>IF(tblWorkOrders[[#This Row],[WO no.]]="","",IFERROR(INDEX(tblWorkTypes[Category],MATCH(tblWorkOrders[[#This Row],[Work type]],tblWorkTypes[Work type],0)),""))</f>
        <v>Planned</v>
      </c>
      <c r="R22" s="41">
        <f>IF(tblWorkOrders[[#This Row],[WO no.]]="","",IFERROR(INDEX(tblPriorities[Target (days)],MATCH(tblWorkOrders[[#This Row],[Priority]],tblPriorities[Priority],0)),""))</f>
        <v>14</v>
      </c>
      <c r="S22" s="42">
        <f>IF(tblWorkOrders[[#This Row],[WO no.]]="","",IF(tblWorkOrders[[#This Row],[Target (days)]]="","",tblWorkOrders[[#This Row],[Date raised]]+tblWorkOrders[[#This Row],[Target (days)]]))</f>
        <v>46266</v>
      </c>
      <c r="T22" s="41">
        <f>IF(tblWorkOrders[[#This Row],[WO no.]]="","",IF(OR(tblWorkOrders[[#This Row],[Status]]="Complete",tblWorkOrders[[#This Row],[Status]]="Cancelled"),0,1))</f>
        <v>0</v>
      </c>
      <c r="U22" s="41">
        <f>IF(tblWorkOrders[[#This Row],[WO no.]]="","",IF(tblWorkOrders[[#This Row],[Status]]="Cancelled","",IF(tblWorkOrders[[#This Row],[Open]]=1,AsOf-tblWorkOrders[[#This Row],[Date raised]],IF(tblWorkOrders[[#This Row],[Date completed]]="","",tblWorkOrders[[#This Row],[Date completed]]-tblWorkOrders[[#This Row],[Date raised]]))))</f>
        <v>7</v>
      </c>
      <c r="V22" s="43">
        <f>IF(tblWorkOrders[[#This Row],[WO no.]]="","",IF(tblWorkOrders[[#This Row],[Open]]=1,MAX(0,tblWorkOrders[[#This Row],[Estimated (h)]]-tblWorkOrders[[#This Row],[Actual (h)]]),0))</f>
        <v>0</v>
      </c>
      <c r="W22" s="44">
        <f>IF(tblWorkOrders[[#This Row],[WO no.]]="","",tblWorkOrders[[#This Row],[Actual (h)]]*LabourRate)</f>
        <v>120</v>
      </c>
      <c r="X22" s="44">
        <f>IF(tblWorkOrders[[#This Row],[WO no.]]="","",tblWorkOrders[[#This Row],[Labour cost]]+tblWorkOrders[[#This Row],[Parts cost]]+tblWorkOrders[[#This Row],[Contractor cost]])</f>
        <v>240</v>
      </c>
      <c r="Y22" s="45" t="str">
        <f>IF(tblWorkOrders[[#This Row],[WO no.]]="","",IF(tblWorkOrders[[#This Row],[Status]]="Cancelled","",IF(tblWorkOrders[[#This Row],[Open]]=0,"Complete",IF(tblWorkOrders[[#This Row],[Due date]]="","",IF(AsOf&gt;tblWorkOrders[[#This Row],[Due date]],"Overdue",IF(tblWorkOrders[[#This Row],[Due date]]-AsOf&lt;=DueSoonDays,"Due soon","OK"))))))</f>
        <v>Complete</v>
      </c>
      <c r="Z22" s="45" t="str">
        <f>IF(tblWorkOrders[[#This Row],[WO no.]]="","",IF(OR(tblWorkOrders[[#This Row],[Status]]&lt;&gt;"Complete",tblWorkOrders[[#This Row],[Date completed]]="",tblWorkOrders[[#This Row],[Due date]]=""),"",IF(tblWorkOrders[[#This Row],[Date completed]]&lt;=tblWorkOrders[[#This Row],[Due date]],"Yes","No")))</f>
        <v>Yes</v>
      </c>
      <c r="AA22" s="42">
        <f>IF(tblWorkOrders[[#This Row],[WO no.]]="","",IF(AND(tblWorkOrders[[#This Row],[Date raised]]&gt;=FFrom,tblWorkOrders[[#This Row],[Date raised]]&lt;=FTo),tblWorkOrders[[#This Row],[Date raised]],""))</f>
        <v>46252</v>
      </c>
      <c r="AB2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3" spans="2:28" x14ac:dyDescent="0.25">
      <c r="B23" s="28" t="s">
        <v>221</v>
      </c>
      <c r="C23" s="29">
        <v>46252</v>
      </c>
      <c r="D23" s="28" t="s">
        <v>111</v>
      </c>
      <c r="E23" s="39" t="s">
        <v>222</v>
      </c>
      <c r="F23" s="28" t="s">
        <v>130</v>
      </c>
      <c r="G23" s="28" t="s">
        <v>147</v>
      </c>
      <c r="H23" s="28" t="s">
        <v>155</v>
      </c>
      <c r="I23" s="28" t="s">
        <v>200</v>
      </c>
      <c r="J23" s="29">
        <v>46268</v>
      </c>
      <c r="K23" s="31">
        <v>8</v>
      </c>
      <c r="L23" s="31">
        <v>9.5</v>
      </c>
      <c r="M23" s="30">
        <v>220</v>
      </c>
      <c r="N23" s="30">
        <v>0</v>
      </c>
      <c r="O23" s="31">
        <v>0</v>
      </c>
      <c r="P23" s="40" t="str">
        <f>IF(tblWorkOrders[[#This Row],[WO no.]]="","",IFERROR(INDEX(tblAssets[Area],MATCH(tblWorkOrders[[#This Row],[Asset]],tblAssets[Asset ID],0)),""))</f>
        <v>Line 2</v>
      </c>
      <c r="Q23" s="40" t="str">
        <f>IF(tblWorkOrders[[#This Row],[WO no.]]="","",IFERROR(INDEX(tblWorkTypes[Category],MATCH(tblWorkOrders[[#This Row],[Work type]],tblWorkTypes[Work type],0)),""))</f>
        <v>Corrective</v>
      </c>
      <c r="R23" s="41">
        <f>IF(tblWorkOrders[[#This Row],[WO no.]]="","",IFERROR(INDEX(tblPriorities[Target (days)],MATCH(tblWorkOrders[[#This Row],[Priority]],tblPriorities[Priority],0)),""))</f>
        <v>14</v>
      </c>
      <c r="S23" s="42">
        <f>IF(tblWorkOrders[[#This Row],[WO no.]]="","",IF(tblWorkOrders[[#This Row],[Target (days)]]="","",tblWorkOrders[[#This Row],[Date raised]]+tblWorkOrders[[#This Row],[Target (days)]]))</f>
        <v>46266</v>
      </c>
      <c r="T23" s="41">
        <f>IF(tblWorkOrders[[#This Row],[WO no.]]="","",IF(OR(tblWorkOrders[[#This Row],[Status]]="Complete",tblWorkOrders[[#This Row],[Status]]="Cancelled"),0,1))</f>
        <v>0</v>
      </c>
      <c r="U23" s="41">
        <f>IF(tblWorkOrders[[#This Row],[WO no.]]="","",IF(tblWorkOrders[[#This Row],[Status]]="Cancelled","",IF(tblWorkOrders[[#This Row],[Open]]=1,AsOf-tblWorkOrders[[#This Row],[Date raised]],IF(tblWorkOrders[[#This Row],[Date completed]]="","",tblWorkOrders[[#This Row],[Date completed]]-tblWorkOrders[[#This Row],[Date raised]]))))</f>
        <v>16</v>
      </c>
      <c r="V23" s="43">
        <f>IF(tblWorkOrders[[#This Row],[WO no.]]="","",IF(tblWorkOrders[[#This Row],[Open]]=1,MAX(0,tblWorkOrders[[#This Row],[Estimated (h)]]-tblWorkOrders[[#This Row],[Actual (h)]]),0))</f>
        <v>0</v>
      </c>
      <c r="W23" s="44">
        <f>IF(tblWorkOrders[[#This Row],[WO no.]]="","",tblWorkOrders[[#This Row],[Actual (h)]]*LabourRate)</f>
        <v>456</v>
      </c>
      <c r="X23" s="44">
        <f>IF(tblWorkOrders[[#This Row],[WO no.]]="","",tblWorkOrders[[#This Row],[Labour cost]]+tblWorkOrders[[#This Row],[Parts cost]]+tblWorkOrders[[#This Row],[Contractor cost]])</f>
        <v>676</v>
      </c>
      <c r="Y23" s="45" t="str">
        <f>IF(tblWorkOrders[[#This Row],[WO no.]]="","",IF(tblWorkOrders[[#This Row],[Status]]="Cancelled","",IF(tblWorkOrders[[#This Row],[Open]]=0,"Complete",IF(tblWorkOrders[[#This Row],[Due date]]="","",IF(AsOf&gt;tblWorkOrders[[#This Row],[Due date]],"Overdue",IF(tblWorkOrders[[#This Row],[Due date]]-AsOf&lt;=DueSoonDays,"Due soon","OK"))))))</f>
        <v>Complete</v>
      </c>
      <c r="Z23" s="45" t="str">
        <f>IF(tblWorkOrders[[#This Row],[WO no.]]="","",IF(OR(tblWorkOrders[[#This Row],[Status]]&lt;&gt;"Complete",tblWorkOrders[[#This Row],[Date completed]]="",tblWorkOrders[[#This Row],[Due date]]=""),"",IF(tblWorkOrders[[#This Row],[Date completed]]&lt;=tblWorkOrders[[#This Row],[Due date]],"Yes","No")))</f>
        <v>No</v>
      </c>
      <c r="AA23" s="42">
        <f>IF(tblWorkOrders[[#This Row],[WO no.]]="","",IF(AND(tblWorkOrders[[#This Row],[Date raised]]&gt;=FFrom,tblWorkOrders[[#This Row],[Date raised]]&lt;=FTo),tblWorkOrders[[#This Row],[Date raised]],""))</f>
        <v>46252</v>
      </c>
      <c r="AB2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4" spans="2:28" x14ac:dyDescent="0.25">
      <c r="B24" s="28" t="s">
        <v>223</v>
      </c>
      <c r="C24" s="29">
        <v>46253</v>
      </c>
      <c r="D24" s="28" t="s">
        <v>119</v>
      </c>
      <c r="E24" s="39" t="s">
        <v>224</v>
      </c>
      <c r="F24" s="28" t="s">
        <v>136</v>
      </c>
      <c r="G24" s="28" t="s">
        <v>147</v>
      </c>
      <c r="H24" s="28" t="s">
        <v>159</v>
      </c>
      <c r="I24" s="28" t="s">
        <v>200</v>
      </c>
      <c r="J24" s="29">
        <v>46254</v>
      </c>
      <c r="K24" s="31">
        <v>6</v>
      </c>
      <c r="L24" s="31">
        <v>6</v>
      </c>
      <c r="M24" s="30">
        <v>0</v>
      </c>
      <c r="N24" s="30">
        <v>0</v>
      </c>
      <c r="O24" s="31">
        <v>0</v>
      </c>
      <c r="P24" s="40" t="str">
        <f>IF(tblWorkOrders[[#This Row],[WO no.]]="","",IFERROR(INDEX(tblAssets[Area],MATCH(tblWorkOrders[[#This Row],[Asset]],tblAssets[Asset ID],0)),""))</f>
        <v>Utilities</v>
      </c>
      <c r="Q24" s="40" t="str">
        <f>IF(tblWorkOrders[[#This Row],[WO no.]]="","",IFERROR(INDEX(tblWorkTypes[Category],MATCH(tblWorkOrders[[#This Row],[Work type]],tblWorkTypes[Work type],0)),""))</f>
        <v>Planned</v>
      </c>
      <c r="R24" s="41">
        <f>IF(tblWorkOrders[[#This Row],[WO no.]]="","",IFERROR(INDEX(tblPriorities[Target (days)],MATCH(tblWorkOrders[[#This Row],[Priority]],tblPriorities[Priority],0)),""))</f>
        <v>14</v>
      </c>
      <c r="S24" s="42">
        <f>IF(tblWorkOrders[[#This Row],[WO no.]]="","",IF(tblWorkOrders[[#This Row],[Target (days)]]="","",tblWorkOrders[[#This Row],[Date raised]]+tblWorkOrders[[#This Row],[Target (days)]]))</f>
        <v>46267</v>
      </c>
      <c r="T24" s="41">
        <f>IF(tblWorkOrders[[#This Row],[WO no.]]="","",IF(OR(tblWorkOrders[[#This Row],[Status]]="Complete",tblWorkOrders[[#This Row],[Status]]="Cancelled"),0,1))</f>
        <v>0</v>
      </c>
      <c r="U24" s="41">
        <f>IF(tblWorkOrders[[#This Row],[WO no.]]="","",IF(tblWorkOrders[[#This Row],[Status]]="Cancelled","",IF(tblWorkOrders[[#This Row],[Open]]=1,AsOf-tblWorkOrders[[#This Row],[Date raised]],IF(tblWorkOrders[[#This Row],[Date completed]]="","",tblWorkOrders[[#This Row],[Date completed]]-tblWorkOrders[[#This Row],[Date raised]]))))</f>
        <v>1</v>
      </c>
      <c r="V24" s="43">
        <f>IF(tblWorkOrders[[#This Row],[WO no.]]="","",IF(tblWorkOrders[[#This Row],[Open]]=1,MAX(0,tblWorkOrders[[#This Row],[Estimated (h)]]-tblWorkOrders[[#This Row],[Actual (h)]]),0))</f>
        <v>0</v>
      </c>
      <c r="W24" s="44">
        <f>IF(tblWorkOrders[[#This Row],[WO no.]]="","",tblWorkOrders[[#This Row],[Actual (h)]]*LabourRate)</f>
        <v>288</v>
      </c>
      <c r="X24" s="44">
        <f>IF(tblWorkOrders[[#This Row],[WO no.]]="","",tblWorkOrders[[#This Row],[Labour cost]]+tblWorkOrders[[#This Row],[Parts cost]]+tblWorkOrders[[#This Row],[Contractor cost]])</f>
        <v>288</v>
      </c>
      <c r="Y24" s="45" t="str">
        <f>IF(tblWorkOrders[[#This Row],[WO no.]]="","",IF(tblWorkOrders[[#This Row],[Status]]="Cancelled","",IF(tblWorkOrders[[#This Row],[Open]]=0,"Complete",IF(tblWorkOrders[[#This Row],[Due date]]="","",IF(AsOf&gt;tblWorkOrders[[#This Row],[Due date]],"Overdue",IF(tblWorkOrders[[#This Row],[Due date]]-AsOf&lt;=DueSoonDays,"Due soon","OK"))))))</f>
        <v>Complete</v>
      </c>
      <c r="Z24" s="45" t="str">
        <f>IF(tblWorkOrders[[#This Row],[WO no.]]="","",IF(OR(tblWorkOrders[[#This Row],[Status]]&lt;&gt;"Complete",tblWorkOrders[[#This Row],[Date completed]]="",tblWorkOrders[[#This Row],[Due date]]=""),"",IF(tblWorkOrders[[#This Row],[Date completed]]&lt;=tblWorkOrders[[#This Row],[Due date]],"Yes","No")))</f>
        <v>Yes</v>
      </c>
      <c r="AA24" s="42">
        <f>IF(tblWorkOrders[[#This Row],[WO no.]]="","",IF(AND(tblWorkOrders[[#This Row],[Date raised]]&gt;=FFrom,tblWorkOrders[[#This Row],[Date raised]]&lt;=FTo),tblWorkOrders[[#This Row],[Date raised]],""))</f>
        <v>46253</v>
      </c>
      <c r="AB2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5" spans="2:28" x14ac:dyDescent="0.25">
      <c r="B25" s="28" t="s">
        <v>225</v>
      </c>
      <c r="C25" s="29">
        <v>46253</v>
      </c>
      <c r="D25" s="28" t="s">
        <v>104</v>
      </c>
      <c r="E25" s="39" t="s">
        <v>226</v>
      </c>
      <c r="F25" s="28" t="s">
        <v>127</v>
      </c>
      <c r="G25" s="28" t="s">
        <v>143</v>
      </c>
      <c r="H25" s="28" t="s">
        <v>155</v>
      </c>
      <c r="I25" s="28" t="s">
        <v>200</v>
      </c>
      <c r="J25" s="29">
        <v>46255</v>
      </c>
      <c r="K25" s="31">
        <v>4</v>
      </c>
      <c r="L25" s="31">
        <v>5.5</v>
      </c>
      <c r="M25" s="30">
        <v>416</v>
      </c>
      <c r="N25" s="30">
        <v>0</v>
      </c>
      <c r="O25" s="31">
        <v>4.5</v>
      </c>
      <c r="P25" s="40" t="str">
        <f>IF(tblWorkOrders[[#This Row],[WO no.]]="","",IFERROR(INDEX(tblAssets[Area],MATCH(tblWorkOrders[[#This Row],[Asset]],tblAssets[Asset ID],0)),""))</f>
        <v>Line 1</v>
      </c>
      <c r="Q25" s="40" t="str">
        <f>IF(tblWorkOrders[[#This Row],[WO no.]]="","",IFERROR(INDEX(tblWorkTypes[Category],MATCH(tblWorkOrders[[#This Row],[Work type]],tblWorkTypes[Work type],0)),""))</f>
        <v>Emergency</v>
      </c>
      <c r="R25" s="41">
        <f>IF(tblWorkOrders[[#This Row],[WO no.]]="","",IFERROR(INDEX(tblPriorities[Target (days)],MATCH(tblWorkOrders[[#This Row],[Priority]],tblPriorities[Priority],0)),""))</f>
        <v>1</v>
      </c>
      <c r="S25" s="42">
        <f>IF(tblWorkOrders[[#This Row],[WO no.]]="","",IF(tblWorkOrders[[#This Row],[Target (days)]]="","",tblWorkOrders[[#This Row],[Date raised]]+tblWorkOrders[[#This Row],[Target (days)]]))</f>
        <v>46254</v>
      </c>
      <c r="T25" s="41">
        <f>IF(tblWorkOrders[[#This Row],[WO no.]]="","",IF(OR(tblWorkOrders[[#This Row],[Status]]="Complete",tblWorkOrders[[#This Row],[Status]]="Cancelled"),0,1))</f>
        <v>0</v>
      </c>
      <c r="U25" s="41">
        <f>IF(tblWorkOrders[[#This Row],[WO no.]]="","",IF(tblWorkOrders[[#This Row],[Status]]="Cancelled","",IF(tblWorkOrders[[#This Row],[Open]]=1,AsOf-tblWorkOrders[[#This Row],[Date raised]],IF(tblWorkOrders[[#This Row],[Date completed]]="","",tblWorkOrders[[#This Row],[Date completed]]-tblWorkOrders[[#This Row],[Date raised]]))))</f>
        <v>2</v>
      </c>
      <c r="V25" s="43">
        <f>IF(tblWorkOrders[[#This Row],[WO no.]]="","",IF(tblWorkOrders[[#This Row],[Open]]=1,MAX(0,tblWorkOrders[[#This Row],[Estimated (h)]]-tblWorkOrders[[#This Row],[Actual (h)]]),0))</f>
        <v>0</v>
      </c>
      <c r="W25" s="44">
        <f>IF(tblWorkOrders[[#This Row],[WO no.]]="","",tblWorkOrders[[#This Row],[Actual (h)]]*LabourRate)</f>
        <v>264</v>
      </c>
      <c r="X25" s="44">
        <f>IF(tblWorkOrders[[#This Row],[WO no.]]="","",tblWorkOrders[[#This Row],[Labour cost]]+tblWorkOrders[[#This Row],[Parts cost]]+tblWorkOrders[[#This Row],[Contractor cost]])</f>
        <v>680</v>
      </c>
      <c r="Y25" s="45" t="str">
        <f>IF(tblWorkOrders[[#This Row],[WO no.]]="","",IF(tblWorkOrders[[#This Row],[Status]]="Cancelled","",IF(tblWorkOrders[[#This Row],[Open]]=0,"Complete",IF(tblWorkOrders[[#This Row],[Due date]]="","",IF(AsOf&gt;tblWorkOrders[[#This Row],[Due date]],"Overdue",IF(tblWorkOrders[[#This Row],[Due date]]-AsOf&lt;=DueSoonDays,"Due soon","OK"))))))</f>
        <v>Complete</v>
      </c>
      <c r="Z25" s="45" t="str">
        <f>IF(tblWorkOrders[[#This Row],[WO no.]]="","",IF(OR(tblWorkOrders[[#This Row],[Status]]&lt;&gt;"Complete",tblWorkOrders[[#This Row],[Date completed]]="",tblWorkOrders[[#This Row],[Due date]]=""),"",IF(tblWorkOrders[[#This Row],[Date completed]]&lt;=tblWorkOrders[[#This Row],[Due date]],"Yes","No")))</f>
        <v>No</v>
      </c>
      <c r="AA25" s="42">
        <f>IF(tblWorkOrders[[#This Row],[WO no.]]="","",IF(AND(tblWorkOrders[[#This Row],[Date raised]]&gt;=FFrom,tblWorkOrders[[#This Row],[Date raised]]&lt;=FTo),tblWorkOrders[[#This Row],[Date raised]],""))</f>
        <v>46253</v>
      </c>
      <c r="AB2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6" spans="2:28" x14ac:dyDescent="0.25">
      <c r="B26" s="28" t="s">
        <v>227</v>
      </c>
      <c r="C26" s="29">
        <v>46253</v>
      </c>
      <c r="D26" s="28" t="s">
        <v>100</v>
      </c>
      <c r="E26" s="39" t="s">
        <v>228</v>
      </c>
      <c r="F26" s="28" t="s">
        <v>133</v>
      </c>
      <c r="G26" s="28" t="s">
        <v>147</v>
      </c>
      <c r="H26" s="28" t="s">
        <v>159</v>
      </c>
      <c r="I26" s="28" t="s">
        <v>200</v>
      </c>
      <c r="J26" s="29">
        <v>46258</v>
      </c>
      <c r="K26" s="31">
        <v>2.5</v>
      </c>
      <c r="L26" s="31">
        <v>3</v>
      </c>
      <c r="M26" s="30">
        <v>30</v>
      </c>
      <c r="N26" s="30">
        <v>0</v>
      </c>
      <c r="O26" s="31">
        <v>0</v>
      </c>
      <c r="P26" s="40" t="str">
        <f>IF(tblWorkOrders[[#This Row],[WO no.]]="","",IFERROR(INDEX(tblAssets[Area],MATCH(tblWorkOrders[[#This Row],[Asset]],tblAssets[Asset ID],0)),""))</f>
        <v>Processing</v>
      </c>
      <c r="Q26" s="40" t="str">
        <f>IF(tblWorkOrders[[#This Row],[WO no.]]="","",IFERROR(INDEX(tblWorkTypes[Category],MATCH(tblWorkOrders[[#This Row],[Work type]],tblWorkTypes[Work type],0)),""))</f>
        <v>Planned</v>
      </c>
      <c r="R26" s="41">
        <f>IF(tblWorkOrders[[#This Row],[WO no.]]="","",IFERROR(INDEX(tblPriorities[Target (days)],MATCH(tblWorkOrders[[#This Row],[Priority]],tblPriorities[Priority],0)),""))</f>
        <v>14</v>
      </c>
      <c r="S26" s="42">
        <f>IF(tblWorkOrders[[#This Row],[WO no.]]="","",IF(tblWorkOrders[[#This Row],[Target (days)]]="","",tblWorkOrders[[#This Row],[Date raised]]+tblWorkOrders[[#This Row],[Target (days)]]))</f>
        <v>46267</v>
      </c>
      <c r="T26" s="41">
        <f>IF(tblWorkOrders[[#This Row],[WO no.]]="","",IF(OR(tblWorkOrders[[#This Row],[Status]]="Complete",tblWorkOrders[[#This Row],[Status]]="Cancelled"),0,1))</f>
        <v>0</v>
      </c>
      <c r="U26" s="41">
        <f>IF(tblWorkOrders[[#This Row],[WO no.]]="","",IF(tblWorkOrders[[#This Row],[Status]]="Cancelled","",IF(tblWorkOrders[[#This Row],[Open]]=1,AsOf-tblWorkOrders[[#This Row],[Date raised]],IF(tblWorkOrders[[#This Row],[Date completed]]="","",tblWorkOrders[[#This Row],[Date completed]]-tblWorkOrders[[#This Row],[Date raised]]))))</f>
        <v>5</v>
      </c>
      <c r="V26" s="43">
        <f>IF(tblWorkOrders[[#This Row],[WO no.]]="","",IF(tblWorkOrders[[#This Row],[Open]]=1,MAX(0,tblWorkOrders[[#This Row],[Estimated (h)]]-tblWorkOrders[[#This Row],[Actual (h)]]),0))</f>
        <v>0</v>
      </c>
      <c r="W26" s="44">
        <f>IF(tblWorkOrders[[#This Row],[WO no.]]="","",tblWorkOrders[[#This Row],[Actual (h)]]*LabourRate)</f>
        <v>144</v>
      </c>
      <c r="X26" s="44">
        <f>IF(tblWorkOrders[[#This Row],[WO no.]]="","",tblWorkOrders[[#This Row],[Labour cost]]+tblWorkOrders[[#This Row],[Parts cost]]+tblWorkOrders[[#This Row],[Contractor cost]])</f>
        <v>174</v>
      </c>
      <c r="Y26" s="45" t="str">
        <f>IF(tblWorkOrders[[#This Row],[WO no.]]="","",IF(tblWorkOrders[[#This Row],[Status]]="Cancelled","",IF(tblWorkOrders[[#This Row],[Open]]=0,"Complete",IF(tblWorkOrders[[#This Row],[Due date]]="","",IF(AsOf&gt;tblWorkOrders[[#This Row],[Due date]],"Overdue",IF(tblWorkOrders[[#This Row],[Due date]]-AsOf&lt;=DueSoonDays,"Due soon","OK"))))))</f>
        <v>Complete</v>
      </c>
      <c r="Z26" s="45" t="str">
        <f>IF(tblWorkOrders[[#This Row],[WO no.]]="","",IF(OR(tblWorkOrders[[#This Row],[Status]]&lt;&gt;"Complete",tblWorkOrders[[#This Row],[Date completed]]="",tblWorkOrders[[#This Row],[Due date]]=""),"",IF(tblWorkOrders[[#This Row],[Date completed]]&lt;=tblWorkOrders[[#This Row],[Due date]],"Yes","No")))</f>
        <v>Yes</v>
      </c>
      <c r="AA26" s="42">
        <f>IF(tblWorkOrders[[#This Row],[WO no.]]="","",IF(AND(tblWorkOrders[[#This Row],[Date raised]]&gt;=FFrom,tblWorkOrders[[#This Row],[Date raised]]&lt;=FTo),tblWorkOrders[[#This Row],[Date raised]],""))</f>
        <v>46253</v>
      </c>
      <c r="AB2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7" spans="2:28" x14ac:dyDescent="0.25">
      <c r="B27" s="28" t="s">
        <v>229</v>
      </c>
      <c r="C27" s="29">
        <v>46253</v>
      </c>
      <c r="D27" s="28" t="s">
        <v>102</v>
      </c>
      <c r="E27" s="39" t="s">
        <v>230</v>
      </c>
      <c r="F27" s="28" t="s">
        <v>133</v>
      </c>
      <c r="G27" s="28" t="s">
        <v>147</v>
      </c>
      <c r="H27" s="28" t="s">
        <v>159</v>
      </c>
      <c r="I27" s="28" t="s">
        <v>200</v>
      </c>
      <c r="J27" s="29">
        <v>46262</v>
      </c>
      <c r="K27" s="31">
        <v>5</v>
      </c>
      <c r="L27" s="31">
        <v>6</v>
      </c>
      <c r="M27" s="30">
        <v>30</v>
      </c>
      <c r="N27" s="30">
        <v>0</v>
      </c>
      <c r="O27" s="31">
        <v>0</v>
      </c>
      <c r="P27" s="40" t="str">
        <f>IF(tblWorkOrders[[#This Row],[WO no.]]="","",IFERROR(INDEX(tblAssets[Area],MATCH(tblWorkOrders[[#This Row],[Asset]],tblAssets[Asset ID],0)),""))</f>
        <v>Processing</v>
      </c>
      <c r="Q27" s="40" t="str">
        <f>IF(tblWorkOrders[[#This Row],[WO no.]]="","",IFERROR(INDEX(tblWorkTypes[Category],MATCH(tblWorkOrders[[#This Row],[Work type]],tblWorkTypes[Work type],0)),""))</f>
        <v>Planned</v>
      </c>
      <c r="R27" s="41">
        <f>IF(tblWorkOrders[[#This Row],[WO no.]]="","",IFERROR(INDEX(tblPriorities[Target (days)],MATCH(tblWorkOrders[[#This Row],[Priority]],tblPriorities[Priority],0)),""))</f>
        <v>14</v>
      </c>
      <c r="S27" s="42">
        <f>IF(tblWorkOrders[[#This Row],[WO no.]]="","",IF(tblWorkOrders[[#This Row],[Target (days)]]="","",tblWorkOrders[[#This Row],[Date raised]]+tblWorkOrders[[#This Row],[Target (days)]]))</f>
        <v>46267</v>
      </c>
      <c r="T27" s="41">
        <f>IF(tblWorkOrders[[#This Row],[WO no.]]="","",IF(OR(tblWorkOrders[[#This Row],[Status]]="Complete",tblWorkOrders[[#This Row],[Status]]="Cancelled"),0,1))</f>
        <v>0</v>
      </c>
      <c r="U27" s="41">
        <f>IF(tblWorkOrders[[#This Row],[WO no.]]="","",IF(tblWorkOrders[[#This Row],[Status]]="Cancelled","",IF(tblWorkOrders[[#This Row],[Open]]=1,AsOf-tblWorkOrders[[#This Row],[Date raised]],IF(tblWorkOrders[[#This Row],[Date completed]]="","",tblWorkOrders[[#This Row],[Date completed]]-tblWorkOrders[[#This Row],[Date raised]]))))</f>
        <v>9</v>
      </c>
      <c r="V27" s="43">
        <f>IF(tblWorkOrders[[#This Row],[WO no.]]="","",IF(tblWorkOrders[[#This Row],[Open]]=1,MAX(0,tblWorkOrders[[#This Row],[Estimated (h)]]-tblWorkOrders[[#This Row],[Actual (h)]]),0))</f>
        <v>0</v>
      </c>
      <c r="W27" s="44">
        <f>IF(tblWorkOrders[[#This Row],[WO no.]]="","",tblWorkOrders[[#This Row],[Actual (h)]]*LabourRate)</f>
        <v>288</v>
      </c>
      <c r="X27" s="44">
        <f>IF(tblWorkOrders[[#This Row],[WO no.]]="","",tblWorkOrders[[#This Row],[Labour cost]]+tblWorkOrders[[#This Row],[Parts cost]]+tblWorkOrders[[#This Row],[Contractor cost]])</f>
        <v>318</v>
      </c>
      <c r="Y27" s="45" t="str">
        <f>IF(tblWorkOrders[[#This Row],[WO no.]]="","",IF(tblWorkOrders[[#This Row],[Status]]="Cancelled","",IF(tblWorkOrders[[#This Row],[Open]]=0,"Complete",IF(tblWorkOrders[[#This Row],[Due date]]="","",IF(AsOf&gt;tblWorkOrders[[#This Row],[Due date]],"Overdue",IF(tblWorkOrders[[#This Row],[Due date]]-AsOf&lt;=DueSoonDays,"Due soon","OK"))))))</f>
        <v>Complete</v>
      </c>
      <c r="Z27" s="45" t="str">
        <f>IF(tblWorkOrders[[#This Row],[WO no.]]="","",IF(OR(tblWorkOrders[[#This Row],[Status]]&lt;&gt;"Complete",tblWorkOrders[[#This Row],[Date completed]]="",tblWorkOrders[[#This Row],[Due date]]=""),"",IF(tblWorkOrders[[#This Row],[Date completed]]&lt;=tblWorkOrders[[#This Row],[Due date]],"Yes","No")))</f>
        <v>Yes</v>
      </c>
      <c r="AA27" s="42">
        <f>IF(tblWorkOrders[[#This Row],[WO no.]]="","",IF(AND(tblWorkOrders[[#This Row],[Date raised]]&gt;=FFrom,tblWorkOrders[[#This Row],[Date raised]]&lt;=FTo),tblWorkOrders[[#This Row],[Date raised]],""))</f>
        <v>46253</v>
      </c>
      <c r="AB2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8" spans="2:28" x14ac:dyDescent="0.25">
      <c r="B28" s="28" t="s">
        <v>231</v>
      </c>
      <c r="C28" s="29">
        <v>46253</v>
      </c>
      <c r="D28" s="28" t="s">
        <v>102</v>
      </c>
      <c r="E28" s="39" t="s">
        <v>232</v>
      </c>
      <c r="F28" s="28" t="s">
        <v>130</v>
      </c>
      <c r="G28" s="28" t="s">
        <v>147</v>
      </c>
      <c r="H28" s="28" t="s">
        <v>157</v>
      </c>
      <c r="I28" s="28" t="s">
        <v>200</v>
      </c>
      <c r="J28" s="29">
        <v>46267</v>
      </c>
      <c r="K28" s="31">
        <v>2</v>
      </c>
      <c r="L28" s="31">
        <v>2</v>
      </c>
      <c r="M28" s="30">
        <v>0</v>
      </c>
      <c r="N28" s="30">
        <v>0</v>
      </c>
      <c r="O28" s="31">
        <v>0</v>
      </c>
      <c r="P28" s="40" t="str">
        <f>IF(tblWorkOrders[[#This Row],[WO no.]]="","",IFERROR(INDEX(tblAssets[Area],MATCH(tblWorkOrders[[#This Row],[Asset]],tblAssets[Asset ID],0)),""))</f>
        <v>Processing</v>
      </c>
      <c r="Q28" s="40" t="str">
        <f>IF(tblWorkOrders[[#This Row],[WO no.]]="","",IFERROR(INDEX(tblWorkTypes[Category],MATCH(tblWorkOrders[[#This Row],[Work type]],tblWorkTypes[Work type],0)),""))</f>
        <v>Corrective</v>
      </c>
      <c r="R28" s="41">
        <f>IF(tblWorkOrders[[#This Row],[WO no.]]="","",IFERROR(INDEX(tblPriorities[Target (days)],MATCH(tblWorkOrders[[#This Row],[Priority]],tblPriorities[Priority],0)),""))</f>
        <v>14</v>
      </c>
      <c r="S28" s="42">
        <f>IF(tblWorkOrders[[#This Row],[WO no.]]="","",IF(tblWorkOrders[[#This Row],[Target (days)]]="","",tblWorkOrders[[#This Row],[Date raised]]+tblWorkOrders[[#This Row],[Target (days)]]))</f>
        <v>46267</v>
      </c>
      <c r="T28" s="41">
        <f>IF(tblWorkOrders[[#This Row],[WO no.]]="","",IF(OR(tblWorkOrders[[#This Row],[Status]]="Complete",tblWorkOrders[[#This Row],[Status]]="Cancelled"),0,1))</f>
        <v>0</v>
      </c>
      <c r="U28" s="41">
        <f>IF(tblWorkOrders[[#This Row],[WO no.]]="","",IF(tblWorkOrders[[#This Row],[Status]]="Cancelled","",IF(tblWorkOrders[[#This Row],[Open]]=1,AsOf-tblWorkOrders[[#This Row],[Date raised]],IF(tblWorkOrders[[#This Row],[Date completed]]="","",tblWorkOrders[[#This Row],[Date completed]]-tblWorkOrders[[#This Row],[Date raised]]))))</f>
        <v>14</v>
      </c>
      <c r="V28" s="43">
        <f>IF(tblWorkOrders[[#This Row],[WO no.]]="","",IF(tblWorkOrders[[#This Row],[Open]]=1,MAX(0,tblWorkOrders[[#This Row],[Estimated (h)]]-tblWorkOrders[[#This Row],[Actual (h)]]),0))</f>
        <v>0</v>
      </c>
      <c r="W28" s="44">
        <f>IF(tblWorkOrders[[#This Row],[WO no.]]="","",tblWorkOrders[[#This Row],[Actual (h)]]*LabourRate)</f>
        <v>96</v>
      </c>
      <c r="X28" s="44">
        <f>IF(tblWorkOrders[[#This Row],[WO no.]]="","",tblWorkOrders[[#This Row],[Labour cost]]+tblWorkOrders[[#This Row],[Parts cost]]+tblWorkOrders[[#This Row],[Contractor cost]])</f>
        <v>96</v>
      </c>
      <c r="Y28" s="45" t="str">
        <f>IF(tblWorkOrders[[#This Row],[WO no.]]="","",IF(tblWorkOrders[[#This Row],[Status]]="Cancelled","",IF(tblWorkOrders[[#This Row],[Open]]=0,"Complete",IF(tblWorkOrders[[#This Row],[Due date]]="","",IF(AsOf&gt;tblWorkOrders[[#This Row],[Due date]],"Overdue",IF(tblWorkOrders[[#This Row],[Due date]]-AsOf&lt;=DueSoonDays,"Due soon","OK"))))))</f>
        <v>Complete</v>
      </c>
      <c r="Z28" s="45" t="str">
        <f>IF(tblWorkOrders[[#This Row],[WO no.]]="","",IF(OR(tblWorkOrders[[#This Row],[Status]]&lt;&gt;"Complete",tblWorkOrders[[#This Row],[Date completed]]="",tblWorkOrders[[#This Row],[Due date]]=""),"",IF(tblWorkOrders[[#This Row],[Date completed]]&lt;=tblWorkOrders[[#This Row],[Due date]],"Yes","No")))</f>
        <v>Yes</v>
      </c>
      <c r="AA28" s="42">
        <f>IF(tblWorkOrders[[#This Row],[WO no.]]="","",IF(AND(tblWorkOrders[[#This Row],[Date raised]]&gt;=FFrom,tblWorkOrders[[#This Row],[Date raised]]&lt;=FTo),tblWorkOrders[[#This Row],[Date raised]],""))</f>
        <v>46253</v>
      </c>
      <c r="AB2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29" spans="2:28" x14ac:dyDescent="0.25">
      <c r="B29" s="28" t="s">
        <v>233</v>
      </c>
      <c r="C29" s="29">
        <v>46254</v>
      </c>
      <c r="D29" s="28" t="s">
        <v>114</v>
      </c>
      <c r="E29" s="39" t="s">
        <v>234</v>
      </c>
      <c r="F29" s="28" t="s">
        <v>130</v>
      </c>
      <c r="G29" s="28" t="s">
        <v>147</v>
      </c>
      <c r="H29" s="28" t="s">
        <v>157</v>
      </c>
      <c r="I29" s="28" t="s">
        <v>200</v>
      </c>
      <c r="J29" s="29">
        <v>46265</v>
      </c>
      <c r="K29" s="31">
        <v>4</v>
      </c>
      <c r="L29" s="31">
        <v>4</v>
      </c>
      <c r="M29" s="30">
        <v>90</v>
      </c>
      <c r="N29" s="30">
        <v>0</v>
      </c>
      <c r="O29" s="31">
        <v>0</v>
      </c>
      <c r="P29" s="40" t="str">
        <f>IF(tblWorkOrders[[#This Row],[WO no.]]="","",IFERROR(INDEX(tblAssets[Area],MATCH(tblWorkOrders[[#This Row],[Asset]],tblAssets[Asset ID],0)),""))</f>
        <v>Line 2</v>
      </c>
      <c r="Q29" s="40" t="str">
        <f>IF(tblWorkOrders[[#This Row],[WO no.]]="","",IFERROR(INDEX(tblWorkTypes[Category],MATCH(tblWorkOrders[[#This Row],[Work type]],tblWorkTypes[Work type],0)),""))</f>
        <v>Corrective</v>
      </c>
      <c r="R29" s="41">
        <f>IF(tblWorkOrders[[#This Row],[WO no.]]="","",IFERROR(INDEX(tblPriorities[Target (days)],MATCH(tblWorkOrders[[#This Row],[Priority]],tblPriorities[Priority],0)),""))</f>
        <v>14</v>
      </c>
      <c r="S29" s="42">
        <f>IF(tblWorkOrders[[#This Row],[WO no.]]="","",IF(tblWorkOrders[[#This Row],[Target (days)]]="","",tblWorkOrders[[#This Row],[Date raised]]+tblWorkOrders[[#This Row],[Target (days)]]))</f>
        <v>46268</v>
      </c>
      <c r="T29" s="41">
        <f>IF(tblWorkOrders[[#This Row],[WO no.]]="","",IF(OR(tblWorkOrders[[#This Row],[Status]]="Complete",tblWorkOrders[[#This Row],[Status]]="Cancelled"),0,1))</f>
        <v>0</v>
      </c>
      <c r="U29" s="41">
        <f>IF(tblWorkOrders[[#This Row],[WO no.]]="","",IF(tblWorkOrders[[#This Row],[Status]]="Cancelled","",IF(tblWorkOrders[[#This Row],[Open]]=1,AsOf-tblWorkOrders[[#This Row],[Date raised]],IF(tblWorkOrders[[#This Row],[Date completed]]="","",tblWorkOrders[[#This Row],[Date completed]]-tblWorkOrders[[#This Row],[Date raised]]))))</f>
        <v>11</v>
      </c>
      <c r="V29" s="43">
        <f>IF(tblWorkOrders[[#This Row],[WO no.]]="","",IF(tblWorkOrders[[#This Row],[Open]]=1,MAX(0,tblWorkOrders[[#This Row],[Estimated (h)]]-tblWorkOrders[[#This Row],[Actual (h)]]),0))</f>
        <v>0</v>
      </c>
      <c r="W29" s="44">
        <f>IF(tblWorkOrders[[#This Row],[WO no.]]="","",tblWorkOrders[[#This Row],[Actual (h)]]*LabourRate)</f>
        <v>192</v>
      </c>
      <c r="X29" s="44">
        <f>IF(tblWorkOrders[[#This Row],[WO no.]]="","",tblWorkOrders[[#This Row],[Labour cost]]+tblWorkOrders[[#This Row],[Parts cost]]+tblWorkOrders[[#This Row],[Contractor cost]])</f>
        <v>282</v>
      </c>
      <c r="Y29" s="45" t="str">
        <f>IF(tblWorkOrders[[#This Row],[WO no.]]="","",IF(tblWorkOrders[[#This Row],[Status]]="Cancelled","",IF(tblWorkOrders[[#This Row],[Open]]=0,"Complete",IF(tblWorkOrders[[#This Row],[Due date]]="","",IF(AsOf&gt;tblWorkOrders[[#This Row],[Due date]],"Overdue",IF(tblWorkOrders[[#This Row],[Due date]]-AsOf&lt;=DueSoonDays,"Due soon","OK"))))))</f>
        <v>Complete</v>
      </c>
      <c r="Z29" s="45" t="str">
        <f>IF(tblWorkOrders[[#This Row],[WO no.]]="","",IF(OR(tblWorkOrders[[#This Row],[Status]]&lt;&gt;"Complete",tblWorkOrders[[#This Row],[Date completed]]="",tblWorkOrders[[#This Row],[Due date]]=""),"",IF(tblWorkOrders[[#This Row],[Date completed]]&lt;=tblWorkOrders[[#This Row],[Due date]],"Yes","No")))</f>
        <v>Yes</v>
      </c>
      <c r="AA29" s="42">
        <f>IF(tblWorkOrders[[#This Row],[WO no.]]="","",IF(AND(tblWorkOrders[[#This Row],[Date raised]]&gt;=FFrom,tblWorkOrders[[#This Row],[Date raised]]&lt;=FTo),tblWorkOrders[[#This Row],[Date raised]],""))</f>
        <v>46254</v>
      </c>
      <c r="AB2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0" spans="2:28" x14ac:dyDescent="0.25">
      <c r="B30" s="28" t="s">
        <v>235</v>
      </c>
      <c r="C30" s="29">
        <v>46254</v>
      </c>
      <c r="D30" s="28" t="s">
        <v>111</v>
      </c>
      <c r="E30" s="39" t="s">
        <v>236</v>
      </c>
      <c r="F30" s="28" t="s">
        <v>130</v>
      </c>
      <c r="G30" s="28" t="s">
        <v>147</v>
      </c>
      <c r="H30" s="28" t="s">
        <v>155</v>
      </c>
      <c r="I30" s="28" t="s">
        <v>200</v>
      </c>
      <c r="J30" s="29">
        <v>46264</v>
      </c>
      <c r="K30" s="31">
        <v>6</v>
      </c>
      <c r="L30" s="31">
        <v>8</v>
      </c>
      <c r="M30" s="30">
        <v>220</v>
      </c>
      <c r="N30" s="30">
        <v>0</v>
      </c>
      <c r="O30" s="31">
        <v>0</v>
      </c>
      <c r="P30" s="40" t="str">
        <f>IF(tblWorkOrders[[#This Row],[WO no.]]="","",IFERROR(INDEX(tblAssets[Area],MATCH(tblWorkOrders[[#This Row],[Asset]],tblAssets[Asset ID],0)),""))</f>
        <v>Line 2</v>
      </c>
      <c r="Q30" s="40" t="str">
        <f>IF(tblWorkOrders[[#This Row],[WO no.]]="","",IFERROR(INDEX(tblWorkTypes[Category],MATCH(tblWorkOrders[[#This Row],[Work type]],tblWorkTypes[Work type],0)),""))</f>
        <v>Corrective</v>
      </c>
      <c r="R30" s="41">
        <f>IF(tblWorkOrders[[#This Row],[WO no.]]="","",IFERROR(INDEX(tblPriorities[Target (days)],MATCH(tblWorkOrders[[#This Row],[Priority]],tblPriorities[Priority],0)),""))</f>
        <v>14</v>
      </c>
      <c r="S30" s="42">
        <f>IF(tblWorkOrders[[#This Row],[WO no.]]="","",IF(tblWorkOrders[[#This Row],[Target (days)]]="","",tblWorkOrders[[#This Row],[Date raised]]+tblWorkOrders[[#This Row],[Target (days)]]))</f>
        <v>46268</v>
      </c>
      <c r="T30" s="41">
        <f>IF(tblWorkOrders[[#This Row],[WO no.]]="","",IF(OR(tblWorkOrders[[#This Row],[Status]]="Complete",tblWorkOrders[[#This Row],[Status]]="Cancelled"),0,1))</f>
        <v>0</v>
      </c>
      <c r="U30" s="41">
        <f>IF(tblWorkOrders[[#This Row],[WO no.]]="","",IF(tblWorkOrders[[#This Row],[Status]]="Cancelled","",IF(tblWorkOrders[[#This Row],[Open]]=1,AsOf-tblWorkOrders[[#This Row],[Date raised]],IF(tblWorkOrders[[#This Row],[Date completed]]="","",tblWorkOrders[[#This Row],[Date completed]]-tblWorkOrders[[#This Row],[Date raised]]))))</f>
        <v>10</v>
      </c>
      <c r="V30" s="43">
        <f>IF(tblWorkOrders[[#This Row],[WO no.]]="","",IF(tblWorkOrders[[#This Row],[Open]]=1,MAX(0,tblWorkOrders[[#This Row],[Estimated (h)]]-tblWorkOrders[[#This Row],[Actual (h)]]),0))</f>
        <v>0</v>
      </c>
      <c r="W30" s="44">
        <f>IF(tblWorkOrders[[#This Row],[WO no.]]="","",tblWorkOrders[[#This Row],[Actual (h)]]*LabourRate)</f>
        <v>384</v>
      </c>
      <c r="X30" s="44">
        <f>IF(tblWorkOrders[[#This Row],[WO no.]]="","",tblWorkOrders[[#This Row],[Labour cost]]+tblWorkOrders[[#This Row],[Parts cost]]+tblWorkOrders[[#This Row],[Contractor cost]])</f>
        <v>604</v>
      </c>
      <c r="Y30" s="45" t="str">
        <f>IF(tblWorkOrders[[#This Row],[WO no.]]="","",IF(tblWorkOrders[[#This Row],[Status]]="Cancelled","",IF(tblWorkOrders[[#This Row],[Open]]=0,"Complete",IF(tblWorkOrders[[#This Row],[Due date]]="","",IF(AsOf&gt;tblWorkOrders[[#This Row],[Due date]],"Overdue",IF(tblWorkOrders[[#This Row],[Due date]]-AsOf&lt;=DueSoonDays,"Due soon","OK"))))))</f>
        <v>Complete</v>
      </c>
      <c r="Z30" s="45" t="str">
        <f>IF(tblWorkOrders[[#This Row],[WO no.]]="","",IF(OR(tblWorkOrders[[#This Row],[Status]]&lt;&gt;"Complete",tblWorkOrders[[#This Row],[Date completed]]="",tblWorkOrders[[#This Row],[Due date]]=""),"",IF(tblWorkOrders[[#This Row],[Date completed]]&lt;=tblWorkOrders[[#This Row],[Due date]],"Yes","No")))</f>
        <v>Yes</v>
      </c>
      <c r="AA30" s="42">
        <f>IF(tblWorkOrders[[#This Row],[WO no.]]="","",IF(AND(tblWorkOrders[[#This Row],[Date raised]]&gt;=FFrom,tblWorkOrders[[#This Row],[Date raised]]&lt;=FTo),tblWorkOrders[[#This Row],[Date raised]],""))</f>
        <v>46254</v>
      </c>
      <c r="AB3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1" spans="2:28" x14ac:dyDescent="0.25">
      <c r="B31" s="28" t="s">
        <v>237</v>
      </c>
      <c r="C31" s="29">
        <v>46254</v>
      </c>
      <c r="D31" s="28" t="s">
        <v>109</v>
      </c>
      <c r="E31" s="39" t="s">
        <v>238</v>
      </c>
      <c r="F31" s="28" t="s">
        <v>133</v>
      </c>
      <c r="G31" s="28" t="s">
        <v>147</v>
      </c>
      <c r="H31" s="28" t="s">
        <v>157</v>
      </c>
      <c r="I31" s="28" t="s">
        <v>200</v>
      </c>
      <c r="J31" s="29">
        <v>46255</v>
      </c>
      <c r="K31" s="31">
        <v>2</v>
      </c>
      <c r="L31" s="31">
        <v>2</v>
      </c>
      <c r="M31" s="30">
        <v>30</v>
      </c>
      <c r="N31" s="30">
        <v>0</v>
      </c>
      <c r="O31" s="31">
        <v>0</v>
      </c>
      <c r="P31" s="40" t="str">
        <f>IF(tblWorkOrders[[#This Row],[WO no.]]="","",IFERROR(INDEX(tblAssets[Area],MATCH(tblWorkOrders[[#This Row],[Asset]],tblAssets[Asset ID],0)),""))</f>
        <v>Line 1</v>
      </c>
      <c r="Q31" s="40" t="str">
        <f>IF(tblWorkOrders[[#This Row],[WO no.]]="","",IFERROR(INDEX(tblWorkTypes[Category],MATCH(tblWorkOrders[[#This Row],[Work type]],tblWorkTypes[Work type],0)),""))</f>
        <v>Planned</v>
      </c>
      <c r="R31" s="41">
        <f>IF(tblWorkOrders[[#This Row],[WO no.]]="","",IFERROR(INDEX(tblPriorities[Target (days)],MATCH(tblWorkOrders[[#This Row],[Priority]],tblPriorities[Priority],0)),""))</f>
        <v>14</v>
      </c>
      <c r="S31" s="42">
        <f>IF(tblWorkOrders[[#This Row],[WO no.]]="","",IF(tblWorkOrders[[#This Row],[Target (days)]]="","",tblWorkOrders[[#This Row],[Date raised]]+tblWorkOrders[[#This Row],[Target (days)]]))</f>
        <v>46268</v>
      </c>
      <c r="T31" s="41">
        <f>IF(tblWorkOrders[[#This Row],[WO no.]]="","",IF(OR(tblWorkOrders[[#This Row],[Status]]="Complete",tblWorkOrders[[#This Row],[Status]]="Cancelled"),0,1))</f>
        <v>0</v>
      </c>
      <c r="U31" s="41">
        <f>IF(tblWorkOrders[[#This Row],[WO no.]]="","",IF(tblWorkOrders[[#This Row],[Status]]="Cancelled","",IF(tblWorkOrders[[#This Row],[Open]]=1,AsOf-tblWorkOrders[[#This Row],[Date raised]],IF(tblWorkOrders[[#This Row],[Date completed]]="","",tblWorkOrders[[#This Row],[Date completed]]-tblWorkOrders[[#This Row],[Date raised]]))))</f>
        <v>1</v>
      </c>
      <c r="V31" s="43">
        <f>IF(tblWorkOrders[[#This Row],[WO no.]]="","",IF(tblWorkOrders[[#This Row],[Open]]=1,MAX(0,tblWorkOrders[[#This Row],[Estimated (h)]]-tblWorkOrders[[#This Row],[Actual (h)]]),0))</f>
        <v>0</v>
      </c>
      <c r="W31" s="44">
        <f>IF(tblWorkOrders[[#This Row],[WO no.]]="","",tblWorkOrders[[#This Row],[Actual (h)]]*LabourRate)</f>
        <v>96</v>
      </c>
      <c r="X31" s="44">
        <f>IF(tblWorkOrders[[#This Row],[WO no.]]="","",tblWorkOrders[[#This Row],[Labour cost]]+tblWorkOrders[[#This Row],[Parts cost]]+tblWorkOrders[[#This Row],[Contractor cost]])</f>
        <v>126</v>
      </c>
      <c r="Y31" s="45" t="str">
        <f>IF(tblWorkOrders[[#This Row],[WO no.]]="","",IF(tblWorkOrders[[#This Row],[Status]]="Cancelled","",IF(tblWorkOrders[[#This Row],[Open]]=0,"Complete",IF(tblWorkOrders[[#This Row],[Due date]]="","",IF(AsOf&gt;tblWorkOrders[[#This Row],[Due date]],"Overdue",IF(tblWorkOrders[[#This Row],[Due date]]-AsOf&lt;=DueSoonDays,"Due soon","OK"))))))</f>
        <v>Complete</v>
      </c>
      <c r="Z31" s="45" t="str">
        <f>IF(tblWorkOrders[[#This Row],[WO no.]]="","",IF(OR(tblWorkOrders[[#This Row],[Status]]&lt;&gt;"Complete",tblWorkOrders[[#This Row],[Date completed]]="",tblWorkOrders[[#This Row],[Due date]]=""),"",IF(tblWorkOrders[[#This Row],[Date completed]]&lt;=tblWorkOrders[[#This Row],[Due date]],"Yes","No")))</f>
        <v>Yes</v>
      </c>
      <c r="AA31" s="42">
        <f>IF(tblWorkOrders[[#This Row],[WO no.]]="","",IF(AND(tblWorkOrders[[#This Row],[Date raised]]&gt;=FFrom,tblWorkOrders[[#This Row],[Date raised]]&lt;=FTo),tblWorkOrders[[#This Row],[Date raised]],""))</f>
        <v>46254</v>
      </c>
      <c r="AB3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2" spans="2:28" x14ac:dyDescent="0.25">
      <c r="B32" s="28" t="s">
        <v>239</v>
      </c>
      <c r="C32" s="29">
        <v>46254</v>
      </c>
      <c r="D32" s="28" t="s">
        <v>97</v>
      </c>
      <c r="E32" s="39" t="s">
        <v>228</v>
      </c>
      <c r="F32" s="28" t="s">
        <v>133</v>
      </c>
      <c r="G32" s="28" t="s">
        <v>147</v>
      </c>
      <c r="H32" s="28" t="s">
        <v>157</v>
      </c>
      <c r="I32" s="28" t="s">
        <v>200</v>
      </c>
      <c r="J32" s="29">
        <v>46260</v>
      </c>
      <c r="K32" s="31">
        <v>2.5</v>
      </c>
      <c r="L32" s="31">
        <v>3</v>
      </c>
      <c r="M32" s="30">
        <v>30</v>
      </c>
      <c r="N32" s="30">
        <v>0</v>
      </c>
      <c r="O32" s="31">
        <v>0</v>
      </c>
      <c r="P32" s="40" t="str">
        <f>IF(tblWorkOrders[[#This Row],[WO no.]]="","",IFERROR(INDEX(tblAssets[Area],MATCH(tblWorkOrders[[#This Row],[Asset]],tblAssets[Asset ID],0)),""))</f>
        <v>Processing</v>
      </c>
      <c r="Q32" s="40" t="str">
        <f>IF(tblWorkOrders[[#This Row],[WO no.]]="","",IFERROR(INDEX(tblWorkTypes[Category],MATCH(tblWorkOrders[[#This Row],[Work type]],tblWorkTypes[Work type],0)),""))</f>
        <v>Planned</v>
      </c>
      <c r="R32" s="41">
        <f>IF(tblWorkOrders[[#This Row],[WO no.]]="","",IFERROR(INDEX(tblPriorities[Target (days)],MATCH(tblWorkOrders[[#This Row],[Priority]],tblPriorities[Priority],0)),""))</f>
        <v>14</v>
      </c>
      <c r="S32" s="42">
        <f>IF(tblWorkOrders[[#This Row],[WO no.]]="","",IF(tblWorkOrders[[#This Row],[Target (days)]]="","",tblWorkOrders[[#This Row],[Date raised]]+tblWorkOrders[[#This Row],[Target (days)]]))</f>
        <v>46268</v>
      </c>
      <c r="T32" s="41">
        <f>IF(tblWorkOrders[[#This Row],[WO no.]]="","",IF(OR(tblWorkOrders[[#This Row],[Status]]="Complete",tblWorkOrders[[#This Row],[Status]]="Cancelled"),0,1))</f>
        <v>0</v>
      </c>
      <c r="U32" s="41">
        <f>IF(tblWorkOrders[[#This Row],[WO no.]]="","",IF(tblWorkOrders[[#This Row],[Status]]="Cancelled","",IF(tblWorkOrders[[#This Row],[Open]]=1,AsOf-tblWorkOrders[[#This Row],[Date raised]],IF(tblWorkOrders[[#This Row],[Date completed]]="","",tblWorkOrders[[#This Row],[Date completed]]-tblWorkOrders[[#This Row],[Date raised]]))))</f>
        <v>6</v>
      </c>
      <c r="V32" s="43">
        <f>IF(tblWorkOrders[[#This Row],[WO no.]]="","",IF(tblWorkOrders[[#This Row],[Open]]=1,MAX(0,tblWorkOrders[[#This Row],[Estimated (h)]]-tblWorkOrders[[#This Row],[Actual (h)]]),0))</f>
        <v>0</v>
      </c>
      <c r="W32" s="44">
        <f>IF(tblWorkOrders[[#This Row],[WO no.]]="","",tblWorkOrders[[#This Row],[Actual (h)]]*LabourRate)</f>
        <v>144</v>
      </c>
      <c r="X32" s="44">
        <f>IF(tblWorkOrders[[#This Row],[WO no.]]="","",tblWorkOrders[[#This Row],[Labour cost]]+tblWorkOrders[[#This Row],[Parts cost]]+tblWorkOrders[[#This Row],[Contractor cost]])</f>
        <v>174</v>
      </c>
      <c r="Y32" s="45" t="str">
        <f>IF(tblWorkOrders[[#This Row],[WO no.]]="","",IF(tblWorkOrders[[#This Row],[Status]]="Cancelled","",IF(tblWorkOrders[[#This Row],[Open]]=0,"Complete",IF(tblWorkOrders[[#This Row],[Due date]]="","",IF(AsOf&gt;tblWorkOrders[[#This Row],[Due date]],"Overdue",IF(tblWorkOrders[[#This Row],[Due date]]-AsOf&lt;=DueSoonDays,"Due soon","OK"))))))</f>
        <v>Complete</v>
      </c>
      <c r="Z32" s="45" t="str">
        <f>IF(tblWorkOrders[[#This Row],[WO no.]]="","",IF(OR(tblWorkOrders[[#This Row],[Status]]&lt;&gt;"Complete",tblWorkOrders[[#This Row],[Date completed]]="",tblWorkOrders[[#This Row],[Due date]]=""),"",IF(tblWorkOrders[[#This Row],[Date completed]]&lt;=tblWorkOrders[[#This Row],[Due date]],"Yes","No")))</f>
        <v>Yes</v>
      </c>
      <c r="AA32" s="42">
        <f>IF(tblWorkOrders[[#This Row],[WO no.]]="","",IF(AND(tblWorkOrders[[#This Row],[Date raised]]&gt;=FFrom,tblWorkOrders[[#This Row],[Date raised]]&lt;=FTo),tblWorkOrders[[#This Row],[Date raised]],""))</f>
        <v>46254</v>
      </c>
      <c r="AB3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3" spans="2:28" x14ac:dyDescent="0.25">
      <c r="B33" s="28" t="s">
        <v>240</v>
      </c>
      <c r="C33" s="29">
        <v>46255</v>
      </c>
      <c r="D33" s="28" t="s">
        <v>104</v>
      </c>
      <c r="E33" s="39" t="s">
        <v>226</v>
      </c>
      <c r="F33" s="28" t="s">
        <v>127</v>
      </c>
      <c r="G33" s="28" t="s">
        <v>143</v>
      </c>
      <c r="H33" s="28" t="s">
        <v>155</v>
      </c>
      <c r="I33" s="28" t="s">
        <v>200</v>
      </c>
      <c r="J33" s="29">
        <v>46256</v>
      </c>
      <c r="K33" s="31">
        <v>5</v>
      </c>
      <c r="L33" s="31">
        <v>5.5</v>
      </c>
      <c r="M33" s="30">
        <v>416</v>
      </c>
      <c r="N33" s="30">
        <v>0</v>
      </c>
      <c r="O33" s="31">
        <v>5</v>
      </c>
      <c r="P33" s="40" t="str">
        <f>IF(tblWorkOrders[[#This Row],[WO no.]]="","",IFERROR(INDEX(tblAssets[Area],MATCH(tblWorkOrders[[#This Row],[Asset]],tblAssets[Asset ID],0)),""))</f>
        <v>Line 1</v>
      </c>
      <c r="Q33" s="40" t="str">
        <f>IF(tblWorkOrders[[#This Row],[WO no.]]="","",IFERROR(INDEX(tblWorkTypes[Category],MATCH(tblWorkOrders[[#This Row],[Work type]],tblWorkTypes[Work type],0)),""))</f>
        <v>Emergency</v>
      </c>
      <c r="R33" s="41">
        <f>IF(tblWorkOrders[[#This Row],[WO no.]]="","",IFERROR(INDEX(tblPriorities[Target (days)],MATCH(tblWorkOrders[[#This Row],[Priority]],tblPriorities[Priority],0)),""))</f>
        <v>1</v>
      </c>
      <c r="S33" s="42">
        <f>IF(tblWorkOrders[[#This Row],[WO no.]]="","",IF(tblWorkOrders[[#This Row],[Target (days)]]="","",tblWorkOrders[[#This Row],[Date raised]]+tblWorkOrders[[#This Row],[Target (days)]]))</f>
        <v>46256</v>
      </c>
      <c r="T33" s="41">
        <f>IF(tblWorkOrders[[#This Row],[WO no.]]="","",IF(OR(tblWorkOrders[[#This Row],[Status]]="Complete",tblWorkOrders[[#This Row],[Status]]="Cancelled"),0,1))</f>
        <v>0</v>
      </c>
      <c r="U33" s="41">
        <f>IF(tblWorkOrders[[#This Row],[WO no.]]="","",IF(tblWorkOrders[[#This Row],[Status]]="Cancelled","",IF(tblWorkOrders[[#This Row],[Open]]=1,AsOf-tblWorkOrders[[#This Row],[Date raised]],IF(tblWorkOrders[[#This Row],[Date completed]]="","",tblWorkOrders[[#This Row],[Date completed]]-tblWorkOrders[[#This Row],[Date raised]]))))</f>
        <v>1</v>
      </c>
      <c r="V33" s="43">
        <f>IF(tblWorkOrders[[#This Row],[WO no.]]="","",IF(tblWorkOrders[[#This Row],[Open]]=1,MAX(0,tblWorkOrders[[#This Row],[Estimated (h)]]-tblWorkOrders[[#This Row],[Actual (h)]]),0))</f>
        <v>0</v>
      </c>
      <c r="W33" s="44">
        <f>IF(tblWorkOrders[[#This Row],[WO no.]]="","",tblWorkOrders[[#This Row],[Actual (h)]]*LabourRate)</f>
        <v>264</v>
      </c>
      <c r="X33" s="44">
        <f>IF(tblWorkOrders[[#This Row],[WO no.]]="","",tblWorkOrders[[#This Row],[Labour cost]]+tblWorkOrders[[#This Row],[Parts cost]]+tblWorkOrders[[#This Row],[Contractor cost]])</f>
        <v>680</v>
      </c>
      <c r="Y33" s="45" t="str">
        <f>IF(tblWorkOrders[[#This Row],[WO no.]]="","",IF(tblWorkOrders[[#This Row],[Status]]="Cancelled","",IF(tblWorkOrders[[#This Row],[Open]]=0,"Complete",IF(tblWorkOrders[[#This Row],[Due date]]="","",IF(AsOf&gt;tblWorkOrders[[#This Row],[Due date]],"Overdue",IF(tblWorkOrders[[#This Row],[Due date]]-AsOf&lt;=DueSoonDays,"Due soon","OK"))))))</f>
        <v>Complete</v>
      </c>
      <c r="Z33" s="45" t="str">
        <f>IF(tblWorkOrders[[#This Row],[WO no.]]="","",IF(OR(tblWorkOrders[[#This Row],[Status]]&lt;&gt;"Complete",tblWorkOrders[[#This Row],[Date completed]]="",tblWorkOrders[[#This Row],[Due date]]=""),"",IF(tblWorkOrders[[#This Row],[Date completed]]&lt;=tblWorkOrders[[#This Row],[Due date]],"Yes","No")))</f>
        <v>Yes</v>
      </c>
      <c r="AA33" s="42">
        <f>IF(tblWorkOrders[[#This Row],[WO no.]]="","",IF(AND(tblWorkOrders[[#This Row],[Date raised]]&gt;=FFrom,tblWorkOrders[[#This Row],[Date raised]]&lt;=FTo),tblWorkOrders[[#This Row],[Date raised]],""))</f>
        <v>46255</v>
      </c>
      <c r="AB3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4" spans="2:28" x14ac:dyDescent="0.25">
      <c r="B34" s="28" t="s">
        <v>241</v>
      </c>
      <c r="C34" s="29">
        <v>46258</v>
      </c>
      <c r="D34" s="28" t="s">
        <v>119</v>
      </c>
      <c r="E34" s="39" t="s">
        <v>242</v>
      </c>
      <c r="F34" s="28" t="s">
        <v>138</v>
      </c>
      <c r="G34" s="28" t="s">
        <v>147</v>
      </c>
      <c r="H34" s="28" t="s">
        <v>157</v>
      </c>
      <c r="I34" s="28" t="s">
        <v>200</v>
      </c>
      <c r="J34" s="29">
        <v>46268</v>
      </c>
      <c r="K34" s="31">
        <v>12</v>
      </c>
      <c r="L34" s="31">
        <v>12</v>
      </c>
      <c r="M34" s="30">
        <v>180</v>
      </c>
      <c r="N34" s="30">
        <v>0</v>
      </c>
      <c r="O34" s="31">
        <v>0</v>
      </c>
      <c r="P34" s="40" t="str">
        <f>IF(tblWorkOrders[[#This Row],[WO no.]]="","",IFERROR(INDEX(tblAssets[Area],MATCH(tblWorkOrders[[#This Row],[Asset]],tblAssets[Asset ID],0)),""))</f>
        <v>Utilities</v>
      </c>
      <c r="Q34" s="40" t="str">
        <f>IF(tblWorkOrders[[#This Row],[WO no.]]="","",IFERROR(INDEX(tblWorkTypes[Category],MATCH(tblWorkOrders[[#This Row],[Work type]],tblWorkTypes[Work type],0)),""))</f>
        <v>Planned</v>
      </c>
      <c r="R34" s="41">
        <f>IF(tblWorkOrders[[#This Row],[WO no.]]="","",IFERROR(INDEX(tblPriorities[Target (days)],MATCH(tblWorkOrders[[#This Row],[Priority]],tblPriorities[Priority],0)),""))</f>
        <v>14</v>
      </c>
      <c r="S34" s="42">
        <f>IF(tblWorkOrders[[#This Row],[WO no.]]="","",IF(tblWorkOrders[[#This Row],[Target (days)]]="","",tblWorkOrders[[#This Row],[Date raised]]+tblWorkOrders[[#This Row],[Target (days)]]))</f>
        <v>46272</v>
      </c>
      <c r="T34" s="41">
        <f>IF(tblWorkOrders[[#This Row],[WO no.]]="","",IF(OR(tblWorkOrders[[#This Row],[Status]]="Complete",tblWorkOrders[[#This Row],[Status]]="Cancelled"),0,1))</f>
        <v>0</v>
      </c>
      <c r="U34" s="41">
        <f>IF(tblWorkOrders[[#This Row],[WO no.]]="","",IF(tblWorkOrders[[#This Row],[Status]]="Cancelled","",IF(tblWorkOrders[[#This Row],[Open]]=1,AsOf-tblWorkOrders[[#This Row],[Date raised]],IF(tblWorkOrders[[#This Row],[Date completed]]="","",tblWorkOrders[[#This Row],[Date completed]]-tblWorkOrders[[#This Row],[Date raised]]))))</f>
        <v>10</v>
      </c>
      <c r="V34" s="43">
        <f>IF(tblWorkOrders[[#This Row],[WO no.]]="","",IF(tblWorkOrders[[#This Row],[Open]]=1,MAX(0,tblWorkOrders[[#This Row],[Estimated (h)]]-tblWorkOrders[[#This Row],[Actual (h)]]),0))</f>
        <v>0</v>
      </c>
      <c r="W34" s="44">
        <f>IF(tblWorkOrders[[#This Row],[WO no.]]="","",tblWorkOrders[[#This Row],[Actual (h)]]*LabourRate)</f>
        <v>576</v>
      </c>
      <c r="X34" s="44">
        <f>IF(tblWorkOrders[[#This Row],[WO no.]]="","",tblWorkOrders[[#This Row],[Labour cost]]+tblWorkOrders[[#This Row],[Parts cost]]+tblWorkOrders[[#This Row],[Contractor cost]])</f>
        <v>756</v>
      </c>
      <c r="Y34" s="45" t="str">
        <f>IF(tblWorkOrders[[#This Row],[WO no.]]="","",IF(tblWorkOrders[[#This Row],[Status]]="Cancelled","",IF(tblWorkOrders[[#This Row],[Open]]=0,"Complete",IF(tblWorkOrders[[#This Row],[Due date]]="","",IF(AsOf&gt;tblWorkOrders[[#This Row],[Due date]],"Overdue",IF(tblWorkOrders[[#This Row],[Due date]]-AsOf&lt;=DueSoonDays,"Due soon","OK"))))))</f>
        <v>Complete</v>
      </c>
      <c r="Z34" s="45" t="str">
        <f>IF(tblWorkOrders[[#This Row],[WO no.]]="","",IF(OR(tblWorkOrders[[#This Row],[Status]]&lt;&gt;"Complete",tblWorkOrders[[#This Row],[Date completed]]="",tblWorkOrders[[#This Row],[Due date]]=""),"",IF(tblWorkOrders[[#This Row],[Date completed]]&lt;=tblWorkOrders[[#This Row],[Due date]],"Yes","No")))</f>
        <v>Yes</v>
      </c>
      <c r="AA34" s="42">
        <f>IF(tblWorkOrders[[#This Row],[WO no.]]="","",IF(AND(tblWorkOrders[[#This Row],[Date raised]]&gt;=FFrom,tblWorkOrders[[#This Row],[Date raised]]&lt;=FTo),tblWorkOrders[[#This Row],[Date raised]],""))</f>
        <v>46258</v>
      </c>
      <c r="AB3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5" spans="2:28" x14ac:dyDescent="0.25">
      <c r="B35" s="28" t="s">
        <v>243</v>
      </c>
      <c r="C35" s="29">
        <v>46258</v>
      </c>
      <c r="D35" s="28" t="s">
        <v>107</v>
      </c>
      <c r="E35" s="39" t="s">
        <v>210</v>
      </c>
      <c r="F35" s="28" t="s">
        <v>133</v>
      </c>
      <c r="G35" s="28" t="s">
        <v>147</v>
      </c>
      <c r="H35" s="28" t="s">
        <v>155</v>
      </c>
      <c r="I35" s="28" t="s">
        <v>200</v>
      </c>
      <c r="J35" s="29">
        <v>46261</v>
      </c>
      <c r="K35" s="31">
        <v>2</v>
      </c>
      <c r="L35" s="31">
        <v>2</v>
      </c>
      <c r="M35" s="30">
        <v>0</v>
      </c>
      <c r="N35" s="30">
        <v>0</v>
      </c>
      <c r="O35" s="31">
        <v>0</v>
      </c>
      <c r="P35" s="40" t="str">
        <f>IF(tblWorkOrders[[#This Row],[WO no.]]="","",IFERROR(INDEX(tblAssets[Area],MATCH(tblWorkOrders[[#This Row],[Asset]],tblAssets[Asset ID],0)),""))</f>
        <v>Line 1</v>
      </c>
      <c r="Q35" s="40" t="str">
        <f>IF(tblWorkOrders[[#This Row],[WO no.]]="","",IFERROR(INDEX(tblWorkTypes[Category],MATCH(tblWorkOrders[[#This Row],[Work type]],tblWorkTypes[Work type],0)),""))</f>
        <v>Planned</v>
      </c>
      <c r="R35" s="41">
        <f>IF(tblWorkOrders[[#This Row],[WO no.]]="","",IFERROR(INDEX(tblPriorities[Target (days)],MATCH(tblWorkOrders[[#This Row],[Priority]],tblPriorities[Priority],0)),""))</f>
        <v>14</v>
      </c>
      <c r="S35" s="42">
        <f>IF(tblWorkOrders[[#This Row],[WO no.]]="","",IF(tblWorkOrders[[#This Row],[Target (days)]]="","",tblWorkOrders[[#This Row],[Date raised]]+tblWorkOrders[[#This Row],[Target (days)]]))</f>
        <v>46272</v>
      </c>
      <c r="T35" s="41">
        <f>IF(tblWorkOrders[[#This Row],[WO no.]]="","",IF(OR(tblWorkOrders[[#This Row],[Status]]="Complete",tblWorkOrders[[#This Row],[Status]]="Cancelled"),0,1))</f>
        <v>0</v>
      </c>
      <c r="U35" s="41">
        <f>IF(tblWorkOrders[[#This Row],[WO no.]]="","",IF(tblWorkOrders[[#This Row],[Status]]="Cancelled","",IF(tblWorkOrders[[#This Row],[Open]]=1,AsOf-tblWorkOrders[[#This Row],[Date raised]],IF(tblWorkOrders[[#This Row],[Date completed]]="","",tblWorkOrders[[#This Row],[Date completed]]-tblWorkOrders[[#This Row],[Date raised]]))))</f>
        <v>3</v>
      </c>
      <c r="V35" s="43">
        <f>IF(tblWorkOrders[[#This Row],[WO no.]]="","",IF(tblWorkOrders[[#This Row],[Open]]=1,MAX(0,tblWorkOrders[[#This Row],[Estimated (h)]]-tblWorkOrders[[#This Row],[Actual (h)]]),0))</f>
        <v>0</v>
      </c>
      <c r="W35" s="44">
        <f>IF(tblWorkOrders[[#This Row],[WO no.]]="","",tblWorkOrders[[#This Row],[Actual (h)]]*LabourRate)</f>
        <v>96</v>
      </c>
      <c r="X35" s="44">
        <f>IF(tblWorkOrders[[#This Row],[WO no.]]="","",tblWorkOrders[[#This Row],[Labour cost]]+tblWorkOrders[[#This Row],[Parts cost]]+tblWorkOrders[[#This Row],[Contractor cost]])</f>
        <v>96</v>
      </c>
      <c r="Y35" s="45" t="str">
        <f>IF(tblWorkOrders[[#This Row],[WO no.]]="","",IF(tblWorkOrders[[#This Row],[Status]]="Cancelled","",IF(tblWorkOrders[[#This Row],[Open]]=0,"Complete",IF(tblWorkOrders[[#This Row],[Due date]]="","",IF(AsOf&gt;tblWorkOrders[[#This Row],[Due date]],"Overdue",IF(tblWorkOrders[[#This Row],[Due date]]-AsOf&lt;=DueSoonDays,"Due soon","OK"))))))</f>
        <v>Complete</v>
      </c>
      <c r="Z35" s="45" t="str">
        <f>IF(tblWorkOrders[[#This Row],[WO no.]]="","",IF(OR(tblWorkOrders[[#This Row],[Status]]&lt;&gt;"Complete",tblWorkOrders[[#This Row],[Date completed]]="",tblWorkOrders[[#This Row],[Due date]]=""),"",IF(tblWorkOrders[[#This Row],[Date completed]]&lt;=tblWorkOrders[[#This Row],[Due date]],"Yes","No")))</f>
        <v>Yes</v>
      </c>
      <c r="AA35" s="42">
        <f>IF(tblWorkOrders[[#This Row],[WO no.]]="","",IF(AND(tblWorkOrders[[#This Row],[Date raised]]&gt;=FFrom,tblWorkOrders[[#This Row],[Date raised]]&lt;=FTo),tblWorkOrders[[#This Row],[Date raised]],""))</f>
        <v>46258</v>
      </c>
      <c r="AB3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6" spans="2:28" x14ac:dyDescent="0.25">
      <c r="B36" s="28" t="s">
        <v>244</v>
      </c>
      <c r="C36" s="29">
        <v>46258</v>
      </c>
      <c r="D36" s="28" t="s">
        <v>114</v>
      </c>
      <c r="E36" s="39" t="s">
        <v>234</v>
      </c>
      <c r="F36" s="28" t="s">
        <v>127</v>
      </c>
      <c r="G36" s="28" t="s">
        <v>143</v>
      </c>
      <c r="H36" s="28" t="s">
        <v>155</v>
      </c>
      <c r="I36" s="28" t="s">
        <v>200</v>
      </c>
      <c r="J36" s="29">
        <v>46259</v>
      </c>
      <c r="K36" s="31">
        <v>5</v>
      </c>
      <c r="L36" s="31">
        <v>6.5</v>
      </c>
      <c r="M36" s="30">
        <v>120</v>
      </c>
      <c r="N36" s="30">
        <v>0</v>
      </c>
      <c r="O36" s="31">
        <v>7</v>
      </c>
      <c r="P36" s="40" t="str">
        <f>IF(tblWorkOrders[[#This Row],[WO no.]]="","",IFERROR(INDEX(tblAssets[Area],MATCH(tblWorkOrders[[#This Row],[Asset]],tblAssets[Asset ID],0)),""))</f>
        <v>Line 2</v>
      </c>
      <c r="Q36" s="40" t="str">
        <f>IF(tblWorkOrders[[#This Row],[WO no.]]="","",IFERROR(INDEX(tblWorkTypes[Category],MATCH(tblWorkOrders[[#This Row],[Work type]],tblWorkTypes[Work type],0)),""))</f>
        <v>Emergency</v>
      </c>
      <c r="R36" s="41">
        <f>IF(tblWorkOrders[[#This Row],[WO no.]]="","",IFERROR(INDEX(tblPriorities[Target (days)],MATCH(tblWorkOrders[[#This Row],[Priority]],tblPriorities[Priority],0)),""))</f>
        <v>1</v>
      </c>
      <c r="S36" s="42">
        <f>IF(tblWorkOrders[[#This Row],[WO no.]]="","",IF(tblWorkOrders[[#This Row],[Target (days)]]="","",tblWorkOrders[[#This Row],[Date raised]]+tblWorkOrders[[#This Row],[Target (days)]]))</f>
        <v>46259</v>
      </c>
      <c r="T36" s="41">
        <f>IF(tblWorkOrders[[#This Row],[WO no.]]="","",IF(OR(tblWorkOrders[[#This Row],[Status]]="Complete",tblWorkOrders[[#This Row],[Status]]="Cancelled"),0,1))</f>
        <v>0</v>
      </c>
      <c r="U36" s="41">
        <f>IF(tblWorkOrders[[#This Row],[WO no.]]="","",IF(tblWorkOrders[[#This Row],[Status]]="Cancelled","",IF(tblWorkOrders[[#This Row],[Open]]=1,AsOf-tblWorkOrders[[#This Row],[Date raised]],IF(tblWorkOrders[[#This Row],[Date completed]]="","",tblWorkOrders[[#This Row],[Date completed]]-tblWorkOrders[[#This Row],[Date raised]]))))</f>
        <v>1</v>
      </c>
      <c r="V36" s="43">
        <f>IF(tblWorkOrders[[#This Row],[WO no.]]="","",IF(tblWorkOrders[[#This Row],[Open]]=1,MAX(0,tblWorkOrders[[#This Row],[Estimated (h)]]-tblWorkOrders[[#This Row],[Actual (h)]]),0))</f>
        <v>0</v>
      </c>
      <c r="W36" s="44">
        <f>IF(tblWorkOrders[[#This Row],[WO no.]]="","",tblWorkOrders[[#This Row],[Actual (h)]]*LabourRate)</f>
        <v>312</v>
      </c>
      <c r="X36" s="44">
        <f>IF(tblWorkOrders[[#This Row],[WO no.]]="","",tblWorkOrders[[#This Row],[Labour cost]]+tblWorkOrders[[#This Row],[Parts cost]]+tblWorkOrders[[#This Row],[Contractor cost]])</f>
        <v>432</v>
      </c>
      <c r="Y36" s="45" t="str">
        <f>IF(tblWorkOrders[[#This Row],[WO no.]]="","",IF(tblWorkOrders[[#This Row],[Status]]="Cancelled","",IF(tblWorkOrders[[#This Row],[Open]]=0,"Complete",IF(tblWorkOrders[[#This Row],[Due date]]="","",IF(AsOf&gt;tblWorkOrders[[#This Row],[Due date]],"Overdue",IF(tblWorkOrders[[#This Row],[Due date]]-AsOf&lt;=DueSoonDays,"Due soon","OK"))))))</f>
        <v>Complete</v>
      </c>
      <c r="Z36" s="45" t="str">
        <f>IF(tblWorkOrders[[#This Row],[WO no.]]="","",IF(OR(tblWorkOrders[[#This Row],[Status]]&lt;&gt;"Complete",tblWorkOrders[[#This Row],[Date completed]]="",tblWorkOrders[[#This Row],[Due date]]=""),"",IF(tblWorkOrders[[#This Row],[Date completed]]&lt;=tblWorkOrders[[#This Row],[Due date]],"Yes","No")))</f>
        <v>Yes</v>
      </c>
      <c r="AA36" s="42">
        <f>IF(tblWorkOrders[[#This Row],[WO no.]]="","",IF(AND(tblWorkOrders[[#This Row],[Date raised]]&gt;=FFrom,tblWorkOrders[[#This Row],[Date raised]]&lt;=FTo),tblWorkOrders[[#This Row],[Date raised]],""))</f>
        <v>46258</v>
      </c>
      <c r="AB3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7" spans="2:28" x14ac:dyDescent="0.25">
      <c r="B37" s="28" t="s">
        <v>245</v>
      </c>
      <c r="C37" s="29">
        <v>46258</v>
      </c>
      <c r="D37" s="28" t="s">
        <v>104</v>
      </c>
      <c r="E37" s="39" t="s">
        <v>212</v>
      </c>
      <c r="F37" s="28" t="s">
        <v>133</v>
      </c>
      <c r="G37" s="28" t="s">
        <v>147</v>
      </c>
      <c r="H37" s="28" t="s">
        <v>152</v>
      </c>
      <c r="I37" s="28" t="s">
        <v>200</v>
      </c>
      <c r="J37" s="29">
        <v>46261</v>
      </c>
      <c r="K37" s="31">
        <v>4</v>
      </c>
      <c r="L37" s="31">
        <v>4</v>
      </c>
      <c r="M37" s="30">
        <v>25</v>
      </c>
      <c r="N37" s="30">
        <v>0</v>
      </c>
      <c r="O37" s="31">
        <v>0</v>
      </c>
      <c r="P37" s="40" t="str">
        <f>IF(tblWorkOrders[[#This Row],[WO no.]]="","",IFERROR(INDEX(tblAssets[Area],MATCH(tblWorkOrders[[#This Row],[Asset]],tblAssets[Asset ID],0)),""))</f>
        <v>Line 1</v>
      </c>
      <c r="Q37" s="40" t="str">
        <f>IF(tblWorkOrders[[#This Row],[WO no.]]="","",IFERROR(INDEX(tblWorkTypes[Category],MATCH(tblWorkOrders[[#This Row],[Work type]],tblWorkTypes[Work type],0)),""))</f>
        <v>Planned</v>
      </c>
      <c r="R37" s="41">
        <f>IF(tblWorkOrders[[#This Row],[WO no.]]="","",IFERROR(INDEX(tblPriorities[Target (days)],MATCH(tblWorkOrders[[#This Row],[Priority]],tblPriorities[Priority],0)),""))</f>
        <v>14</v>
      </c>
      <c r="S37" s="42">
        <f>IF(tblWorkOrders[[#This Row],[WO no.]]="","",IF(tblWorkOrders[[#This Row],[Target (days)]]="","",tblWorkOrders[[#This Row],[Date raised]]+tblWorkOrders[[#This Row],[Target (days)]]))</f>
        <v>46272</v>
      </c>
      <c r="T37" s="41">
        <f>IF(tblWorkOrders[[#This Row],[WO no.]]="","",IF(OR(tblWorkOrders[[#This Row],[Status]]="Complete",tblWorkOrders[[#This Row],[Status]]="Cancelled"),0,1))</f>
        <v>0</v>
      </c>
      <c r="U37" s="41">
        <f>IF(tblWorkOrders[[#This Row],[WO no.]]="","",IF(tblWorkOrders[[#This Row],[Status]]="Cancelled","",IF(tblWorkOrders[[#This Row],[Open]]=1,AsOf-tblWorkOrders[[#This Row],[Date raised]],IF(tblWorkOrders[[#This Row],[Date completed]]="","",tblWorkOrders[[#This Row],[Date completed]]-tblWorkOrders[[#This Row],[Date raised]]))))</f>
        <v>3</v>
      </c>
      <c r="V37" s="43">
        <f>IF(tblWorkOrders[[#This Row],[WO no.]]="","",IF(tblWorkOrders[[#This Row],[Open]]=1,MAX(0,tblWorkOrders[[#This Row],[Estimated (h)]]-tblWorkOrders[[#This Row],[Actual (h)]]),0))</f>
        <v>0</v>
      </c>
      <c r="W37" s="44">
        <f>IF(tblWorkOrders[[#This Row],[WO no.]]="","",tblWorkOrders[[#This Row],[Actual (h)]]*LabourRate)</f>
        <v>192</v>
      </c>
      <c r="X37" s="44">
        <f>IF(tblWorkOrders[[#This Row],[WO no.]]="","",tblWorkOrders[[#This Row],[Labour cost]]+tblWorkOrders[[#This Row],[Parts cost]]+tblWorkOrders[[#This Row],[Contractor cost]])</f>
        <v>217</v>
      </c>
      <c r="Y37" s="45" t="str">
        <f>IF(tblWorkOrders[[#This Row],[WO no.]]="","",IF(tblWorkOrders[[#This Row],[Status]]="Cancelled","",IF(tblWorkOrders[[#This Row],[Open]]=0,"Complete",IF(tblWorkOrders[[#This Row],[Due date]]="","",IF(AsOf&gt;tblWorkOrders[[#This Row],[Due date]],"Overdue",IF(tblWorkOrders[[#This Row],[Due date]]-AsOf&lt;=DueSoonDays,"Due soon","OK"))))))</f>
        <v>Complete</v>
      </c>
      <c r="Z37" s="45" t="str">
        <f>IF(tblWorkOrders[[#This Row],[WO no.]]="","",IF(OR(tblWorkOrders[[#This Row],[Status]]&lt;&gt;"Complete",tblWorkOrders[[#This Row],[Date completed]]="",tblWorkOrders[[#This Row],[Due date]]=""),"",IF(tblWorkOrders[[#This Row],[Date completed]]&lt;=tblWorkOrders[[#This Row],[Due date]],"Yes","No")))</f>
        <v>Yes</v>
      </c>
      <c r="AA37" s="42">
        <f>IF(tblWorkOrders[[#This Row],[WO no.]]="","",IF(AND(tblWorkOrders[[#This Row],[Date raised]]&gt;=FFrom,tblWorkOrders[[#This Row],[Date raised]]&lt;=FTo),tblWorkOrders[[#This Row],[Date raised]],""))</f>
        <v>46258</v>
      </c>
      <c r="AB3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8" spans="2:28" x14ac:dyDescent="0.25">
      <c r="B38" s="28" t="s">
        <v>246</v>
      </c>
      <c r="C38" s="29">
        <v>46258</v>
      </c>
      <c r="D38" s="28" t="s">
        <v>111</v>
      </c>
      <c r="E38" s="39" t="s">
        <v>214</v>
      </c>
      <c r="F38" s="28" t="s">
        <v>133</v>
      </c>
      <c r="G38" s="28" t="s">
        <v>147</v>
      </c>
      <c r="H38" s="28" t="s">
        <v>157</v>
      </c>
      <c r="I38" s="28" t="s">
        <v>200</v>
      </c>
      <c r="J38" s="29">
        <v>46261</v>
      </c>
      <c r="K38" s="31">
        <v>3</v>
      </c>
      <c r="L38" s="31">
        <v>3.5</v>
      </c>
      <c r="M38" s="30">
        <v>60</v>
      </c>
      <c r="N38" s="30">
        <v>0</v>
      </c>
      <c r="O38" s="31">
        <v>0</v>
      </c>
      <c r="P38" s="40" t="str">
        <f>IF(tblWorkOrders[[#This Row],[WO no.]]="","",IFERROR(INDEX(tblAssets[Area],MATCH(tblWorkOrders[[#This Row],[Asset]],tblAssets[Asset ID],0)),""))</f>
        <v>Line 2</v>
      </c>
      <c r="Q38" s="40" t="str">
        <f>IF(tblWorkOrders[[#This Row],[WO no.]]="","",IFERROR(INDEX(tblWorkTypes[Category],MATCH(tblWorkOrders[[#This Row],[Work type]],tblWorkTypes[Work type],0)),""))</f>
        <v>Planned</v>
      </c>
      <c r="R38" s="41">
        <f>IF(tblWorkOrders[[#This Row],[WO no.]]="","",IFERROR(INDEX(tblPriorities[Target (days)],MATCH(tblWorkOrders[[#This Row],[Priority]],tblPriorities[Priority],0)),""))</f>
        <v>14</v>
      </c>
      <c r="S38" s="42">
        <f>IF(tblWorkOrders[[#This Row],[WO no.]]="","",IF(tblWorkOrders[[#This Row],[Target (days)]]="","",tblWorkOrders[[#This Row],[Date raised]]+tblWorkOrders[[#This Row],[Target (days)]]))</f>
        <v>46272</v>
      </c>
      <c r="T38" s="41">
        <f>IF(tblWorkOrders[[#This Row],[WO no.]]="","",IF(OR(tblWorkOrders[[#This Row],[Status]]="Complete",tblWorkOrders[[#This Row],[Status]]="Cancelled"),0,1))</f>
        <v>0</v>
      </c>
      <c r="U38" s="41">
        <f>IF(tblWorkOrders[[#This Row],[WO no.]]="","",IF(tblWorkOrders[[#This Row],[Status]]="Cancelled","",IF(tblWorkOrders[[#This Row],[Open]]=1,AsOf-tblWorkOrders[[#This Row],[Date raised]],IF(tblWorkOrders[[#This Row],[Date completed]]="","",tblWorkOrders[[#This Row],[Date completed]]-tblWorkOrders[[#This Row],[Date raised]]))))</f>
        <v>3</v>
      </c>
      <c r="V38" s="43">
        <f>IF(tblWorkOrders[[#This Row],[WO no.]]="","",IF(tblWorkOrders[[#This Row],[Open]]=1,MAX(0,tblWorkOrders[[#This Row],[Estimated (h)]]-tblWorkOrders[[#This Row],[Actual (h)]]),0))</f>
        <v>0</v>
      </c>
      <c r="W38" s="44">
        <f>IF(tblWorkOrders[[#This Row],[WO no.]]="","",tblWorkOrders[[#This Row],[Actual (h)]]*LabourRate)</f>
        <v>168</v>
      </c>
      <c r="X38" s="44">
        <f>IF(tblWorkOrders[[#This Row],[WO no.]]="","",tblWorkOrders[[#This Row],[Labour cost]]+tblWorkOrders[[#This Row],[Parts cost]]+tblWorkOrders[[#This Row],[Contractor cost]])</f>
        <v>228</v>
      </c>
      <c r="Y38" s="45" t="str">
        <f>IF(tblWorkOrders[[#This Row],[WO no.]]="","",IF(tblWorkOrders[[#This Row],[Status]]="Cancelled","",IF(tblWorkOrders[[#This Row],[Open]]=0,"Complete",IF(tblWorkOrders[[#This Row],[Due date]]="","",IF(AsOf&gt;tblWorkOrders[[#This Row],[Due date]],"Overdue",IF(tblWorkOrders[[#This Row],[Due date]]-AsOf&lt;=DueSoonDays,"Due soon","OK"))))))</f>
        <v>Complete</v>
      </c>
      <c r="Z38" s="45" t="str">
        <f>IF(tblWorkOrders[[#This Row],[WO no.]]="","",IF(OR(tblWorkOrders[[#This Row],[Status]]&lt;&gt;"Complete",tblWorkOrders[[#This Row],[Date completed]]="",tblWorkOrders[[#This Row],[Due date]]=""),"",IF(tblWorkOrders[[#This Row],[Date completed]]&lt;=tblWorkOrders[[#This Row],[Due date]],"Yes","No")))</f>
        <v>Yes</v>
      </c>
      <c r="AA38" s="42">
        <f>IF(tblWorkOrders[[#This Row],[WO no.]]="","",IF(AND(tblWorkOrders[[#This Row],[Date raised]]&gt;=FFrom,tblWorkOrders[[#This Row],[Date raised]]&lt;=FTo),tblWorkOrders[[#This Row],[Date raised]],""))</f>
        <v>46258</v>
      </c>
      <c r="AB3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39" spans="2:28" x14ac:dyDescent="0.25">
      <c r="B39" s="28" t="s">
        <v>247</v>
      </c>
      <c r="C39" s="29">
        <v>46258</v>
      </c>
      <c r="D39" s="28" t="s">
        <v>116</v>
      </c>
      <c r="E39" s="39" t="s">
        <v>216</v>
      </c>
      <c r="F39" s="28" t="s">
        <v>133</v>
      </c>
      <c r="G39" s="28" t="s">
        <v>147</v>
      </c>
      <c r="H39" s="28" t="s">
        <v>152</v>
      </c>
      <c r="I39" s="28" t="s">
        <v>200</v>
      </c>
      <c r="J39" s="29">
        <v>46258</v>
      </c>
      <c r="K39" s="31">
        <v>5</v>
      </c>
      <c r="L39" s="31">
        <v>5</v>
      </c>
      <c r="M39" s="30">
        <v>0</v>
      </c>
      <c r="N39" s="30">
        <v>0</v>
      </c>
      <c r="O39" s="31">
        <v>0</v>
      </c>
      <c r="P39" s="40" t="str">
        <f>IF(tblWorkOrders[[#This Row],[WO no.]]="","",IFERROR(INDEX(tblAssets[Area],MATCH(tblWorkOrders[[#This Row],[Asset]],tblAssets[Asset ID],0)),""))</f>
        <v>End of line</v>
      </c>
      <c r="Q39" s="40" t="str">
        <f>IF(tblWorkOrders[[#This Row],[WO no.]]="","",IFERROR(INDEX(tblWorkTypes[Category],MATCH(tblWorkOrders[[#This Row],[Work type]],tblWorkTypes[Work type],0)),""))</f>
        <v>Planned</v>
      </c>
      <c r="R39" s="41">
        <f>IF(tblWorkOrders[[#This Row],[WO no.]]="","",IFERROR(INDEX(tblPriorities[Target (days)],MATCH(tblWorkOrders[[#This Row],[Priority]],tblPriorities[Priority],0)),""))</f>
        <v>14</v>
      </c>
      <c r="S39" s="42">
        <f>IF(tblWorkOrders[[#This Row],[WO no.]]="","",IF(tblWorkOrders[[#This Row],[Target (days)]]="","",tblWorkOrders[[#This Row],[Date raised]]+tblWorkOrders[[#This Row],[Target (days)]]))</f>
        <v>46272</v>
      </c>
      <c r="T39" s="41">
        <f>IF(tblWorkOrders[[#This Row],[WO no.]]="","",IF(OR(tblWorkOrders[[#This Row],[Status]]="Complete",tblWorkOrders[[#This Row],[Status]]="Cancelled"),0,1))</f>
        <v>0</v>
      </c>
      <c r="U39" s="41">
        <f>IF(tblWorkOrders[[#This Row],[WO no.]]="","",IF(tblWorkOrders[[#This Row],[Status]]="Cancelled","",IF(tblWorkOrders[[#This Row],[Open]]=1,AsOf-tblWorkOrders[[#This Row],[Date raised]],IF(tblWorkOrders[[#This Row],[Date completed]]="","",tblWorkOrders[[#This Row],[Date completed]]-tblWorkOrders[[#This Row],[Date raised]]))))</f>
        <v>0</v>
      </c>
      <c r="V39" s="43">
        <f>IF(tblWorkOrders[[#This Row],[WO no.]]="","",IF(tblWorkOrders[[#This Row],[Open]]=1,MAX(0,tblWorkOrders[[#This Row],[Estimated (h)]]-tblWorkOrders[[#This Row],[Actual (h)]]),0))</f>
        <v>0</v>
      </c>
      <c r="W39" s="44">
        <f>IF(tblWorkOrders[[#This Row],[WO no.]]="","",tblWorkOrders[[#This Row],[Actual (h)]]*LabourRate)</f>
        <v>240</v>
      </c>
      <c r="X39" s="44">
        <f>IF(tblWorkOrders[[#This Row],[WO no.]]="","",tblWorkOrders[[#This Row],[Labour cost]]+tblWorkOrders[[#This Row],[Parts cost]]+tblWorkOrders[[#This Row],[Contractor cost]])</f>
        <v>240</v>
      </c>
      <c r="Y39" s="45" t="str">
        <f>IF(tblWorkOrders[[#This Row],[WO no.]]="","",IF(tblWorkOrders[[#This Row],[Status]]="Cancelled","",IF(tblWorkOrders[[#This Row],[Open]]=0,"Complete",IF(tblWorkOrders[[#This Row],[Due date]]="","",IF(AsOf&gt;tblWorkOrders[[#This Row],[Due date]],"Overdue",IF(tblWorkOrders[[#This Row],[Due date]]-AsOf&lt;=DueSoonDays,"Due soon","OK"))))))</f>
        <v>Complete</v>
      </c>
      <c r="Z39" s="45" t="str">
        <f>IF(tblWorkOrders[[#This Row],[WO no.]]="","",IF(OR(tblWorkOrders[[#This Row],[Status]]&lt;&gt;"Complete",tblWorkOrders[[#This Row],[Date completed]]="",tblWorkOrders[[#This Row],[Due date]]=""),"",IF(tblWorkOrders[[#This Row],[Date completed]]&lt;=tblWorkOrders[[#This Row],[Due date]],"Yes","No")))</f>
        <v>Yes</v>
      </c>
      <c r="AA39" s="42">
        <f>IF(tblWorkOrders[[#This Row],[WO no.]]="","",IF(AND(tblWorkOrders[[#This Row],[Date raised]]&gt;=FFrom,tblWorkOrders[[#This Row],[Date raised]]&lt;=FTo),tblWorkOrders[[#This Row],[Date raised]],""))</f>
        <v>46258</v>
      </c>
      <c r="AB3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0" spans="2:28" x14ac:dyDescent="0.25">
      <c r="B40" s="28" t="s">
        <v>248</v>
      </c>
      <c r="C40" s="29">
        <v>46259</v>
      </c>
      <c r="D40" s="28" t="s">
        <v>122</v>
      </c>
      <c r="E40" s="39" t="s">
        <v>249</v>
      </c>
      <c r="F40" s="28" t="s">
        <v>136</v>
      </c>
      <c r="G40" s="28" t="s">
        <v>147</v>
      </c>
      <c r="H40" s="28" t="s">
        <v>155</v>
      </c>
      <c r="I40" s="28" t="s">
        <v>200</v>
      </c>
      <c r="J40" s="29">
        <v>46261</v>
      </c>
      <c r="K40" s="31">
        <v>5</v>
      </c>
      <c r="L40" s="31">
        <v>5</v>
      </c>
      <c r="M40" s="30">
        <v>0</v>
      </c>
      <c r="N40" s="30">
        <v>0</v>
      </c>
      <c r="O40" s="31">
        <v>0</v>
      </c>
      <c r="P40" s="40" t="str">
        <f>IF(tblWorkOrders[[#This Row],[WO no.]]="","",IFERROR(INDEX(tblAssets[Area],MATCH(tblWorkOrders[[#This Row],[Asset]],tblAssets[Asset ID],0)),""))</f>
        <v>Utilities</v>
      </c>
      <c r="Q40" s="40" t="str">
        <f>IF(tblWorkOrders[[#This Row],[WO no.]]="","",IFERROR(INDEX(tblWorkTypes[Category],MATCH(tblWorkOrders[[#This Row],[Work type]],tblWorkTypes[Work type],0)),""))</f>
        <v>Planned</v>
      </c>
      <c r="R40" s="41">
        <f>IF(tblWorkOrders[[#This Row],[WO no.]]="","",IFERROR(INDEX(tblPriorities[Target (days)],MATCH(tblWorkOrders[[#This Row],[Priority]],tblPriorities[Priority],0)),""))</f>
        <v>14</v>
      </c>
      <c r="S40" s="42">
        <f>IF(tblWorkOrders[[#This Row],[WO no.]]="","",IF(tblWorkOrders[[#This Row],[Target (days)]]="","",tblWorkOrders[[#This Row],[Date raised]]+tblWorkOrders[[#This Row],[Target (days)]]))</f>
        <v>46273</v>
      </c>
      <c r="T40" s="41">
        <f>IF(tblWorkOrders[[#This Row],[WO no.]]="","",IF(OR(tblWorkOrders[[#This Row],[Status]]="Complete",tblWorkOrders[[#This Row],[Status]]="Cancelled"),0,1))</f>
        <v>0</v>
      </c>
      <c r="U40" s="41">
        <f>IF(tblWorkOrders[[#This Row],[WO no.]]="","",IF(tblWorkOrders[[#This Row],[Status]]="Cancelled","",IF(tblWorkOrders[[#This Row],[Open]]=1,AsOf-tblWorkOrders[[#This Row],[Date raised]],IF(tblWorkOrders[[#This Row],[Date completed]]="","",tblWorkOrders[[#This Row],[Date completed]]-tblWorkOrders[[#This Row],[Date raised]]))))</f>
        <v>2</v>
      </c>
      <c r="V40" s="43">
        <f>IF(tblWorkOrders[[#This Row],[WO no.]]="","",IF(tblWorkOrders[[#This Row],[Open]]=1,MAX(0,tblWorkOrders[[#This Row],[Estimated (h)]]-tblWorkOrders[[#This Row],[Actual (h)]]),0))</f>
        <v>0</v>
      </c>
      <c r="W40" s="44">
        <f>IF(tblWorkOrders[[#This Row],[WO no.]]="","",tblWorkOrders[[#This Row],[Actual (h)]]*LabourRate)</f>
        <v>240</v>
      </c>
      <c r="X40" s="44">
        <f>IF(tblWorkOrders[[#This Row],[WO no.]]="","",tblWorkOrders[[#This Row],[Labour cost]]+tblWorkOrders[[#This Row],[Parts cost]]+tblWorkOrders[[#This Row],[Contractor cost]])</f>
        <v>240</v>
      </c>
      <c r="Y40" s="45" t="str">
        <f>IF(tblWorkOrders[[#This Row],[WO no.]]="","",IF(tblWorkOrders[[#This Row],[Status]]="Cancelled","",IF(tblWorkOrders[[#This Row],[Open]]=0,"Complete",IF(tblWorkOrders[[#This Row],[Due date]]="","",IF(AsOf&gt;tblWorkOrders[[#This Row],[Due date]],"Overdue",IF(tblWorkOrders[[#This Row],[Due date]]-AsOf&lt;=DueSoonDays,"Due soon","OK"))))))</f>
        <v>Complete</v>
      </c>
      <c r="Z40" s="45" t="str">
        <f>IF(tblWorkOrders[[#This Row],[WO no.]]="","",IF(OR(tblWorkOrders[[#This Row],[Status]]&lt;&gt;"Complete",tblWorkOrders[[#This Row],[Date completed]]="",tblWorkOrders[[#This Row],[Due date]]=""),"",IF(tblWorkOrders[[#This Row],[Date completed]]&lt;=tblWorkOrders[[#This Row],[Due date]],"Yes","No")))</f>
        <v>Yes</v>
      </c>
      <c r="AA40" s="42">
        <f>IF(tblWorkOrders[[#This Row],[WO no.]]="","",IF(AND(tblWorkOrders[[#This Row],[Date raised]]&gt;=FFrom,tblWorkOrders[[#This Row],[Date raised]]&lt;=FTo),tblWorkOrders[[#This Row],[Date raised]],""))</f>
        <v>46259</v>
      </c>
      <c r="AB4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1" spans="2:28" x14ac:dyDescent="0.25">
      <c r="B41" s="28" t="s">
        <v>250</v>
      </c>
      <c r="C41" s="29">
        <v>46259</v>
      </c>
      <c r="D41" s="28" t="s">
        <v>114</v>
      </c>
      <c r="E41" s="39" t="s">
        <v>234</v>
      </c>
      <c r="F41" s="28" t="s">
        <v>130</v>
      </c>
      <c r="G41" s="28" t="s">
        <v>145</v>
      </c>
      <c r="H41" s="28" t="s">
        <v>159</v>
      </c>
      <c r="I41" s="28" t="s">
        <v>200</v>
      </c>
      <c r="J41" s="29">
        <v>46260</v>
      </c>
      <c r="K41" s="31">
        <v>2</v>
      </c>
      <c r="L41" s="31">
        <v>2</v>
      </c>
      <c r="M41" s="30">
        <v>150</v>
      </c>
      <c r="N41" s="30">
        <v>0</v>
      </c>
      <c r="O41" s="31">
        <v>0</v>
      </c>
      <c r="P41" s="40" t="str">
        <f>IF(tblWorkOrders[[#This Row],[WO no.]]="","",IFERROR(INDEX(tblAssets[Area],MATCH(tblWorkOrders[[#This Row],[Asset]],tblAssets[Asset ID],0)),""))</f>
        <v>Line 2</v>
      </c>
      <c r="Q41" s="40" t="str">
        <f>IF(tblWorkOrders[[#This Row],[WO no.]]="","",IFERROR(INDEX(tblWorkTypes[Category],MATCH(tblWorkOrders[[#This Row],[Work type]],tblWorkTypes[Work type],0)),""))</f>
        <v>Corrective</v>
      </c>
      <c r="R41" s="41">
        <f>IF(tblWorkOrders[[#This Row],[WO no.]]="","",IFERROR(INDEX(tblPriorities[Target (days)],MATCH(tblWorkOrders[[#This Row],[Priority]],tblPriorities[Priority],0)),""))</f>
        <v>3</v>
      </c>
      <c r="S41" s="42">
        <f>IF(tblWorkOrders[[#This Row],[WO no.]]="","",IF(tblWorkOrders[[#This Row],[Target (days)]]="","",tblWorkOrders[[#This Row],[Date raised]]+tblWorkOrders[[#This Row],[Target (days)]]))</f>
        <v>46262</v>
      </c>
      <c r="T41" s="41">
        <f>IF(tblWorkOrders[[#This Row],[WO no.]]="","",IF(OR(tblWorkOrders[[#This Row],[Status]]="Complete",tblWorkOrders[[#This Row],[Status]]="Cancelled"),0,1))</f>
        <v>0</v>
      </c>
      <c r="U41" s="41">
        <f>IF(tblWorkOrders[[#This Row],[WO no.]]="","",IF(tblWorkOrders[[#This Row],[Status]]="Cancelled","",IF(tblWorkOrders[[#This Row],[Open]]=1,AsOf-tblWorkOrders[[#This Row],[Date raised]],IF(tblWorkOrders[[#This Row],[Date completed]]="","",tblWorkOrders[[#This Row],[Date completed]]-tblWorkOrders[[#This Row],[Date raised]]))))</f>
        <v>1</v>
      </c>
      <c r="V41" s="43">
        <f>IF(tblWorkOrders[[#This Row],[WO no.]]="","",IF(tblWorkOrders[[#This Row],[Open]]=1,MAX(0,tblWorkOrders[[#This Row],[Estimated (h)]]-tblWorkOrders[[#This Row],[Actual (h)]]),0))</f>
        <v>0</v>
      </c>
      <c r="W41" s="44">
        <f>IF(tblWorkOrders[[#This Row],[WO no.]]="","",tblWorkOrders[[#This Row],[Actual (h)]]*LabourRate)</f>
        <v>96</v>
      </c>
      <c r="X41" s="44">
        <f>IF(tblWorkOrders[[#This Row],[WO no.]]="","",tblWorkOrders[[#This Row],[Labour cost]]+tblWorkOrders[[#This Row],[Parts cost]]+tblWorkOrders[[#This Row],[Contractor cost]])</f>
        <v>246</v>
      </c>
      <c r="Y41" s="45" t="str">
        <f>IF(tblWorkOrders[[#This Row],[WO no.]]="","",IF(tblWorkOrders[[#This Row],[Status]]="Cancelled","",IF(tblWorkOrders[[#This Row],[Open]]=0,"Complete",IF(tblWorkOrders[[#This Row],[Due date]]="","",IF(AsOf&gt;tblWorkOrders[[#This Row],[Due date]],"Overdue",IF(tblWorkOrders[[#This Row],[Due date]]-AsOf&lt;=DueSoonDays,"Due soon","OK"))))))</f>
        <v>Complete</v>
      </c>
      <c r="Z41" s="45" t="str">
        <f>IF(tblWorkOrders[[#This Row],[WO no.]]="","",IF(OR(tblWorkOrders[[#This Row],[Status]]&lt;&gt;"Complete",tblWorkOrders[[#This Row],[Date completed]]="",tblWorkOrders[[#This Row],[Due date]]=""),"",IF(tblWorkOrders[[#This Row],[Date completed]]&lt;=tblWorkOrders[[#This Row],[Due date]],"Yes","No")))</f>
        <v>Yes</v>
      </c>
      <c r="AA41" s="42">
        <f>IF(tblWorkOrders[[#This Row],[WO no.]]="","",IF(AND(tblWorkOrders[[#This Row],[Date raised]]&gt;=FFrom,tblWorkOrders[[#This Row],[Date raised]]&lt;=FTo),tblWorkOrders[[#This Row],[Date raised]],""))</f>
        <v>46259</v>
      </c>
      <c r="AB4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2" spans="2:28" x14ac:dyDescent="0.25">
      <c r="B42" s="28" t="s">
        <v>251</v>
      </c>
      <c r="C42" s="29">
        <v>46260</v>
      </c>
      <c r="D42" s="28" t="s">
        <v>114</v>
      </c>
      <c r="E42" s="39" t="s">
        <v>252</v>
      </c>
      <c r="F42" s="28" t="s">
        <v>127</v>
      </c>
      <c r="G42" s="28" t="s">
        <v>143</v>
      </c>
      <c r="H42" s="28" t="s">
        <v>157</v>
      </c>
      <c r="I42" s="28" t="s">
        <v>200</v>
      </c>
      <c r="J42" s="29">
        <v>46262</v>
      </c>
      <c r="K42" s="31">
        <v>3</v>
      </c>
      <c r="L42" s="31">
        <v>4</v>
      </c>
      <c r="M42" s="30">
        <v>0</v>
      </c>
      <c r="N42" s="30">
        <v>0</v>
      </c>
      <c r="O42" s="31">
        <v>4.5</v>
      </c>
      <c r="P42" s="40" t="str">
        <f>IF(tblWorkOrders[[#This Row],[WO no.]]="","",IFERROR(INDEX(tblAssets[Area],MATCH(tblWorkOrders[[#This Row],[Asset]],tblAssets[Asset ID],0)),""))</f>
        <v>Line 2</v>
      </c>
      <c r="Q42" s="40" t="str">
        <f>IF(tblWorkOrders[[#This Row],[WO no.]]="","",IFERROR(INDEX(tblWorkTypes[Category],MATCH(tblWorkOrders[[#This Row],[Work type]],tblWorkTypes[Work type],0)),""))</f>
        <v>Emergency</v>
      </c>
      <c r="R42" s="41">
        <f>IF(tblWorkOrders[[#This Row],[WO no.]]="","",IFERROR(INDEX(tblPriorities[Target (days)],MATCH(tblWorkOrders[[#This Row],[Priority]],tblPriorities[Priority],0)),""))</f>
        <v>1</v>
      </c>
      <c r="S42" s="42">
        <f>IF(tblWorkOrders[[#This Row],[WO no.]]="","",IF(tblWorkOrders[[#This Row],[Target (days)]]="","",tblWorkOrders[[#This Row],[Date raised]]+tblWorkOrders[[#This Row],[Target (days)]]))</f>
        <v>46261</v>
      </c>
      <c r="T42" s="41">
        <f>IF(tblWorkOrders[[#This Row],[WO no.]]="","",IF(OR(tblWorkOrders[[#This Row],[Status]]="Complete",tblWorkOrders[[#This Row],[Status]]="Cancelled"),0,1))</f>
        <v>0</v>
      </c>
      <c r="U42" s="41">
        <f>IF(tblWorkOrders[[#This Row],[WO no.]]="","",IF(tblWorkOrders[[#This Row],[Status]]="Cancelled","",IF(tblWorkOrders[[#This Row],[Open]]=1,AsOf-tblWorkOrders[[#This Row],[Date raised]],IF(tblWorkOrders[[#This Row],[Date completed]]="","",tblWorkOrders[[#This Row],[Date completed]]-tblWorkOrders[[#This Row],[Date raised]]))))</f>
        <v>2</v>
      </c>
      <c r="V42" s="43">
        <f>IF(tblWorkOrders[[#This Row],[WO no.]]="","",IF(tblWorkOrders[[#This Row],[Open]]=1,MAX(0,tblWorkOrders[[#This Row],[Estimated (h)]]-tblWorkOrders[[#This Row],[Actual (h)]]),0))</f>
        <v>0</v>
      </c>
      <c r="W42" s="44">
        <f>IF(tblWorkOrders[[#This Row],[WO no.]]="","",tblWorkOrders[[#This Row],[Actual (h)]]*LabourRate)</f>
        <v>192</v>
      </c>
      <c r="X42" s="44">
        <f>IF(tblWorkOrders[[#This Row],[WO no.]]="","",tblWorkOrders[[#This Row],[Labour cost]]+tblWorkOrders[[#This Row],[Parts cost]]+tblWorkOrders[[#This Row],[Contractor cost]])</f>
        <v>192</v>
      </c>
      <c r="Y42" s="45" t="str">
        <f>IF(tblWorkOrders[[#This Row],[WO no.]]="","",IF(tblWorkOrders[[#This Row],[Status]]="Cancelled","",IF(tblWorkOrders[[#This Row],[Open]]=0,"Complete",IF(tblWorkOrders[[#This Row],[Due date]]="","",IF(AsOf&gt;tblWorkOrders[[#This Row],[Due date]],"Overdue",IF(tblWorkOrders[[#This Row],[Due date]]-AsOf&lt;=DueSoonDays,"Due soon","OK"))))))</f>
        <v>Complete</v>
      </c>
      <c r="Z42" s="45" t="str">
        <f>IF(tblWorkOrders[[#This Row],[WO no.]]="","",IF(OR(tblWorkOrders[[#This Row],[Status]]&lt;&gt;"Complete",tblWorkOrders[[#This Row],[Date completed]]="",tblWorkOrders[[#This Row],[Due date]]=""),"",IF(tblWorkOrders[[#This Row],[Date completed]]&lt;=tblWorkOrders[[#This Row],[Due date]],"Yes","No")))</f>
        <v>No</v>
      </c>
      <c r="AA42" s="42">
        <f>IF(tblWorkOrders[[#This Row],[WO no.]]="","",IF(AND(tblWorkOrders[[#This Row],[Date raised]]&gt;=FFrom,tblWorkOrders[[#This Row],[Date raised]]&lt;=FTo),tblWorkOrders[[#This Row],[Date raised]],""))</f>
        <v>46260</v>
      </c>
      <c r="AB4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3" spans="2:28" x14ac:dyDescent="0.25">
      <c r="B43" s="28" t="s">
        <v>253</v>
      </c>
      <c r="C43" s="29">
        <v>46260</v>
      </c>
      <c r="D43" s="28" t="s">
        <v>116</v>
      </c>
      <c r="E43" s="39" t="s">
        <v>254</v>
      </c>
      <c r="F43" s="28" t="s">
        <v>130</v>
      </c>
      <c r="G43" s="28" t="s">
        <v>147</v>
      </c>
      <c r="H43" s="28" t="s">
        <v>155</v>
      </c>
      <c r="I43" s="28" t="s">
        <v>200</v>
      </c>
      <c r="J43" s="29">
        <v>46277</v>
      </c>
      <c r="K43" s="31">
        <v>12</v>
      </c>
      <c r="L43" s="31">
        <v>10</v>
      </c>
      <c r="M43" s="30">
        <v>35</v>
      </c>
      <c r="N43" s="30">
        <v>0</v>
      </c>
      <c r="O43" s="31">
        <v>0</v>
      </c>
      <c r="P43" s="40" t="str">
        <f>IF(tblWorkOrders[[#This Row],[WO no.]]="","",IFERROR(INDEX(tblAssets[Area],MATCH(tblWorkOrders[[#This Row],[Asset]],tblAssets[Asset ID],0)),""))</f>
        <v>End of line</v>
      </c>
      <c r="Q43" s="40" t="str">
        <f>IF(tblWorkOrders[[#This Row],[WO no.]]="","",IFERROR(INDEX(tblWorkTypes[Category],MATCH(tblWorkOrders[[#This Row],[Work type]],tblWorkTypes[Work type],0)),""))</f>
        <v>Corrective</v>
      </c>
      <c r="R43" s="41">
        <f>IF(tblWorkOrders[[#This Row],[WO no.]]="","",IFERROR(INDEX(tblPriorities[Target (days)],MATCH(tblWorkOrders[[#This Row],[Priority]],tblPriorities[Priority],0)),""))</f>
        <v>14</v>
      </c>
      <c r="S43" s="42">
        <f>IF(tblWorkOrders[[#This Row],[WO no.]]="","",IF(tblWorkOrders[[#This Row],[Target (days)]]="","",tblWorkOrders[[#This Row],[Date raised]]+tblWorkOrders[[#This Row],[Target (days)]]))</f>
        <v>46274</v>
      </c>
      <c r="T43" s="41">
        <f>IF(tblWorkOrders[[#This Row],[WO no.]]="","",IF(OR(tblWorkOrders[[#This Row],[Status]]="Complete",tblWorkOrders[[#This Row],[Status]]="Cancelled"),0,1))</f>
        <v>0</v>
      </c>
      <c r="U43" s="41">
        <f>IF(tblWorkOrders[[#This Row],[WO no.]]="","",IF(tblWorkOrders[[#This Row],[Status]]="Cancelled","",IF(tblWorkOrders[[#This Row],[Open]]=1,AsOf-tblWorkOrders[[#This Row],[Date raised]],IF(tblWorkOrders[[#This Row],[Date completed]]="","",tblWorkOrders[[#This Row],[Date completed]]-tblWorkOrders[[#This Row],[Date raised]]))))</f>
        <v>17</v>
      </c>
      <c r="V43" s="43">
        <f>IF(tblWorkOrders[[#This Row],[WO no.]]="","",IF(tblWorkOrders[[#This Row],[Open]]=1,MAX(0,tblWorkOrders[[#This Row],[Estimated (h)]]-tblWorkOrders[[#This Row],[Actual (h)]]),0))</f>
        <v>0</v>
      </c>
      <c r="W43" s="44">
        <f>IF(tblWorkOrders[[#This Row],[WO no.]]="","",tblWorkOrders[[#This Row],[Actual (h)]]*LabourRate)</f>
        <v>480</v>
      </c>
      <c r="X43" s="44">
        <f>IF(tblWorkOrders[[#This Row],[WO no.]]="","",tblWorkOrders[[#This Row],[Labour cost]]+tblWorkOrders[[#This Row],[Parts cost]]+tblWorkOrders[[#This Row],[Contractor cost]])</f>
        <v>515</v>
      </c>
      <c r="Y43" s="45" t="str">
        <f>IF(tblWorkOrders[[#This Row],[WO no.]]="","",IF(tblWorkOrders[[#This Row],[Status]]="Cancelled","",IF(tblWorkOrders[[#This Row],[Open]]=0,"Complete",IF(tblWorkOrders[[#This Row],[Due date]]="","",IF(AsOf&gt;tblWorkOrders[[#This Row],[Due date]],"Overdue",IF(tblWorkOrders[[#This Row],[Due date]]-AsOf&lt;=DueSoonDays,"Due soon","OK"))))))</f>
        <v>Complete</v>
      </c>
      <c r="Z43" s="45" t="str">
        <f>IF(tblWorkOrders[[#This Row],[WO no.]]="","",IF(OR(tblWorkOrders[[#This Row],[Status]]&lt;&gt;"Complete",tblWorkOrders[[#This Row],[Date completed]]="",tblWorkOrders[[#This Row],[Due date]]=""),"",IF(tblWorkOrders[[#This Row],[Date completed]]&lt;=tblWorkOrders[[#This Row],[Due date]],"Yes","No")))</f>
        <v>No</v>
      </c>
      <c r="AA43" s="42">
        <f>IF(tblWorkOrders[[#This Row],[WO no.]]="","",IF(AND(tblWorkOrders[[#This Row],[Date raised]]&gt;=FFrom,tblWorkOrders[[#This Row],[Date raised]]&lt;=FTo),tblWorkOrders[[#This Row],[Date raised]],""))</f>
        <v>46260</v>
      </c>
      <c r="AB4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4" spans="2:28" x14ac:dyDescent="0.25">
      <c r="B44" s="28" t="s">
        <v>255</v>
      </c>
      <c r="C44" s="29">
        <v>46261</v>
      </c>
      <c r="D44" s="28" t="s">
        <v>97</v>
      </c>
      <c r="E44" s="39" t="s">
        <v>256</v>
      </c>
      <c r="F44" s="28" t="s">
        <v>130</v>
      </c>
      <c r="G44" s="28" t="s">
        <v>145</v>
      </c>
      <c r="H44" s="28" t="s">
        <v>159</v>
      </c>
      <c r="I44" s="28" t="s">
        <v>200</v>
      </c>
      <c r="J44" s="29">
        <v>46263</v>
      </c>
      <c r="K44" s="31">
        <v>16</v>
      </c>
      <c r="L44" s="31">
        <v>20</v>
      </c>
      <c r="M44" s="30">
        <v>220</v>
      </c>
      <c r="N44" s="30">
        <v>0</v>
      </c>
      <c r="O44" s="31">
        <v>0</v>
      </c>
      <c r="P44" s="40" t="str">
        <f>IF(tblWorkOrders[[#This Row],[WO no.]]="","",IFERROR(INDEX(tblAssets[Area],MATCH(tblWorkOrders[[#This Row],[Asset]],tblAssets[Asset ID],0)),""))</f>
        <v>Processing</v>
      </c>
      <c r="Q44" s="40" t="str">
        <f>IF(tblWorkOrders[[#This Row],[WO no.]]="","",IFERROR(INDEX(tblWorkTypes[Category],MATCH(tblWorkOrders[[#This Row],[Work type]],tblWorkTypes[Work type],0)),""))</f>
        <v>Corrective</v>
      </c>
      <c r="R44" s="41">
        <f>IF(tblWorkOrders[[#This Row],[WO no.]]="","",IFERROR(INDEX(tblPriorities[Target (days)],MATCH(tblWorkOrders[[#This Row],[Priority]],tblPriorities[Priority],0)),""))</f>
        <v>3</v>
      </c>
      <c r="S44" s="42">
        <f>IF(tblWorkOrders[[#This Row],[WO no.]]="","",IF(tblWorkOrders[[#This Row],[Target (days)]]="","",tblWorkOrders[[#This Row],[Date raised]]+tblWorkOrders[[#This Row],[Target (days)]]))</f>
        <v>46264</v>
      </c>
      <c r="T44" s="41">
        <f>IF(tblWorkOrders[[#This Row],[WO no.]]="","",IF(OR(tblWorkOrders[[#This Row],[Status]]="Complete",tblWorkOrders[[#This Row],[Status]]="Cancelled"),0,1))</f>
        <v>0</v>
      </c>
      <c r="U44" s="41">
        <f>IF(tblWorkOrders[[#This Row],[WO no.]]="","",IF(tblWorkOrders[[#This Row],[Status]]="Cancelled","",IF(tblWorkOrders[[#This Row],[Open]]=1,AsOf-tblWorkOrders[[#This Row],[Date raised]],IF(tblWorkOrders[[#This Row],[Date completed]]="","",tblWorkOrders[[#This Row],[Date completed]]-tblWorkOrders[[#This Row],[Date raised]]))))</f>
        <v>2</v>
      </c>
      <c r="V44" s="43">
        <f>IF(tblWorkOrders[[#This Row],[WO no.]]="","",IF(tblWorkOrders[[#This Row],[Open]]=1,MAX(0,tblWorkOrders[[#This Row],[Estimated (h)]]-tblWorkOrders[[#This Row],[Actual (h)]]),0))</f>
        <v>0</v>
      </c>
      <c r="W44" s="44">
        <f>IF(tblWorkOrders[[#This Row],[WO no.]]="","",tblWorkOrders[[#This Row],[Actual (h)]]*LabourRate)</f>
        <v>960</v>
      </c>
      <c r="X44" s="44">
        <f>IF(tblWorkOrders[[#This Row],[WO no.]]="","",tblWorkOrders[[#This Row],[Labour cost]]+tblWorkOrders[[#This Row],[Parts cost]]+tblWorkOrders[[#This Row],[Contractor cost]])</f>
        <v>1180</v>
      </c>
      <c r="Y44" s="45" t="str">
        <f>IF(tblWorkOrders[[#This Row],[WO no.]]="","",IF(tblWorkOrders[[#This Row],[Status]]="Cancelled","",IF(tblWorkOrders[[#This Row],[Open]]=0,"Complete",IF(tblWorkOrders[[#This Row],[Due date]]="","",IF(AsOf&gt;tblWorkOrders[[#This Row],[Due date]],"Overdue",IF(tblWorkOrders[[#This Row],[Due date]]-AsOf&lt;=DueSoonDays,"Due soon","OK"))))))</f>
        <v>Complete</v>
      </c>
      <c r="Z44" s="45" t="str">
        <f>IF(tblWorkOrders[[#This Row],[WO no.]]="","",IF(OR(tblWorkOrders[[#This Row],[Status]]&lt;&gt;"Complete",tblWorkOrders[[#This Row],[Date completed]]="",tblWorkOrders[[#This Row],[Due date]]=""),"",IF(tblWorkOrders[[#This Row],[Date completed]]&lt;=tblWorkOrders[[#This Row],[Due date]],"Yes","No")))</f>
        <v>Yes</v>
      </c>
      <c r="AA44" s="42">
        <f>IF(tblWorkOrders[[#This Row],[WO no.]]="","",IF(AND(tblWorkOrders[[#This Row],[Date raised]]&gt;=FFrom,tblWorkOrders[[#This Row],[Date raised]]&lt;=FTo),tblWorkOrders[[#This Row],[Date raised]],""))</f>
        <v>46261</v>
      </c>
      <c r="AB4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5" spans="2:28" x14ac:dyDescent="0.25">
      <c r="B45" s="28" t="s">
        <v>257</v>
      </c>
      <c r="C45" s="29">
        <v>46262</v>
      </c>
      <c r="D45" s="28" t="s">
        <v>111</v>
      </c>
      <c r="E45" s="39" t="s">
        <v>222</v>
      </c>
      <c r="F45" s="28" t="s">
        <v>127</v>
      </c>
      <c r="G45" s="28" t="s">
        <v>143</v>
      </c>
      <c r="H45" s="28" t="s">
        <v>152</v>
      </c>
      <c r="I45" s="28" t="s">
        <v>200</v>
      </c>
      <c r="J45" s="29">
        <v>46262</v>
      </c>
      <c r="K45" s="31">
        <v>4</v>
      </c>
      <c r="L45" s="31">
        <v>6</v>
      </c>
      <c r="M45" s="30">
        <v>480</v>
      </c>
      <c r="N45" s="30">
        <v>0</v>
      </c>
      <c r="O45" s="31">
        <v>5.5</v>
      </c>
      <c r="P45" s="40" t="str">
        <f>IF(tblWorkOrders[[#This Row],[WO no.]]="","",IFERROR(INDEX(tblAssets[Area],MATCH(tblWorkOrders[[#This Row],[Asset]],tblAssets[Asset ID],0)),""))</f>
        <v>Line 2</v>
      </c>
      <c r="Q45" s="40" t="str">
        <f>IF(tblWorkOrders[[#This Row],[WO no.]]="","",IFERROR(INDEX(tblWorkTypes[Category],MATCH(tblWorkOrders[[#This Row],[Work type]],tblWorkTypes[Work type],0)),""))</f>
        <v>Emergency</v>
      </c>
      <c r="R45" s="41">
        <f>IF(tblWorkOrders[[#This Row],[WO no.]]="","",IFERROR(INDEX(tblPriorities[Target (days)],MATCH(tblWorkOrders[[#This Row],[Priority]],tblPriorities[Priority],0)),""))</f>
        <v>1</v>
      </c>
      <c r="S45" s="42">
        <f>IF(tblWorkOrders[[#This Row],[WO no.]]="","",IF(tblWorkOrders[[#This Row],[Target (days)]]="","",tblWorkOrders[[#This Row],[Date raised]]+tblWorkOrders[[#This Row],[Target (days)]]))</f>
        <v>46263</v>
      </c>
      <c r="T45" s="41">
        <f>IF(tblWorkOrders[[#This Row],[WO no.]]="","",IF(OR(tblWorkOrders[[#This Row],[Status]]="Complete",tblWorkOrders[[#This Row],[Status]]="Cancelled"),0,1))</f>
        <v>0</v>
      </c>
      <c r="U45" s="41">
        <f>IF(tblWorkOrders[[#This Row],[WO no.]]="","",IF(tblWorkOrders[[#This Row],[Status]]="Cancelled","",IF(tblWorkOrders[[#This Row],[Open]]=1,AsOf-tblWorkOrders[[#This Row],[Date raised]],IF(tblWorkOrders[[#This Row],[Date completed]]="","",tblWorkOrders[[#This Row],[Date completed]]-tblWorkOrders[[#This Row],[Date raised]]))))</f>
        <v>0</v>
      </c>
      <c r="V45" s="43">
        <f>IF(tblWorkOrders[[#This Row],[WO no.]]="","",IF(tblWorkOrders[[#This Row],[Open]]=1,MAX(0,tblWorkOrders[[#This Row],[Estimated (h)]]-tblWorkOrders[[#This Row],[Actual (h)]]),0))</f>
        <v>0</v>
      </c>
      <c r="W45" s="44">
        <f>IF(tblWorkOrders[[#This Row],[WO no.]]="","",tblWorkOrders[[#This Row],[Actual (h)]]*LabourRate)</f>
        <v>288</v>
      </c>
      <c r="X45" s="44">
        <f>IF(tblWorkOrders[[#This Row],[WO no.]]="","",tblWorkOrders[[#This Row],[Labour cost]]+tblWorkOrders[[#This Row],[Parts cost]]+tblWorkOrders[[#This Row],[Contractor cost]])</f>
        <v>768</v>
      </c>
      <c r="Y45" s="45" t="str">
        <f>IF(tblWorkOrders[[#This Row],[WO no.]]="","",IF(tblWorkOrders[[#This Row],[Status]]="Cancelled","",IF(tblWorkOrders[[#This Row],[Open]]=0,"Complete",IF(tblWorkOrders[[#This Row],[Due date]]="","",IF(AsOf&gt;tblWorkOrders[[#This Row],[Due date]],"Overdue",IF(tblWorkOrders[[#This Row],[Due date]]-AsOf&lt;=DueSoonDays,"Due soon","OK"))))))</f>
        <v>Complete</v>
      </c>
      <c r="Z45" s="45" t="str">
        <f>IF(tblWorkOrders[[#This Row],[WO no.]]="","",IF(OR(tblWorkOrders[[#This Row],[Status]]&lt;&gt;"Complete",tblWorkOrders[[#This Row],[Date completed]]="",tblWorkOrders[[#This Row],[Due date]]=""),"",IF(tblWorkOrders[[#This Row],[Date completed]]&lt;=tblWorkOrders[[#This Row],[Due date]],"Yes","No")))</f>
        <v>Yes</v>
      </c>
      <c r="AA45" s="42">
        <f>IF(tblWorkOrders[[#This Row],[WO no.]]="","",IF(AND(tblWorkOrders[[#This Row],[Date raised]]&gt;=FFrom,tblWorkOrders[[#This Row],[Date raised]]&lt;=FTo),tblWorkOrders[[#This Row],[Date raised]],""))</f>
        <v>46262</v>
      </c>
      <c r="AB4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6" spans="2:28" x14ac:dyDescent="0.25">
      <c r="B46" s="28" t="s">
        <v>258</v>
      </c>
      <c r="C46" s="29">
        <v>46262</v>
      </c>
      <c r="D46" s="28" t="s">
        <v>109</v>
      </c>
      <c r="E46" s="39" t="s">
        <v>259</v>
      </c>
      <c r="F46" s="28" t="s">
        <v>130</v>
      </c>
      <c r="G46" s="28" t="s">
        <v>147</v>
      </c>
      <c r="H46" s="28" t="s">
        <v>155</v>
      </c>
      <c r="I46" s="28" t="s">
        <v>188</v>
      </c>
      <c r="J46" s="29"/>
      <c r="K46" s="31">
        <v>8</v>
      </c>
      <c r="L46" s="31">
        <v>0</v>
      </c>
      <c r="M46" s="30">
        <v>0</v>
      </c>
      <c r="N46" s="30">
        <v>0</v>
      </c>
      <c r="O46" s="31">
        <v>0</v>
      </c>
      <c r="P46" s="40" t="str">
        <f>IF(tblWorkOrders[[#This Row],[WO no.]]="","",IFERROR(INDEX(tblAssets[Area],MATCH(tblWorkOrders[[#This Row],[Asset]],tblAssets[Asset ID],0)),""))</f>
        <v>Line 1</v>
      </c>
      <c r="Q46" s="40" t="str">
        <f>IF(tblWorkOrders[[#This Row],[WO no.]]="","",IFERROR(INDEX(tblWorkTypes[Category],MATCH(tblWorkOrders[[#This Row],[Work type]],tblWorkTypes[Work type],0)),""))</f>
        <v>Corrective</v>
      </c>
      <c r="R46" s="41">
        <f>IF(tblWorkOrders[[#This Row],[WO no.]]="","",IFERROR(INDEX(tblPriorities[Target (days)],MATCH(tblWorkOrders[[#This Row],[Priority]],tblPriorities[Priority],0)),""))</f>
        <v>14</v>
      </c>
      <c r="S46" s="42">
        <f>IF(tblWorkOrders[[#This Row],[WO no.]]="","",IF(tblWorkOrders[[#This Row],[Target (days)]]="","",tblWorkOrders[[#This Row],[Date raised]]+tblWorkOrders[[#This Row],[Target (days)]]))</f>
        <v>46276</v>
      </c>
      <c r="T46" s="41">
        <f>IF(tblWorkOrders[[#This Row],[WO no.]]="","",IF(OR(tblWorkOrders[[#This Row],[Status]]="Complete",tblWorkOrders[[#This Row],[Status]]="Cancelled"),0,1))</f>
        <v>1</v>
      </c>
      <c r="U46" s="41">
        <f>IF(tblWorkOrders[[#This Row],[WO no.]]="","",IF(tblWorkOrders[[#This Row],[Status]]="Cancelled","",IF(tblWorkOrders[[#This Row],[Open]]=1,AsOf-tblWorkOrders[[#This Row],[Date raised]],IF(tblWorkOrders[[#This Row],[Date completed]]="","",tblWorkOrders[[#This Row],[Date completed]]-tblWorkOrders[[#This Row],[Date raised]]))))</f>
        <v>42</v>
      </c>
      <c r="V46" s="43">
        <f>IF(tblWorkOrders[[#This Row],[WO no.]]="","",IF(tblWorkOrders[[#This Row],[Open]]=1,MAX(0,tblWorkOrders[[#This Row],[Estimated (h)]]-tblWorkOrders[[#This Row],[Actual (h)]]),0))</f>
        <v>8</v>
      </c>
      <c r="W46" s="44">
        <f>IF(tblWorkOrders[[#This Row],[WO no.]]="","",tblWorkOrders[[#This Row],[Actual (h)]]*LabourRate)</f>
        <v>0</v>
      </c>
      <c r="X46" s="44">
        <f>IF(tblWorkOrders[[#This Row],[WO no.]]="","",tblWorkOrders[[#This Row],[Labour cost]]+tblWorkOrders[[#This Row],[Parts cost]]+tblWorkOrders[[#This Row],[Contractor cost]])</f>
        <v>0</v>
      </c>
      <c r="Y46" s="45" t="str">
        <f>IF(tblWorkOrders[[#This Row],[WO no.]]="","",IF(tblWorkOrders[[#This Row],[Status]]="Cancelled","",IF(tblWorkOrders[[#This Row],[Open]]=0,"Complete",IF(tblWorkOrders[[#This Row],[Due date]]="","",IF(AsOf&gt;tblWorkOrders[[#This Row],[Due date]],"Overdue",IF(tblWorkOrders[[#This Row],[Due date]]-AsOf&lt;=DueSoonDays,"Due soon","OK"))))))</f>
        <v>Overdue</v>
      </c>
      <c r="Z46" s="45">
        <f>IF(tblWorkOrders[[#This Row],[WO no.]]="","",IF(OR(tblWorkOrders[[#This Row],[Status]]&lt;&gt;"Complete",tblWorkOrders[[#This Row],[Date completed]]="",tblWorkOrders[[#This Row],[Due date]]=""),"",IF(tblWorkOrders[[#This Row],[Date completed]]&lt;=tblWorkOrders[[#This Row],[Due date]],"Yes","No")))</f>
        <v/>
      </c>
      <c r="AA46" s="42">
        <f>IF(tblWorkOrders[[#This Row],[WO no.]]="","",IF(AND(tblWorkOrders[[#This Row],[Date raised]]&gt;=FFrom,tblWorkOrders[[#This Row],[Date raised]]&lt;=FTo),tblWorkOrders[[#This Row],[Date raised]],""))</f>
        <v>46262</v>
      </c>
      <c r="AB4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7" spans="2:28" x14ac:dyDescent="0.25">
      <c r="B47" s="28" t="s">
        <v>260</v>
      </c>
      <c r="C47" s="29">
        <v>46265</v>
      </c>
      <c r="D47" s="28" t="s">
        <v>107</v>
      </c>
      <c r="E47" s="39" t="s">
        <v>261</v>
      </c>
      <c r="F47" s="28" t="s">
        <v>130</v>
      </c>
      <c r="G47" s="28" t="s">
        <v>147</v>
      </c>
      <c r="H47" s="28" t="s">
        <v>157</v>
      </c>
      <c r="I47" s="28" t="s">
        <v>200</v>
      </c>
      <c r="J47" s="29">
        <v>46277</v>
      </c>
      <c r="K47" s="31">
        <v>3</v>
      </c>
      <c r="L47" s="31">
        <v>3.5</v>
      </c>
      <c r="M47" s="30">
        <v>90</v>
      </c>
      <c r="N47" s="30">
        <v>0</v>
      </c>
      <c r="O47" s="31">
        <v>0</v>
      </c>
      <c r="P47" s="40" t="str">
        <f>IF(tblWorkOrders[[#This Row],[WO no.]]="","",IFERROR(INDEX(tblAssets[Area],MATCH(tblWorkOrders[[#This Row],[Asset]],tblAssets[Asset ID],0)),""))</f>
        <v>Line 1</v>
      </c>
      <c r="Q47" s="40" t="str">
        <f>IF(tblWorkOrders[[#This Row],[WO no.]]="","",IFERROR(INDEX(tblWorkTypes[Category],MATCH(tblWorkOrders[[#This Row],[Work type]],tblWorkTypes[Work type],0)),""))</f>
        <v>Corrective</v>
      </c>
      <c r="R47" s="41">
        <f>IF(tblWorkOrders[[#This Row],[WO no.]]="","",IFERROR(INDEX(tblPriorities[Target (days)],MATCH(tblWorkOrders[[#This Row],[Priority]],tblPriorities[Priority],0)),""))</f>
        <v>14</v>
      </c>
      <c r="S47" s="42">
        <f>IF(tblWorkOrders[[#This Row],[WO no.]]="","",IF(tblWorkOrders[[#This Row],[Target (days)]]="","",tblWorkOrders[[#This Row],[Date raised]]+tblWorkOrders[[#This Row],[Target (days)]]))</f>
        <v>46279</v>
      </c>
      <c r="T47" s="41">
        <f>IF(tblWorkOrders[[#This Row],[WO no.]]="","",IF(OR(tblWorkOrders[[#This Row],[Status]]="Complete",tblWorkOrders[[#This Row],[Status]]="Cancelled"),0,1))</f>
        <v>0</v>
      </c>
      <c r="U47" s="41">
        <f>IF(tblWorkOrders[[#This Row],[WO no.]]="","",IF(tblWorkOrders[[#This Row],[Status]]="Cancelled","",IF(tblWorkOrders[[#This Row],[Open]]=1,AsOf-tblWorkOrders[[#This Row],[Date raised]],IF(tblWorkOrders[[#This Row],[Date completed]]="","",tblWorkOrders[[#This Row],[Date completed]]-tblWorkOrders[[#This Row],[Date raised]]))))</f>
        <v>12</v>
      </c>
      <c r="V47" s="43">
        <f>IF(tblWorkOrders[[#This Row],[WO no.]]="","",IF(tblWorkOrders[[#This Row],[Open]]=1,MAX(0,tblWorkOrders[[#This Row],[Estimated (h)]]-tblWorkOrders[[#This Row],[Actual (h)]]),0))</f>
        <v>0</v>
      </c>
      <c r="W47" s="44">
        <f>IF(tblWorkOrders[[#This Row],[WO no.]]="","",tblWorkOrders[[#This Row],[Actual (h)]]*LabourRate)</f>
        <v>168</v>
      </c>
      <c r="X47" s="44">
        <f>IF(tblWorkOrders[[#This Row],[WO no.]]="","",tblWorkOrders[[#This Row],[Labour cost]]+tblWorkOrders[[#This Row],[Parts cost]]+tblWorkOrders[[#This Row],[Contractor cost]])</f>
        <v>258</v>
      </c>
      <c r="Y47" s="45" t="str">
        <f>IF(tblWorkOrders[[#This Row],[WO no.]]="","",IF(tblWorkOrders[[#This Row],[Status]]="Cancelled","",IF(tblWorkOrders[[#This Row],[Open]]=0,"Complete",IF(tblWorkOrders[[#This Row],[Due date]]="","",IF(AsOf&gt;tblWorkOrders[[#This Row],[Due date]],"Overdue",IF(tblWorkOrders[[#This Row],[Due date]]-AsOf&lt;=DueSoonDays,"Due soon","OK"))))))</f>
        <v>Complete</v>
      </c>
      <c r="Z47" s="45" t="str">
        <f>IF(tblWorkOrders[[#This Row],[WO no.]]="","",IF(OR(tblWorkOrders[[#This Row],[Status]]&lt;&gt;"Complete",tblWorkOrders[[#This Row],[Date completed]]="",tblWorkOrders[[#This Row],[Due date]]=""),"",IF(tblWorkOrders[[#This Row],[Date completed]]&lt;=tblWorkOrders[[#This Row],[Due date]],"Yes","No")))</f>
        <v>Yes</v>
      </c>
      <c r="AA47" s="42">
        <f>IF(tblWorkOrders[[#This Row],[WO no.]]="","",IF(AND(tblWorkOrders[[#This Row],[Date raised]]&gt;=FFrom,tblWorkOrders[[#This Row],[Date raised]]&lt;=FTo),tblWorkOrders[[#This Row],[Date raised]],""))</f>
        <v>46265</v>
      </c>
      <c r="AB4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8" spans="2:28" x14ac:dyDescent="0.25">
      <c r="B48" s="28" t="s">
        <v>262</v>
      </c>
      <c r="C48" s="29">
        <v>46265</v>
      </c>
      <c r="D48" s="28" t="s">
        <v>107</v>
      </c>
      <c r="E48" s="39" t="s">
        <v>210</v>
      </c>
      <c r="F48" s="28" t="s">
        <v>133</v>
      </c>
      <c r="G48" s="28" t="s">
        <v>147</v>
      </c>
      <c r="H48" s="28" t="s">
        <v>152</v>
      </c>
      <c r="I48" s="28" t="s">
        <v>200</v>
      </c>
      <c r="J48" s="29">
        <v>46268</v>
      </c>
      <c r="K48" s="31">
        <v>2</v>
      </c>
      <c r="L48" s="31">
        <v>2</v>
      </c>
      <c r="M48" s="30">
        <v>0</v>
      </c>
      <c r="N48" s="30">
        <v>0</v>
      </c>
      <c r="O48" s="31">
        <v>0</v>
      </c>
      <c r="P48" s="40" t="str">
        <f>IF(tblWorkOrders[[#This Row],[WO no.]]="","",IFERROR(INDEX(tblAssets[Area],MATCH(tblWorkOrders[[#This Row],[Asset]],tblAssets[Asset ID],0)),""))</f>
        <v>Line 1</v>
      </c>
      <c r="Q48" s="40" t="str">
        <f>IF(tblWorkOrders[[#This Row],[WO no.]]="","",IFERROR(INDEX(tblWorkTypes[Category],MATCH(tblWorkOrders[[#This Row],[Work type]],tblWorkTypes[Work type],0)),""))</f>
        <v>Planned</v>
      </c>
      <c r="R48" s="41">
        <f>IF(tblWorkOrders[[#This Row],[WO no.]]="","",IFERROR(INDEX(tblPriorities[Target (days)],MATCH(tblWorkOrders[[#This Row],[Priority]],tblPriorities[Priority],0)),""))</f>
        <v>14</v>
      </c>
      <c r="S48" s="42">
        <f>IF(tblWorkOrders[[#This Row],[WO no.]]="","",IF(tblWorkOrders[[#This Row],[Target (days)]]="","",tblWorkOrders[[#This Row],[Date raised]]+tblWorkOrders[[#This Row],[Target (days)]]))</f>
        <v>46279</v>
      </c>
      <c r="T48" s="41">
        <f>IF(tblWorkOrders[[#This Row],[WO no.]]="","",IF(OR(tblWorkOrders[[#This Row],[Status]]="Complete",tblWorkOrders[[#This Row],[Status]]="Cancelled"),0,1))</f>
        <v>0</v>
      </c>
      <c r="U48" s="41">
        <f>IF(tblWorkOrders[[#This Row],[WO no.]]="","",IF(tblWorkOrders[[#This Row],[Status]]="Cancelled","",IF(tblWorkOrders[[#This Row],[Open]]=1,AsOf-tblWorkOrders[[#This Row],[Date raised]],IF(tblWorkOrders[[#This Row],[Date completed]]="","",tblWorkOrders[[#This Row],[Date completed]]-tblWorkOrders[[#This Row],[Date raised]]))))</f>
        <v>3</v>
      </c>
      <c r="V48" s="43">
        <f>IF(tblWorkOrders[[#This Row],[WO no.]]="","",IF(tblWorkOrders[[#This Row],[Open]]=1,MAX(0,tblWorkOrders[[#This Row],[Estimated (h)]]-tblWorkOrders[[#This Row],[Actual (h)]]),0))</f>
        <v>0</v>
      </c>
      <c r="W48" s="44">
        <f>IF(tblWorkOrders[[#This Row],[WO no.]]="","",tblWorkOrders[[#This Row],[Actual (h)]]*LabourRate)</f>
        <v>96</v>
      </c>
      <c r="X48" s="44">
        <f>IF(tblWorkOrders[[#This Row],[WO no.]]="","",tblWorkOrders[[#This Row],[Labour cost]]+tblWorkOrders[[#This Row],[Parts cost]]+tblWorkOrders[[#This Row],[Contractor cost]])</f>
        <v>96</v>
      </c>
      <c r="Y48" s="45" t="str">
        <f>IF(tblWorkOrders[[#This Row],[WO no.]]="","",IF(tblWorkOrders[[#This Row],[Status]]="Cancelled","",IF(tblWorkOrders[[#This Row],[Open]]=0,"Complete",IF(tblWorkOrders[[#This Row],[Due date]]="","",IF(AsOf&gt;tblWorkOrders[[#This Row],[Due date]],"Overdue",IF(tblWorkOrders[[#This Row],[Due date]]-AsOf&lt;=DueSoonDays,"Due soon","OK"))))))</f>
        <v>Complete</v>
      </c>
      <c r="Z48" s="45" t="str">
        <f>IF(tblWorkOrders[[#This Row],[WO no.]]="","",IF(OR(tblWorkOrders[[#This Row],[Status]]&lt;&gt;"Complete",tblWorkOrders[[#This Row],[Date completed]]="",tblWorkOrders[[#This Row],[Due date]]=""),"",IF(tblWorkOrders[[#This Row],[Date completed]]&lt;=tblWorkOrders[[#This Row],[Due date]],"Yes","No")))</f>
        <v>Yes</v>
      </c>
      <c r="AA48" s="42">
        <f>IF(tblWorkOrders[[#This Row],[WO no.]]="","",IF(AND(tblWorkOrders[[#This Row],[Date raised]]&gt;=FFrom,tblWorkOrders[[#This Row],[Date raised]]&lt;=FTo),tblWorkOrders[[#This Row],[Date raised]],""))</f>
        <v>46265</v>
      </c>
      <c r="AB4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49" spans="2:28" x14ac:dyDescent="0.25">
      <c r="B49" s="28" t="s">
        <v>263</v>
      </c>
      <c r="C49" s="29">
        <v>46265</v>
      </c>
      <c r="D49" s="28" t="s">
        <v>104</v>
      </c>
      <c r="E49" s="39" t="s">
        <v>264</v>
      </c>
      <c r="F49" s="28" t="s">
        <v>127</v>
      </c>
      <c r="G49" s="28" t="s">
        <v>143</v>
      </c>
      <c r="H49" s="28" t="s">
        <v>159</v>
      </c>
      <c r="I49" s="28" t="s">
        <v>200</v>
      </c>
      <c r="J49" s="29">
        <v>46266</v>
      </c>
      <c r="K49" s="31">
        <v>2</v>
      </c>
      <c r="L49" s="31">
        <v>2.5</v>
      </c>
      <c r="M49" s="30">
        <v>0</v>
      </c>
      <c r="N49" s="30">
        <v>0</v>
      </c>
      <c r="O49" s="31">
        <v>2</v>
      </c>
      <c r="P49" s="40" t="str">
        <f>IF(tblWorkOrders[[#This Row],[WO no.]]="","",IFERROR(INDEX(tblAssets[Area],MATCH(tblWorkOrders[[#This Row],[Asset]],tblAssets[Asset ID],0)),""))</f>
        <v>Line 1</v>
      </c>
      <c r="Q49" s="40" t="str">
        <f>IF(tblWorkOrders[[#This Row],[WO no.]]="","",IFERROR(INDEX(tblWorkTypes[Category],MATCH(tblWorkOrders[[#This Row],[Work type]],tblWorkTypes[Work type],0)),""))</f>
        <v>Emergency</v>
      </c>
      <c r="R49" s="41">
        <f>IF(tblWorkOrders[[#This Row],[WO no.]]="","",IFERROR(INDEX(tblPriorities[Target (days)],MATCH(tblWorkOrders[[#This Row],[Priority]],tblPriorities[Priority],0)),""))</f>
        <v>1</v>
      </c>
      <c r="S49" s="42">
        <f>IF(tblWorkOrders[[#This Row],[WO no.]]="","",IF(tblWorkOrders[[#This Row],[Target (days)]]="","",tblWorkOrders[[#This Row],[Date raised]]+tblWorkOrders[[#This Row],[Target (days)]]))</f>
        <v>46266</v>
      </c>
      <c r="T49" s="41">
        <f>IF(tblWorkOrders[[#This Row],[WO no.]]="","",IF(OR(tblWorkOrders[[#This Row],[Status]]="Complete",tblWorkOrders[[#This Row],[Status]]="Cancelled"),0,1))</f>
        <v>0</v>
      </c>
      <c r="U49" s="41">
        <f>IF(tblWorkOrders[[#This Row],[WO no.]]="","",IF(tblWorkOrders[[#This Row],[Status]]="Cancelled","",IF(tblWorkOrders[[#This Row],[Open]]=1,AsOf-tblWorkOrders[[#This Row],[Date raised]],IF(tblWorkOrders[[#This Row],[Date completed]]="","",tblWorkOrders[[#This Row],[Date completed]]-tblWorkOrders[[#This Row],[Date raised]]))))</f>
        <v>1</v>
      </c>
      <c r="V49" s="43">
        <f>IF(tblWorkOrders[[#This Row],[WO no.]]="","",IF(tblWorkOrders[[#This Row],[Open]]=1,MAX(0,tblWorkOrders[[#This Row],[Estimated (h)]]-tblWorkOrders[[#This Row],[Actual (h)]]),0))</f>
        <v>0</v>
      </c>
      <c r="W49" s="44">
        <f>IF(tblWorkOrders[[#This Row],[WO no.]]="","",tblWorkOrders[[#This Row],[Actual (h)]]*LabourRate)</f>
        <v>120</v>
      </c>
      <c r="X49" s="44">
        <f>IF(tblWorkOrders[[#This Row],[WO no.]]="","",tblWorkOrders[[#This Row],[Labour cost]]+tblWorkOrders[[#This Row],[Parts cost]]+tblWorkOrders[[#This Row],[Contractor cost]])</f>
        <v>120</v>
      </c>
      <c r="Y49" s="45" t="str">
        <f>IF(tblWorkOrders[[#This Row],[WO no.]]="","",IF(tblWorkOrders[[#This Row],[Status]]="Cancelled","",IF(tblWorkOrders[[#This Row],[Open]]=0,"Complete",IF(tblWorkOrders[[#This Row],[Due date]]="","",IF(AsOf&gt;tblWorkOrders[[#This Row],[Due date]],"Overdue",IF(tblWorkOrders[[#This Row],[Due date]]-AsOf&lt;=DueSoonDays,"Due soon","OK"))))))</f>
        <v>Complete</v>
      </c>
      <c r="Z49" s="45" t="str">
        <f>IF(tblWorkOrders[[#This Row],[WO no.]]="","",IF(OR(tblWorkOrders[[#This Row],[Status]]&lt;&gt;"Complete",tblWorkOrders[[#This Row],[Date completed]]="",tblWorkOrders[[#This Row],[Due date]]=""),"",IF(tblWorkOrders[[#This Row],[Date completed]]&lt;=tblWorkOrders[[#This Row],[Due date]],"Yes","No")))</f>
        <v>Yes</v>
      </c>
      <c r="AA49" s="42">
        <f>IF(tblWorkOrders[[#This Row],[WO no.]]="","",IF(AND(tblWorkOrders[[#This Row],[Date raised]]&gt;=FFrom,tblWorkOrders[[#This Row],[Date raised]]&lt;=FTo),tblWorkOrders[[#This Row],[Date raised]],""))</f>
        <v>46265</v>
      </c>
      <c r="AB4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0" spans="2:28" x14ac:dyDescent="0.25">
      <c r="B50" s="28" t="s">
        <v>265</v>
      </c>
      <c r="C50" s="29">
        <v>46265</v>
      </c>
      <c r="D50" s="28" t="s">
        <v>104</v>
      </c>
      <c r="E50" s="39" t="s">
        <v>212</v>
      </c>
      <c r="F50" s="28" t="s">
        <v>133</v>
      </c>
      <c r="G50" s="28" t="s">
        <v>147</v>
      </c>
      <c r="H50" s="28" t="s">
        <v>152</v>
      </c>
      <c r="I50" s="28" t="s">
        <v>200</v>
      </c>
      <c r="J50" s="29">
        <v>46266</v>
      </c>
      <c r="K50" s="31">
        <v>4</v>
      </c>
      <c r="L50" s="31">
        <v>4</v>
      </c>
      <c r="M50" s="30">
        <v>25</v>
      </c>
      <c r="N50" s="30">
        <v>0</v>
      </c>
      <c r="O50" s="31">
        <v>0</v>
      </c>
      <c r="P50" s="40" t="str">
        <f>IF(tblWorkOrders[[#This Row],[WO no.]]="","",IFERROR(INDEX(tblAssets[Area],MATCH(tblWorkOrders[[#This Row],[Asset]],tblAssets[Asset ID],0)),""))</f>
        <v>Line 1</v>
      </c>
      <c r="Q50" s="40" t="str">
        <f>IF(tblWorkOrders[[#This Row],[WO no.]]="","",IFERROR(INDEX(tblWorkTypes[Category],MATCH(tblWorkOrders[[#This Row],[Work type]],tblWorkTypes[Work type],0)),""))</f>
        <v>Planned</v>
      </c>
      <c r="R50" s="41">
        <f>IF(tblWorkOrders[[#This Row],[WO no.]]="","",IFERROR(INDEX(tblPriorities[Target (days)],MATCH(tblWorkOrders[[#This Row],[Priority]],tblPriorities[Priority],0)),""))</f>
        <v>14</v>
      </c>
      <c r="S50" s="42">
        <f>IF(tblWorkOrders[[#This Row],[WO no.]]="","",IF(tblWorkOrders[[#This Row],[Target (days)]]="","",tblWorkOrders[[#This Row],[Date raised]]+tblWorkOrders[[#This Row],[Target (days)]]))</f>
        <v>46279</v>
      </c>
      <c r="T50" s="41">
        <f>IF(tblWorkOrders[[#This Row],[WO no.]]="","",IF(OR(tblWorkOrders[[#This Row],[Status]]="Complete",tblWorkOrders[[#This Row],[Status]]="Cancelled"),0,1))</f>
        <v>0</v>
      </c>
      <c r="U50" s="41">
        <f>IF(tblWorkOrders[[#This Row],[WO no.]]="","",IF(tblWorkOrders[[#This Row],[Status]]="Cancelled","",IF(tblWorkOrders[[#This Row],[Open]]=1,AsOf-tblWorkOrders[[#This Row],[Date raised]],IF(tblWorkOrders[[#This Row],[Date completed]]="","",tblWorkOrders[[#This Row],[Date completed]]-tblWorkOrders[[#This Row],[Date raised]]))))</f>
        <v>1</v>
      </c>
      <c r="V50" s="43">
        <f>IF(tblWorkOrders[[#This Row],[WO no.]]="","",IF(tblWorkOrders[[#This Row],[Open]]=1,MAX(0,tblWorkOrders[[#This Row],[Estimated (h)]]-tblWorkOrders[[#This Row],[Actual (h)]]),0))</f>
        <v>0</v>
      </c>
      <c r="W50" s="44">
        <f>IF(tblWorkOrders[[#This Row],[WO no.]]="","",tblWorkOrders[[#This Row],[Actual (h)]]*LabourRate)</f>
        <v>192</v>
      </c>
      <c r="X50" s="44">
        <f>IF(tblWorkOrders[[#This Row],[WO no.]]="","",tblWorkOrders[[#This Row],[Labour cost]]+tblWorkOrders[[#This Row],[Parts cost]]+tblWorkOrders[[#This Row],[Contractor cost]])</f>
        <v>217</v>
      </c>
      <c r="Y50" s="45" t="str">
        <f>IF(tblWorkOrders[[#This Row],[WO no.]]="","",IF(tblWorkOrders[[#This Row],[Status]]="Cancelled","",IF(tblWorkOrders[[#This Row],[Open]]=0,"Complete",IF(tblWorkOrders[[#This Row],[Due date]]="","",IF(AsOf&gt;tblWorkOrders[[#This Row],[Due date]],"Overdue",IF(tblWorkOrders[[#This Row],[Due date]]-AsOf&lt;=DueSoonDays,"Due soon","OK"))))))</f>
        <v>Complete</v>
      </c>
      <c r="Z50" s="45" t="str">
        <f>IF(tblWorkOrders[[#This Row],[WO no.]]="","",IF(OR(tblWorkOrders[[#This Row],[Status]]&lt;&gt;"Complete",tblWorkOrders[[#This Row],[Date completed]]="",tblWorkOrders[[#This Row],[Due date]]=""),"",IF(tblWorkOrders[[#This Row],[Date completed]]&lt;=tblWorkOrders[[#This Row],[Due date]],"Yes","No")))</f>
        <v>Yes</v>
      </c>
      <c r="AA50" s="42">
        <f>IF(tblWorkOrders[[#This Row],[WO no.]]="","",IF(AND(tblWorkOrders[[#This Row],[Date raised]]&gt;=FFrom,tblWorkOrders[[#This Row],[Date raised]]&lt;=FTo),tblWorkOrders[[#This Row],[Date raised]],""))</f>
        <v>46265</v>
      </c>
      <c r="AB5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1" spans="2:28" x14ac:dyDescent="0.25">
      <c r="B51" s="28" t="s">
        <v>266</v>
      </c>
      <c r="C51" s="29">
        <v>46265</v>
      </c>
      <c r="D51" s="28" t="s">
        <v>111</v>
      </c>
      <c r="E51" s="39" t="s">
        <v>214</v>
      </c>
      <c r="F51" s="28" t="s">
        <v>133</v>
      </c>
      <c r="G51" s="28" t="s">
        <v>147</v>
      </c>
      <c r="H51" s="28" t="s">
        <v>155</v>
      </c>
      <c r="I51" s="28" t="s">
        <v>200</v>
      </c>
      <c r="J51" s="29">
        <v>46267</v>
      </c>
      <c r="K51" s="31">
        <v>3</v>
      </c>
      <c r="L51" s="31">
        <v>3</v>
      </c>
      <c r="M51" s="30">
        <v>0</v>
      </c>
      <c r="N51" s="30">
        <v>0</v>
      </c>
      <c r="O51" s="31">
        <v>0</v>
      </c>
      <c r="P51" s="40" t="str">
        <f>IF(tblWorkOrders[[#This Row],[WO no.]]="","",IFERROR(INDEX(tblAssets[Area],MATCH(tblWorkOrders[[#This Row],[Asset]],tblAssets[Asset ID],0)),""))</f>
        <v>Line 2</v>
      </c>
      <c r="Q51" s="40" t="str">
        <f>IF(tblWorkOrders[[#This Row],[WO no.]]="","",IFERROR(INDEX(tblWorkTypes[Category],MATCH(tblWorkOrders[[#This Row],[Work type]],tblWorkTypes[Work type],0)),""))</f>
        <v>Planned</v>
      </c>
      <c r="R51" s="41">
        <f>IF(tblWorkOrders[[#This Row],[WO no.]]="","",IFERROR(INDEX(tblPriorities[Target (days)],MATCH(tblWorkOrders[[#This Row],[Priority]],tblPriorities[Priority],0)),""))</f>
        <v>14</v>
      </c>
      <c r="S51" s="42">
        <f>IF(tblWorkOrders[[#This Row],[WO no.]]="","",IF(tblWorkOrders[[#This Row],[Target (days)]]="","",tblWorkOrders[[#This Row],[Date raised]]+tblWorkOrders[[#This Row],[Target (days)]]))</f>
        <v>46279</v>
      </c>
      <c r="T51" s="41">
        <f>IF(tblWorkOrders[[#This Row],[WO no.]]="","",IF(OR(tblWorkOrders[[#This Row],[Status]]="Complete",tblWorkOrders[[#This Row],[Status]]="Cancelled"),0,1))</f>
        <v>0</v>
      </c>
      <c r="U51" s="41">
        <f>IF(tblWorkOrders[[#This Row],[WO no.]]="","",IF(tblWorkOrders[[#This Row],[Status]]="Cancelled","",IF(tblWorkOrders[[#This Row],[Open]]=1,AsOf-tblWorkOrders[[#This Row],[Date raised]],IF(tblWorkOrders[[#This Row],[Date completed]]="","",tblWorkOrders[[#This Row],[Date completed]]-tblWorkOrders[[#This Row],[Date raised]]))))</f>
        <v>2</v>
      </c>
      <c r="V51" s="43">
        <f>IF(tblWorkOrders[[#This Row],[WO no.]]="","",IF(tblWorkOrders[[#This Row],[Open]]=1,MAX(0,tblWorkOrders[[#This Row],[Estimated (h)]]-tblWorkOrders[[#This Row],[Actual (h)]]),0))</f>
        <v>0</v>
      </c>
      <c r="W51" s="44">
        <f>IF(tblWorkOrders[[#This Row],[WO no.]]="","",tblWorkOrders[[#This Row],[Actual (h)]]*LabourRate)</f>
        <v>144</v>
      </c>
      <c r="X51" s="44">
        <f>IF(tblWorkOrders[[#This Row],[WO no.]]="","",tblWorkOrders[[#This Row],[Labour cost]]+tblWorkOrders[[#This Row],[Parts cost]]+tblWorkOrders[[#This Row],[Contractor cost]])</f>
        <v>144</v>
      </c>
      <c r="Y51" s="45" t="str">
        <f>IF(tblWorkOrders[[#This Row],[WO no.]]="","",IF(tblWorkOrders[[#This Row],[Status]]="Cancelled","",IF(tblWorkOrders[[#This Row],[Open]]=0,"Complete",IF(tblWorkOrders[[#This Row],[Due date]]="","",IF(AsOf&gt;tblWorkOrders[[#This Row],[Due date]],"Overdue",IF(tblWorkOrders[[#This Row],[Due date]]-AsOf&lt;=DueSoonDays,"Due soon","OK"))))))</f>
        <v>Complete</v>
      </c>
      <c r="Z51" s="45" t="str">
        <f>IF(tblWorkOrders[[#This Row],[WO no.]]="","",IF(OR(tblWorkOrders[[#This Row],[Status]]&lt;&gt;"Complete",tblWorkOrders[[#This Row],[Date completed]]="",tblWorkOrders[[#This Row],[Due date]]=""),"",IF(tblWorkOrders[[#This Row],[Date completed]]&lt;=tblWorkOrders[[#This Row],[Due date]],"Yes","No")))</f>
        <v>Yes</v>
      </c>
      <c r="AA51" s="42">
        <f>IF(tblWorkOrders[[#This Row],[WO no.]]="","",IF(AND(tblWorkOrders[[#This Row],[Date raised]]&gt;=FFrom,tblWorkOrders[[#This Row],[Date raised]]&lt;=FTo),tblWorkOrders[[#This Row],[Date raised]],""))</f>
        <v>46265</v>
      </c>
      <c r="AB5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2" spans="2:28" x14ac:dyDescent="0.25">
      <c r="B52" s="28" t="s">
        <v>267</v>
      </c>
      <c r="C52" s="29">
        <v>46265</v>
      </c>
      <c r="D52" s="28" t="s">
        <v>116</v>
      </c>
      <c r="E52" s="39" t="s">
        <v>216</v>
      </c>
      <c r="F52" s="28" t="s">
        <v>133</v>
      </c>
      <c r="G52" s="28" t="s">
        <v>147</v>
      </c>
      <c r="H52" s="28" t="s">
        <v>152</v>
      </c>
      <c r="I52" s="28" t="s">
        <v>200</v>
      </c>
      <c r="J52" s="29">
        <v>46265</v>
      </c>
      <c r="K52" s="31">
        <v>5</v>
      </c>
      <c r="L52" s="31">
        <v>5.5</v>
      </c>
      <c r="M52" s="30">
        <v>0</v>
      </c>
      <c r="N52" s="30">
        <v>0</v>
      </c>
      <c r="O52" s="31">
        <v>0</v>
      </c>
      <c r="P52" s="40" t="str">
        <f>IF(tblWorkOrders[[#This Row],[WO no.]]="","",IFERROR(INDEX(tblAssets[Area],MATCH(tblWorkOrders[[#This Row],[Asset]],tblAssets[Asset ID],0)),""))</f>
        <v>End of line</v>
      </c>
      <c r="Q52" s="40" t="str">
        <f>IF(tblWorkOrders[[#This Row],[WO no.]]="","",IFERROR(INDEX(tblWorkTypes[Category],MATCH(tblWorkOrders[[#This Row],[Work type]],tblWorkTypes[Work type],0)),""))</f>
        <v>Planned</v>
      </c>
      <c r="R52" s="41">
        <f>IF(tblWorkOrders[[#This Row],[WO no.]]="","",IFERROR(INDEX(tblPriorities[Target (days)],MATCH(tblWorkOrders[[#This Row],[Priority]],tblPriorities[Priority],0)),""))</f>
        <v>14</v>
      </c>
      <c r="S52" s="42">
        <f>IF(tblWorkOrders[[#This Row],[WO no.]]="","",IF(tblWorkOrders[[#This Row],[Target (days)]]="","",tblWorkOrders[[#This Row],[Date raised]]+tblWorkOrders[[#This Row],[Target (days)]]))</f>
        <v>46279</v>
      </c>
      <c r="T52" s="41">
        <f>IF(tblWorkOrders[[#This Row],[WO no.]]="","",IF(OR(tblWorkOrders[[#This Row],[Status]]="Complete",tblWorkOrders[[#This Row],[Status]]="Cancelled"),0,1))</f>
        <v>0</v>
      </c>
      <c r="U52" s="41">
        <f>IF(tblWorkOrders[[#This Row],[WO no.]]="","",IF(tblWorkOrders[[#This Row],[Status]]="Cancelled","",IF(tblWorkOrders[[#This Row],[Open]]=1,AsOf-tblWorkOrders[[#This Row],[Date raised]],IF(tblWorkOrders[[#This Row],[Date completed]]="","",tblWorkOrders[[#This Row],[Date completed]]-tblWorkOrders[[#This Row],[Date raised]]))))</f>
        <v>0</v>
      </c>
      <c r="V52" s="43">
        <f>IF(tblWorkOrders[[#This Row],[WO no.]]="","",IF(tblWorkOrders[[#This Row],[Open]]=1,MAX(0,tblWorkOrders[[#This Row],[Estimated (h)]]-tblWorkOrders[[#This Row],[Actual (h)]]),0))</f>
        <v>0</v>
      </c>
      <c r="W52" s="44">
        <f>IF(tblWorkOrders[[#This Row],[WO no.]]="","",tblWorkOrders[[#This Row],[Actual (h)]]*LabourRate)</f>
        <v>264</v>
      </c>
      <c r="X52" s="44">
        <f>IF(tblWorkOrders[[#This Row],[WO no.]]="","",tblWorkOrders[[#This Row],[Labour cost]]+tblWorkOrders[[#This Row],[Parts cost]]+tblWorkOrders[[#This Row],[Contractor cost]])</f>
        <v>264</v>
      </c>
      <c r="Y52" s="45" t="str">
        <f>IF(tblWorkOrders[[#This Row],[WO no.]]="","",IF(tblWorkOrders[[#This Row],[Status]]="Cancelled","",IF(tblWorkOrders[[#This Row],[Open]]=0,"Complete",IF(tblWorkOrders[[#This Row],[Due date]]="","",IF(AsOf&gt;tblWorkOrders[[#This Row],[Due date]],"Overdue",IF(tblWorkOrders[[#This Row],[Due date]]-AsOf&lt;=DueSoonDays,"Due soon","OK"))))))</f>
        <v>Complete</v>
      </c>
      <c r="Z52" s="45" t="str">
        <f>IF(tblWorkOrders[[#This Row],[WO no.]]="","",IF(OR(tblWorkOrders[[#This Row],[Status]]&lt;&gt;"Complete",tblWorkOrders[[#This Row],[Date completed]]="",tblWorkOrders[[#This Row],[Due date]]=""),"",IF(tblWorkOrders[[#This Row],[Date completed]]&lt;=tblWorkOrders[[#This Row],[Due date]],"Yes","No")))</f>
        <v>Yes</v>
      </c>
      <c r="AA52" s="42">
        <f>IF(tblWorkOrders[[#This Row],[WO no.]]="","",IF(AND(tblWorkOrders[[#This Row],[Date raised]]&gt;=FFrom,tblWorkOrders[[#This Row],[Date raised]]&lt;=FTo),tblWorkOrders[[#This Row],[Date raised]],""))</f>
        <v>46265</v>
      </c>
      <c r="AB5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3" spans="2:28" x14ac:dyDescent="0.25">
      <c r="B53" s="28" t="s">
        <v>268</v>
      </c>
      <c r="C53" s="29">
        <v>46266</v>
      </c>
      <c r="D53" s="28" t="s">
        <v>107</v>
      </c>
      <c r="E53" s="39" t="s">
        <v>269</v>
      </c>
      <c r="F53" s="28" t="s">
        <v>130</v>
      </c>
      <c r="G53" s="28" t="s">
        <v>147</v>
      </c>
      <c r="H53" s="28" t="s">
        <v>152</v>
      </c>
      <c r="I53" s="28" t="s">
        <v>200</v>
      </c>
      <c r="J53" s="29">
        <v>46274</v>
      </c>
      <c r="K53" s="31">
        <v>12</v>
      </c>
      <c r="L53" s="31">
        <v>14</v>
      </c>
      <c r="M53" s="30">
        <v>35</v>
      </c>
      <c r="N53" s="30">
        <v>0</v>
      </c>
      <c r="O53" s="31">
        <v>0</v>
      </c>
      <c r="P53" s="40" t="str">
        <f>IF(tblWorkOrders[[#This Row],[WO no.]]="","",IFERROR(INDEX(tblAssets[Area],MATCH(tblWorkOrders[[#This Row],[Asset]],tblAssets[Asset ID],0)),""))</f>
        <v>Line 1</v>
      </c>
      <c r="Q53" s="40" t="str">
        <f>IF(tblWorkOrders[[#This Row],[WO no.]]="","",IFERROR(INDEX(tblWorkTypes[Category],MATCH(tblWorkOrders[[#This Row],[Work type]],tblWorkTypes[Work type],0)),""))</f>
        <v>Corrective</v>
      </c>
      <c r="R53" s="41">
        <f>IF(tblWorkOrders[[#This Row],[WO no.]]="","",IFERROR(INDEX(tblPriorities[Target (days)],MATCH(tblWorkOrders[[#This Row],[Priority]],tblPriorities[Priority],0)),""))</f>
        <v>14</v>
      </c>
      <c r="S53" s="42">
        <f>IF(tblWorkOrders[[#This Row],[WO no.]]="","",IF(tblWorkOrders[[#This Row],[Target (days)]]="","",tblWorkOrders[[#This Row],[Date raised]]+tblWorkOrders[[#This Row],[Target (days)]]))</f>
        <v>46280</v>
      </c>
      <c r="T53" s="41">
        <f>IF(tblWorkOrders[[#This Row],[WO no.]]="","",IF(OR(tblWorkOrders[[#This Row],[Status]]="Complete",tblWorkOrders[[#This Row],[Status]]="Cancelled"),0,1))</f>
        <v>0</v>
      </c>
      <c r="U53" s="41">
        <f>IF(tblWorkOrders[[#This Row],[WO no.]]="","",IF(tblWorkOrders[[#This Row],[Status]]="Cancelled","",IF(tblWorkOrders[[#This Row],[Open]]=1,AsOf-tblWorkOrders[[#This Row],[Date raised]],IF(tblWorkOrders[[#This Row],[Date completed]]="","",tblWorkOrders[[#This Row],[Date completed]]-tblWorkOrders[[#This Row],[Date raised]]))))</f>
        <v>8</v>
      </c>
      <c r="V53" s="43">
        <f>IF(tblWorkOrders[[#This Row],[WO no.]]="","",IF(tblWorkOrders[[#This Row],[Open]]=1,MAX(0,tblWorkOrders[[#This Row],[Estimated (h)]]-tblWorkOrders[[#This Row],[Actual (h)]]),0))</f>
        <v>0</v>
      </c>
      <c r="W53" s="44">
        <f>IF(tblWorkOrders[[#This Row],[WO no.]]="","",tblWorkOrders[[#This Row],[Actual (h)]]*LabourRate)</f>
        <v>672</v>
      </c>
      <c r="X53" s="44">
        <f>IF(tblWorkOrders[[#This Row],[WO no.]]="","",tblWorkOrders[[#This Row],[Labour cost]]+tblWorkOrders[[#This Row],[Parts cost]]+tblWorkOrders[[#This Row],[Contractor cost]])</f>
        <v>707</v>
      </c>
      <c r="Y53" s="45" t="str">
        <f>IF(tblWorkOrders[[#This Row],[WO no.]]="","",IF(tblWorkOrders[[#This Row],[Status]]="Cancelled","",IF(tblWorkOrders[[#This Row],[Open]]=0,"Complete",IF(tblWorkOrders[[#This Row],[Due date]]="","",IF(AsOf&gt;tblWorkOrders[[#This Row],[Due date]],"Overdue",IF(tblWorkOrders[[#This Row],[Due date]]-AsOf&lt;=DueSoonDays,"Due soon","OK"))))))</f>
        <v>Complete</v>
      </c>
      <c r="Z53" s="45" t="str">
        <f>IF(tblWorkOrders[[#This Row],[WO no.]]="","",IF(OR(tblWorkOrders[[#This Row],[Status]]&lt;&gt;"Complete",tblWorkOrders[[#This Row],[Date completed]]="",tblWorkOrders[[#This Row],[Due date]]=""),"",IF(tblWorkOrders[[#This Row],[Date completed]]&lt;=tblWorkOrders[[#This Row],[Due date]],"Yes","No")))</f>
        <v>Yes</v>
      </c>
      <c r="AA53" s="42">
        <f>IF(tblWorkOrders[[#This Row],[WO no.]]="","",IF(AND(tblWorkOrders[[#This Row],[Date raised]]&gt;=FFrom,tblWorkOrders[[#This Row],[Date raised]]&lt;=FTo),tblWorkOrders[[#This Row],[Date raised]],""))</f>
        <v>46266</v>
      </c>
      <c r="AB5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4" spans="2:28" x14ac:dyDescent="0.25">
      <c r="B54" s="28" t="s">
        <v>270</v>
      </c>
      <c r="C54" s="29">
        <v>46266</v>
      </c>
      <c r="D54" s="28" t="s">
        <v>100</v>
      </c>
      <c r="E54" s="39" t="s">
        <v>271</v>
      </c>
      <c r="F54" s="28" t="s">
        <v>130</v>
      </c>
      <c r="G54" s="28" t="s">
        <v>147</v>
      </c>
      <c r="H54" s="28" t="s">
        <v>157</v>
      </c>
      <c r="I54" s="28" t="s">
        <v>188</v>
      </c>
      <c r="J54" s="29"/>
      <c r="K54" s="31">
        <v>6</v>
      </c>
      <c r="L54" s="31">
        <v>0</v>
      </c>
      <c r="M54" s="30">
        <v>0</v>
      </c>
      <c r="N54" s="30">
        <v>0</v>
      </c>
      <c r="O54" s="31">
        <v>0</v>
      </c>
      <c r="P54" s="40" t="str">
        <f>IF(tblWorkOrders[[#This Row],[WO no.]]="","",IFERROR(INDEX(tblAssets[Area],MATCH(tblWorkOrders[[#This Row],[Asset]],tblAssets[Asset ID],0)),""))</f>
        <v>Processing</v>
      </c>
      <c r="Q54" s="40" t="str">
        <f>IF(tblWorkOrders[[#This Row],[WO no.]]="","",IFERROR(INDEX(tblWorkTypes[Category],MATCH(tblWorkOrders[[#This Row],[Work type]],tblWorkTypes[Work type],0)),""))</f>
        <v>Corrective</v>
      </c>
      <c r="R54" s="41">
        <f>IF(tblWorkOrders[[#This Row],[WO no.]]="","",IFERROR(INDEX(tblPriorities[Target (days)],MATCH(tblWorkOrders[[#This Row],[Priority]],tblPriorities[Priority],0)),""))</f>
        <v>14</v>
      </c>
      <c r="S54" s="42">
        <f>IF(tblWorkOrders[[#This Row],[WO no.]]="","",IF(tblWorkOrders[[#This Row],[Target (days)]]="","",tblWorkOrders[[#This Row],[Date raised]]+tblWorkOrders[[#This Row],[Target (days)]]))</f>
        <v>46280</v>
      </c>
      <c r="T54" s="41">
        <f>IF(tblWorkOrders[[#This Row],[WO no.]]="","",IF(OR(tblWorkOrders[[#This Row],[Status]]="Complete",tblWorkOrders[[#This Row],[Status]]="Cancelled"),0,1))</f>
        <v>1</v>
      </c>
      <c r="U54" s="41">
        <f>IF(tblWorkOrders[[#This Row],[WO no.]]="","",IF(tblWorkOrders[[#This Row],[Status]]="Cancelled","",IF(tblWorkOrders[[#This Row],[Open]]=1,AsOf-tblWorkOrders[[#This Row],[Date raised]],IF(tblWorkOrders[[#This Row],[Date completed]]="","",tblWorkOrders[[#This Row],[Date completed]]-tblWorkOrders[[#This Row],[Date raised]]))))</f>
        <v>38</v>
      </c>
      <c r="V54" s="43">
        <f>IF(tblWorkOrders[[#This Row],[WO no.]]="","",IF(tblWorkOrders[[#This Row],[Open]]=1,MAX(0,tblWorkOrders[[#This Row],[Estimated (h)]]-tblWorkOrders[[#This Row],[Actual (h)]]),0))</f>
        <v>6</v>
      </c>
      <c r="W54" s="44">
        <f>IF(tblWorkOrders[[#This Row],[WO no.]]="","",tblWorkOrders[[#This Row],[Actual (h)]]*LabourRate)</f>
        <v>0</v>
      </c>
      <c r="X54" s="44">
        <f>IF(tblWorkOrders[[#This Row],[WO no.]]="","",tblWorkOrders[[#This Row],[Labour cost]]+tblWorkOrders[[#This Row],[Parts cost]]+tblWorkOrders[[#This Row],[Contractor cost]])</f>
        <v>0</v>
      </c>
      <c r="Y54" s="45" t="str">
        <f>IF(tblWorkOrders[[#This Row],[WO no.]]="","",IF(tblWorkOrders[[#This Row],[Status]]="Cancelled","",IF(tblWorkOrders[[#This Row],[Open]]=0,"Complete",IF(tblWorkOrders[[#This Row],[Due date]]="","",IF(AsOf&gt;tblWorkOrders[[#This Row],[Due date]],"Overdue",IF(tblWorkOrders[[#This Row],[Due date]]-AsOf&lt;=DueSoonDays,"Due soon","OK"))))))</f>
        <v>Overdue</v>
      </c>
      <c r="Z54" s="45">
        <f>IF(tblWorkOrders[[#This Row],[WO no.]]="","",IF(OR(tblWorkOrders[[#This Row],[Status]]&lt;&gt;"Complete",tblWorkOrders[[#This Row],[Date completed]]="",tblWorkOrders[[#This Row],[Due date]]=""),"",IF(tblWorkOrders[[#This Row],[Date completed]]&lt;=tblWorkOrders[[#This Row],[Due date]],"Yes","No")))</f>
        <v/>
      </c>
      <c r="AA54" s="42">
        <f>IF(tblWorkOrders[[#This Row],[WO no.]]="","",IF(AND(tblWorkOrders[[#This Row],[Date raised]]&gt;=FFrom,tblWorkOrders[[#This Row],[Date raised]]&lt;=FTo),tblWorkOrders[[#This Row],[Date raised]],""))</f>
        <v>46266</v>
      </c>
      <c r="AB5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5" spans="2:28" x14ac:dyDescent="0.25">
      <c r="B55" s="28" t="s">
        <v>272</v>
      </c>
      <c r="C55" s="29">
        <v>46267</v>
      </c>
      <c r="D55" s="28" t="s">
        <v>119</v>
      </c>
      <c r="E55" s="39" t="s">
        <v>224</v>
      </c>
      <c r="F55" s="28" t="s">
        <v>136</v>
      </c>
      <c r="G55" s="28" t="s">
        <v>147</v>
      </c>
      <c r="H55" s="28" t="s">
        <v>159</v>
      </c>
      <c r="I55" s="28" t="s">
        <v>200</v>
      </c>
      <c r="J55" s="29">
        <v>46268</v>
      </c>
      <c r="K55" s="31">
        <v>6</v>
      </c>
      <c r="L55" s="31">
        <v>6</v>
      </c>
      <c r="M55" s="30">
        <v>0</v>
      </c>
      <c r="N55" s="30">
        <v>0</v>
      </c>
      <c r="O55" s="31">
        <v>0</v>
      </c>
      <c r="P55" s="40" t="str">
        <f>IF(tblWorkOrders[[#This Row],[WO no.]]="","",IFERROR(INDEX(tblAssets[Area],MATCH(tblWorkOrders[[#This Row],[Asset]],tblAssets[Asset ID],0)),""))</f>
        <v>Utilities</v>
      </c>
      <c r="Q55" s="40" t="str">
        <f>IF(tblWorkOrders[[#This Row],[WO no.]]="","",IFERROR(INDEX(tblWorkTypes[Category],MATCH(tblWorkOrders[[#This Row],[Work type]],tblWorkTypes[Work type],0)),""))</f>
        <v>Planned</v>
      </c>
      <c r="R55" s="41">
        <f>IF(tblWorkOrders[[#This Row],[WO no.]]="","",IFERROR(INDEX(tblPriorities[Target (days)],MATCH(tblWorkOrders[[#This Row],[Priority]],tblPriorities[Priority],0)),""))</f>
        <v>14</v>
      </c>
      <c r="S55" s="42">
        <f>IF(tblWorkOrders[[#This Row],[WO no.]]="","",IF(tblWorkOrders[[#This Row],[Target (days)]]="","",tblWorkOrders[[#This Row],[Date raised]]+tblWorkOrders[[#This Row],[Target (days)]]))</f>
        <v>46281</v>
      </c>
      <c r="T55" s="41">
        <f>IF(tblWorkOrders[[#This Row],[WO no.]]="","",IF(OR(tblWorkOrders[[#This Row],[Status]]="Complete",tblWorkOrders[[#This Row],[Status]]="Cancelled"),0,1))</f>
        <v>0</v>
      </c>
      <c r="U55" s="41">
        <f>IF(tblWorkOrders[[#This Row],[WO no.]]="","",IF(tblWorkOrders[[#This Row],[Status]]="Cancelled","",IF(tblWorkOrders[[#This Row],[Open]]=1,AsOf-tblWorkOrders[[#This Row],[Date raised]],IF(tblWorkOrders[[#This Row],[Date completed]]="","",tblWorkOrders[[#This Row],[Date completed]]-tblWorkOrders[[#This Row],[Date raised]]))))</f>
        <v>1</v>
      </c>
      <c r="V55" s="43">
        <f>IF(tblWorkOrders[[#This Row],[WO no.]]="","",IF(tblWorkOrders[[#This Row],[Open]]=1,MAX(0,tblWorkOrders[[#This Row],[Estimated (h)]]-tblWorkOrders[[#This Row],[Actual (h)]]),0))</f>
        <v>0</v>
      </c>
      <c r="W55" s="44">
        <f>IF(tblWorkOrders[[#This Row],[WO no.]]="","",tblWorkOrders[[#This Row],[Actual (h)]]*LabourRate)</f>
        <v>288</v>
      </c>
      <c r="X55" s="44">
        <f>IF(tblWorkOrders[[#This Row],[WO no.]]="","",tblWorkOrders[[#This Row],[Labour cost]]+tblWorkOrders[[#This Row],[Parts cost]]+tblWorkOrders[[#This Row],[Contractor cost]])</f>
        <v>288</v>
      </c>
      <c r="Y55" s="45" t="str">
        <f>IF(tblWorkOrders[[#This Row],[WO no.]]="","",IF(tblWorkOrders[[#This Row],[Status]]="Cancelled","",IF(tblWorkOrders[[#This Row],[Open]]=0,"Complete",IF(tblWorkOrders[[#This Row],[Due date]]="","",IF(AsOf&gt;tblWorkOrders[[#This Row],[Due date]],"Overdue",IF(tblWorkOrders[[#This Row],[Due date]]-AsOf&lt;=DueSoonDays,"Due soon","OK"))))))</f>
        <v>Complete</v>
      </c>
      <c r="Z55" s="45" t="str">
        <f>IF(tblWorkOrders[[#This Row],[WO no.]]="","",IF(OR(tblWorkOrders[[#This Row],[Status]]&lt;&gt;"Complete",tblWorkOrders[[#This Row],[Date completed]]="",tblWorkOrders[[#This Row],[Due date]]=""),"",IF(tblWorkOrders[[#This Row],[Date completed]]&lt;=tblWorkOrders[[#This Row],[Due date]],"Yes","No")))</f>
        <v>Yes</v>
      </c>
      <c r="AA55" s="42">
        <f>IF(tblWorkOrders[[#This Row],[WO no.]]="","",IF(AND(tblWorkOrders[[#This Row],[Date raised]]&gt;=FFrom,tblWorkOrders[[#This Row],[Date raised]]&lt;=FTo),tblWorkOrders[[#This Row],[Date raised]],""))</f>
        <v>46267</v>
      </c>
      <c r="AB5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6" spans="2:28" x14ac:dyDescent="0.25">
      <c r="B56" s="28" t="s">
        <v>273</v>
      </c>
      <c r="C56" s="29">
        <v>46267</v>
      </c>
      <c r="D56" s="28" t="s">
        <v>124</v>
      </c>
      <c r="E56" s="39" t="s">
        <v>274</v>
      </c>
      <c r="F56" s="28" t="s">
        <v>130</v>
      </c>
      <c r="G56" s="28" t="s">
        <v>145</v>
      </c>
      <c r="H56" s="28" t="s">
        <v>152</v>
      </c>
      <c r="I56" s="28" t="s">
        <v>200</v>
      </c>
      <c r="J56" s="29">
        <v>46271</v>
      </c>
      <c r="K56" s="31">
        <v>3</v>
      </c>
      <c r="L56" s="31">
        <v>3.5</v>
      </c>
      <c r="M56" s="30">
        <v>220</v>
      </c>
      <c r="N56" s="30">
        <v>0</v>
      </c>
      <c r="O56" s="31">
        <v>0</v>
      </c>
      <c r="P56" s="40" t="str">
        <f>IF(tblWorkOrders[[#This Row],[WO no.]]="","",IFERROR(INDEX(tblAssets[Area],MATCH(tblWorkOrders[[#This Row],[Asset]],tblAssets[Asset ID],0)),""))</f>
        <v>Utilities</v>
      </c>
      <c r="Q56" s="40" t="str">
        <f>IF(tblWorkOrders[[#This Row],[WO no.]]="","",IFERROR(INDEX(tblWorkTypes[Category],MATCH(tblWorkOrders[[#This Row],[Work type]],tblWorkTypes[Work type],0)),""))</f>
        <v>Corrective</v>
      </c>
      <c r="R56" s="41">
        <f>IF(tblWorkOrders[[#This Row],[WO no.]]="","",IFERROR(INDEX(tblPriorities[Target (days)],MATCH(tblWorkOrders[[#This Row],[Priority]],tblPriorities[Priority],0)),""))</f>
        <v>3</v>
      </c>
      <c r="S56" s="42">
        <f>IF(tblWorkOrders[[#This Row],[WO no.]]="","",IF(tblWorkOrders[[#This Row],[Target (days)]]="","",tblWorkOrders[[#This Row],[Date raised]]+tblWorkOrders[[#This Row],[Target (days)]]))</f>
        <v>46270</v>
      </c>
      <c r="T56" s="41">
        <f>IF(tblWorkOrders[[#This Row],[WO no.]]="","",IF(OR(tblWorkOrders[[#This Row],[Status]]="Complete",tblWorkOrders[[#This Row],[Status]]="Cancelled"),0,1))</f>
        <v>0</v>
      </c>
      <c r="U56" s="41">
        <f>IF(tblWorkOrders[[#This Row],[WO no.]]="","",IF(tblWorkOrders[[#This Row],[Status]]="Cancelled","",IF(tblWorkOrders[[#This Row],[Open]]=1,AsOf-tblWorkOrders[[#This Row],[Date raised]],IF(tblWorkOrders[[#This Row],[Date completed]]="","",tblWorkOrders[[#This Row],[Date completed]]-tblWorkOrders[[#This Row],[Date raised]]))))</f>
        <v>4</v>
      </c>
      <c r="V56" s="43">
        <f>IF(tblWorkOrders[[#This Row],[WO no.]]="","",IF(tblWorkOrders[[#This Row],[Open]]=1,MAX(0,tblWorkOrders[[#This Row],[Estimated (h)]]-tblWorkOrders[[#This Row],[Actual (h)]]),0))</f>
        <v>0</v>
      </c>
      <c r="W56" s="44">
        <f>IF(tblWorkOrders[[#This Row],[WO no.]]="","",tblWorkOrders[[#This Row],[Actual (h)]]*LabourRate)</f>
        <v>168</v>
      </c>
      <c r="X56" s="44">
        <f>IF(tblWorkOrders[[#This Row],[WO no.]]="","",tblWorkOrders[[#This Row],[Labour cost]]+tblWorkOrders[[#This Row],[Parts cost]]+tblWorkOrders[[#This Row],[Contractor cost]])</f>
        <v>388</v>
      </c>
      <c r="Y56" s="45" t="str">
        <f>IF(tblWorkOrders[[#This Row],[WO no.]]="","",IF(tblWorkOrders[[#This Row],[Status]]="Cancelled","",IF(tblWorkOrders[[#This Row],[Open]]=0,"Complete",IF(tblWorkOrders[[#This Row],[Due date]]="","",IF(AsOf&gt;tblWorkOrders[[#This Row],[Due date]],"Overdue",IF(tblWorkOrders[[#This Row],[Due date]]-AsOf&lt;=DueSoonDays,"Due soon","OK"))))))</f>
        <v>Complete</v>
      </c>
      <c r="Z56" s="45" t="str">
        <f>IF(tblWorkOrders[[#This Row],[WO no.]]="","",IF(OR(tblWorkOrders[[#This Row],[Status]]&lt;&gt;"Complete",tblWorkOrders[[#This Row],[Date completed]]="",tblWorkOrders[[#This Row],[Due date]]=""),"",IF(tblWorkOrders[[#This Row],[Date completed]]&lt;=tblWorkOrders[[#This Row],[Due date]],"Yes","No")))</f>
        <v>No</v>
      </c>
      <c r="AA56" s="42">
        <f>IF(tblWorkOrders[[#This Row],[WO no.]]="","",IF(AND(tblWorkOrders[[#This Row],[Date raised]]&gt;=FFrom,tblWorkOrders[[#This Row],[Date raised]]&lt;=FTo),tblWorkOrders[[#This Row],[Date raised]],""))</f>
        <v>46267</v>
      </c>
      <c r="AB5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7" spans="2:28" x14ac:dyDescent="0.25">
      <c r="B57" s="28" t="s">
        <v>275</v>
      </c>
      <c r="C57" s="29">
        <v>46267</v>
      </c>
      <c r="D57" s="28" t="s">
        <v>107</v>
      </c>
      <c r="E57" s="39" t="s">
        <v>276</v>
      </c>
      <c r="F57" s="28" t="s">
        <v>130</v>
      </c>
      <c r="G57" s="28" t="s">
        <v>147</v>
      </c>
      <c r="H57" s="28" t="s">
        <v>159</v>
      </c>
      <c r="I57" s="28" t="s">
        <v>200</v>
      </c>
      <c r="J57" s="29">
        <v>46279</v>
      </c>
      <c r="K57" s="31">
        <v>3</v>
      </c>
      <c r="L57" s="31">
        <v>3</v>
      </c>
      <c r="M57" s="30">
        <v>0</v>
      </c>
      <c r="N57" s="30">
        <v>0</v>
      </c>
      <c r="O57" s="31">
        <v>0</v>
      </c>
      <c r="P57" s="40" t="str">
        <f>IF(tblWorkOrders[[#This Row],[WO no.]]="","",IFERROR(INDEX(tblAssets[Area],MATCH(tblWorkOrders[[#This Row],[Asset]],tblAssets[Asset ID],0)),""))</f>
        <v>Line 1</v>
      </c>
      <c r="Q57" s="40" t="str">
        <f>IF(tblWorkOrders[[#This Row],[WO no.]]="","",IFERROR(INDEX(tblWorkTypes[Category],MATCH(tblWorkOrders[[#This Row],[Work type]],tblWorkTypes[Work type],0)),""))</f>
        <v>Corrective</v>
      </c>
      <c r="R57" s="41">
        <f>IF(tblWorkOrders[[#This Row],[WO no.]]="","",IFERROR(INDEX(tblPriorities[Target (days)],MATCH(tblWorkOrders[[#This Row],[Priority]],tblPriorities[Priority],0)),""))</f>
        <v>14</v>
      </c>
      <c r="S57" s="42">
        <f>IF(tblWorkOrders[[#This Row],[WO no.]]="","",IF(tblWorkOrders[[#This Row],[Target (days)]]="","",tblWorkOrders[[#This Row],[Date raised]]+tblWorkOrders[[#This Row],[Target (days)]]))</f>
        <v>46281</v>
      </c>
      <c r="T57" s="41">
        <f>IF(tblWorkOrders[[#This Row],[WO no.]]="","",IF(OR(tblWorkOrders[[#This Row],[Status]]="Complete",tblWorkOrders[[#This Row],[Status]]="Cancelled"),0,1))</f>
        <v>0</v>
      </c>
      <c r="U57" s="41">
        <f>IF(tblWorkOrders[[#This Row],[WO no.]]="","",IF(tblWorkOrders[[#This Row],[Status]]="Cancelled","",IF(tblWorkOrders[[#This Row],[Open]]=1,AsOf-tblWorkOrders[[#This Row],[Date raised]],IF(tblWorkOrders[[#This Row],[Date completed]]="","",tblWorkOrders[[#This Row],[Date completed]]-tblWorkOrders[[#This Row],[Date raised]]))))</f>
        <v>12</v>
      </c>
      <c r="V57" s="43">
        <f>IF(tblWorkOrders[[#This Row],[WO no.]]="","",IF(tblWorkOrders[[#This Row],[Open]]=1,MAX(0,tblWorkOrders[[#This Row],[Estimated (h)]]-tblWorkOrders[[#This Row],[Actual (h)]]),0))</f>
        <v>0</v>
      </c>
      <c r="W57" s="44">
        <f>IF(tblWorkOrders[[#This Row],[WO no.]]="","",tblWorkOrders[[#This Row],[Actual (h)]]*LabourRate)</f>
        <v>144</v>
      </c>
      <c r="X57" s="44">
        <f>IF(tblWorkOrders[[#This Row],[WO no.]]="","",tblWorkOrders[[#This Row],[Labour cost]]+tblWorkOrders[[#This Row],[Parts cost]]+tblWorkOrders[[#This Row],[Contractor cost]])</f>
        <v>144</v>
      </c>
      <c r="Y57" s="45" t="str">
        <f>IF(tblWorkOrders[[#This Row],[WO no.]]="","",IF(tblWorkOrders[[#This Row],[Status]]="Cancelled","",IF(tblWorkOrders[[#This Row],[Open]]=0,"Complete",IF(tblWorkOrders[[#This Row],[Due date]]="","",IF(AsOf&gt;tblWorkOrders[[#This Row],[Due date]],"Overdue",IF(tblWorkOrders[[#This Row],[Due date]]-AsOf&lt;=DueSoonDays,"Due soon","OK"))))))</f>
        <v>Complete</v>
      </c>
      <c r="Z57" s="45" t="str">
        <f>IF(tblWorkOrders[[#This Row],[WO no.]]="","",IF(OR(tblWorkOrders[[#This Row],[Status]]&lt;&gt;"Complete",tblWorkOrders[[#This Row],[Date completed]]="",tblWorkOrders[[#This Row],[Due date]]=""),"",IF(tblWorkOrders[[#This Row],[Date completed]]&lt;=tblWorkOrders[[#This Row],[Due date]],"Yes","No")))</f>
        <v>Yes</v>
      </c>
      <c r="AA57" s="42">
        <f>IF(tblWorkOrders[[#This Row],[WO no.]]="","",IF(AND(tblWorkOrders[[#This Row],[Date raised]]&gt;=FFrom,tblWorkOrders[[#This Row],[Date raised]]&lt;=FTo),tblWorkOrders[[#This Row],[Date raised]],""))</f>
        <v>46267</v>
      </c>
      <c r="AB5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8" spans="2:28" x14ac:dyDescent="0.25">
      <c r="B58" s="28" t="s">
        <v>277</v>
      </c>
      <c r="C58" s="29">
        <v>46267</v>
      </c>
      <c r="D58" s="28" t="s">
        <v>104</v>
      </c>
      <c r="E58" s="39" t="s">
        <v>278</v>
      </c>
      <c r="F58" s="28" t="s">
        <v>130</v>
      </c>
      <c r="G58" s="28" t="s">
        <v>145</v>
      </c>
      <c r="H58" s="28" t="s">
        <v>152</v>
      </c>
      <c r="I58" s="28" t="s">
        <v>279</v>
      </c>
      <c r="J58" s="29"/>
      <c r="K58" s="31">
        <v>2</v>
      </c>
      <c r="L58" s="31">
        <v>0</v>
      </c>
      <c r="M58" s="30">
        <v>0</v>
      </c>
      <c r="N58" s="30">
        <v>0</v>
      </c>
      <c r="O58" s="31">
        <v>0</v>
      </c>
      <c r="P58" s="40" t="str">
        <f>IF(tblWorkOrders[[#This Row],[WO no.]]="","",IFERROR(INDEX(tblAssets[Area],MATCH(tblWorkOrders[[#This Row],[Asset]],tblAssets[Asset ID],0)),""))</f>
        <v>Line 1</v>
      </c>
      <c r="Q58" s="40" t="str">
        <f>IF(tblWorkOrders[[#This Row],[WO no.]]="","",IFERROR(INDEX(tblWorkTypes[Category],MATCH(tblWorkOrders[[#This Row],[Work type]],tblWorkTypes[Work type],0)),""))</f>
        <v>Corrective</v>
      </c>
      <c r="R58" s="41">
        <f>IF(tblWorkOrders[[#This Row],[WO no.]]="","",IFERROR(INDEX(tblPriorities[Target (days)],MATCH(tblWorkOrders[[#This Row],[Priority]],tblPriorities[Priority],0)),""))</f>
        <v>3</v>
      </c>
      <c r="S58" s="42">
        <f>IF(tblWorkOrders[[#This Row],[WO no.]]="","",IF(tblWorkOrders[[#This Row],[Target (days)]]="","",tblWorkOrders[[#This Row],[Date raised]]+tblWorkOrders[[#This Row],[Target (days)]]))</f>
        <v>46270</v>
      </c>
      <c r="T58" s="41">
        <f>IF(tblWorkOrders[[#This Row],[WO no.]]="","",IF(OR(tblWorkOrders[[#This Row],[Status]]="Complete",tblWorkOrders[[#This Row],[Status]]="Cancelled"),0,1))</f>
        <v>0</v>
      </c>
      <c r="U58" s="41">
        <f>IF(tblWorkOrders[[#This Row],[WO no.]]="","",IF(tblWorkOrders[[#This Row],[Status]]="Cancelled","",IF(tblWorkOrders[[#This Row],[Open]]=1,AsOf-tblWorkOrders[[#This Row],[Date raised]],IF(tblWorkOrders[[#This Row],[Date completed]]="","",tblWorkOrders[[#This Row],[Date completed]]-tblWorkOrders[[#This Row],[Date raised]]))))</f>
        <v/>
      </c>
      <c r="V58" s="43">
        <f>IF(tblWorkOrders[[#This Row],[WO no.]]="","",IF(tblWorkOrders[[#This Row],[Open]]=1,MAX(0,tblWorkOrders[[#This Row],[Estimated (h)]]-tblWorkOrders[[#This Row],[Actual (h)]]),0))</f>
        <v>0</v>
      </c>
      <c r="W58" s="44">
        <f>IF(tblWorkOrders[[#This Row],[WO no.]]="","",tblWorkOrders[[#This Row],[Actual (h)]]*LabourRate)</f>
        <v>0</v>
      </c>
      <c r="X58" s="44">
        <f>IF(tblWorkOrders[[#This Row],[WO no.]]="","",tblWorkOrders[[#This Row],[Labour cost]]+tblWorkOrders[[#This Row],[Parts cost]]+tblWorkOrders[[#This Row],[Contractor cost]])</f>
        <v>0</v>
      </c>
      <c r="Y58" s="45">
        <f>IF(tblWorkOrders[[#This Row],[WO no.]]="","",IF(tblWorkOrders[[#This Row],[Status]]="Cancelled","",IF(tblWorkOrders[[#This Row],[Open]]=0,"Complete",IF(tblWorkOrders[[#This Row],[Due date]]="","",IF(AsOf&gt;tblWorkOrders[[#This Row],[Due date]],"Overdue",IF(tblWorkOrders[[#This Row],[Due date]]-AsOf&lt;=DueSoonDays,"Due soon","OK"))))))</f>
        <v/>
      </c>
      <c r="Z58" s="45">
        <f>IF(tblWorkOrders[[#This Row],[WO no.]]="","",IF(OR(tblWorkOrders[[#This Row],[Status]]&lt;&gt;"Complete",tblWorkOrders[[#This Row],[Date completed]]="",tblWorkOrders[[#This Row],[Due date]]=""),"",IF(tblWorkOrders[[#This Row],[Date completed]]&lt;=tblWorkOrders[[#This Row],[Due date]],"Yes","No")))</f>
        <v/>
      </c>
      <c r="AA58" s="42">
        <f>IF(tblWorkOrders[[#This Row],[WO no.]]="","",IF(AND(tblWorkOrders[[#This Row],[Date raised]]&gt;=FFrom,tblWorkOrders[[#This Row],[Date raised]]&lt;=FTo),tblWorkOrders[[#This Row],[Date raised]],""))</f>
        <v>46267</v>
      </c>
      <c r="AB5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59" spans="2:28" x14ac:dyDescent="0.25">
      <c r="B59" s="28" t="s">
        <v>280</v>
      </c>
      <c r="C59" s="29">
        <v>46268</v>
      </c>
      <c r="D59" s="28" t="s">
        <v>114</v>
      </c>
      <c r="E59" s="39" t="s">
        <v>252</v>
      </c>
      <c r="F59" s="28" t="s">
        <v>130</v>
      </c>
      <c r="G59" s="28" t="s">
        <v>147</v>
      </c>
      <c r="H59" s="28" t="s">
        <v>152</v>
      </c>
      <c r="I59" s="28" t="s">
        <v>200</v>
      </c>
      <c r="J59" s="29">
        <v>46273</v>
      </c>
      <c r="K59" s="31">
        <v>16</v>
      </c>
      <c r="L59" s="31">
        <v>19</v>
      </c>
      <c r="M59" s="30">
        <v>90</v>
      </c>
      <c r="N59" s="30">
        <v>0</v>
      </c>
      <c r="O59" s="31">
        <v>0</v>
      </c>
      <c r="P59" s="40" t="str">
        <f>IF(tblWorkOrders[[#This Row],[WO no.]]="","",IFERROR(INDEX(tblAssets[Area],MATCH(tblWorkOrders[[#This Row],[Asset]],tblAssets[Asset ID],0)),""))</f>
        <v>Line 2</v>
      </c>
      <c r="Q59" s="40" t="str">
        <f>IF(tblWorkOrders[[#This Row],[WO no.]]="","",IFERROR(INDEX(tblWorkTypes[Category],MATCH(tblWorkOrders[[#This Row],[Work type]],tblWorkTypes[Work type],0)),""))</f>
        <v>Corrective</v>
      </c>
      <c r="R59" s="41">
        <f>IF(tblWorkOrders[[#This Row],[WO no.]]="","",IFERROR(INDEX(tblPriorities[Target (days)],MATCH(tblWorkOrders[[#This Row],[Priority]],tblPriorities[Priority],0)),""))</f>
        <v>14</v>
      </c>
      <c r="S59" s="42">
        <f>IF(tblWorkOrders[[#This Row],[WO no.]]="","",IF(tblWorkOrders[[#This Row],[Target (days)]]="","",tblWorkOrders[[#This Row],[Date raised]]+tblWorkOrders[[#This Row],[Target (days)]]))</f>
        <v>46282</v>
      </c>
      <c r="T59" s="41">
        <f>IF(tblWorkOrders[[#This Row],[WO no.]]="","",IF(OR(tblWorkOrders[[#This Row],[Status]]="Complete",tblWorkOrders[[#This Row],[Status]]="Cancelled"),0,1))</f>
        <v>0</v>
      </c>
      <c r="U59" s="41">
        <f>IF(tblWorkOrders[[#This Row],[WO no.]]="","",IF(tblWorkOrders[[#This Row],[Status]]="Cancelled","",IF(tblWorkOrders[[#This Row],[Open]]=1,AsOf-tblWorkOrders[[#This Row],[Date raised]],IF(tblWorkOrders[[#This Row],[Date completed]]="","",tblWorkOrders[[#This Row],[Date completed]]-tblWorkOrders[[#This Row],[Date raised]]))))</f>
        <v>5</v>
      </c>
      <c r="V59" s="43">
        <f>IF(tblWorkOrders[[#This Row],[WO no.]]="","",IF(tblWorkOrders[[#This Row],[Open]]=1,MAX(0,tblWorkOrders[[#This Row],[Estimated (h)]]-tblWorkOrders[[#This Row],[Actual (h)]]),0))</f>
        <v>0</v>
      </c>
      <c r="W59" s="44">
        <f>IF(tblWorkOrders[[#This Row],[WO no.]]="","",tblWorkOrders[[#This Row],[Actual (h)]]*LabourRate)</f>
        <v>912</v>
      </c>
      <c r="X59" s="44">
        <f>IF(tblWorkOrders[[#This Row],[WO no.]]="","",tblWorkOrders[[#This Row],[Labour cost]]+tblWorkOrders[[#This Row],[Parts cost]]+tblWorkOrders[[#This Row],[Contractor cost]])</f>
        <v>1002</v>
      </c>
      <c r="Y59" s="45" t="str">
        <f>IF(tblWorkOrders[[#This Row],[WO no.]]="","",IF(tblWorkOrders[[#This Row],[Status]]="Cancelled","",IF(tblWorkOrders[[#This Row],[Open]]=0,"Complete",IF(tblWorkOrders[[#This Row],[Due date]]="","",IF(AsOf&gt;tblWorkOrders[[#This Row],[Due date]],"Overdue",IF(tblWorkOrders[[#This Row],[Due date]]-AsOf&lt;=DueSoonDays,"Due soon","OK"))))))</f>
        <v>Complete</v>
      </c>
      <c r="Z59" s="45" t="str">
        <f>IF(tblWorkOrders[[#This Row],[WO no.]]="","",IF(OR(tblWorkOrders[[#This Row],[Status]]&lt;&gt;"Complete",tblWorkOrders[[#This Row],[Date completed]]="",tblWorkOrders[[#This Row],[Due date]]=""),"",IF(tblWorkOrders[[#This Row],[Date completed]]&lt;=tblWorkOrders[[#This Row],[Due date]],"Yes","No")))</f>
        <v>Yes</v>
      </c>
      <c r="AA59" s="42">
        <f>IF(tblWorkOrders[[#This Row],[WO no.]]="","",IF(AND(tblWorkOrders[[#This Row],[Date raised]]&gt;=FFrom,tblWorkOrders[[#This Row],[Date raised]]&lt;=FTo),tblWorkOrders[[#This Row],[Date raised]],""))</f>
        <v>46268</v>
      </c>
      <c r="AB5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0" spans="2:28" x14ac:dyDescent="0.25">
      <c r="B60" s="28" t="s">
        <v>281</v>
      </c>
      <c r="C60" s="29">
        <v>46272</v>
      </c>
      <c r="D60" s="28" t="s">
        <v>107</v>
      </c>
      <c r="E60" s="39" t="s">
        <v>210</v>
      </c>
      <c r="F60" s="28" t="s">
        <v>133</v>
      </c>
      <c r="G60" s="28" t="s">
        <v>147</v>
      </c>
      <c r="H60" s="28" t="s">
        <v>157</v>
      </c>
      <c r="I60" s="28" t="s">
        <v>200</v>
      </c>
      <c r="J60" s="29">
        <v>46272</v>
      </c>
      <c r="K60" s="31">
        <v>2</v>
      </c>
      <c r="L60" s="31">
        <v>2.5</v>
      </c>
      <c r="M60" s="30">
        <v>0</v>
      </c>
      <c r="N60" s="30">
        <v>0</v>
      </c>
      <c r="O60" s="31">
        <v>0</v>
      </c>
      <c r="P60" s="40" t="str">
        <f>IF(tblWorkOrders[[#This Row],[WO no.]]="","",IFERROR(INDEX(tblAssets[Area],MATCH(tblWorkOrders[[#This Row],[Asset]],tblAssets[Asset ID],0)),""))</f>
        <v>Line 1</v>
      </c>
      <c r="Q60" s="40" t="str">
        <f>IF(tblWorkOrders[[#This Row],[WO no.]]="","",IFERROR(INDEX(tblWorkTypes[Category],MATCH(tblWorkOrders[[#This Row],[Work type]],tblWorkTypes[Work type],0)),""))</f>
        <v>Planned</v>
      </c>
      <c r="R60" s="41">
        <f>IF(tblWorkOrders[[#This Row],[WO no.]]="","",IFERROR(INDEX(tblPriorities[Target (days)],MATCH(tblWorkOrders[[#This Row],[Priority]],tblPriorities[Priority],0)),""))</f>
        <v>14</v>
      </c>
      <c r="S60" s="42">
        <f>IF(tblWorkOrders[[#This Row],[WO no.]]="","",IF(tblWorkOrders[[#This Row],[Target (days)]]="","",tblWorkOrders[[#This Row],[Date raised]]+tblWorkOrders[[#This Row],[Target (days)]]))</f>
        <v>46286</v>
      </c>
      <c r="T60" s="41">
        <f>IF(tblWorkOrders[[#This Row],[WO no.]]="","",IF(OR(tblWorkOrders[[#This Row],[Status]]="Complete",tblWorkOrders[[#This Row],[Status]]="Cancelled"),0,1))</f>
        <v>0</v>
      </c>
      <c r="U60" s="41">
        <f>IF(tblWorkOrders[[#This Row],[WO no.]]="","",IF(tblWorkOrders[[#This Row],[Status]]="Cancelled","",IF(tblWorkOrders[[#This Row],[Open]]=1,AsOf-tblWorkOrders[[#This Row],[Date raised]],IF(tblWorkOrders[[#This Row],[Date completed]]="","",tblWorkOrders[[#This Row],[Date completed]]-tblWorkOrders[[#This Row],[Date raised]]))))</f>
        <v>0</v>
      </c>
      <c r="V60" s="43">
        <f>IF(tblWorkOrders[[#This Row],[WO no.]]="","",IF(tblWorkOrders[[#This Row],[Open]]=1,MAX(0,tblWorkOrders[[#This Row],[Estimated (h)]]-tblWorkOrders[[#This Row],[Actual (h)]]),0))</f>
        <v>0</v>
      </c>
      <c r="W60" s="44">
        <f>IF(tblWorkOrders[[#This Row],[WO no.]]="","",tblWorkOrders[[#This Row],[Actual (h)]]*LabourRate)</f>
        <v>120</v>
      </c>
      <c r="X60" s="44">
        <f>IF(tblWorkOrders[[#This Row],[WO no.]]="","",tblWorkOrders[[#This Row],[Labour cost]]+tblWorkOrders[[#This Row],[Parts cost]]+tblWorkOrders[[#This Row],[Contractor cost]])</f>
        <v>120</v>
      </c>
      <c r="Y60" s="45" t="str">
        <f>IF(tblWorkOrders[[#This Row],[WO no.]]="","",IF(tblWorkOrders[[#This Row],[Status]]="Cancelled","",IF(tblWorkOrders[[#This Row],[Open]]=0,"Complete",IF(tblWorkOrders[[#This Row],[Due date]]="","",IF(AsOf&gt;tblWorkOrders[[#This Row],[Due date]],"Overdue",IF(tblWorkOrders[[#This Row],[Due date]]-AsOf&lt;=DueSoonDays,"Due soon","OK"))))))</f>
        <v>Complete</v>
      </c>
      <c r="Z60" s="45" t="str">
        <f>IF(tblWorkOrders[[#This Row],[WO no.]]="","",IF(OR(tblWorkOrders[[#This Row],[Status]]&lt;&gt;"Complete",tblWorkOrders[[#This Row],[Date completed]]="",tblWorkOrders[[#This Row],[Due date]]=""),"",IF(tblWorkOrders[[#This Row],[Date completed]]&lt;=tblWorkOrders[[#This Row],[Due date]],"Yes","No")))</f>
        <v>Yes</v>
      </c>
      <c r="AA60" s="42">
        <f>IF(tblWorkOrders[[#This Row],[WO no.]]="","",IF(AND(tblWorkOrders[[#This Row],[Date raised]]&gt;=FFrom,tblWorkOrders[[#This Row],[Date raised]]&lt;=FTo),tblWorkOrders[[#This Row],[Date raised]],""))</f>
        <v>46272</v>
      </c>
      <c r="AB6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1" spans="2:28" x14ac:dyDescent="0.25">
      <c r="B61" s="28" t="s">
        <v>282</v>
      </c>
      <c r="C61" s="29">
        <v>46272</v>
      </c>
      <c r="D61" s="28" t="s">
        <v>104</v>
      </c>
      <c r="E61" s="39" t="s">
        <v>283</v>
      </c>
      <c r="F61" s="28" t="s">
        <v>138</v>
      </c>
      <c r="G61" s="28" t="s">
        <v>147</v>
      </c>
      <c r="H61" s="28" t="s">
        <v>157</v>
      </c>
      <c r="I61" s="28" t="s">
        <v>200</v>
      </c>
      <c r="J61" s="29">
        <v>46298</v>
      </c>
      <c r="K61" s="31">
        <v>24</v>
      </c>
      <c r="L61" s="31">
        <v>24</v>
      </c>
      <c r="M61" s="30">
        <v>2400</v>
      </c>
      <c r="N61" s="30">
        <v>0</v>
      </c>
      <c r="O61" s="31">
        <v>0</v>
      </c>
      <c r="P61" s="40" t="str">
        <f>IF(tblWorkOrders[[#This Row],[WO no.]]="","",IFERROR(INDEX(tblAssets[Area],MATCH(tblWorkOrders[[#This Row],[Asset]],tblAssets[Asset ID],0)),""))</f>
        <v>Line 1</v>
      </c>
      <c r="Q61" s="40" t="str">
        <f>IF(tblWorkOrders[[#This Row],[WO no.]]="","",IFERROR(INDEX(tblWorkTypes[Category],MATCH(tblWorkOrders[[#This Row],[Work type]],tblWorkTypes[Work type],0)),""))</f>
        <v>Planned</v>
      </c>
      <c r="R61" s="41">
        <f>IF(tblWorkOrders[[#This Row],[WO no.]]="","",IFERROR(INDEX(tblPriorities[Target (days)],MATCH(tblWorkOrders[[#This Row],[Priority]],tblPriorities[Priority],0)),""))</f>
        <v>14</v>
      </c>
      <c r="S61" s="42">
        <f>IF(tblWorkOrders[[#This Row],[WO no.]]="","",IF(tblWorkOrders[[#This Row],[Target (days)]]="","",tblWorkOrders[[#This Row],[Date raised]]+tblWorkOrders[[#This Row],[Target (days)]]))</f>
        <v>46286</v>
      </c>
      <c r="T61" s="41">
        <f>IF(tblWorkOrders[[#This Row],[WO no.]]="","",IF(OR(tblWorkOrders[[#This Row],[Status]]="Complete",tblWorkOrders[[#This Row],[Status]]="Cancelled"),0,1))</f>
        <v>0</v>
      </c>
      <c r="U61" s="41">
        <f>IF(tblWorkOrders[[#This Row],[WO no.]]="","",IF(tblWorkOrders[[#This Row],[Status]]="Cancelled","",IF(tblWorkOrders[[#This Row],[Open]]=1,AsOf-tblWorkOrders[[#This Row],[Date raised]],IF(tblWorkOrders[[#This Row],[Date completed]]="","",tblWorkOrders[[#This Row],[Date completed]]-tblWorkOrders[[#This Row],[Date raised]]))))</f>
        <v>26</v>
      </c>
      <c r="V61" s="43">
        <f>IF(tblWorkOrders[[#This Row],[WO no.]]="","",IF(tblWorkOrders[[#This Row],[Open]]=1,MAX(0,tblWorkOrders[[#This Row],[Estimated (h)]]-tblWorkOrders[[#This Row],[Actual (h)]]),0))</f>
        <v>0</v>
      </c>
      <c r="W61" s="44">
        <f>IF(tblWorkOrders[[#This Row],[WO no.]]="","",tblWorkOrders[[#This Row],[Actual (h)]]*LabourRate)</f>
        <v>1152</v>
      </c>
      <c r="X61" s="44">
        <f>IF(tblWorkOrders[[#This Row],[WO no.]]="","",tblWorkOrders[[#This Row],[Labour cost]]+tblWorkOrders[[#This Row],[Parts cost]]+tblWorkOrders[[#This Row],[Contractor cost]])</f>
        <v>3552</v>
      </c>
      <c r="Y61" s="45" t="str">
        <f>IF(tblWorkOrders[[#This Row],[WO no.]]="","",IF(tblWorkOrders[[#This Row],[Status]]="Cancelled","",IF(tblWorkOrders[[#This Row],[Open]]=0,"Complete",IF(tblWorkOrders[[#This Row],[Due date]]="","",IF(AsOf&gt;tblWorkOrders[[#This Row],[Due date]],"Overdue",IF(tblWorkOrders[[#This Row],[Due date]]-AsOf&lt;=DueSoonDays,"Due soon","OK"))))))</f>
        <v>Complete</v>
      </c>
      <c r="Z61" s="45" t="str">
        <f>IF(tblWorkOrders[[#This Row],[WO no.]]="","",IF(OR(tblWorkOrders[[#This Row],[Status]]&lt;&gt;"Complete",tblWorkOrders[[#This Row],[Date completed]]="",tblWorkOrders[[#This Row],[Due date]]=""),"",IF(tblWorkOrders[[#This Row],[Date completed]]&lt;=tblWorkOrders[[#This Row],[Due date]],"Yes","No")))</f>
        <v>No</v>
      </c>
      <c r="AA61" s="42">
        <f>IF(tblWorkOrders[[#This Row],[WO no.]]="","",IF(AND(tblWorkOrders[[#This Row],[Date raised]]&gt;=FFrom,tblWorkOrders[[#This Row],[Date raised]]&lt;=FTo),tblWorkOrders[[#This Row],[Date raised]],""))</f>
        <v>46272</v>
      </c>
      <c r="AB6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2" spans="2:28" x14ac:dyDescent="0.25">
      <c r="B62" s="28" t="s">
        <v>284</v>
      </c>
      <c r="C62" s="29">
        <v>46272</v>
      </c>
      <c r="D62" s="28" t="s">
        <v>104</v>
      </c>
      <c r="E62" s="39" t="s">
        <v>212</v>
      </c>
      <c r="F62" s="28" t="s">
        <v>133</v>
      </c>
      <c r="G62" s="28" t="s">
        <v>147</v>
      </c>
      <c r="H62" s="28" t="s">
        <v>155</v>
      </c>
      <c r="I62" s="28" t="s">
        <v>200</v>
      </c>
      <c r="J62" s="29">
        <v>46273</v>
      </c>
      <c r="K62" s="31">
        <v>4</v>
      </c>
      <c r="L62" s="31">
        <v>4.5</v>
      </c>
      <c r="M62" s="30">
        <v>25</v>
      </c>
      <c r="N62" s="30">
        <v>0</v>
      </c>
      <c r="O62" s="31">
        <v>0</v>
      </c>
      <c r="P62" s="40" t="str">
        <f>IF(tblWorkOrders[[#This Row],[WO no.]]="","",IFERROR(INDEX(tblAssets[Area],MATCH(tblWorkOrders[[#This Row],[Asset]],tblAssets[Asset ID],0)),""))</f>
        <v>Line 1</v>
      </c>
      <c r="Q62" s="40" t="str">
        <f>IF(tblWorkOrders[[#This Row],[WO no.]]="","",IFERROR(INDEX(tblWorkTypes[Category],MATCH(tblWorkOrders[[#This Row],[Work type]],tblWorkTypes[Work type],0)),""))</f>
        <v>Planned</v>
      </c>
      <c r="R62" s="41">
        <f>IF(tblWorkOrders[[#This Row],[WO no.]]="","",IFERROR(INDEX(tblPriorities[Target (days)],MATCH(tblWorkOrders[[#This Row],[Priority]],tblPriorities[Priority],0)),""))</f>
        <v>14</v>
      </c>
      <c r="S62" s="42">
        <f>IF(tblWorkOrders[[#This Row],[WO no.]]="","",IF(tblWorkOrders[[#This Row],[Target (days)]]="","",tblWorkOrders[[#This Row],[Date raised]]+tblWorkOrders[[#This Row],[Target (days)]]))</f>
        <v>46286</v>
      </c>
      <c r="T62" s="41">
        <f>IF(tblWorkOrders[[#This Row],[WO no.]]="","",IF(OR(tblWorkOrders[[#This Row],[Status]]="Complete",tblWorkOrders[[#This Row],[Status]]="Cancelled"),0,1))</f>
        <v>0</v>
      </c>
      <c r="U62" s="41">
        <f>IF(tblWorkOrders[[#This Row],[WO no.]]="","",IF(tblWorkOrders[[#This Row],[Status]]="Cancelled","",IF(tblWorkOrders[[#This Row],[Open]]=1,AsOf-tblWorkOrders[[#This Row],[Date raised]],IF(tblWorkOrders[[#This Row],[Date completed]]="","",tblWorkOrders[[#This Row],[Date completed]]-tblWorkOrders[[#This Row],[Date raised]]))))</f>
        <v>1</v>
      </c>
      <c r="V62" s="43">
        <f>IF(tblWorkOrders[[#This Row],[WO no.]]="","",IF(tblWorkOrders[[#This Row],[Open]]=1,MAX(0,tblWorkOrders[[#This Row],[Estimated (h)]]-tblWorkOrders[[#This Row],[Actual (h)]]),0))</f>
        <v>0</v>
      </c>
      <c r="W62" s="44">
        <f>IF(tblWorkOrders[[#This Row],[WO no.]]="","",tblWorkOrders[[#This Row],[Actual (h)]]*LabourRate)</f>
        <v>216</v>
      </c>
      <c r="X62" s="44">
        <f>IF(tblWorkOrders[[#This Row],[WO no.]]="","",tblWorkOrders[[#This Row],[Labour cost]]+tblWorkOrders[[#This Row],[Parts cost]]+tblWorkOrders[[#This Row],[Contractor cost]])</f>
        <v>241</v>
      </c>
      <c r="Y62" s="45" t="str">
        <f>IF(tblWorkOrders[[#This Row],[WO no.]]="","",IF(tblWorkOrders[[#This Row],[Status]]="Cancelled","",IF(tblWorkOrders[[#This Row],[Open]]=0,"Complete",IF(tblWorkOrders[[#This Row],[Due date]]="","",IF(AsOf&gt;tblWorkOrders[[#This Row],[Due date]],"Overdue",IF(tblWorkOrders[[#This Row],[Due date]]-AsOf&lt;=DueSoonDays,"Due soon","OK"))))))</f>
        <v>Complete</v>
      </c>
      <c r="Z62" s="45" t="str">
        <f>IF(tblWorkOrders[[#This Row],[WO no.]]="","",IF(OR(tblWorkOrders[[#This Row],[Status]]&lt;&gt;"Complete",tblWorkOrders[[#This Row],[Date completed]]="",tblWorkOrders[[#This Row],[Due date]]=""),"",IF(tblWorkOrders[[#This Row],[Date completed]]&lt;=tblWorkOrders[[#This Row],[Due date]],"Yes","No")))</f>
        <v>Yes</v>
      </c>
      <c r="AA62" s="42">
        <f>IF(tblWorkOrders[[#This Row],[WO no.]]="","",IF(AND(tblWorkOrders[[#This Row],[Date raised]]&gt;=FFrom,tblWorkOrders[[#This Row],[Date raised]]&lt;=FTo),tblWorkOrders[[#This Row],[Date raised]],""))</f>
        <v>46272</v>
      </c>
      <c r="AB6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3" spans="2:28" x14ac:dyDescent="0.25">
      <c r="B63" s="28" t="s">
        <v>285</v>
      </c>
      <c r="C63" s="29">
        <v>46272</v>
      </c>
      <c r="D63" s="28" t="s">
        <v>111</v>
      </c>
      <c r="E63" s="39" t="s">
        <v>214</v>
      </c>
      <c r="F63" s="28" t="s">
        <v>133</v>
      </c>
      <c r="G63" s="28" t="s">
        <v>147</v>
      </c>
      <c r="H63" s="28" t="s">
        <v>157</v>
      </c>
      <c r="I63" s="28" t="s">
        <v>200</v>
      </c>
      <c r="J63" s="29">
        <v>46274</v>
      </c>
      <c r="K63" s="31">
        <v>3</v>
      </c>
      <c r="L63" s="31">
        <v>3</v>
      </c>
      <c r="M63" s="30">
        <v>60</v>
      </c>
      <c r="N63" s="30">
        <v>0</v>
      </c>
      <c r="O63" s="31">
        <v>0</v>
      </c>
      <c r="P63" s="40" t="str">
        <f>IF(tblWorkOrders[[#This Row],[WO no.]]="","",IFERROR(INDEX(tblAssets[Area],MATCH(tblWorkOrders[[#This Row],[Asset]],tblAssets[Asset ID],0)),""))</f>
        <v>Line 2</v>
      </c>
      <c r="Q63" s="40" t="str">
        <f>IF(tblWorkOrders[[#This Row],[WO no.]]="","",IFERROR(INDEX(tblWorkTypes[Category],MATCH(tblWorkOrders[[#This Row],[Work type]],tblWorkTypes[Work type],0)),""))</f>
        <v>Planned</v>
      </c>
      <c r="R63" s="41">
        <f>IF(tblWorkOrders[[#This Row],[WO no.]]="","",IFERROR(INDEX(tblPriorities[Target (days)],MATCH(tblWorkOrders[[#This Row],[Priority]],tblPriorities[Priority],0)),""))</f>
        <v>14</v>
      </c>
      <c r="S63" s="42">
        <f>IF(tblWorkOrders[[#This Row],[WO no.]]="","",IF(tblWorkOrders[[#This Row],[Target (days)]]="","",tblWorkOrders[[#This Row],[Date raised]]+tblWorkOrders[[#This Row],[Target (days)]]))</f>
        <v>46286</v>
      </c>
      <c r="T63" s="41">
        <f>IF(tblWorkOrders[[#This Row],[WO no.]]="","",IF(OR(tblWorkOrders[[#This Row],[Status]]="Complete",tblWorkOrders[[#This Row],[Status]]="Cancelled"),0,1))</f>
        <v>0</v>
      </c>
      <c r="U63" s="41">
        <f>IF(tblWorkOrders[[#This Row],[WO no.]]="","",IF(tblWorkOrders[[#This Row],[Status]]="Cancelled","",IF(tblWorkOrders[[#This Row],[Open]]=1,AsOf-tblWorkOrders[[#This Row],[Date raised]],IF(tblWorkOrders[[#This Row],[Date completed]]="","",tblWorkOrders[[#This Row],[Date completed]]-tblWorkOrders[[#This Row],[Date raised]]))))</f>
        <v>2</v>
      </c>
      <c r="V63" s="43">
        <f>IF(tblWorkOrders[[#This Row],[WO no.]]="","",IF(tblWorkOrders[[#This Row],[Open]]=1,MAX(0,tblWorkOrders[[#This Row],[Estimated (h)]]-tblWorkOrders[[#This Row],[Actual (h)]]),0))</f>
        <v>0</v>
      </c>
      <c r="W63" s="44">
        <f>IF(tblWorkOrders[[#This Row],[WO no.]]="","",tblWorkOrders[[#This Row],[Actual (h)]]*LabourRate)</f>
        <v>144</v>
      </c>
      <c r="X63" s="44">
        <f>IF(tblWorkOrders[[#This Row],[WO no.]]="","",tblWorkOrders[[#This Row],[Labour cost]]+tblWorkOrders[[#This Row],[Parts cost]]+tblWorkOrders[[#This Row],[Contractor cost]])</f>
        <v>204</v>
      </c>
      <c r="Y63" s="45" t="str">
        <f>IF(tblWorkOrders[[#This Row],[WO no.]]="","",IF(tblWorkOrders[[#This Row],[Status]]="Cancelled","",IF(tblWorkOrders[[#This Row],[Open]]=0,"Complete",IF(tblWorkOrders[[#This Row],[Due date]]="","",IF(AsOf&gt;tblWorkOrders[[#This Row],[Due date]],"Overdue",IF(tblWorkOrders[[#This Row],[Due date]]-AsOf&lt;=DueSoonDays,"Due soon","OK"))))))</f>
        <v>Complete</v>
      </c>
      <c r="Z63" s="45" t="str">
        <f>IF(tblWorkOrders[[#This Row],[WO no.]]="","",IF(OR(tblWorkOrders[[#This Row],[Status]]&lt;&gt;"Complete",tblWorkOrders[[#This Row],[Date completed]]="",tblWorkOrders[[#This Row],[Due date]]=""),"",IF(tblWorkOrders[[#This Row],[Date completed]]&lt;=tblWorkOrders[[#This Row],[Due date]],"Yes","No")))</f>
        <v>Yes</v>
      </c>
      <c r="AA63" s="42">
        <f>IF(tblWorkOrders[[#This Row],[WO no.]]="","",IF(AND(tblWorkOrders[[#This Row],[Date raised]]&gt;=FFrom,tblWorkOrders[[#This Row],[Date raised]]&lt;=FTo),tblWorkOrders[[#This Row],[Date raised]],""))</f>
        <v>46272</v>
      </c>
      <c r="AB6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4" spans="2:28" x14ac:dyDescent="0.25">
      <c r="B64" s="28" t="s">
        <v>286</v>
      </c>
      <c r="C64" s="29">
        <v>46272</v>
      </c>
      <c r="D64" s="28" t="s">
        <v>109</v>
      </c>
      <c r="E64" s="39" t="s">
        <v>259</v>
      </c>
      <c r="F64" s="28" t="s">
        <v>130</v>
      </c>
      <c r="G64" s="28" t="s">
        <v>147</v>
      </c>
      <c r="H64" s="28" t="s">
        <v>155</v>
      </c>
      <c r="I64" s="28" t="s">
        <v>200</v>
      </c>
      <c r="J64" s="29">
        <v>46284</v>
      </c>
      <c r="K64" s="31">
        <v>8</v>
      </c>
      <c r="L64" s="31">
        <v>8</v>
      </c>
      <c r="M64" s="30">
        <v>90</v>
      </c>
      <c r="N64" s="30">
        <v>0</v>
      </c>
      <c r="O64" s="31">
        <v>0</v>
      </c>
      <c r="P64" s="40" t="str">
        <f>IF(tblWorkOrders[[#This Row],[WO no.]]="","",IFERROR(INDEX(tblAssets[Area],MATCH(tblWorkOrders[[#This Row],[Asset]],tblAssets[Asset ID],0)),""))</f>
        <v>Line 1</v>
      </c>
      <c r="Q64" s="40" t="str">
        <f>IF(tblWorkOrders[[#This Row],[WO no.]]="","",IFERROR(INDEX(tblWorkTypes[Category],MATCH(tblWorkOrders[[#This Row],[Work type]],tblWorkTypes[Work type],0)),""))</f>
        <v>Corrective</v>
      </c>
      <c r="R64" s="41">
        <f>IF(tblWorkOrders[[#This Row],[WO no.]]="","",IFERROR(INDEX(tblPriorities[Target (days)],MATCH(tblWorkOrders[[#This Row],[Priority]],tblPriorities[Priority],0)),""))</f>
        <v>14</v>
      </c>
      <c r="S64" s="42">
        <f>IF(tblWorkOrders[[#This Row],[WO no.]]="","",IF(tblWorkOrders[[#This Row],[Target (days)]]="","",tblWorkOrders[[#This Row],[Date raised]]+tblWorkOrders[[#This Row],[Target (days)]]))</f>
        <v>46286</v>
      </c>
      <c r="T64" s="41">
        <f>IF(tblWorkOrders[[#This Row],[WO no.]]="","",IF(OR(tblWorkOrders[[#This Row],[Status]]="Complete",tblWorkOrders[[#This Row],[Status]]="Cancelled"),0,1))</f>
        <v>0</v>
      </c>
      <c r="U64" s="41">
        <f>IF(tblWorkOrders[[#This Row],[WO no.]]="","",IF(tblWorkOrders[[#This Row],[Status]]="Cancelled","",IF(tblWorkOrders[[#This Row],[Open]]=1,AsOf-tblWorkOrders[[#This Row],[Date raised]],IF(tblWorkOrders[[#This Row],[Date completed]]="","",tblWorkOrders[[#This Row],[Date completed]]-tblWorkOrders[[#This Row],[Date raised]]))))</f>
        <v>12</v>
      </c>
      <c r="V64" s="43">
        <f>IF(tblWorkOrders[[#This Row],[WO no.]]="","",IF(tblWorkOrders[[#This Row],[Open]]=1,MAX(0,tblWorkOrders[[#This Row],[Estimated (h)]]-tblWorkOrders[[#This Row],[Actual (h)]]),0))</f>
        <v>0</v>
      </c>
      <c r="W64" s="44">
        <f>IF(tblWorkOrders[[#This Row],[WO no.]]="","",tblWorkOrders[[#This Row],[Actual (h)]]*LabourRate)</f>
        <v>384</v>
      </c>
      <c r="X64" s="44">
        <f>IF(tblWorkOrders[[#This Row],[WO no.]]="","",tblWorkOrders[[#This Row],[Labour cost]]+tblWorkOrders[[#This Row],[Parts cost]]+tblWorkOrders[[#This Row],[Contractor cost]])</f>
        <v>474</v>
      </c>
      <c r="Y64" s="45" t="str">
        <f>IF(tblWorkOrders[[#This Row],[WO no.]]="","",IF(tblWorkOrders[[#This Row],[Status]]="Cancelled","",IF(tblWorkOrders[[#This Row],[Open]]=0,"Complete",IF(tblWorkOrders[[#This Row],[Due date]]="","",IF(AsOf&gt;tblWorkOrders[[#This Row],[Due date]],"Overdue",IF(tblWorkOrders[[#This Row],[Due date]]-AsOf&lt;=DueSoonDays,"Due soon","OK"))))))</f>
        <v>Complete</v>
      </c>
      <c r="Z64" s="45" t="str">
        <f>IF(tblWorkOrders[[#This Row],[WO no.]]="","",IF(OR(tblWorkOrders[[#This Row],[Status]]&lt;&gt;"Complete",tblWorkOrders[[#This Row],[Date completed]]="",tblWorkOrders[[#This Row],[Due date]]=""),"",IF(tblWorkOrders[[#This Row],[Date completed]]&lt;=tblWorkOrders[[#This Row],[Due date]],"Yes","No")))</f>
        <v>Yes</v>
      </c>
      <c r="AA64" s="42">
        <f>IF(tblWorkOrders[[#This Row],[WO no.]]="","",IF(AND(tblWorkOrders[[#This Row],[Date raised]]&gt;=FFrom,tblWorkOrders[[#This Row],[Date raised]]&lt;=FTo),tblWorkOrders[[#This Row],[Date raised]],""))</f>
        <v>46272</v>
      </c>
      <c r="AB6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5" spans="2:28" x14ac:dyDescent="0.25">
      <c r="B65" s="28" t="s">
        <v>287</v>
      </c>
      <c r="C65" s="29">
        <v>46272</v>
      </c>
      <c r="D65" s="28" t="s">
        <v>109</v>
      </c>
      <c r="E65" s="39" t="s">
        <v>238</v>
      </c>
      <c r="F65" s="28" t="s">
        <v>133</v>
      </c>
      <c r="G65" s="28" t="s">
        <v>147</v>
      </c>
      <c r="H65" s="28" t="s">
        <v>155</v>
      </c>
      <c r="I65" s="28" t="s">
        <v>200</v>
      </c>
      <c r="J65" s="29">
        <v>46274</v>
      </c>
      <c r="K65" s="31">
        <v>2</v>
      </c>
      <c r="L65" s="31">
        <v>2</v>
      </c>
      <c r="M65" s="30">
        <v>30</v>
      </c>
      <c r="N65" s="30">
        <v>0</v>
      </c>
      <c r="O65" s="31">
        <v>0</v>
      </c>
      <c r="P65" s="40" t="str">
        <f>IF(tblWorkOrders[[#This Row],[WO no.]]="","",IFERROR(INDEX(tblAssets[Area],MATCH(tblWorkOrders[[#This Row],[Asset]],tblAssets[Asset ID],0)),""))</f>
        <v>Line 1</v>
      </c>
      <c r="Q65" s="40" t="str">
        <f>IF(tblWorkOrders[[#This Row],[WO no.]]="","",IFERROR(INDEX(tblWorkTypes[Category],MATCH(tblWorkOrders[[#This Row],[Work type]],tblWorkTypes[Work type],0)),""))</f>
        <v>Planned</v>
      </c>
      <c r="R65" s="41">
        <f>IF(tblWorkOrders[[#This Row],[WO no.]]="","",IFERROR(INDEX(tblPriorities[Target (days)],MATCH(tblWorkOrders[[#This Row],[Priority]],tblPriorities[Priority],0)),""))</f>
        <v>14</v>
      </c>
      <c r="S65" s="42">
        <f>IF(tblWorkOrders[[#This Row],[WO no.]]="","",IF(tblWorkOrders[[#This Row],[Target (days)]]="","",tblWorkOrders[[#This Row],[Date raised]]+tblWorkOrders[[#This Row],[Target (days)]]))</f>
        <v>46286</v>
      </c>
      <c r="T65" s="41">
        <f>IF(tblWorkOrders[[#This Row],[WO no.]]="","",IF(OR(tblWorkOrders[[#This Row],[Status]]="Complete",tblWorkOrders[[#This Row],[Status]]="Cancelled"),0,1))</f>
        <v>0</v>
      </c>
      <c r="U65" s="41">
        <f>IF(tblWorkOrders[[#This Row],[WO no.]]="","",IF(tblWorkOrders[[#This Row],[Status]]="Cancelled","",IF(tblWorkOrders[[#This Row],[Open]]=1,AsOf-tblWorkOrders[[#This Row],[Date raised]],IF(tblWorkOrders[[#This Row],[Date completed]]="","",tblWorkOrders[[#This Row],[Date completed]]-tblWorkOrders[[#This Row],[Date raised]]))))</f>
        <v>2</v>
      </c>
      <c r="V65" s="43">
        <f>IF(tblWorkOrders[[#This Row],[WO no.]]="","",IF(tblWorkOrders[[#This Row],[Open]]=1,MAX(0,tblWorkOrders[[#This Row],[Estimated (h)]]-tblWorkOrders[[#This Row],[Actual (h)]]),0))</f>
        <v>0</v>
      </c>
      <c r="W65" s="44">
        <f>IF(tblWorkOrders[[#This Row],[WO no.]]="","",tblWorkOrders[[#This Row],[Actual (h)]]*LabourRate)</f>
        <v>96</v>
      </c>
      <c r="X65" s="44">
        <f>IF(tblWorkOrders[[#This Row],[WO no.]]="","",tblWorkOrders[[#This Row],[Labour cost]]+tblWorkOrders[[#This Row],[Parts cost]]+tblWorkOrders[[#This Row],[Contractor cost]])</f>
        <v>126</v>
      </c>
      <c r="Y65" s="45" t="str">
        <f>IF(tblWorkOrders[[#This Row],[WO no.]]="","",IF(tblWorkOrders[[#This Row],[Status]]="Cancelled","",IF(tblWorkOrders[[#This Row],[Open]]=0,"Complete",IF(tblWorkOrders[[#This Row],[Due date]]="","",IF(AsOf&gt;tblWorkOrders[[#This Row],[Due date]],"Overdue",IF(tblWorkOrders[[#This Row],[Due date]]-AsOf&lt;=DueSoonDays,"Due soon","OK"))))))</f>
        <v>Complete</v>
      </c>
      <c r="Z65" s="45" t="str">
        <f>IF(tblWorkOrders[[#This Row],[WO no.]]="","",IF(OR(tblWorkOrders[[#This Row],[Status]]&lt;&gt;"Complete",tblWorkOrders[[#This Row],[Date completed]]="",tblWorkOrders[[#This Row],[Due date]]=""),"",IF(tblWorkOrders[[#This Row],[Date completed]]&lt;=tblWorkOrders[[#This Row],[Due date]],"Yes","No")))</f>
        <v>Yes</v>
      </c>
      <c r="AA65" s="42">
        <f>IF(tblWorkOrders[[#This Row],[WO no.]]="","",IF(AND(tblWorkOrders[[#This Row],[Date raised]]&gt;=FFrom,tblWorkOrders[[#This Row],[Date raised]]&lt;=FTo),tblWorkOrders[[#This Row],[Date raised]],""))</f>
        <v>46272</v>
      </c>
      <c r="AB6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6" spans="2:28" x14ac:dyDescent="0.25">
      <c r="B66" s="28" t="s">
        <v>288</v>
      </c>
      <c r="C66" s="29">
        <v>46272</v>
      </c>
      <c r="D66" s="28" t="s">
        <v>100</v>
      </c>
      <c r="E66" s="39" t="s">
        <v>271</v>
      </c>
      <c r="F66" s="28" t="s">
        <v>130</v>
      </c>
      <c r="G66" s="28" t="s">
        <v>147</v>
      </c>
      <c r="H66" s="28" t="s">
        <v>157</v>
      </c>
      <c r="I66" s="28" t="s">
        <v>200</v>
      </c>
      <c r="J66" s="29">
        <v>46285</v>
      </c>
      <c r="K66" s="31">
        <v>2</v>
      </c>
      <c r="L66" s="31">
        <v>2</v>
      </c>
      <c r="M66" s="30">
        <v>0</v>
      </c>
      <c r="N66" s="30">
        <v>0</v>
      </c>
      <c r="O66" s="31">
        <v>0</v>
      </c>
      <c r="P66" s="40" t="str">
        <f>IF(tblWorkOrders[[#This Row],[WO no.]]="","",IFERROR(INDEX(tblAssets[Area],MATCH(tblWorkOrders[[#This Row],[Asset]],tblAssets[Asset ID],0)),""))</f>
        <v>Processing</v>
      </c>
      <c r="Q66" s="40" t="str">
        <f>IF(tblWorkOrders[[#This Row],[WO no.]]="","",IFERROR(INDEX(tblWorkTypes[Category],MATCH(tblWorkOrders[[#This Row],[Work type]],tblWorkTypes[Work type],0)),""))</f>
        <v>Corrective</v>
      </c>
      <c r="R66" s="41">
        <f>IF(tblWorkOrders[[#This Row],[WO no.]]="","",IFERROR(INDEX(tblPriorities[Target (days)],MATCH(tblWorkOrders[[#This Row],[Priority]],tblPriorities[Priority],0)),""))</f>
        <v>14</v>
      </c>
      <c r="S66" s="42">
        <f>IF(tblWorkOrders[[#This Row],[WO no.]]="","",IF(tblWorkOrders[[#This Row],[Target (days)]]="","",tblWorkOrders[[#This Row],[Date raised]]+tblWorkOrders[[#This Row],[Target (days)]]))</f>
        <v>46286</v>
      </c>
      <c r="T66" s="41">
        <f>IF(tblWorkOrders[[#This Row],[WO no.]]="","",IF(OR(tblWorkOrders[[#This Row],[Status]]="Complete",tblWorkOrders[[#This Row],[Status]]="Cancelled"),0,1))</f>
        <v>0</v>
      </c>
      <c r="U66" s="41">
        <f>IF(tblWorkOrders[[#This Row],[WO no.]]="","",IF(tblWorkOrders[[#This Row],[Status]]="Cancelled","",IF(tblWorkOrders[[#This Row],[Open]]=1,AsOf-tblWorkOrders[[#This Row],[Date raised]],IF(tblWorkOrders[[#This Row],[Date completed]]="","",tblWorkOrders[[#This Row],[Date completed]]-tblWorkOrders[[#This Row],[Date raised]]))))</f>
        <v>13</v>
      </c>
      <c r="V66" s="43">
        <f>IF(tblWorkOrders[[#This Row],[WO no.]]="","",IF(tblWorkOrders[[#This Row],[Open]]=1,MAX(0,tblWorkOrders[[#This Row],[Estimated (h)]]-tblWorkOrders[[#This Row],[Actual (h)]]),0))</f>
        <v>0</v>
      </c>
      <c r="W66" s="44">
        <f>IF(tblWorkOrders[[#This Row],[WO no.]]="","",tblWorkOrders[[#This Row],[Actual (h)]]*LabourRate)</f>
        <v>96</v>
      </c>
      <c r="X66" s="44">
        <f>IF(tblWorkOrders[[#This Row],[WO no.]]="","",tblWorkOrders[[#This Row],[Labour cost]]+tblWorkOrders[[#This Row],[Parts cost]]+tblWorkOrders[[#This Row],[Contractor cost]])</f>
        <v>96</v>
      </c>
      <c r="Y66" s="45" t="str">
        <f>IF(tblWorkOrders[[#This Row],[WO no.]]="","",IF(tblWorkOrders[[#This Row],[Status]]="Cancelled","",IF(tblWorkOrders[[#This Row],[Open]]=0,"Complete",IF(tblWorkOrders[[#This Row],[Due date]]="","",IF(AsOf&gt;tblWorkOrders[[#This Row],[Due date]],"Overdue",IF(tblWorkOrders[[#This Row],[Due date]]-AsOf&lt;=DueSoonDays,"Due soon","OK"))))))</f>
        <v>Complete</v>
      </c>
      <c r="Z66" s="45" t="str">
        <f>IF(tblWorkOrders[[#This Row],[WO no.]]="","",IF(OR(tblWorkOrders[[#This Row],[Status]]&lt;&gt;"Complete",tblWorkOrders[[#This Row],[Date completed]]="",tblWorkOrders[[#This Row],[Due date]]=""),"",IF(tblWorkOrders[[#This Row],[Date completed]]&lt;=tblWorkOrders[[#This Row],[Due date]],"Yes","No")))</f>
        <v>Yes</v>
      </c>
      <c r="AA66" s="42">
        <f>IF(tblWorkOrders[[#This Row],[WO no.]]="","",IF(AND(tblWorkOrders[[#This Row],[Date raised]]&gt;=FFrom,tblWorkOrders[[#This Row],[Date raised]]&lt;=FTo),tblWorkOrders[[#This Row],[Date raised]],""))</f>
        <v>46272</v>
      </c>
      <c r="AB6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7" spans="2:28" x14ac:dyDescent="0.25">
      <c r="B67" s="28" t="s">
        <v>289</v>
      </c>
      <c r="C67" s="29">
        <v>46272</v>
      </c>
      <c r="D67" s="28" t="s">
        <v>116</v>
      </c>
      <c r="E67" s="39" t="s">
        <v>216</v>
      </c>
      <c r="F67" s="28" t="s">
        <v>133</v>
      </c>
      <c r="G67" s="28" t="s">
        <v>147</v>
      </c>
      <c r="H67" s="28" t="s">
        <v>152</v>
      </c>
      <c r="I67" s="28" t="s">
        <v>200</v>
      </c>
      <c r="J67" s="29">
        <v>46287</v>
      </c>
      <c r="K67" s="31">
        <v>5</v>
      </c>
      <c r="L67" s="31">
        <v>5</v>
      </c>
      <c r="M67" s="30">
        <v>0</v>
      </c>
      <c r="N67" s="30">
        <v>0</v>
      </c>
      <c r="O67" s="31">
        <v>0</v>
      </c>
      <c r="P67" s="40" t="str">
        <f>IF(tblWorkOrders[[#This Row],[WO no.]]="","",IFERROR(INDEX(tblAssets[Area],MATCH(tblWorkOrders[[#This Row],[Asset]],tblAssets[Asset ID],0)),""))</f>
        <v>End of line</v>
      </c>
      <c r="Q67" s="40" t="str">
        <f>IF(tblWorkOrders[[#This Row],[WO no.]]="","",IFERROR(INDEX(tblWorkTypes[Category],MATCH(tblWorkOrders[[#This Row],[Work type]],tblWorkTypes[Work type],0)),""))</f>
        <v>Planned</v>
      </c>
      <c r="R67" s="41">
        <f>IF(tblWorkOrders[[#This Row],[WO no.]]="","",IFERROR(INDEX(tblPriorities[Target (days)],MATCH(tblWorkOrders[[#This Row],[Priority]],tblPriorities[Priority],0)),""))</f>
        <v>14</v>
      </c>
      <c r="S67" s="42">
        <f>IF(tblWorkOrders[[#This Row],[WO no.]]="","",IF(tblWorkOrders[[#This Row],[Target (days)]]="","",tblWorkOrders[[#This Row],[Date raised]]+tblWorkOrders[[#This Row],[Target (days)]]))</f>
        <v>46286</v>
      </c>
      <c r="T67" s="41">
        <f>IF(tblWorkOrders[[#This Row],[WO no.]]="","",IF(OR(tblWorkOrders[[#This Row],[Status]]="Complete",tblWorkOrders[[#This Row],[Status]]="Cancelled"),0,1))</f>
        <v>0</v>
      </c>
      <c r="U67" s="41">
        <f>IF(tblWorkOrders[[#This Row],[WO no.]]="","",IF(tblWorkOrders[[#This Row],[Status]]="Cancelled","",IF(tblWorkOrders[[#This Row],[Open]]=1,AsOf-tblWorkOrders[[#This Row],[Date raised]],IF(tblWorkOrders[[#This Row],[Date completed]]="","",tblWorkOrders[[#This Row],[Date completed]]-tblWorkOrders[[#This Row],[Date raised]]))))</f>
        <v>15</v>
      </c>
      <c r="V67" s="43">
        <f>IF(tblWorkOrders[[#This Row],[WO no.]]="","",IF(tblWorkOrders[[#This Row],[Open]]=1,MAX(0,tblWorkOrders[[#This Row],[Estimated (h)]]-tblWorkOrders[[#This Row],[Actual (h)]]),0))</f>
        <v>0</v>
      </c>
      <c r="W67" s="44">
        <f>IF(tblWorkOrders[[#This Row],[WO no.]]="","",tblWorkOrders[[#This Row],[Actual (h)]]*LabourRate)</f>
        <v>240</v>
      </c>
      <c r="X67" s="44">
        <f>IF(tblWorkOrders[[#This Row],[WO no.]]="","",tblWorkOrders[[#This Row],[Labour cost]]+tblWorkOrders[[#This Row],[Parts cost]]+tblWorkOrders[[#This Row],[Contractor cost]])</f>
        <v>240</v>
      </c>
      <c r="Y67" s="45" t="str">
        <f>IF(tblWorkOrders[[#This Row],[WO no.]]="","",IF(tblWorkOrders[[#This Row],[Status]]="Cancelled","",IF(tblWorkOrders[[#This Row],[Open]]=0,"Complete",IF(tblWorkOrders[[#This Row],[Due date]]="","",IF(AsOf&gt;tblWorkOrders[[#This Row],[Due date]],"Overdue",IF(tblWorkOrders[[#This Row],[Due date]]-AsOf&lt;=DueSoonDays,"Due soon","OK"))))))</f>
        <v>Complete</v>
      </c>
      <c r="Z67" s="45" t="str">
        <f>IF(tblWorkOrders[[#This Row],[WO no.]]="","",IF(OR(tblWorkOrders[[#This Row],[Status]]&lt;&gt;"Complete",tblWorkOrders[[#This Row],[Date completed]]="",tblWorkOrders[[#This Row],[Due date]]=""),"",IF(tblWorkOrders[[#This Row],[Date completed]]&lt;=tblWorkOrders[[#This Row],[Due date]],"Yes","No")))</f>
        <v>No</v>
      </c>
      <c r="AA67" s="42">
        <f>IF(tblWorkOrders[[#This Row],[WO no.]]="","",IF(AND(tblWorkOrders[[#This Row],[Date raised]]&gt;=FFrom,tblWorkOrders[[#This Row],[Date raised]]&lt;=FTo),tblWorkOrders[[#This Row],[Date raised]],""))</f>
        <v>46272</v>
      </c>
      <c r="AB6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8" spans="2:28" x14ac:dyDescent="0.25">
      <c r="B68" s="28" t="s">
        <v>290</v>
      </c>
      <c r="C68" s="29">
        <v>46273</v>
      </c>
      <c r="D68" s="28" t="s">
        <v>122</v>
      </c>
      <c r="E68" s="39" t="s">
        <v>208</v>
      </c>
      <c r="F68" s="28" t="s">
        <v>133</v>
      </c>
      <c r="G68" s="28" t="s">
        <v>147</v>
      </c>
      <c r="H68" s="28" t="s">
        <v>155</v>
      </c>
      <c r="I68" s="28" t="s">
        <v>200</v>
      </c>
      <c r="J68" s="29">
        <v>46274</v>
      </c>
      <c r="K68" s="31">
        <v>4</v>
      </c>
      <c r="L68" s="31">
        <v>5</v>
      </c>
      <c r="M68" s="30">
        <v>55</v>
      </c>
      <c r="N68" s="30">
        <v>0</v>
      </c>
      <c r="O68" s="31">
        <v>0</v>
      </c>
      <c r="P68" s="40" t="str">
        <f>IF(tblWorkOrders[[#This Row],[WO no.]]="","",IFERROR(INDEX(tblAssets[Area],MATCH(tblWorkOrders[[#This Row],[Asset]],tblAssets[Asset ID],0)),""))</f>
        <v>Utilities</v>
      </c>
      <c r="Q68" s="40" t="str">
        <f>IF(tblWorkOrders[[#This Row],[WO no.]]="","",IFERROR(INDEX(tblWorkTypes[Category],MATCH(tblWorkOrders[[#This Row],[Work type]],tblWorkTypes[Work type],0)),""))</f>
        <v>Planned</v>
      </c>
      <c r="R68" s="41">
        <f>IF(tblWorkOrders[[#This Row],[WO no.]]="","",IFERROR(INDEX(tblPriorities[Target (days)],MATCH(tblWorkOrders[[#This Row],[Priority]],tblPriorities[Priority],0)),""))</f>
        <v>14</v>
      </c>
      <c r="S68" s="42">
        <f>IF(tblWorkOrders[[#This Row],[WO no.]]="","",IF(tblWorkOrders[[#This Row],[Target (days)]]="","",tblWorkOrders[[#This Row],[Date raised]]+tblWorkOrders[[#This Row],[Target (days)]]))</f>
        <v>46287</v>
      </c>
      <c r="T68" s="41">
        <f>IF(tblWorkOrders[[#This Row],[WO no.]]="","",IF(OR(tblWorkOrders[[#This Row],[Status]]="Complete",tblWorkOrders[[#This Row],[Status]]="Cancelled"),0,1))</f>
        <v>0</v>
      </c>
      <c r="U68" s="41">
        <f>IF(tblWorkOrders[[#This Row],[WO no.]]="","",IF(tblWorkOrders[[#This Row],[Status]]="Cancelled","",IF(tblWorkOrders[[#This Row],[Open]]=1,AsOf-tblWorkOrders[[#This Row],[Date raised]],IF(tblWorkOrders[[#This Row],[Date completed]]="","",tblWorkOrders[[#This Row],[Date completed]]-tblWorkOrders[[#This Row],[Date raised]]))))</f>
        <v>1</v>
      </c>
      <c r="V68" s="43">
        <f>IF(tblWorkOrders[[#This Row],[WO no.]]="","",IF(tblWorkOrders[[#This Row],[Open]]=1,MAX(0,tblWorkOrders[[#This Row],[Estimated (h)]]-tblWorkOrders[[#This Row],[Actual (h)]]),0))</f>
        <v>0</v>
      </c>
      <c r="W68" s="44">
        <f>IF(tblWorkOrders[[#This Row],[WO no.]]="","",tblWorkOrders[[#This Row],[Actual (h)]]*LabourRate)</f>
        <v>240</v>
      </c>
      <c r="X68" s="44">
        <f>IF(tblWorkOrders[[#This Row],[WO no.]]="","",tblWorkOrders[[#This Row],[Labour cost]]+tblWorkOrders[[#This Row],[Parts cost]]+tblWorkOrders[[#This Row],[Contractor cost]])</f>
        <v>295</v>
      </c>
      <c r="Y68" s="45" t="str">
        <f>IF(tblWorkOrders[[#This Row],[WO no.]]="","",IF(tblWorkOrders[[#This Row],[Status]]="Cancelled","",IF(tblWorkOrders[[#This Row],[Open]]=0,"Complete",IF(tblWorkOrders[[#This Row],[Due date]]="","",IF(AsOf&gt;tblWorkOrders[[#This Row],[Due date]],"Overdue",IF(tblWorkOrders[[#This Row],[Due date]]-AsOf&lt;=DueSoonDays,"Due soon","OK"))))))</f>
        <v>Complete</v>
      </c>
      <c r="Z68" s="45" t="str">
        <f>IF(tblWorkOrders[[#This Row],[WO no.]]="","",IF(OR(tblWorkOrders[[#This Row],[Status]]&lt;&gt;"Complete",tblWorkOrders[[#This Row],[Date completed]]="",tblWorkOrders[[#This Row],[Due date]]=""),"",IF(tblWorkOrders[[#This Row],[Date completed]]&lt;=tblWorkOrders[[#This Row],[Due date]],"Yes","No")))</f>
        <v>Yes</v>
      </c>
      <c r="AA68" s="42">
        <f>IF(tblWorkOrders[[#This Row],[WO no.]]="","",IF(AND(tblWorkOrders[[#This Row],[Date raised]]&gt;=FFrom,tblWorkOrders[[#This Row],[Date raised]]&lt;=FTo),tblWorkOrders[[#This Row],[Date raised]],""))</f>
        <v>46273</v>
      </c>
      <c r="AB6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69" spans="2:28" x14ac:dyDescent="0.25">
      <c r="B69" s="28" t="s">
        <v>291</v>
      </c>
      <c r="C69" s="29">
        <v>46273</v>
      </c>
      <c r="D69" s="28" t="s">
        <v>122</v>
      </c>
      <c r="E69" s="39" t="s">
        <v>249</v>
      </c>
      <c r="F69" s="28" t="s">
        <v>136</v>
      </c>
      <c r="G69" s="28" t="s">
        <v>147</v>
      </c>
      <c r="H69" s="28" t="s">
        <v>155</v>
      </c>
      <c r="I69" s="28" t="s">
        <v>200</v>
      </c>
      <c r="J69" s="29">
        <v>46275</v>
      </c>
      <c r="K69" s="31">
        <v>5</v>
      </c>
      <c r="L69" s="31">
        <v>5</v>
      </c>
      <c r="M69" s="30">
        <v>0</v>
      </c>
      <c r="N69" s="30">
        <v>0</v>
      </c>
      <c r="O69" s="31">
        <v>0</v>
      </c>
      <c r="P69" s="40" t="str">
        <f>IF(tblWorkOrders[[#This Row],[WO no.]]="","",IFERROR(INDEX(tblAssets[Area],MATCH(tblWorkOrders[[#This Row],[Asset]],tblAssets[Asset ID],0)),""))</f>
        <v>Utilities</v>
      </c>
      <c r="Q69" s="40" t="str">
        <f>IF(tblWorkOrders[[#This Row],[WO no.]]="","",IFERROR(INDEX(tblWorkTypes[Category],MATCH(tblWorkOrders[[#This Row],[Work type]],tblWorkTypes[Work type],0)),""))</f>
        <v>Planned</v>
      </c>
      <c r="R69" s="41">
        <f>IF(tblWorkOrders[[#This Row],[WO no.]]="","",IFERROR(INDEX(tblPriorities[Target (days)],MATCH(tblWorkOrders[[#This Row],[Priority]],tblPriorities[Priority],0)),""))</f>
        <v>14</v>
      </c>
      <c r="S69" s="42">
        <f>IF(tblWorkOrders[[#This Row],[WO no.]]="","",IF(tblWorkOrders[[#This Row],[Target (days)]]="","",tblWorkOrders[[#This Row],[Date raised]]+tblWorkOrders[[#This Row],[Target (days)]]))</f>
        <v>46287</v>
      </c>
      <c r="T69" s="41">
        <f>IF(tblWorkOrders[[#This Row],[WO no.]]="","",IF(OR(tblWorkOrders[[#This Row],[Status]]="Complete",tblWorkOrders[[#This Row],[Status]]="Cancelled"),0,1))</f>
        <v>0</v>
      </c>
      <c r="U69" s="41">
        <f>IF(tblWorkOrders[[#This Row],[WO no.]]="","",IF(tblWorkOrders[[#This Row],[Status]]="Cancelled","",IF(tblWorkOrders[[#This Row],[Open]]=1,AsOf-tblWorkOrders[[#This Row],[Date raised]],IF(tblWorkOrders[[#This Row],[Date completed]]="","",tblWorkOrders[[#This Row],[Date completed]]-tblWorkOrders[[#This Row],[Date raised]]))))</f>
        <v>2</v>
      </c>
      <c r="V69" s="43">
        <f>IF(tblWorkOrders[[#This Row],[WO no.]]="","",IF(tblWorkOrders[[#This Row],[Open]]=1,MAX(0,tblWorkOrders[[#This Row],[Estimated (h)]]-tblWorkOrders[[#This Row],[Actual (h)]]),0))</f>
        <v>0</v>
      </c>
      <c r="W69" s="44">
        <f>IF(tblWorkOrders[[#This Row],[WO no.]]="","",tblWorkOrders[[#This Row],[Actual (h)]]*LabourRate)</f>
        <v>240</v>
      </c>
      <c r="X69" s="44">
        <f>IF(tblWorkOrders[[#This Row],[WO no.]]="","",tblWorkOrders[[#This Row],[Labour cost]]+tblWorkOrders[[#This Row],[Parts cost]]+tblWorkOrders[[#This Row],[Contractor cost]])</f>
        <v>240</v>
      </c>
      <c r="Y69" s="45" t="str">
        <f>IF(tblWorkOrders[[#This Row],[WO no.]]="","",IF(tblWorkOrders[[#This Row],[Status]]="Cancelled","",IF(tblWorkOrders[[#This Row],[Open]]=0,"Complete",IF(tblWorkOrders[[#This Row],[Due date]]="","",IF(AsOf&gt;tblWorkOrders[[#This Row],[Due date]],"Overdue",IF(tblWorkOrders[[#This Row],[Due date]]-AsOf&lt;=DueSoonDays,"Due soon","OK"))))))</f>
        <v>Complete</v>
      </c>
      <c r="Z69" s="45" t="str">
        <f>IF(tblWorkOrders[[#This Row],[WO no.]]="","",IF(OR(tblWorkOrders[[#This Row],[Status]]&lt;&gt;"Complete",tblWorkOrders[[#This Row],[Date completed]]="",tblWorkOrders[[#This Row],[Due date]]=""),"",IF(tblWorkOrders[[#This Row],[Date completed]]&lt;=tblWorkOrders[[#This Row],[Due date]],"Yes","No")))</f>
        <v>Yes</v>
      </c>
      <c r="AA69" s="42">
        <f>IF(tblWorkOrders[[#This Row],[WO no.]]="","",IF(AND(tblWorkOrders[[#This Row],[Date raised]]&gt;=FFrom,tblWorkOrders[[#This Row],[Date raised]]&lt;=FTo),tblWorkOrders[[#This Row],[Date raised]],""))</f>
        <v>46273</v>
      </c>
      <c r="AB6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0" spans="2:28" x14ac:dyDescent="0.25">
      <c r="B70" s="28" t="s">
        <v>292</v>
      </c>
      <c r="C70" s="29">
        <v>46273</v>
      </c>
      <c r="D70" s="28" t="s">
        <v>124</v>
      </c>
      <c r="E70" s="39" t="s">
        <v>274</v>
      </c>
      <c r="F70" s="28" t="s">
        <v>130</v>
      </c>
      <c r="G70" s="28" t="s">
        <v>145</v>
      </c>
      <c r="H70" s="28" t="s">
        <v>157</v>
      </c>
      <c r="I70" s="28" t="s">
        <v>200</v>
      </c>
      <c r="J70" s="29">
        <v>46277</v>
      </c>
      <c r="K70" s="31">
        <v>6</v>
      </c>
      <c r="L70" s="31">
        <v>5</v>
      </c>
      <c r="M70" s="30">
        <v>0</v>
      </c>
      <c r="N70" s="30">
        <v>0</v>
      </c>
      <c r="O70" s="31">
        <v>0</v>
      </c>
      <c r="P70" s="40" t="str">
        <f>IF(tblWorkOrders[[#This Row],[WO no.]]="","",IFERROR(INDEX(tblAssets[Area],MATCH(tblWorkOrders[[#This Row],[Asset]],tblAssets[Asset ID],0)),""))</f>
        <v>Utilities</v>
      </c>
      <c r="Q70" s="40" t="str">
        <f>IF(tblWorkOrders[[#This Row],[WO no.]]="","",IFERROR(INDEX(tblWorkTypes[Category],MATCH(tblWorkOrders[[#This Row],[Work type]],tblWorkTypes[Work type],0)),""))</f>
        <v>Corrective</v>
      </c>
      <c r="R70" s="41">
        <f>IF(tblWorkOrders[[#This Row],[WO no.]]="","",IFERROR(INDEX(tblPriorities[Target (days)],MATCH(tblWorkOrders[[#This Row],[Priority]],tblPriorities[Priority],0)),""))</f>
        <v>3</v>
      </c>
      <c r="S70" s="42">
        <f>IF(tblWorkOrders[[#This Row],[WO no.]]="","",IF(tblWorkOrders[[#This Row],[Target (days)]]="","",tblWorkOrders[[#This Row],[Date raised]]+tblWorkOrders[[#This Row],[Target (days)]]))</f>
        <v>46276</v>
      </c>
      <c r="T70" s="41">
        <f>IF(tblWorkOrders[[#This Row],[WO no.]]="","",IF(OR(tblWorkOrders[[#This Row],[Status]]="Complete",tblWorkOrders[[#This Row],[Status]]="Cancelled"),0,1))</f>
        <v>0</v>
      </c>
      <c r="U70" s="41">
        <f>IF(tblWorkOrders[[#This Row],[WO no.]]="","",IF(tblWorkOrders[[#This Row],[Status]]="Cancelled","",IF(tblWorkOrders[[#This Row],[Open]]=1,AsOf-tblWorkOrders[[#This Row],[Date raised]],IF(tblWorkOrders[[#This Row],[Date completed]]="","",tblWorkOrders[[#This Row],[Date completed]]-tblWorkOrders[[#This Row],[Date raised]]))))</f>
        <v>4</v>
      </c>
      <c r="V70" s="43">
        <f>IF(tblWorkOrders[[#This Row],[WO no.]]="","",IF(tblWorkOrders[[#This Row],[Open]]=1,MAX(0,tblWorkOrders[[#This Row],[Estimated (h)]]-tblWorkOrders[[#This Row],[Actual (h)]]),0))</f>
        <v>0</v>
      </c>
      <c r="W70" s="44">
        <f>IF(tblWorkOrders[[#This Row],[WO no.]]="","",tblWorkOrders[[#This Row],[Actual (h)]]*LabourRate)</f>
        <v>240</v>
      </c>
      <c r="X70" s="44">
        <f>IF(tblWorkOrders[[#This Row],[WO no.]]="","",tblWorkOrders[[#This Row],[Labour cost]]+tblWorkOrders[[#This Row],[Parts cost]]+tblWorkOrders[[#This Row],[Contractor cost]])</f>
        <v>240</v>
      </c>
      <c r="Y70" s="45" t="str">
        <f>IF(tblWorkOrders[[#This Row],[WO no.]]="","",IF(tblWorkOrders[[#This Row],[Status]]="Cancelled","",IF(tblWorkOrders[[#This Row],[Open]]=0,"Complete",IF(tblWorkOrders[[#This Row],[Due date]]="","",IF(AsOf&gt;tblWorkOrders[[#This Row],[Due date]],"Overdue",IF(tblWorkOrders[[#This Row],[Due date]]-AsOf&lt;=DueSoonDays,"Due soon","OK"))))))</f>
        <v>Complete</v>
      </c>
      <c r="Z70" s="45" t="str">
        <f>IF(tblWorkOrders[[#This Row],[WO no.]]="","",IF(OR(tblWorkOrders[[#This Row],[Status]]&lt;&gt;"Complete",tblWorkOrders[[#This Row],[Date completed]]="",tblWorkOrders[[#This Row],[Due date]]=""),"",IF(tblWorkOrders[[#This Row],[Date completed]]&lt;=tblWorkOrders[[#This Row],[Due date]],"Yes","No")))</f>
        <v>No</v>
      </c>
      <c r="AA70" s="42">
        <f>IF(tblWorkOrders[[#This Row],[WO no.]]="","",IF(AND(tblWorkOrders[[#This Row],[Date raised]]&gt;=FFrom,tblWorkOrders[[#This Row],[Date raised]]&lt;=FTo),tblWorkOrders[[#This Row],[Date raised]],""))</f>
        <v>46273</v>
      </c>
      <c r="AB7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1" spans="2:28" x14ac:dyDescent="0.25">
      <c r="B71" s="28" t="s">
        <v>293</v>
      </c>
      <c r="C71" s="29">
        <v>46273</v>
      </c>
      <c r="D71" s="28" t="s">
        <v>124</v>
      </c>
      <c r="E71" s="39" t="s">
        <v>218</v>
      </c>
      <c r="F71" s="28" t="s">
        <v>133</v>
      </c>
      <c r="G71" s="28" t="s">
        <v>147</v>
      </c>
      <c r="H71" s="28" t="s">
        <v>159</v>
      </c>
      <c r="I71" s="28" t="s">
        <v>200</v>
      </c>
      <c r="J71" s="29">
        <v>46282</v>
      </c>
      <c r="K71" s="31">
        <v>3</v>
      </c>
      <c r="L71" s="31">
        <v>3.5</v>
      </c>
      <c r="M71" s="30">
        <v>120</v>
      </c>
      <c r="N71" s="30">
        <v>0</v>
      </c>
      <c r="O71" s="31">
        <v>0</v>
      </c>
      <c r="P71" s="40" t="str">
        <f>IF(tblWorkOrders[[#This Row],[WO no.]]="","",IFERROR(INDEX(tblAssets[Area],MATCH(tblWorkOrders[[#This Row],[Asset]],tblAssets[Asset ID],0)),""))</f>
        <v>Utilities</v>
      </c>
      <c r="Q71" s="40" t="str">
        <f>IF(tblWorkOrders[[#This Row],[WO no.]]="","",IFERROR(INDEX(tblWorkTypes[Category],MATCH(tblWorkOrders[[#This Row],[Work type]],tblWorkTypes[Work type],0)),""))</f>
        <v>Planned</v>
      </c>
      <c r="R71" s="41">
        <f>IF(tblWorkOrders[[#This Row],[WO no.]]="","",IFERROR(INDEX(tblPriorities[Target (days)],MATCH(tblWorkOrders[[#This Row],[Priority]],tblPriorities[Priority],0)),""))</f>
        <v>14</v>
      </c>
      <c r="S71" s="42">
        <f>IF(tblWorkOrders[[#This Row],[WO no.]]="","",IF(tblWorkOrders[[#This Row],[Target (days)]]="","",tblWorkOrders[[#This Row],[Date raised]]+tblWorkOrders[[#This Row],[Target (days)]]))</f>
        <v>46287</v>
      </c>
      <c r="T71" s="41">
        <f>IF(tblWorkOrders[[#This Row],[WO no.]]="","",IF(OR(tblWorkOrders[[#This Row],[Status]]="Complete",tblWorkOrders[[#This Row],[Status]]="Cancelled"),0,1))</f>
        <v>0</v>
      </c>
      <c r="U71" s="41">
        <f>IF(tblWorkOrders[[#This Row],[WO no.]]="","",IF(tblWorkOrders[[#This Row],[Status]]="Cancelled","",IF(tblWorkOrders[[#This Row],[Open]]=1,AsOf-tblWorkOrders[[#This Row],[Date raised]],IF(tblWorkOrders[[#This Row],[Date completed]]="","",tblWorkOrders[[#This Row],[Date completed]]-tblWorkOrders[[#This Row],[Date raised]]))))</f>
        <v>9</v>
      </c>
      <c r="V71" s="43">
        <f>IF(tblWorkOrders[[#This Row],[WO no.]]="","",IF(tblWorkOrders[[#This Row],[Open]]=1,MAX(0,tblWorkOrders[[#This Row],[Estimated (h)]]-tblWorkOrders[[#This Row],[Actual (h)]]),0))</f>
        <v>0</v>
      </c>
      <c r="W71" s="44">
        <f>IF(tblWorkOrders[[#This Row],[WO no.]]="","",tblWorkOrders[[#This Row],[Actual (h)]]*LabourRate)</f>
        <v>168</v>
      </c>
      <c r="X71" s="44">
        <f>IF(tblWorkOrders[[#This Row],[WO no.]]="","",tblWorkOrders[[#This Row],[Labour cost]]+tblWorkOrders[[#This Row],[Parts cost]]+tblWorkOrders[[#This Row],[Contractor cost]])</f>
        <v>288</v>
      </c>
      <c r="Y71" s="45" t="str">
        <f>IF(tblWorkOrders[[#This Row],[WO no.]]="","",IF(tblWorkOrders[[#This Row],[Status]]="Cancelled","",IF(tblWorkOrders[[#This Row],[Open]]=0,"Complete",IF(tblWorkOrders[[#This Row],[Due date]]="","",IF(AsOf&gt;tblWorkOrders[[#This Row],[Due date]],"Overdue",IF(tblWorkOrders[[#This Row],[Due date]]-AsOf&lt;=DueSoonDays,"Due soon","OK"))))))</f>
        <v>Complete</v>
      </c>
      <c r="Z71" s="45" t="str">
        <f>IF(tblWorkOrders[[#This Row],[WO no.]]="","",IF(OR(tblWorkOrders[[#This Row],[Status]]&lt;&gt;"Complete",tblWorkOrders[[#This Row],[Date completed]]="",tblWorkOrders[[#This Row],[Due date]]=""),"",IF(tblWorkOrders[[#This Row],[Date completed]]&lt;=tblWorkOrders[[#This Row],[Due date]],"Yes","No")))</f>
        <v>Yes</v>
      </c>
      <c r="AA71" s="42">
        <f>IF(tblWorkOrders[[#This Row],[WO no.]]="","",IF(AND(tblWorkOrders[[#This Row],[Date raised]]&gt;=FFrom,tblWorkOrders[[#This Row],[Date raised]]&lt;=FTo),tblWorkOrders[[#This Row],[Date raised]],""))</f>
        <v>46273</v>
      </c>
      <c r="AB7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2" spans="2:28" x14ac:dyDescent="0.25">
      <c r="B72" s="28" t="s">
        <v>294</v>
      </c>
      <c r="C72" s="29">
        <v>46273</v>
      </c>
      <c r="D72" s="28" t="s">
        <v>114</v>
      </c>
      <c r="E72" s="39" t="s">
        <v>220</v>
      </c>
      <c r="F72" s="28" t="s">
        <v>133</v>
      </c>
      <c r="G72" s="28" t="s">
        <v>147</v>
      </c>
      <c r="H72" s="28" t="s">
        <v>152</v>
      </c>
      <c r="I72" s="28" t="s">
        <v>200</v>
      </c>
      <c r="J72" s="29">
        <v>46275</v>
      </c>
      <c r="K72" s="31">
        <v>3</v>
      </c>
      <c r="L72" s="31">
        <v>3</v>
      </c>
      <c r="M72" s="30">
        <v>120</v>
      </c>
      <c r="N72" s="30">
        <v>0</v>
      </c>
      <c r="O72" s="31">
        <v>0</v>
      </c>
      <c r="P72" s="40" t="str">
        <f>IF(tblWorkOrders[[#This Row],[WO no.]]="","",IFERROR(INDEX(tblAssets[Area],MATCH(tblWorkOrders[[#This Row],[Asset]],tblAssets[Asset ID],0)),""))</f>
        <v>Line 2</v>
      </c>
      <c r="Q72" s="40" t="str">
        <f>IF(tblWorkOrders[[#This Row],[WO no.]]="","",IFERROR(INDEX(tblWorkTypes[Category],MATCH(tblWorkOrders[[#This Row],[Work type]],tblWorkTypes[Work type],0)),""))</f>
        <v>Planned</v>
      </c>
      <c r="R72" s="41">
        <f>IF(tblWorkOrders[[#This Row],[WO no.]]="","",IFERROR(INDEX(tblPriorities[Target (days)],MATCH(tblWorkOrders[[#This Row],[Priority]],tblPriorities[Priority],0)),""))</f>
        <v>14</v>
      </c>
      <c r="S72" s="42">
        <f>IF(tblWorkOrders[[#This Row],[WO no.]]="","",IF(tblWorkOrders[[#This Row],[Target (days)]]="","",tblWorkOrders[[#This Row],[Date raised]]+tblWorkOrders[[#This Row],[Target (days)]]))</f>
        <v>46287</v>
      </c>
      <c r="T72" s="41">
        <f>IF(tblWorkOrders[[#This Row],[WO no.]]="","",IF(OR(tblWorkOrders[[#This Row],[Status]]="Complete",tblWorkOrders[[#This Row],[Status]]="Cancelled"),0,1))</f>
        <v>0</v>
      </c>
      <c r="U72" s="41">
        <f>IF(tblWorkOrders[[#This Row],[WO no.]]="","",IF(tblWorkOrders[[#This Row],[Status]]="Cancelled","",IF(tblWorkOrders[[#This Row],[Open]]=1,AsOf-tblWorkOrders[[#This Row],[Date raised]],IF(tblWorkOrders[[#This Row],[Date completed]]="","",tblWorkOrders[[#This Row],[Date completed]]-tblWorkOrders[[#This Row],[Date raised]]))))</f>
        <v>2</v>
      </c>
      <c r="V72" s="43">
        <f>IF(tblWorkOrders[[#This Row],[WO no.]]="","",IF(tblWorkOrders[[#This Row],[Open]]=1,MAX(0,tblWorkOrders[[#This Row],[Estimated (h)]]-tblWorkOrders[[#This Row],[Actual (h)]]),0))</f>
        <v>0</v>
      </c>
      <c r="W72" s="44">
        <f>IF(tblWorkOrders[[#This Row],[WO no.]]="","",tblWorkOrders[[#This Row],[Actual (h)]]*LabourRate)</f>
        <v>144</v>
      </c>
      <c r="X72" s="44">
        <f>IF(tblWorkOrders[[#This Row],[WO no.]]="","",tblWorkOrders[[#This Row],[Labour cost]]+tblWorkOrders[[#This Row],[Parts cost]]+tblWorkOrders[[#This Row],[Contractor cost]])</f>
        <v>264</v>
      </c>
      <c r="Y72" s="45" t="str">
        <f>IF(tblWorkOrders[[#This Row],[WO no.]]="","",IF(tblWorkOrders[[#This Row],[Status]]="Cancelled","",IF(tblWorkOrders[[#This Row],[Open]]=0,"Complete",IF(tblWorkOrders[[#This Row],[Due date]]="","",IF(AsOf&gt;tblWorkOrders[[#This Row],[Due date]],"Overdue",IF(tblWorkOrders[[#This Row],[Due date]]-AsOf&lt;=DueSoonDays,"Due soon","OK"))))))</f>
        <v>Complete</v>
      </c>
      <c r="Z72" s="45" t="str">
        <f>IF(tblWorkOrders[[#This Row],[WO no.]]="","",IF(OR(tblWorkOrders[[#This Row],[Status]]&lt;&gt;"Complete",tblWorkOrders[[#This Row],[Date completed]]="",tblWorkOrders[[#This Row],[Due date]]=""),"",IF(tblWorkOrders[[#This Row],[Date completed]]&lt;=tblWorkOrders[[#This Row],[Due date]],"Yes","No")))</f>
        <v>Yes</v>
      </c>
      <c r="AA72" s="42">
        <f>IF(tblWorkOrders[[#This Row],[WO no.]]="","",IF(AND(tblWorkOrders[[#This Row],[Date raised]]&gt;=FFrom,tblWorkOrders[[#This Row],[Date raised]]&lt;=FTo),tblWorkOrders[[#This Row],[Date raised]],""))</f>
        <v>46273</v>
      </c>
      <c r="AB7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3" spans="2:28" x14ac:dyDescent="0.25">
      <c r="B73" s="28" t="s">
        <v>295</v>
      </c>
      <c r="C73" s="29">
        <v>46273</v>
      </c>
      <c r="D73" s="28" t="s">
        <v>104</v>
      </c>
      <c r="E73" s="39" t="s">
        <v>296</v>
      </c>
      <c r="F73" s="28" t="s">
        <v>127</v>
      </c>
      <c r="G73" s="28" t="s">
        <v>143</v>
      </c>
      <c r="H73" s="28" t="s">
        <v>159</v>
      </c>
      <c r="I73" s="28" t="s">
        <v>200</v>
      </c>
      <c r="J73" s="29">
        <v>46274</v>
      </c>
      <c r="K73" s="31">
        <v>2</v>
      </c>
      <c r="L73" s="31">
        <v>2</v>
      </c>
      <c r="M73" s="30">
        <v>768</v>
      </c>
      <c r="N73" s="30">
        <v>0</v>
      </c>
      <c r="O73" s="31">
        <v>2</v>
      </c>
      <c r="P73" s="40" t="str">
        <f>IF(tblWorkOrders[[#This Row],[WO no.]]="","",IFERROR(INDEX(tblAssets[Area],MATCH(tblWorkOrders[[#This Row],[Asset]],tblAssets[Asset ID],0)),""))</f>
        <v>Line 1</v>
      </c>
      <c r="Q73" s="40" t="str">
        <f>IF(tblWorkOrders[[#This Row],[WO no.]]="","",IFERROR(INDEX(tblWorkTypes[Category],MATCH(tblWorkOrders[[#This Row],[Work type]],tblWorkTypes[Work type],0)),""))</f>
        <v>Emergency</v>
      </c>
      <c r="R73" s="41">
        <f>IF(tblWorkOrders[[#This Row],[WO no.]]="","",IFERROR(INDEX(tblPriorities[Target (days)],MATCH(tblWorkOrders[[#This Row],[Priority]],tblPriorities[Priority],0)),""))</f>
        <v>1</v>
      </c>
      <c r="S73" s="42">
        <f>IF(tblWorkOrders[[#This Row],[WO no.]]="","",IF(tblWorkOrders[[#This Row],[Target (days)]]="","",tblWorkOrders[[#This Row],[Date raised]]+tblWorkOrders[[#This Row],[Target (days)]]))</f>
        <v>46274</v>
      </c>
      <c r="T73" s="41">
        <f>IF(tblWorkOrders[[#This Row],[WO no.]]="","",IF(OR(tblWorkOrders[[#This Row],[Status]]="Complete",tblWorkOrders[[#This Row],[Status]]="Cancelled"),0,1))</f>
        <v>0</v>
      </c>
      <c r="U73" s="41">
        <f>IF(tblWorkOrders[[#This Row],[WO no.]]="","",IF(tblWorkOrders[[#This Row],[Status]]="Cancelled","",IF(tblWorkOrders[[#This Row],[Open]]=1,AsOf-tblWorkOrders[[#This Row],[Date raised]],IF(tblWorkOrders[[#This Row],[Date completed]]="","",tblWorkOrders[[#This Row],[Date completed]]-tblWorkOrders[[#This Row],[Date raised]]))))</f>
        <v>1</v>
      </c>
      <c r="V73" s="43">
        <f>IF(tblWorkOrders[[#This Row],[WO no.]]="","",IF(tblWorkOrders[[#This Row],[Open]]=1,MAX(0,tblWorkOrders[[#This Row],[Estimated (h)]]-tblWorkOrders[[#This Row],[Actual (h)]]),0))</f>
        <v>0</v>
      </c>
      <c r="W73" s="44">
        <f>IF(tblWorkOrders[[#This Row],[WO no.]]="","",tblWorkOrders[[#This Row],[Actual (h)]]*LabourRate)</f>
        <v>96</v>
      </c>
      <c r="X73" s="44">
        <f>IF(tblWorkOrders[[#This Row],[WO no.]]="","",tblWorkOrders[[#This Row],[Labour cost]]+tblWorkOrders[[#This Row],[Parts cost]]+tblWorkOrders[[#This Row],[Contractor cost]])</f>
        <v>864</v>
      </c>
      <c r="Y73" s="45" t="str">
        <f>IF(tblWorkOrders[[#This Row],[WO no.]]="","",IF(tblWorkOrders[[#This Row],[Status]]="Cancelled","",IF(tblWorkOrders[[#This Row],[Open]]=0,"Complete",IF(tblWorkOrders[[#This Row],[Due date]]="","",IF(AsOf&gt;tblWorkOrders[[#This Row],[Due date]],"Overdue",IF(tblWorkOrders[[#This Row],[Due date]]-AsOf&lt;=DueSoonDays,"Due soon","OK"))))))</f>
        <v>Complete</v>
      </c>
      <c r="Z73" s="45" t="str">
        <f>IF(tblWorkOrders[[#This Row],[WO no.]]="","",IF(OR(tblWorkOrders[[#This Row],[Status]]&lt;&gt;"Complete",tblWorkOrders[[#This Row],[Date completed]]="",tblWorkOrders[[#This Row],[Due date]]=""),"",IF(tblWorkOrders[[#This Row],[Date completed]]&lt;=tblWorkOrders[[#This Row],[Due date]],"Yes","No")))</f>
        <v>Yes</v>
      </c>
      <c r="AA73" s="42">
        <f>IF(tblWorkOrders[[#This Row],[WO no.]]="","",IF(AND(tblWorkOrders[[#This Row],[Date raised]]&gt;=FFrom,tblWorkOrders[[#This Row],[Date raised]]&lt;=FTo),tblWorkOrders[[#This Row],[Date raised]],""))</f>
        <v>46273</v>
      </c>
      <c r="AB7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4" spans="2:28" x14ac:dyDescent="0.25">
      <c r="B74" s="28" t="s">
        <v>297</v>
      </c>
      <c r="C74" s="29">
        <v>46274</v>
      </c>
      <c r="D74" s="28" t="s">
        <v>119</v>
      </c>
      <c r="E74" s="39" t="s">
        <v>206</v>
      </c>
      <c r="F74" s="28" t="s">
        <v>133</v>
      </c>
      <c r="G74" s="28" t="s">
        <v>147</v>
      </c>
      <c r="H74" s="28" t="s">
        <v>155</v>
      </c>
      <c r="I74" s="28" t="s">
        <v>200</v>
      </c>
      <c r="J74" s="29">
        <v>46281</v>
      </c>
      <c r="K74" s="31">
        <v>3</v>
      </c>
      <c r="L74" s="31">
        <v>3</v>
      </c>
      <c r="M74" s="30">
        <v>55</v>
      </c>
      <c r="N74" s="30">
        <v>0</v>
      </c>
      <c r="O74" s="31">
        <v>0</v>
      </c>
      <c r="P74" s="40" t="str">
        <f>IF(tblWorkOrders[[#This Row],[WO no.]]="","",IFERROR(INDEX(tblAssets[Area],MATCH(tblWorkOrders[[#This Row],[Asset]],tblAssets[Asset ID],0)),""))</f>
        <v>Utilities</v>
      </c>
      <c r="Q74" s="40" t="str">
        <f>IF(tblWorkOrders[[#This Row],[WO no.]]="","",IFERROR(INDEX(tblWorkTypes[Category],MATCH(tblWorkOrders[[#This Row],[Work type]],tblWorkTypes[Work type],0)),""))</f>
        <v>Planned</v>
      </c>
      <c r="R74" s="41">
        <f>IF(tblWorkOrders[[#This Row],[WO no.]]="","",IFERROR(INDEX(tblPriorities[Target (days)],MATCH(tblWorkOrders[[#This Row],[Priority]],tblPriorities[Priority],0)),""))</f>
        <v>14</v>
      </c>
      <c r="S74" s="42">
        <f>IF(tblWorkOrders[[#This Row],[WO no.]]="","",IF(tblWorkOrders[[#This Row],[Target (days)]]="","",tblWorkOrders[[#This Row],[Date raised]]+tblWorkOrders[[#This Row],[Target (days)]]))</f>
        <v>46288</v>
      </c>
      <c r="T74" s="41">
        <f>IF(tblWorkOrders[[#This Row],[WO no.]]="","",IF(OR(tblWorkOrders[[#This Row],[Status]]="Complete",tblWorkOrders[[#This Row],[Status]]="Cancelled"),0,1))</f>
        <v>0</v>
      </c>
      <c r="U74" s="41">
        <f>IF(tblWorkOrders[[#This Row],[WO no.]]="","",IF(tblWorkOrders[[#This Row],[Status]]="Cancelled","",IF(tblWorkOrders[[#This Row],[Open]]=1,AsOf-tblWorkOrders[[#This Row],[Date raised]],IF(tblWorkOrders[[#This Row],[Date completed]]="","",tblWorkOrders[[#This Row],[Date completed]]-tblWorkOrders[[#This Row],[Date raised]]))))</f>
        <v>7</v>
      </c>
      <c r="V74" s="43">
        <f>IF(tblWorkOrders[[#This Row],[WO no.]]="","",IF(tblWorkOrders[[#This Row],[Open]]=1,MAX(0,tblWorkOrders[[#This Row],[Estimated (h)]]-tblWorkOrders[[#This Row],[Actual (h)]]),0))</f>
        <v>0</v>
      </c>
      <c r="W74" s="44">
        <f>IF(tblWorkOrders[[#This Row],[WO no.]]="","",tblWorkOrders[[#This Row],[Actual (h)]]*LabourRate)</f>
        <v>144</v>
      </c>
      <c r="X74" s="44">
        <f>IF(tblWorkOrders[[#This Row],[WO no.]]="","",tblWorkOrders[[#This Row],[Labour cost]]+tblWorkOrders[[#This Row],[Parts cost]]+tblWorkOrders[[#This Row],[Contractor cost]])</f>
        <v>199</v>
      </c>
      <c r="Y74" s="45" t="str">
        <f>IF(tblWorkOrders[[#This Row],[WO no.]]="","",IF(tblWorkOrders[[#This Row],[Status]]="Cancelled","",IF(tblWorkOrders[[#This Row],[Open]]=0,"Complete",IF(tblWorkOrders[[#This Row],[Due date]]="","",IF(AsOf&gt;tblWorkOrders[[#This Row],[Due date]],"Overdue",IF(tblWorkOrders[[#This Row],[Due date]]-AsOf&lt;=DueSoonDays,"Due soon","OK"))))))</f>
        <v>Complete</v>
      </c>
      <c r="Z74" s="45" t="str">
        <f>IF(tblWorkOrders[[#This Row],[WO no.]]="","",IF(OR(tblWorkOrders[[#This Row],[Status]]&lt;&gt;"Complete",tblWorkOrders[[#This Row],[Date completed]]="",tblWorkOrders[[#This Row],[Due date]]=""),"",IF(tblWorkOrders[[#This Row],[Date completed]]&lt;=tblWorkOrders[[#This Row],[Due date]],"Yes","No")))</f>
        <v>Yes</v>
      </c>
      <c r="AA74" s="42">
        <f>IF(tblWorkOrders[[#This Row],[WO no.]]="","",IF(AND(tblWorkOrders[[#This Row],[Date raised]]&gt;=FFrom,tblWorkOrders[[#This Row],[Date raised]]&lt;=FTo),tblWorkOrders[[#This Row],[Date raised]],""))</f>
        <v>46274</v>
      </c>
      <c r="AB7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5" spans="2:28" x14ac:dyDescent="0.25">
      <c r="B75" s="28" t="s">
        <v>298</v>
      </c>
      <c r="C75" s="29">
        <v>46274</v>
      </c>
      <c r="D75" s="28" t="s">
        <v>104</v>
      </c>
      <c r="E75" s="39" t="s">
        <v>226</v>
      </c>
      <c r="F75" s="28" t="s">
        <v>127</v>
      </c>
      <c r="G75" s="28" t="s">
        <v>143</v>
      </c>
      <c r="H75" s="28" t="s">
        <v>152</v>
      </c>
      <c r="I75" s="28" t="s">
        <v>200</v>
      </c>
      <c r="J75" s="29">
        <v>46274</v>
      </c>
      <c r="K75" s="31">
        <v>4</v>
      </c>
      <c r="L75" s="31">
        <v>4.5</v>
      </c>
      <c r="M75" s="30">
        <v>72</v>
      </c>
      <c r="N75" s="30">
        <v>0</v>
      </c>
      <c r="O75" s="31">
        <v>4</v>
      </c>
      <c r="P75" s="40" t="str">
        <f>IF(tblWorkOrders[[#This Row],[WO no.]]="","",IFERROR(INDEX(tblAssets[Area],MATCH(tblWorkOrders[[#This Row],[Asset]],tblAssets[Asset ID],0)),""))</f>
        <v>Line 1</v>
      </c>
      <c r="Q75" s="40" t="str">
        <f>IF(tblWorkOrders[[#This Row],[WO no.]]="","",IFERROR(INDEX(tblWorkTypes[Category],MATCH(tblWorkOrders[[#This Row],[Work type]],tblWorkTypes[Work type],0)),""))</f>
        <v>Emergency</v>
      </c>
      <c r="R75" s="41">
        <f>IF(tblWorkOrders[[#This Row],[WO no.]]="","",IFERROR(INDEX(tblPriorities[Target (days)],MATCH(tblWorkOrders[[#This Row],[Priority]],tblPriorities[Priority],0)),""))</f>
        <v>1</v>
      </c>
      <c r="S75" s="42">
        <f>IF(tblWorkOrders[[#This Row],[WO no.]]="","",IF(tblWorkOrders[[#This Row],[Target (days)]]="","",tblWorkOrders[[#This Row],[Date raised]]+tblWorkOrders[[#This Row],[Target (days)]]))</f>
        <v>46275</v>
      </c>
      <c r="T75" s="41">
        <f>IF(tblWorkOrders[[#This Row],[WO no.]]="","",IF(OR(tblWorkOrders[[#This Row],[Status]]="Complete",tblWorkOrders[[#This Row],[Status]]="Cancelled"),0,1))</f>
        <v>0</v>
      </c>
      <c r="U75" s="41">
        <f>IF(tblWorkOrders[[#This Row],[WO no.]]="","",IF(tblWorkOrders[[#This Row],[Status]]="Cancelled","",IF(tblWorkOrders[[#This Row],[Open]]=1,AsOf-tblWorkOrders[[#This Row],[Date raised]],IF(tblWorkOrders[[#This Row],[Date completed]]="","",tblWorkOrders[[#This Row],[Date completed]]-tblWorkOrders[[#This Row],[Date raised]]))))</f>
        <v>0</v>
      </c>
      <c r="V75" s="43">
        <f>IF(tblWorkOrders[[#This Row],[WO no.]]="","",IF(tblWorkOrders[[#This Row],[Open]]=1,MAX(0,tblWorkOrders[[#This Row],[Estimated (h)]]-tblWorkOrders[[#This Row],[Actual (h)]]),0))</f>
        <v>0</v>
      </c>
      <c r="W75" s="44">
        <f>IF(tblWorkOrders[[#This Row],[WO no.]]="","",tblWorkOrders[[#This Row],[Actual (h)]]*LabourRate)</f>
        <v>216</v>
      </c>
      <c r="X75" s="44">
        <f>IF(tblWorkOrders[[#This Row],[WO no.]]="","",tblWorkOrders[[#This Row],[Labour cost]]+tblWorkOrders[[#This Row],[Parts cost]]+tblWorkOrders[[#This Row],[Contractor cost]])</f>
        <v>288</v>
      </c>
      <c r="Y75" s="45" t="str">
        <f>IF(tblWorkOrders[[#This Row],[WO no.]]="","",IF(tblWorkOrders[[#This Row],[Status]]="Cancelled","",IF(tblWorkOrders[[#This Row],[Open]]=0,"Complete",IF(tblWorkOrders[[#This Row],[Due date]]="","",IF(AsOf&gt;tblWorkOrders[[#This Row],[Due date]],"Overdue",IF(tblWorkOrders[[#This Row],[Due date]]-AsOf&lt;=DueSoonDays,"Due soon","OK"))))))</f>
        <v>Complete</v>
      </c>
      <c r="Z75" s="45" t="str">
        <f>IF(tblWorkOrders[[#This Row],[WO no.]]="","",IF(OR(tblWorkOrders[[#This Row],[Status]]&lt;&gt;"Complete",tblWorkOrders[[#This Row],[Date completed]]="",tblWorkOrders[[#This Row],[Due date]]=""),"",IF(tblWorkOrders[[#This Row],[Date completed]]&lt;=tblWorkOrders[[#This Row],[Due date]],"Yes","No")))</f>
        <v>Yes</v>
      </c>
      <c r="AA75" s="42">
        <f>IF(tblWorkOrders[[#This Row],[WO no.]]="","",IF(AND(tblWorkOrders[[#This Row],[Date raised]]&gt;=FFrom,tblWorkOrders[[#This Row],[Date raised]]&lt;=FTo),tblWorkOrders[[#This Row],[Date raised]],""))</f>
        <v>46274</v>
      </c>
      <c r="AB7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6" spans="2:28" x14ac:dyDescent="0.25">
      <c r="B76" s="28" t="s">
        <v>299</v>
      </c>
      <c r="C76" s="29">
        <v>46274</v>
      </c>
      <c r="D76" s="28" t="s">
        <v>97</v>
      </c>
      <c r="E76" s="39" t="s">
        <v>300</v>
      </c>
      <c r="F76" s="28" t="s">
        <v>130</v>
      </c>
      <c r="G76" s="28" t="s">
        <v>147</v>
      </c>
      <c r="H76" s="28" t="s">
        <v>157</v>
      </c>
      <c r="I76" s="28" t="s">
        <v>200</v>
      </c>
      <c r="J76" s="29">
        <v>46290</v>
      </c>
      <c r="K76" s="31">
        <v>12</v>
      </c>
      <c r="L76" s="31">
        <v>10</v>
      </c>
      <c r="M76" s="30">
        <v>0</v>
      </c>
      <c r="N76" s="30">
        <v>0</v>
      </c>
      <c r="O76" s="31">
        <v>0</v>
      </c>
      <c r="P76" s="40" t="str">
        <f>IF(tblWorkOrders[[#This Row],[WO no.]]="","",IFERROR(INDEX(tblAssets[Area],MATCH(tblWorkOrders[[#This Row],[Asset]],tblAssets[Asset ID],0)),""))</f>
        <v>Processing</v>
      </c>
      <c r="Q76" s="40" t="str">
        <f>IF(tblWorkOrders[[#This Row],[WO no.]]="","",IFERROR(INDEX(tblWorkTypes[Category],MATCH(tblWorkOrders[[#This Row],[Work type]],tblWorkTypes[Work type],0)),""))</f>
        <v>Corrective</v>
      </c>
      <c r="R76" s="41">
        <f>IF(tblWorkOrders[[#This Row],[WO no.]]="","",IFERROR(INDEX(tblPriorities[Target (days)],MATCH(tblWorkOrders[[#This Row],[Priority]],tblPriorities[Priority],0)),""))</f>
        <v>14</v>
      </c>
      <c r="S76" s="42">
        <f>IF(tblWorkOrders[[#This Row],[WO no.]]="","",IF(tblWorkOrders[[#This Row],[Target (days)]]="","",tblWorkOrders[[#This Row],[Date raised]]+tblWorkOrders[[#This Row],[Target (days)]]))</f>
        <v>46288</v>
      </c>
      <c r="T76" s="41">
        <f>IF(tblWorkOrders[[#This Row],[WO no.]]="","",IF(OR(tblWorkOrders[[#This Row],[Status]]="Complete",tblWorkOrders[[#This Row],[Status]]="Cancelled"),0,1))</f>
        <v>0</v>
      </c>
      <c r="U76" s="41">
        <f>IF(tblWorkOrders[[#This Row],[WO no.]]="","",IF(tblWorkOrders[[#This Row],[Status]]="Cancelled","",IF(tblWorkOrders[[#This Row],[Open]]=1,AsOf-tblWorkOrders[[#This Row],[Date raised]],IF(tblWorkOrders[[#This Row],[Date completed]]="","",tblWorkOrders[[#This Row],[Date completed]]-tblWorkOrders[[#This Row],[Date raised]]))))</f>
        <v>16</v>
      </c>
      <c r="V76" s="43">
        <f>IF(tblWorkOrders[[#This Row],[WO no.]]="","",IF(tblWorkOrders[[#This Row],[Open]]=1,MAX(0,tblWorkOrders[[#This Row],[Estimated (h)]]-tblWorkOrders[[#This Row],[Actual (h)]]),0))</f>
        <v>0</v>
      </c>
      <c r="W76" s="44">
        <f>IF(tblWorkOrders[[#This Row],[WO no.]]="","",tblWorkOrders[[#This Row],[Actual (h)]]*LabourRate)</f>
        <v>480</v>
      </c>
      <c r="X76" s="44">
        <f>IF(tblWorkOrders[[#This Row],[WO no.]]="","",tblWorkOrders[[#This Row],[Labour cost]]+tblWorkOrders[[#This Row],[Parts cost]]+tblWorkOrders[[#This Row],[Contractor cost]])</f>
        <v>480</v>
      </c>
      <c r="Y76" s="45" t="str">
        <f>IF(tblWorkOrders[[#This Row],[WO no.]]="","",IF(tblWorkOrders[[#This Row],[Status]]="Cancelled","",IF(tblWorkOrders[[#This Row],[Open]]=0,"Complete",IF(tblWorkOrders[[#This Row],[Due date]]="","",IF(AsOf&gt;tblWorkOrders[[#This Row],[Due date]],"Overdue",IF(tblWorkOrders[[#This Row],[Due date]]-AsOf&lt;=DueSoonDays,"Due soon","OK"))))))</f>
        <v>Complete</v>
      </c>
      <c r="Z76" s="45" t="str">
        <f>IF(tblWorkOrders[[#This Row],[WO no.]]="","",IF(OR(tblWorkOrders[[#This Row],[Status]]&lt;&gt;"Complete",tblWorkOrders[[#This Row],[Date completed]]="",tblWorkOrders[[#This Row],[Due date]]=""),"",IF(tblWorkOrders[[#This Row],[Date completed]]&lt;=tblWorkOrders[[#This Row],[Due date]],"Yes","No")))</f>
        <v>No</v>
      </c>
      <c r="AA76" s="42">
        <f>IF(tblWorkOrders[[#This Row],[WO no.]]="","",IF(AND(tblWorkOrders[[#This Row],[Date raised]]&gt;=FFrom,tblWorkOrders[[#This Row],[Date raised]]&lt;=FTo),tblWorkOrders[[#This Row],[Date raised]],""))</f>
        <v>46274</v>
      </c>
      <c r="AB7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7" spans="2:28" x14ac:dyDescent="0.25">
      <c r="B77" s="28" t="s">
        <v>301</v>
      </c>
      <c r="C77" s="29">
        <v>46274</v>
      </c>
      <c r="D77" s="28" t="s">
        <v>97</v>
      </c>
      <c r="E77" s="39" t="s">
        <v>228</v>
      </c>
      <c r="F77" s="28" t="s">
        <v>133</v>
      </c>
      <c r="G77" s="28" t="s">
        <v>147</v>
      </c>
      <c r="H77" s="28" t="s">
        <v>152</v>
      </c>
      <c r="I77" s="28" t="s">
        <v>200</v>
      </c>
      <c r="J77" s="29">
        <v>46280</v>
      </c>
      <c r="K77" s="31">
        <v>2.5</v>
      </c>
      <c r="L77" s="31">
        <v>3</v>
      </c>
      <c r="M77" s="30">
        <v>0</v>
      </c>
      <c r="N77" s="30">
        <v>0</v>
      </c>
      <c r="O77" s="31">
        <v>0</v>
      </c>
      <c r="P77" s="40" t="str">
        <f>IF(tblWorkOrders[[#This Row],[WO no.]]="","",IFERROR(INDEX(tblAssets[Area],MATCH(tblWorkOrders[[#This Row],[Asset]],tblAssets[Asset ID],0)),""))</f>
        <v>Processing</v>
      </c>
      <c r="Q77" s="40" t="str">
        <f>IF(tblWorkOrders[[#This Row],[WO no.]]="","",IFERROR(INDEX(tblWorkTypes[Category],MATCH(tblWorkOrders[[#This Row],[Work type]],tblWorkTypes[Work type],0)),""))</f>
        <v>Planned</v>
      </c>
      <c r="R77" s="41">
        <f>IF(tblWorkOrders[[#This Row],[WO no.]]="","",IFERROR(INDEX(tblPriorities[Target (days)],MATCH(tblWorkOrders[[#This Row],[Priority]],tblPriorities[Priority],0)),""))</f>
        <v>14</v>
      </c>
      <c r="S77" s="42">
        <f>IF(tblWorkOrders[[#This Row],[WO no.]]="","",IF(tblWorkOrders[[#This Row],[Target (days)]]="","",tblWorkOrders[[#This Row],[Date raised]]+tblWorkOrders[[#This Row],[Target (days)]]))</f>
        <v>46288</v>
      </c>
      <c r="T77" s="41">
        <f>IF(tblWorkOrders[[#This Row],[WO no.]]="","",IF(OR(tblWorkOrders[[#This Row],[Status]]="Complete",tblWorkOrders[[#This Row],[Status]]="Cancelled"),0,1))</f>
        <v>0</v>
      </c>
      <c r="U77" s="41">
        <f>IF(tblWorkOrders[[#This Row],[WO no.]]="","",IF(tblWorkOrders[[#This Row],[Status]]="Cancelled","",IF(tblWorkOrders[[#This Row],[Open]]=1,AsOf-tblWorkOrders[[#This Row],[Date raised]],IF(tblWorkOrders[[#This Row],[Date completed]]="","",tblWorkOrders[[#This Row],[Date completed]]-tblWorkOrders[[#This Row],[Date raised]]))))</f>
        <v>6</v>
      </c>
      <c r="V77" s="43">
        <f>IF(tblWorkOrders[[#This Row],[WO no.]]="","",IF(tblWorkOrders[[#This Row],[Open]]=1,MAX(0,tblWorkOrders[[#This Row],[Estimated (h)]]-tblWorkOrders[[#This Row],[Actual (h)]]),0))</f>
        <v>0</v>
      </c>
      <c r="W77" s="44">
        <f>IF(tblWorkOrders[[#This Row],[WO no.]]="","",tblWorkOrders[[#This Row],[Actual (h)]]*LabourRate)</f>
        <v>144</v>
      </c>
      <c r="X77" s="44">
        <f>IF(tblWorkOrders[[#This Row],[WO no.]]="","",tblWorkOrders[[#This Row],[Labour cost]]+tblWorkOrders[[#This Row],[Parts cost]]+tblWorkOrders[[#This Row],[Contractor cost]])</f>
        <v>144</v>
      </c>
      <c r="Y77" s="45" t="str">
        <f>IF(tblWorkOrders[[#This Row],[WO no.]]="","",IF(tblWorkOrders[[#This Row],[Status]]="Cancelled","",IF(tblWorkOrders[[#This Row],[Open]]=0,"Complete",IF(tblWorkOrders[[#This Row],[Due date]]="","",IF(AsOf&gt;tblWorkOrders[[#This Row],[Due date]],"Overdue",IF(tblWorkOrders[[#This Row],[Due date]]-AsOf&lt;=DueSoonDays,"Due soon","OK"))))))</f>
        <v>Complete</v>
      </c>
      <c r="Z77" s="45" t="str">
        <f>IF(tblWorkOrders[[#This Row],[WO no.]]="","",IF(OR(tblWorkOrders[[#This Row],[Status]]&lt;&gt;"Complete",tblWorkOrders[[#This Row],[Date completed]]="",tblWorkOrders[[#This Row],[Due date]]=""),"",IF(tblWorkOrders[[#This Row],[Date completed]]&lt;=tblWorkOrders[[#This Row],[Due date]],"Yes","No")))</f>
        <v>Yes</v>
      </c>
      <c r="AA77" s="42">
        <f>IF(tblWorkOrders[[#This Row],[WO no.]]="","",IF(AND(tblWorkOrders[[#This Row],[Date raised]]&gt;=FFrom,tblWorkOrders[[#This Row],[Date raised]]&lt;=FTo),tblWorkOrders[[#This Row],[Date raised]],""))</f>
        <v>46274</v>
      </c>
      <c r="AB7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8" spans="2:28" x14ac:dyDescent="0.25">
      <c r="B78" s="28" t="s">
        <v>302</v>
      </c>
      <c r="C78" s="29">
        <v>46274</v>
      </c>
      <c r="D78" s="28" t="s">
        <v>102</v>
      </c>
      <c r="E78" s="39" t="s">
        <v>303</v>
      </c>
      <c r="F78" s="28" t="s">
        <v>130</v>
      </c>
      <c r="G78" s="28" t="s">
        <v>147</v>
      </c>
      <c r="H78" s="28" t="s">
        <v>152</v>
      </c>
      <c r="I78" s="28" t="s">
        <v>200</v>
      </c>
      <c r="J78" s="29">
        <v>46278</v>
      </c>
      <c r="K78" s="31">
        <v>6</v>
      </c>
      <c r="L78" s="31">
        <v>6</v>
      </c>
      <c r="M78" s="30">
        <v>90</v>
      </c>
      <c r="N78" s="30">
        <v>0</v>
      </c>
      <c r="O78" s="31">
        <v>0</v>
      </c>
      <c r="P78" s="40" t="str">
        <f>IF(tblWorkOrders[[#This Row],[WO no.]]="","",IFERROR(INDEX(tblAssets[Area],MATCH(tblWorkOrders[[#This Row],[Asset]],tblAssets[Asset ID],0)),""))</f>
        <v>Processing</v>
      </c>
      <c r="Q78" s="40" t="str">
        <f>IF(tblWorkOrders[[#This Row],[WO no.]]="","",IFERROR(INDEX(tblWorkTypes[Category],MATCH(tblWorkOrders[[#This Row],[Work type]],tblWorkTypes[Work type],0)),""))</f>
        <v>Corrective</v>
      </c>
      <c r="R78" s="41">
        <f>IF(tblWorkOrders[[#This Row],[WO no.]]="","",IFERROR(INDEX(tblPriorities[Target (days)],MATCH(tblWorkOrders[[#This Row],[Priority]],tblPriorities[Priority],0)),""))</f>
        <v>14</v>
      </c>
      <c r="S78" s="42">
        <f>IF(tblWorkOrders[[#This Row],[WO no.]]="","",IF(tblWorkOrders[[#This Row],[Target (days)]]="","",tblWorkOrders[[#This Row],[Date raised]]+tblWorkOrders[[#This Row],[Target (days)]]))</f>
        <v>46288</v>
      </c>
      <c r="T78" s="41">
        <f>IF(tblWorkOrders[[#This Row],[WO no.]]="","",IF(OR(tblWorkOrders[[#This Row],[Status]]="Complete",tblWorkOrders[[#This Row],[Status]]="Cancelled"),0,1))</f>
        <v>0</v>
      </c>
      <c r="U78" s="41">
        <f>IF(tblWorkOrders[[#This Row],[WO no.]]="","",IF(tblWorkOrders[[#This Row],[Status]]="Cancelled","",IF(tblWorkOrders[[#This Row],[Open]]=1,AsOf-tblWorkOrders[[#This Row],[Date raised]],IF(tblWorkOrders[[#This Row],[Date completed]]="","",tblWorkOrders[[#This Row],[Date completed]]-tblWorkOrders[[#This Row],[Date raised]]))))</f>
        <v>4</v>
      </c>
      <c r="V78" s="43">
        <f>IF(tblWorkOrders[[#This Row],[WO no.]]="","",IF(tblWorkOrders[[#This Row],[Open]]=1,MAX(0,tblWorkOrders[[#This Row],[Estimated (h)]]-tblWorkOrders[[#This Row],[Actual (h)]]),0))</f>
        <v>0</v>
      </c>
      <c r="W78" s="44">
        <f>IF(tblWorkOrders[[#This Row],[WO no.]]="","",tblWorkOrders[[#This Row],[Actual (h)]]*LabourRate)</f>
        <v>288</v>
      </c>
      <c r="X78" s="44">
        <f>IF(tblWorkOrders[[#This Row],[WO no.]]="","",tblWorkOrders[[#This Row],[Labour cost]]+tblWorkOrders[[#This Row],[Parts cost]]+tblWorkOrders[[#This Row],[Contractor cost]])</f>
        <v>378</v>
      </c>
      <c r="Y78" s="45" t="str">
        <f>IF(tblWorkOrders[[#This Row],[WO no.]]="","",IF(tblWorkOrders[[#This Row],[Status]]="Cancelled","",IF(tblWorkOrders[[#This Row],[Open]]=0,"Complete",IF(tblWorkOrders[[#This Row],[Due date]]="","",IF(AsOf&gt;tblWorkOrders[[#This Row],[Due date]],"Overdue",IF(tblWorkOrders[[#This Row],[Due date]]-AsOf&lt;=DueSoonDays,"Due soon","OK"))))))</f>
        <v>Complete</v>
      </c>
      <c r="Z78" s="45" t="str">
        <f>IF(tblWorkOrders[[#This Row],[WO no.]]="","",IF(OR(tblWorkOrders[[#This Row],[Status]]&lt;&gt;"Complete",tblWorkOrders[[#This Row],[Date completed]]="",tblWorkOrders[[#This Row],[Due date]]=""),"",IF(tblWorkOrders[[#This Row],[Date completed]]&lt;=tblWorkOrders[[#This Row],[Due date]],"Yes","No")))</f>
        <v>Yes</v>
      </c>
      <c r="AA78" s="42">
        <f>IF(tblWorkOrders[[#This Row],[WO no.]]="","",IF(AND(tblWorkOrders[[#This Row],[Date raised]]&gt;=FFrom,tblWorkOrders[[#This Row],[Date raised]]&lt;=FTo),tblWorkOrders[[#This Row],[Date raised]],""))</f>
        <v>46274</v>
      </c>
      <c r="AB7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79" spans="2:28" x14ac:dyDescent="0.25">
      <c r="B79" s="28" t="s">
        <v>304</v>
      </c>
      <c r="C79" s="29">
        <v>46275</v>
      </c>
      <c r="D79" s="28" t="s">
        <v>109</v>
      </c>
      <c r="E79" s="39" t="s">
        <v>305</v>
      </c>
      <c r="F79" s="28" t="s">
        <v>130</v>
      </c>
      <c r="G79" s="28" t="s">
        <v>147</v>
      </c>
      <c r="H79" s="28" t="s">
        <v>152</v>
      </c>
      <c r="I79" s="28" t="s">
        <v>200</v>
      </c>
      <c r="J79" s="29">
        <v>46290</v>
      </c>
      <c r="K79" s="31">
        <v>6</v>
      </c>
      <c r="L79" s="31">
        <v>8</v>
      </c>
      <c r="M79" s="30">
        <v>90</v>
      </c>
      <c r="N79" s="30">
        <v>0</v>
      </c>
      <c r="O79" s="31">
        <v>0</v>
      </c>
      <c r="P79" s="40" t="str">
        <f>IF(tblWorkOrders[[#This Row],[WO no.]]="","",IFERROR(INDEX(tblAssets[Area],MATCH(tblWorkOrders[[#This Row],[Asset]],tblAssets[Asset ID],0)),""))</f>
        <v>Line 1</v>
      </c>
      <c r="Q79" s="40" t="str">
        <f>IF(tblWorkOrders[[#This Row],[WO no.]]="","",IFERROR(INDEX(tblWorkTypes[Category],MATCH(tblWorkOrders[[#This Row],[Work type]],tblWorkTypes[Work type],0)),""))</f>
        <v>Corrective</v>
      </c>
      <c r="R79" s="41">
        <f>IF(tblWorkOrders[[#This Row],[WO no.]]="","",IFERROR(INDEX(tblPriorities[Target (days)],MATCH(tblWorkOrders[[#This Row],[Priority]],tblPriorities[Priority],0)),""))</f>
        <v>14</v>
      </c>
      <c r="S79" s="42">
        <f>IF(tblWorkOrders[[#This Row],[WO no.]]="","",IF(tblWorkOrders[[#This Row],[Target (days)]]="","",tblWorkOrders[[#This Row],[Date raised]]+tblWorkOrders[[#This Row],[Target (days)]]))</f>
        <v>46289</v>
      </c>
      <c r="T79" s="41">
        <f>IF(tblWorkOrders[[#This Row],[WO no.]]="","",IF(OR(tblWorkOrders[[#This Row],[Status]]="Complete",tblWorkOrders[[#This Row],[Status]]="Cancelled"),0,1))</f>
        <v>0</v>
      </c>
      <c r="U79" s="41">
        <f>IF(tblWorkOrders[[#This Row],[WO no.]]="","",IF(tblWorkOrders[[#This Row],[Status]]="Cancelled","",IF(tblWorkOrders[[#This Row],[Open]]=1,AsOf-tblWorkOrders[[#This Row],[Date raised]],IF(tblWorkOrders[[#This Row],[Date completed]]="","",tblWorkOrders[[#This Row],[Date completed]]-tblWorkOrders[[#This Row],[Date raised]]))))</f>
        <v>15</v>
      </c>
      <c r="V79" s="43">
        <f>IF(tblWorkOrders[[#This Row],[WO no.]]="","",IF(tblWorkOrders[[#This Row],[Open]]=1,MAX(0,tblWorkOrders[[#This Row],[Estimated (h)]]-tblWorkOrders[[#This Row],[Actual (h)]]),0))</f>
        <v>0</v>
      </c>
      <c r="W79" s="44">
        <f>IF(tblWorkOrders[[#This Row],[WO no.]]="","",tblWorkOrders[[#This Row],[Actual (h)]]*LabourRate)</f>
        <v>384</v>
      </c>
      <c r="X79" s="44">
        <f>IF(tblWorkOrders[[#This Row],[WO no.]]="","",tblWorkOrders[[#This Row],[Labour cost]]+tblWorkOrders[[#This Row],[Parts cost]]+tblWorkOrders[[#This Row],[Contractor cost]])</f>
        <v>474</v>
      </c>
      <c r="Y79" s="45" t="str">
        <f>IF(tblWorkOrders[[#This Row],[WO no.]]="","",IF(tblWorkOrders[[#This Row],[Status]]="Cancelled","",IF(tblWorkOrders[[#This Row],[Open]]=0,"Complete",IF(tblWorkOrders[[#This Row],[Due date]]="","",IF(AsOf&gt;tblWorkOrders[[#This Row],[Due date]],"Overdue",IF(tblWorkOrders[[#This Row],[Due date]]-AsOf&lt;=DueSoonDays,"Due soon","OK"))))))</f>
        <v>Complete</v>
      </c>
      <c r="Z79" s="45" t="str">
        <f>IF(tblWorkOrders[[#This Row],[WO no.]]="","",IF(OR(tblWorkOrders[[#This Row],[Status]]&lt;&gt;"Complete",tblWorkOrders[[#This Row],[Date completed]]="",tblWorkOrders[[#This Row],[Due date]]=""),"",IF(tblWorkOrders[[#This Row],[Date completed]]&lt;=tblWorkOrders[[#This Row],[Due date]],"Yes","No")))</f>
        <v>No</v>
      </c>
      <c r="AA79" s="42">
        <f>IF(tblWorkOrders[[#This Row],[WO no.]]="","",IF(AND(tblWorkOrders[[#This Row],[Date raised]]&gt;=FFrom,tblWorkOrders[[#This Row],[Date raised]]&lt;=FTo),tblWorkOrders[[#This Row],[Date raised]],""))</f>
        <v>46275</v>
      </c>
      <c r="AB7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0" spans="2:28" x14ac:dyDescent="0.25">
      <c r="B80" s="28" t="s">
        <v>306</v>
      </c>
      <c r="C80" s="29">
        <v>46275</v>
      </c>
      <c r="D80" s="28" t="s">
        <v>100</v>
      </c>
      <c r="E80" s="39" t="s">
        <v>228</v>
      </c>
      <c r="F80" s="28" t="s">
        <v>133</v>
      </c>
      <c r="G80" s="28" t="s">
        <v>147</v>
      </c>
      <c r="H80" s="28" t="s">
        <v>159</v>
      </c>
      <c r="I80" s="28" t="s">
        <v>200</v>
      </c>
      <c r="J80" s="29">
        <v>46279</v>
      </c>
      <c r="K80" s="31">
        <v>2.5</v>
      </c>
      <c r="L80" s="31">
        <v>3</v>
      </c>
      <c r="M80" s="30">
        <v>80</v>
      </c>
      <c r="N80" s="30">
        <v>0</v>
      </c>
      <c r="O80" s="31">
        <v>0</v>
      </c>
      <c r="P80" s="40" t="str">
        <f>IF(tblWorkOrders[[#This Row],[WO no.]]="","",IFERROR(INDEX(tblAssets[Area],MATCH(tblWorkOrders[[#This Row],[Asset]],tblAssets[Asset ID],0)),""))</f>
        <v>Processing</v>
      </c>
      <c r="Q80" s="40" t="str">
        <f>IF(tblWorkOrders[[#This Row],[WO no.]]="","",IFERROR(INDEX(tblWorkTypes[Category],MATCH(tblWorkOrders[[#This Row],[Work type]],tblWorkTypes[Work type],0)),""))</f>
        <v>Planned</v>
      </c>
      <c r="R80" s="41">
        <f>IF(tblWorkOrders[[#This Row],[WO no.]]="","",IFERROR(INDEX(tblPriorities[Target (days)],MATCH(tblWorkOrders[[#This Row],[Priority]],tblPriorities[Priority],0)),""))</f>
        <v>14</v>
      </c>
      <c r="S80" s="42">
        <f>IF(tblWorkOrders[[#This Row],[WO no.]]="","",IF(tblWorkOrders[[#This Row],[Target (days)]]="","",tblWorkOrders[[#This Row],[Date raised]]+tblWorkOrders[[#This Row],[Target (days)]]))</f>
        <v>46289</v>
      </c>
      <c r="T80" s="41">
        <f>IF(tblWorkOrders[[#This Row],[WO no.]]="","",IF(OR(tblWorkOrders[[#This Row],[Status]]="Complete",tblWorkOrders[[#This Row],[Status]]="Cancelled"),0,1))</f>
        <v>0</v>
      </c>
      <c r="U80" s="41">
        <f>IF(tblWorkOrders[[#This Row],[WO no.]]="","",IF(tblWorkOrders[[#This Row],[Status]]="Cancelled","",IF(tblWorkOrders[[#This Row],[Open]]=1,AsOf-tblWorkOrders[[#This Row],[Date raised]],IF(tblWorkOrders[[#This Row],[Date completed]]="","",tblWorkOrders[[#This Row],[Date completed]]-tblWorkOrders[[#This Row],[Date raised]]))))</f>
        <v>4</v>
      </c>
      <c r="V80" s="43">
        <f>IF(tblWorkOrders[[#This Row],[WO no.]]="","",IF(tblWorkOrders[[#This Row],[Open]]=1,MAX(0,tblWorkOrders[[#This Row],[Estimated (h)]]-tblWorkOrders[[#This Row],[Actual (h)]]),0))</f>
        <v>0</v>
      </c>
      <c r="W80" s="44">
        <f>IF(tblWorkOrders[[#This Row],[WO no.]]="","",tblWorkOrders[[#This Row],[Actual (h)]]*LabourRate)</f>
        <v>144</v>
      </c>
      <c r="X80" s="44">
        <f>IF(tblWorkOrders[[#This Row],[WO no.]]="","",tblWorkOrders[[#This Row],[Labour cost]]+tblWorkOrders[[#This Row],[Parts cost]]+tblWorkOrders[[#This Row],[Contractor cost]])</f>
        <v>224</v>
      </c>
      <c r="Y80" s="45" t="str">
        <f>IF(tblWorkOrders[[#This Row],[WO no.]]="","",IF(tblWorkOrders[[#This Row],[Status]]="Cancelled","",IF(tblWorkOrders[[#This Row],[Open]]=0,"Complete",IF(tblWorkOrders[[#This Row],[Due date]]="","",IF(AsOf&gt;tblWorkOrders[[#This Row],[Due date]],"Overdue",IF(tblWorkOrders[[#This Row],[Due date]]-AsOf&lt;=DueSoonDays,"Due soon","OK"))))))</f>
        <v>Complete</v>
      </c>
      <c r="Z80" s="45" t="str">
        <f>IF(tblWorkOrders[[#This Row],[WO no.]]="","",IF(OR(tblWorkOrders[[#This Row],[Status]]&lt;&gt;"Complete",tblWorkOrders[[#This Row],[Date completed]]="",tblWorkOrders[[#This Row],[Due date]]=""),"",IF(tblWorkOrders[[#This Row],[Date completed]]&lt;=tblWorkOrders[[#This Row],[Due date]],"Yes","No")))</f>
        <v>Yes</v>
      </c>
      <c r="AA80" s="42">
        <f>IF(tblWorkOrders[[#This Row],[WO no.]]="","",IF(AND(tblWorkOrders[[#This Row],[Date raised]]&gt;=FFrom,tblWorkOrders[[#This Row],[Date raised]]&lt;=FTo),tblWorkOrders[[#This Row],[Date raised]],""))</f>
        <v>46275</v>
      </c>
      <c r="AB8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1" spans="2:28" x14ac:dyDescent="0.25">
      <c r="B81" s="28" t="s">
        <v>307</v>
      </c>
      <c r="C81" s="29">
        <v>46275</v>
      </c>
      <c r="D81" s="28" t="s">
        <v>116</v>
      </c>
      <c r="E81" s="39" t="s">
        <v>308</v>
      </c>
      <c r="F81" s="28" t="s">
        <v>130</v>
      </c>
      <c r="G81" s="28" t="s">
        <v>145</v>
      </c>
      <c r="H81" s="28" t="s">
        <v>152</v>
      </c>
      <c r="I81" s="28" t="s">
        <v>200</v>
      </c>
      <c r="J81" s="29">
        <v>46278</v>
      </c>
      <c r="K81" s="31">
        <v>3</v>
      </c>
      <c r="L81" s="31">
        <v>3</v>
      </c>
      <c r="M81" s="30">
        <v>150</v>
      </c>
      <c r="N81" s="30">
        <v>0</v>
      </c>
      <c r="O81" s="31">
        <v>0</v>
      </c>
      <c r="P81" s="40" t="str">
        <f>IF(tblWorkOrders[[#This Row],[WO no.]]="","",IFERROR(INDEX(tblAssets[Area],MATCH(tblWorkOrders[[#This Row],[Asset]],tblAssets[Asset ID],0)),""))</f>
        <v>End of line</v>
      </c>
      <c r="Q81" s="40" t="str">
        <f>IF(tblWorkOrders[[#This Row],[WO no.]]="","",IFERROR(INDEX(tblWorkTypes[Category],MATCH(tblWorkOrders[[#This Row],[Work type]],tblWorkTypes[Work type],0)),""))</f>
        <v>Corrective</v>
      </c>
      <c r="R81" s="41">
        <f>IF(tblWorkOrders[[#This Row],[WO no.]]="","",IFERROR(INDEX(tblPriorities[Target (days)],MATCH(tblWorkOrders[[#This Row],[Priority]],tblPriorities[Priority],0)),""))</f>
        <v>3</v>
      </c>
      <c r="S81" s="42">
        <f>IF(tblWorkOrders[[#This Row],[WO no.]]="","",IF(tblWorkOrders[[#This Row],[Target (days)]]="","",tblWorkOrders[[#This Row],[Date raised]]+tblWorkOrders[[#This Row],[Target (days)]]))</f>
        <v>46278</v>
      </c>
      <c r="T81" s="41">
        <f>IF(tblWorkOrders[[#This Row],[WO no.]]="","",IF(OR(tblWorkOrders[[#This Row],[Status]]="Complete",tblWorkOrders[[#This Row],[Status]]="Cancelled"),0,1))</f>
        <v>0</v>
      </c>
      <c r="U81" s="41">
        <f>IF(tblWorkOrders[[#This Row],[WO no.]]="","",IF(tblWorkOrders[[#This Row],[Status]]="Cancelled","",IF(tblWorkOrders[[#This Row],[Open]]=1,AsOf-tblWorkOrders[[#This Row],[Date raised]],IF(tblWorkOrders[[#This Row],[Date completed]]="","",tblWorkOrders[[#This Row],[Date completed]]-tblWorkOrders[[#This Row],[Date raised]]))))</f>
        <v>3</v>
      </c>
      <c r="V81" s="43">
        <f>IF(tblWorkOrders[[#This Row],[WO no.]]="","",IF(tblWorkOrders[[#This Row],[Open]]=1,MAX(0,tblWorkOrders[[#This Row],[Estimated (h)]]-tblWorkOrders[[#This Row],[Actual (h)]]),0))</f>
        <v>0</v>
      </c>
      <c r="W81" s="44">
        <f>IF(tblWorkOrders[[#This Row],[WO no.]]="","",tblWorkOrders[[#This Row],[Actual (h)]]*LabourRate)</f>
        <v>144</v>
      </c>
      <c r="X81" s="44">
        <f>IF(tblWorkOrders[[#This Row],[WO no.]]="","",tblWorkOrders[[#This Row],[Labour cost]]+tblWorkOrders[[#This Row],[Parts cost]]+tblWorkOrders[[#This Row],[Contractor cost]])</f>
        <v>294</v>
      </c>
      <c r="Y81" s="45" t="str">
        <f>IF(tblWorkOrders[[#This Row],[WO no.]]="","",IF(tblWorkOrders[[#This Row],[Status]]="Cancelled","",IF(tblWorkOrders[[#This Row],[Open]]=0,"Complete",IF(tblWorkOrders[[#This Row],[Due date]]="","",IF(AsOf&gt;tblWorkOrders[[#This Row],[Due date]],"Overdue",IF(tblWorkOrders[[#This Row],[Due date]]-AsOf&lt;=DueSoonDays,"Due soon","OK"))))))</f>
        <v>Complete</v>
      </c>
      <c r="Z81" s="45" t="str">
        <f>IF(tblWorkOrders[[#This Row],[WO no.]]="","",IF(OR(tblWorkOrders[[#This Row],[Status]]&lt;&gt;"Complete",tblWorkOrders[[#This Row],[Date completed]]="",tblWorkOrders[[#This Row],[Due date]]=""),"",IF(tblWorkOrders[[#This Row],[Date completed]]&lt;=tblWorkOrders[[#This Row],[Due date]],"Yes","No")))</f>
        <v>Yes</v>
      </c>
      <c r="AA81" s="42">
        <f>IF(tblWorkOrders[[#This Row],[WO no.]]="","",IF(AND(tblWorkOrders[[#This Row],[Date raised]]&gt;=FFrom,tblWorkOrders[[#This Row],[Date raised]]&lt;=FTo),tblWorkOrders[[#This Row],[Date raised]],""))</f>
        <v>46275</v>
      </c>
      <c r="AB8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2" spans="2:28" x14ac:dyDescent="0.25">
      <c r="B82" s="28" t="s">
        <v>309</v>
      </c>
      <c r="C82" s="29">
        <v>46275</v>
      </c>
      <c r="D82" s="28" t="s">
        <v>102</v>
      </c>
      <c r="E82" s="39" t="s">
        <v>230</v>
      </c>
      <c r="F82" s="28" t="s">
        <v>133</v>
      </c>
      <c r="G82" s="28" t="s">
        <v>147</v>
      </c>
      <c r="H82" s="28" t="s">
        <v>152</v>
      </c>
      <c r="I82" s="28" t="s">
        <v>200</v>
      </c>
      <c r="J82" s="29">
        <v>46284</v>
      </c>
      <c r="K82" s="31">
        <v>5</v>
      </c>
      <c r="L82" s="31">
        <v>5</v>
      </c>
      <c r="M82" s="30">
        <v>120</v>
      </c>
      <c r="N82" s="30">
        <v>0</v>
      </c>
      <c r="O82" s="31">
        <v>0</v>
      </c>
      <c r="P82" s="40" t="str">
        <f>IF(tblWorkOrders[[#This Row],[WO no.]]="","",IFERROR(INDEX(tblAssets[Area],MATCH(tblWorkOrders[[#This Row],[Asset]],tblAssets[Asset ID],0)),""))</f>
        <v>Processing</v>
      </c>
      <c r="Q82" s="40" t="str">
        <f>IF(tblWorkOrders[[#This Row],[WO no.]]="","",IFERROR(INDEX(tblWorkTypes[Category],MATCH(tblWorkOrders[[#This Row],[Work type]],tblWorkTypes[Work type],0)),""))</f>
        <v>Planned</v>
      </c>
      <c r="R82" s="41">
        <f>IF(tblWorkOrders[[#This Row],[WO no.]]="","",IFERROR(INDEX(tblPriorities[Target (days)],MATCH(tblWorkOrders[[#This Row],[Priority]],tblPriorities[Priority],0)),""))</f>
        <v>14</v>
      </c>
      <c r="S82" s="42">
        <f>IF(tblWorkOrders[[#This Row],[WO no.]]="","",IF(tblWorkOrders[[#This Row],[Target (days)]]="","",tblWorkOrders[[#This Row],[Date raised]]+tblWorkOrders[[#This Row],[Target (days)]]))</f>
        <v>46289</v>
      </c>
      <c r="T82" s="41">
        <f>IF(tblWorkOrders[[#This Row],[WO no.]]="","",IF(OR(tblWorkOrders[[#This Row],[Status]]="Complete",tblWorkOrders[[#This Row],[Status]]="Cancelled"),0,1))</f>
        <v>0</v>
      </c>
      <c r="U82" s="41">
        <f>IF(tblWorkOrders[[#This Row],[WO no.]]="","",IF(tblWorkOrders[[#This Row],[Status]]="Cancelled","",IF(tblWorkOrders[[#This Row],[Open]]=1,AsOf-tblWorkOrders[[#This Row],[Date raised]],IF(tblWorkOrders[[#This Row],[Date completed]]="","",tblWorkOrders[[#This Row],[Date completed]]-tblWorkOrders[[#This Row],[Date raised]]))))</f>
        <v>9</v>
      </c>
      <c r="V82" s="43">
        <f>IF(tblWorkOrders[[#This Row],[WO no.]]="","",IF(tblWorkOrders[[#This Row],[Open]]=1,MAX(0,tblWorkOrders[[#This Row],[Estimated (h)]]-tblWorkOrders[[#This Row],[Actual (h)]]),0))</f>
        <v>0</v>
      </c>
      <c r="W82" s="44">
        <f>IF(tblWorkOrders[[#This Row],[WO no.]]="","",tblWorkOrders[[#This Row],[Actual (h)]]*LabourRate)</f>
        <v>240</v>
      </c>
      <c r="X82" s="44">
        <f>IF(tblWorkOrders[[#This Row],[WO no.]]="","",tblWorkOrders[[#This Row],[Labour cost]]+tblWorkOrders[[#This Row],[Parts cost]]+tblWorkOrders[[#This Row],[Contractor cost]])</f>
        <v>360</v>
      </c>
      <c r="Y82" s="45" t="str">
        <f>IF(tblWorkOrders[[#This Row],[WO no.]]="","",IF(tblWorkOrders[[#This Row],[Status]]="Cancelled","",IF(tblWorkOrders[[#This Row],[Open]]=0,"Complete",IF(tblWorkOrders[[#This Row],[Due date]]="","",IF(AsOf&gt;tblWorkOrders[[#This Row],[Due date]],"Overdue",IF(tblWorkOrders[[#This Row],[Due date]]-AsOf&lt;=DueSoonDays,"Due soon","OK"))))))</f>
        <v>Complete</v>
      </c>
      <c r="Z82" s="45" t="str">
        <f>IF(tblWorkOrders[[#This Row],[WO no.]]="","",IF(OR(tblWorkOrders[[#This Row],[Status]]&lt;&gt;"Complete",tblWorkOrders[[#This Row],[Date completed]]="",tblWorkOrders[[#This Row],[Due date]]=""),"",IF(tblWorkOrders[[#This Row],[Date completed]]&lt;=tblWorkOrders[[#This Row],[Due date]],"Yes","No")))</f>
        <v>Yes</v>
      </c>
      <c r="AA82" s="42">
        <f>IF(tblWorkOrders[[#This Row],[WO no.]]="","",IF(AND(tblWorkOrders[[#This Row],[Date raised]]&gt;=FFrom,tblWorkOrders[[#This Row],[Date raised]]&lt;=FTo),tblWorkOrders[[#This Row],[Date raised]],""))</f>
        <v>46275</v>
      </c>
      <c r="AB8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3" spans="2:28" x14ac:dyDescent="0.25">
      <c r="B83" s="28" t="s">
        <v>310</v>
      </c>
      <c r="C83" s="29">
        <v>46276</v>
      </c>
      <c r="D83" s="28" t="s">
        <v>114</v>
      </c>
      <c r="E83" s="39" t="s">
        <v>252</v>
      </c>
      <c r="F83" s="28" t="s">
        <v>130</v>
      </c>
      <c r="G83" s="28" t="s">
        <v>145</v>
      </c>
      <c r="H83" s="28" t="s">
        <v>157</v>
      </c>
      <c r="I83" s="28" t="s">
        <v>200</v>
      </c>
      <c r="J83" s="29">
        <v>46279</v>
      </c>
      <c r="K83" s="31">
        <v>4</v>
      </c>
      <c r="L83" s="31">
        <v>5</v>
      </c>
      <c r="M83" s="30">
        <v>220</v>
      </c>
      <c r="N83" s="30">
        <v>0</v>
      </c>
      <c r="O83" s="31">
        <v>0</v>
      </c>
      <c r="P83" s="40" t="str">
        <f>IF(tblWorkOrders[[#This Row],[WO no.]]="","",IFERROR(INDEX(tblAssets[Area],MATCH(tblWorkOrders[[#This Row],[Asset]],tblAssets[Asset ID],0)),""))</f>
        <v>Line 2</v>
      </c>
      <c r="Q83" s="40" t="str">
        <f>IF(tblWorkOrders[[#This Row],[WO no.]]="","",IFERROR(INDEX(tblWorkTypes[Category],MATCH(tblWorkOrders[[#This Row],[Work type]],tblWorkTypes[Work type],0)),""))</f>
        <v>Corrective</v>
      </c>
      <c r="R83" s="41">
        <f>IF(tblWorkOrders[[#This Row],[WO no.]]="","",IFERROR(INDEX(tblPriorities[Target (days)],MATCH(tblWorkOrders[[#This Row],[Priority]],tblPriorities[Priority],0)),""))</f>
        <v>3</v>
      </c>
      <c r="S83" s="42">
        <f>IF(tblWorkOrders[[#This Row],[WO no.]]="","",IF(tblWorkOrders[[#This Row],[Target (days)]]="","",tblWorkOrders[[#This Row],[Date raised]]+tblWorkOrders[[#This Row],[Target (days)]]))</f>
        <v>46279</v>
      </c>
      <c r="T83" s="41">
        <f>IF(tblWorkOrders[[#This Row],[WO no.]]="","",IF(OR(tblWorkOrders[[#This Row],[Status]]="Complete",tblWorkOrders[[#This Row],[Status]]="Cancelled"),0,1))</f>
        <v>0</v>
      </c>
      <c r="U83" s="41">
        <f>IF(tblWorkOrders[[#This Row],[WO no.]]="","",IF(tblWorkOrders[[#This Row],[Status]]="Cancelled","",IF(tblWorkOrders[[#This Row],[Open]]=1,AsOf-tblWorkOrders[[#This Row],[Date raised]],IF(tblWorkOrders[[#This Row],[Date completed]]="","",tblWorkOrders[[#This Row],[Date completed]]-tblWorkOrders[[#This Row],[Date raised]]))))</f>
        <v>3</v>
      </c>
      <c r="V83" s="43">
        <f>IF(tblWorkOrders[[#This Row],[WO no.]]="","",IF(tblWorkOrders[[#This Row],[Open]]=1,MAX(0,tblWorkOrders[[#This Row],[Estimated (h)]]-tblWorkOrders[[#This Row],[Actual (h)]]),0))</f>
        <v>0</v>
      </c>
      <c r="W83" s="44">
        <f>IF(tblWorkOrders[[#This Row],[WO no.]]="","",tblWorkOrders[[#This Row],[Actual (h)]]*LabourRate)</f>
        <v>240</v>
      </c>
      <c r="X83" s="44">
        <f>IF(tblWorkOrders[[#This Row],[WO no.]]="","",tblWorkOrders[[#This Row],[Labour cost]]+tblWorkOrders[[#This Row],[Parts cost]]+tblWorkOrders[[#This Row],[Contractor cost]])</f>
        <v>460</v>
      </c>
      <c r="Y83" s="45" t="str">
        <f>IF(tblWorkOrders[[#This Row],[WO no.]]="","",IF(tblWorkOrders[[#This Row],[Status]]="Cancelled","",IF(tblWorkOrders[[#This Row],[Open]]=0,"Complete",IF(tblWorkOrders[[#This Row],[Due date]]="","",IF(AsOf&gt;tblWorkOrders[[#This Row],[Due date]],"Overdue",IF(tblWorkOrders[[#This Row],[Due date]]-AsOf&lt;=DueSoonDays,"Due soon","OK"))))))</f>
        <v>Complete</v>
      </c>
      <c r="Z83" s="45" t="str">
        <f>IF(tblWorkOrders[[#This Row],[WO no.]]="","",IF(OR(tblWorkOrders[[#This Row],[Status]]&lt;&gt;"Complete",tblWorkOrders[[#This Row],[Date completed]]="",tblWorkOrders[[#This Row],[Due date]]=""),"",IF(tblWorkOrders[[#This Row],[Date completed]]&lt;=tblWorkOrders[[#This Row],[Due date]],"Yes","No")))</f>
        <v>Yes</v>
      </c>
      <c r="AA83" s="42">
        <f>IF(tblWorkOrders[[#This Row],[WO no.]]="","",IF(AND(tblWorkOrders[[#This Row],[Date raised]]&gt;=FFrom,tblWorkOrders[[#This Row],[Date raised]]&lt;=FTo),tblWorkOrders[[#This Row],[Date raised]],""))</f>
        <v>46276</v>
      </c>
      <c r="AB8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4" spans="2:28" x14ac:dyDescent="0.25">
      <c r="B84" s="28" t="s">
        <v>311</v>
      </c>
      <c r="C84" s="29">
        <v>46276</v>
      </c>
      <c r="D84" s="28" t="s">
        <v>104</v>
      </c>
      <c r="E84" s="39" t="s">
        <v>264</v>
      </c>
      <c r="F84" s="28" t="s">
        <v>130</v>
      </c>
      <c r="G84" s="28" t="s">
        <v>145</v>
      </c>
      <c r="H84" s="28" t="s">
        <v>155</v>
      </c>
      <c r="I84" s="28" t="s">
        <v>188</v>
      </c>
      <c r="J84" s="29"/>
      <c r="K84" s="31">
        <v>2</v>
      </c>
      <c r="L84" s="31">
        <v>0</v>
      </c>
      <c r="M84" s="30">
        <v>0</v>
      </c>
      <c r="N84" s="30">
        <v>0</v>
      </c>
      <c r="O84" s="31">
        <v>0</v>
      </c>
      <c r="P84" s="40" t="str">
        <f>IF(tblWorkOrders[[#This Row],[WO no.]]="","",IFERROR(INDEX(tblAssets[Area],MATCH(tblWorkOrders[[#This Row],[Asset]],tblAssets[Asset ID],0)),""))</f>
        <v>Line 1</v>
      </c>
      <c r="Q84" s="40" t="str">
        <f>IF(tblWorkOrders[[#This Row],[WO no.]]="","",IFERROR(INDEX(tblWorkTypes[Category],MATCH(tblWorkOrders[[#This Row],[Work type]],tblWorkTypes[Work type],0)),""))</f>
        <v>Corrective</v>
      </c>
      <c r="R84" s="41">
        <f>IF(tblWorkOrders[[#This Row],[WO no.]]="","",IFERROR(INDEX(tblPriorities[Target (days)],MATCH(tblWorkOrders[[#This Row],[Priority]],tblPriorities[Priority],0)),""))</f>
        <v>3</v>
      </c>
      <c r="S84" s="42">
        <f>IF(tblWorkOrders[[#This Row],[WO no.]]="","",IF(tblWorkOrders[[#This Row],[Target (days)]]="","",tblWorkOrders[[#This Row],[Date raised]]+tblWorkOrders[[#This Row],[Target (days)]]))</f>
        <v>46279</v>
      </c>
      <c r="T84" s="41">
        <f>IF(tblWorkOrders[[#This Row],[WO no.]]="","",IF(OR(tblWorkOrders[[#This Row],[Status]]="Complete",tblWorkOrders[[#This Row],[Status]]="Cancelled"),0,1))</f>
        <v>1</v>
      </c>
      <c r="U84" s="41">
        <f>IF(tblWorkOrders[[#This Row],[WO no.]]="","",IF(tblWorkOrders[[#This Row],[Status]]="Cancelled","",IF(tblWorkOrders[[#This Row],[Open]]=1,AsOf-tblWorkOrders[[#This Row],[Date raised]],IF(tblWorkOrders[[#This Row],[Date completed]]="","",tblWorkOrders[[#This Row],[Date completed]]-tblWorkOrders[[#This Row],[Date raised]]))))</f>
        <v>28</v>
      </c>
      <c r="V84" s="43">
        <f>IF(tblWorkOrders[[#This Row],[WO no.]]="","",IF(tblWorkOrders[[#This Row],[Open]]=1,MAX(0,tblWorkOrders[[#This Row],[Estimated (h)]]-tblWorkOrders[[#This Row],[Actual (h)]]),0))</f>
        <v>2</v>
      </c>
      <c r="W84" s="44">
        <f>IF(tblWorkOrders[[#This Row],[WO no.]]="","",tblWorkOrders[[#This Row],[Actual (h)]]*LabourRate)</f>
        <v>0</v>
      </c>
      <c r="X84" s="44">
        <f>IF(tblWorkOrders[[#This Row],[WO no.]]="","",tblWorkOrders[[#This Row],[Labour cost]]+tblWorkOrders[[#This Row],[Parts cost]]+tblWorkOrders[[#This Row],[Contractor cost]])</f>
        <v>0</v>
      </c>
      <c r="Y84" s="45" t="str">
        <f>IF(tblWorkOrders[[#This Row],[WO no.]]="","",IF(tblWorkOrders[[#This Row],[Status]]="Cancelled","",IF(tblWorkOrders[[#This Row],[Open]]=0,"Complete",IF(tblWorkOrders[[#This Row],[Due date]]="","",IF(AsOf&gt;tblWorkOrders[[#This Row],[Due date]],"Overdue",IF(tblWorkOrders[[#This Row],[Due date]]-AsOf&lt;=DueSoonDays,"Due soon","OK"))))))</f>
        <v>Overdue</v>
      </c>
      <c r="Z84" s="45">
        <f>IF(tblWorkOrders[[#This Row],[WO no.]]="","",IF(OR(tblWorkOrders[[#This Row],[Status]]&lt;&gt;"Complete",tblWorkOrders[[#This Row],[Date completed]]="",tblWorkOrders[[#This Row],[Due date]]=""),"",IF(tblWorkOrders[[#This Row],[Date completed]]&lt;=tblWorkOrders[[#This Row],[Due date]],"Yes","No")))</f>
        <v/>
      </c>
      <c r="AA84" s="42">
        <f>IF(tblWorkOrders[[#This Row],[WO no.]]="","",IF(AND(tblWorkOrders[[#This Row],[Date raised]]&gt;=FFrom,tblWorkOrders[[#This Row],[Date raised]]&lt;=FTo),tblWorkOrders[[#This Row],[Date raised]],""))</f>
        <v>46276</v>
      </c>
      <c r="AB8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5" spans="2:28" x14ac:dyDescent="0.25">
      <c r="B85" s="28" t="s">
        <v>312</v>
      </c>
      <c r="C85" s="29">
        <v>46279</v>
      </c>
      <c r="D85" s="28" t="s">
        <v>107</v>
      </c>
      <c r="E85" s="39" t="s">
        <v>210</v>
      </c>
      <c r="F85" s="28" t="s">
        <v>133</v>
      </c>
      <c r="G85" s="28" t="s">
        <v>147</v>
      </c>
      <c r="H85" s="28" t="s">
        <v>152</v>
      </c>
      <c r="I85" s="28" t="s">
        <v>200</v>
      </c>
      <c r="J85" s="29">
        <v>46282</v>
      </c>
      <c r="K85" s="31">
        <v>2</v>
      </c>
      <c r="L85" s="31">
        <v>2</v>
      </c>
      <c r="M85" s="30">
        <v>40</v>
      </c>
      <c r="N85" s="30">
        <v>0</v>
      </c>
      <c r="O85" s="31">
        <v>0</v>
      </c>
      <c r="P85" s="40" t="str">
        <f>IF(tblWorkOrders[[#This Row],[WO no.]]="","",IFERROR(INDEX(tblAssets[Area],MATCH(tblWorkOrders[[#This Row],[Asset]],tblAssets[Asset ID],0)),""))</f>
        <v>Line 1</v>
      </c>
      <c r="Q85" s="40" t="str">
        <f>IF(tblWorkOrders[[#This Row],[WO no.]]="","",IFERROR(INDEX(tblWorkTypes[Category],MATCH(tblWorkOrders[[#This Row],[Work type]],tblWorkTypes[Work type],0)),""))</f>
        <v>Planned</v>
      </c>
      <c r="R85" s="41">
        <f>IF(tblWorkOrders[[#This Row],[WO no.]]="","",IFERROR(INDEX(tblPriorities[Target (days)],MATCH(tblWorkOrders[[#This Row],[Priority]],tblPriorities[Priority],0)),""))</f>
        <v>14</v>
      </c>
      <c r="S85" s="42">
        <f>IF(tblWorkOrders[[#This Row],[WO no.]]="","",IF(tblWorkOrders[[#This Row],[Target (days)]]="","",tblWorkOrders[[#This Row],[Date raised]]+tblWorkOrders[[#This Row],[Target (days)]]))</f>
        <v>46293</v>
      </c>
      <c r="T85" s="41">
        <f>IF(tblWorkOrders[[#This Row],[WO no.]]="","",IF(OR(tblWorkOrders[[#This Row],[Status]]="Complete",tblWorkOrders[[#This Row],[Status]]="Cancelled"),0,1))</f>
        <v>0</v>
      </c>
      <c r="U85" s="41">
        <f>IF(tblWorkOrders[[#This Row],[WO no.]]="","",IF(tblWorkOrders[[#This Row],[Status]]="Cancelled","",IF(tblWorkOrders[[#This Row],[Open]]=1,AsOf-tblWorkOrders[[#This Row],[Date raised]],IF(tblWorkOrders[[#This Row],[Date completed]]="","",tblWorkOrders[[#This Row],[Date completed]]-tblWorkOrders[[#This Row],[Date raised]]))))</f>
        <v>3</v>
      </c>
      <c r="V85" s="43">
        <f>IF(tblWorkOrders[[#This Row],[WO no.]]="","",IF(tblWorkOrders[[#This Row],[Open]]=1,MAX(0,tblWorkOrders[[#This Row],[Estimated (h)]]-tblWorkOrders[[#This Row],[Actual (h)]]),0))</f>
        <v>0</v>
      </c>
      <c r="W85" s="44">
        <f>IF(tblWorkOrders[[#This Row],[WO no.]]="","",tblWorkOrders[[#This Row],[Actual (h)]]*LabourRate)</f>
        <v>96</v>
      </c>
      <c r="X85" s="44">
        <f>IF(tblWorkOrders[[#This Row],[WO no.]]="","",tblWorkOrders[[#This Row],[Labour cost]]+tblWorkOrders[[#This Row],[Parts cost]]+tblWorkOrders[[#This Row],[Contractor cost]])</f>
        <v>136</v>
      </c>
      <c r="Y85" s="45" t="str">
        <f>IF(tblWorkOrders[[#This Row],[WO no.]]="","",IF(tblWorkOrders[[#This Row],[Status]]="Cancelled","",IF(tblWorkOrders[[#This Row],[Open]]=0,"Complete",IF(tblWorkOrders[[#This Row],[Due date]]="","",IF(AsOf&gt;tblWorkOrders[[#This Row],[Due date]],"Overdue",IF(tblWorkOrders[[#This Row],[Due date]]-AsOf&lt;=DueSoonDays,"Due soon","OK"))))))</f>
        <v>Complete</v>
      </c>
      <c r="Z85" s="45" t="str">
        <f>IF(tblWorkOrders[[#This Row],[WO no.]]="","",IF(OR(tblWorkOrders[[#This Row],[Status]]&lt;&gt;"Complete",tblWorkOrders[[#This Row],[Date completed]]="",tblWorkOrders[[#This Row],[Due date]]=""),"",IF(tblWorkOrders[[#This Row],[Date completed]]&lt;=tblWorkOrders[[#This Row],[Due date]],"Yes","No")))</f>
        <v>Yes</v>
      </c>
      <c r="AA85" s="42">
        <f>IF(tblWorkOrders[[#This Row],[WO no.]]="","",IF(AND(tblWorkOrders[[#This Row],[Date raised]]&gt;=FFrom,tblWorkOrders[[#This Row],[Date raised]]&lt;=FTo),tblWorkOrders[[#This Row],[Date raised]],""))</f>
        <v>46279</v>
      </c>
      <c r="AB8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6" spans="2:28" x14ac:dyDescent="0.25">
      <c r="B86" s="28" t="s">
        <v>313</v>
      </c>
      <c r="C86" s="29">
        <v>46279</v>
      </c>
      <c r="D86" s="28" t="s">
        <v>104</v>
      </c>
      <c r="E86" s="39" t="s">
        <v>212</v>
      </c>
      <c r="F86" s="28" t="s">
        <v>133</v>
      </c>
      <c r="G86" s="28" t="s">
        <v>147</v>
      </c>
      <c r="H86" s="28" t="s">
        <v>155</v>
      </c>
      <c r="I86" s="28" t="s">
        <v>200</v>
      </c>
      <c r="J86" s="29">
        <v>46281</v>
      </c>
      <c r="K86" s="31">
        <v>4</v>
      </c>
      <c r="L86" s="31">
        <v>4.5</v>
      </c>
      <c r="M86" s="30">
        <v>40</v>
      </c>
      <c r="N86" s="30">
        <v>0</v>
      </c>
      <c r="O86" s="31">
        <v>0</v>
      </c>
      <c r="P86" s="40" t="str">
        <f>IF(tblWorkOrders[[#This Row],[WO no.]]="","",IFERROR(INDEX(tblAssets[Area],MATCH(tblWorkOrders[[#This Row],[Asset]],tblAssets[Asset ID],0)),""))</f>
        <v>Line 1</v>
      </c>
      <c r="Q86" s="40" t="str">
        <f>IF(tblWorkOrders[[#This Row],[WO no.]]="","",IFERROR(INDEX(tblWorkTypes[Category],MATCH(tblWorkOrders[[#This Row],[Work type]],tblWorkTypes[Work type],0)),""))</f>
        <v>Planned</v>
      </c>
      <c r="R86" s="41">
        <f>IF(tblWorkOrders[[#This Row],[WO no.]]="","",IFERROR(INDEX(tblPriorities[Target (days)],MATCH(tblWorkOrders[[#This Row],[Priority]],tblPriorities[Priority],0)),""))</f>
        <v>14</v>
      </c>
      <c r="S86" s="42">
        <f>IF(tblWorkOrders[[#This Row],[WO no.]]="","",IF(tblWorkOrders[[#This Row],[Target (days)]]="","",tblWorkOrders[[#This Row],[Date raised]]+tblWorkOrders[[#This Row],[Target (days)]]))</f>
        <v>46293</v>
      </c>
      <c r="T86" s="41">
        <f>IF(tblWorkOrders[[#This Row],[WO no.]]="","",IF(OR(tblWorkOrders[[#This Row],[Status]]="Complete",tblWorkOrders[[#This Row],[Status]]="Cancelled"),0,1))</f>
        <v>0</v>
      </c>
      <c r="U86" s="41">
        <f>IF(tblWorkOrders[[#This Row],[WO no.]]="","",IF(tblWorkOrders[[#This Row],[Status]]="Cancelled","",IF(tblWorkOrders[[#This Row],[Open]]=1,AsOf-tblWorkOrders[[#This Row],[Date raised]],IF(tblWorkOrders[[#This Row],[Date completed]]="","",tblWorkOrders[[#This Row],[Date completed]]-tblWorkOrders[[#This Row],[Date raised]]))))</f>
        <v>2</v>
      </c>
      <c r="V86" s="43">
        <f>IF(tblWorkOrders[[#This Row],[WO no.]]="","",IF(tblWorkOrders[[#This Row],[Open]]=1,MAX(0,tblWorkOrders[[#This Row],[Estimated (h)]]-tblWorkOrders[[#This Row],[Actual (h)]]),0))</f>
        <v>0</v>
      </c>
      <c r="W86" s="44">
        <f>IF(tblWorkOrders[[#This Row],[WO no.]]="","",tblWorkOrders[[#This Row],[Actual (h)]]*LabourRate)</f>
        <v>216</v>
      </c>
      <c r="X86" s="44">
        <f>IF(tblWorkOrders[[#This Row],[WO no.]]="","",tblWorkOrders[[#This Row],[Labour cost]]+tblWorkOrders[[#This Row],[Parts cost]]+tblWorkOrders[[#This Row],[Contractor cost]])</f>
        <v>256</v>
      </c>
      <c r="Y86" s="45" t="str">
        <f>IF(tblWorkOrders[[#This Row],[WO no.]]="","",IF(tblWorkOrders[[#This Row],[Status]]="Cancelled","",IF(tblWorkOrders[[#This Row],[Open]]=0,"Complete",IF(tblWorkOrders[[#This Row],[Due date]]="","",IF(AsOf&gt;tblWorkOrders[[#This Row],[Due date]],"Overdue",IF(tblWorkOrders[[#This Row],[Due date]]-AsOf&lt;=DueSoonDays,"Due soon","OK"))))))</f>
        <v>Complete</v>
      </c>
      <c r="Z86" s="45" t="str">
        <f>IF(tblWorkOrders[[#This Row],[WO no.]]="","",IF(OR(tblWorkOrders[[#This Row],[Status]]&lt;&gt;"Complete",tblWorkOrders[[#This Row],[Date completed]]="",tblWorkOrders[[#This Row],[Due date]]=""),"",IF(tblWorkOrders[[#This Row],[Date completed]]&lt;=tblWorkOrders[[#This Row],[Due date]],"Yes","No")))</f>
        <v>Yes</v>
      </c>
      <c r="AA86" s="42">
        <f>IF(tblWorkOrders[[#This Row],[WO no.]]="","",IF(AND(tblWorkOrders[[#This Row],[Date raised]]&gt;=FFrom,tblWorkOrders[[#This Row],[Date raised]]&lt;=FTo),tblWorkOrders[[#This Row],[Date raised]],""))</f>
        <v>46279</v>
      </c>
      <c r="AB8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7" spans="2:28" x14ac:dyDescent="0.25">
      <c r="B87" s="28" t="s">
        <v>314</v>
      </c>
      <c r="C87" s="29">
        <v>46279</v>
      </c>
      <c r="D87" s="28" t="s">
        <v>111</v>
      </c>
      <c r="E87" s="39" t="s">
        <v>214</v>
      </c>
      <c r="F87" s="28" t="s">
        <v>133</v>
      </c>
      <c r="G87" s="28" t="s">
        <v>147</v>
      </c>
      <c r="H87" s="28" t="s">
        <v>155</v>
      </c>
      <c r="I87" s="28" t="s">
        <v>200</v>
      </c>
      <c r="J87" s="29">
        <v>46279</v>
      </c>
      <c r="K87" s="31">
        <v>3</v>
      </c>
      <c r="L87" s="31">
        <v>2.5</v>
      </c>
      <c r="M87" s="30">
        <v>60</v>
      </c>
      <c r="N87" s="30">
        <v>0</v>
      </c>
      <c r="O87" s="31">
        <v>0</v>
      </c>
      <c r="P87" s="40" t="str">
        <f>IF(tblWorkOrders[[#This Row],[WO no.]]="","",IFERROR(INDEX(tblAssets[Area],MATCH(tblWorkOrders[[#This Row],[Asset]],tblAssets[Asset ID],0)),""))</f>
        <v>Line 2</v>
      </c>
      <c r="Q87" s="40" t="str">
        <f>IF(tblWorkOrders[[#This Row],[WO no.]]="","",IFERROR(INDEX(tblWorkTypes[Category],MATCH(tblWorkOrders[[#This Row],[Work type]],tblWorkTypes[Work type],0)),""))</f>
        <v>Planned</v>
      </c>
      <c r="R87" s="41">
        <f>IF(tblWorkOrders[[#This Row],[WO no.]]="","",IFERROR(INDEX(tblPriorities[Target (days)],MATCH(tblWorkOrders[[#This Row],[Priority]],tblPriorities[Priority],0)),""))</f>
        <v>14</v>
      </c>
      <c r="S87" s="42">
        <f>IF(tblWorkOrders[[#This Row],[WO no.]]="","",IF(tblWorkOrders[[#This Row],[Target (days)]]="","",tblWorkOrders[[#This Row],[Date raised]]+tblWorkOrders[[#This Row],[Target (days)]]))</f>
        <v>46293</v>
      </c>
      <c r="T87" s="41">
        <f>IF(tblWorkOrders[[#This Row],[WO no.]]="","",IF(OR(tblWorkOrders[[#This Row],[Status]]="Complete",tblWorkOrders[[#This Row],[Status]]="Cancelled"),0,1))</f>
        <v>0</v>
      </c>
      <c r="U87" s="41">
        <f>IF(tblWorkOrders[[#This Row],[WO no.]]="","",IF(tblWorkOrders[[#This Row],[Status]]="Cancelled","",IF(tblWorkOrders[[#This Row],[Open]]=1,AsOf-tblWorkOrders[[#This Row],[Date raised]],IF(tblWorkOrders[[#This Row],[Date completed]]="","",tblWorkOrders[[#This Row],[Date completed]]-tblWorkOrders[[#This Row],[Date raised]]))))</f>
        <v>0</v>
      </c>
      <c r="V87" s="43">
        <f>IF(tblWorkOrders[[#This Row],[WO no.]]="","",IF(tblWorkOrders[[#This Row],[Open]]=1,MAX(0,tblWorkOrders[[#This Row],[Estimated (h)]]-tblWorkOrders[[#This Row],[Actual (h)]]),0))</f>
        <v>0</v>
      </c>
      <c r="W87" s="44">
        <f>IF(tblWorkOrders[[#This Row],[WO no.]]="","",tblWorkOrders[[#This Row],[Actual (h)]]*LabourRate)</f>
        <v>120</v>
      </c>
      <c r="X87" s="44">
        <f>IF(tblWorkOrders[[#This Row],[WO no.]]="","",tblWorkOrders[[#This Row],[Labour cost]]+tblWorkOrders[[#This Row],[Parts cost]]+tblWorkOrders[[#This Row],[Contractor cost]])</f>
        <v>180</v>
      </c>
      <c r="Y87" s="45" t="str">
        <f>IF(tblWorkOrders[[#This Row],[WO no.]]="","",IF(tblWorkOrders[[#This Row],[Status]]="Cancelled","",IF(tblWorkOrders[[#This Row],[Open]]=0,"Complete",IF(tblWorkOrders[[#This Row],[Due date]]="","",IF(AsOf&gt;tblWorkOrders[[#This Row],[Due date]],"Overdue",IF(tblWorkOrders[[#This Row],[Due date]]-AsOf&lt;=DueSoonDays,"Due soon","OK"))))))</f>
        <v>Complete</v>
      </c>
      <c r="Z87" s="45" t="str">
        <f>IF(tblWorkOrders[[#This Row],[WO no.]]="","",IF(OR(tblWorkOrders[[#This Row],[Status]]&lt;&gt;"Complete",tblWorkOrders[[#This Row],[Date completed]]="",tblWorkOrders[[#This Row],[Due date]]=""),"",IF(tblWorkOrders[[#This Row],[Date completed]]&lt;=tblWorkOrders[[#This Row],[Due date]],"Yes","No")))</f>
        <v>Yes</v>
      </c>
      <c r="AA87" s="42">
        <f>IF(tblWorkOrders[[#This Row],[WO no.]]="","",IF(AND(tblWorkOrders[[#This Row],[Date raised]]&gt;=FFrom,tblWorkOrders[[#This Row],[Date raised]]&lt;=FTo),tblWorkOrders[[#This Row],[Date raised]],""))</f>
        <v>46279</v>
      </c>
      <c r="AB8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8" spans="2:28" x14ac:dyDescent="0.25">
      <c r="B88" s="28" t="s">
        <v>315</v>
      </c>
      <c r="C88" s="29">
        <v>46279</v>
      </c>
      <c r="D88" s="28" t="s">
        <v>109</v>
      </c>
      <c r="E88" s="39" t="s">
        <v>316</v>
      </c>
      <c r="F88" s="28" t="s">
        <v>138</v>
      </c>
      <c r="G88" s="28" t="s">
        <v>149</v>
      </c>
      <c r="H88" s="28" t="s">
        <v>155</v>
      </c>
      <c r="I88" s="28" t="s">
        <v>195</v>
      </c>
      <c r="J88" s="29"/>
      <c r="K88" s="31">
        <v>8</v>
      </c>
      <c r="L88" s="31">
        <v>4</v>
      </c>
      <c r="M88" s="30">
        <v>0</v>
      </c>
      <c r="N88" s="30">
        <v>0</v>
      </c>
      <c r="O88" s="31">
        <v>0</v>
      </c>
      <c r="P88" s="40" t="str">
        <f>IF(tblWorkOrders[[#This Row],[WO no.]]="","",IFERROR(INDEX(tblAssets[Area],MATCH(tblWorkOrders[[#This Row],[Asset]],tblAssets[Asset ID],0)),""))</f>
        <v>Line 1</v>
      </c>
      <c r="Q88" s="40" t="str">
        <f>IF(tblWorkOrders[[#This Row],[WO no.]]="","",IFERROR(INDEX(tblWorkTypes[Category],MATCH(tblWorkOrders[[#This Row],[Work type]],tblWorkTypes[Work type],0)),""))</f>
        <v>Planned</v>
      </c>
      <c r="R88" s="41">
        <f>IF(tblWorkOrders[[#This Row],[WO no.]]="","",IFERROR(INDEX(tblPriorities[Target (days)],MATCH(tblWorkOrders[[#This Row],[Priority]],tblPriorities[Priority],0)),""))</f>
        <v>45</v>
      </c>
      <c r="S88" s="42">
        <f>IF(tblWorkOrders[[#This Row],[WO no.]]="","",IF(tblWorkOrders[[#This Row],[Target (days)]]="","",tblWorkOrders[[#This Row],[Date raised]]+tblWorkOrders[[#This Row],[Target (days)]]))</f>
        <v>46324</v>
      </c>
      <c r="T88" s="41">
        <f>IF(tblWorkOrders[[#This Row],[WO no.]]="","",IF(OR(tblWorkOrders[[#This Row],[Status]]="Complete",tblWorkOrders[[#This Row],[Status]]="Cancelled"),0,1))</f>
        <v>1</v>
      </c>
      <c r="U88" s="41">
        <f>IF(tblWorkOrders[[#This Row],[WO no.]]="","",IF(tblWorkOrders[[#This Row],[Status]]="Cancelled","",IF(tblWorkOrders[[#This Row],[Open]]=1,AsOf-tblWorkOrders[[#This Row],[Date raised]],IF(tblWorkOrders[[#This Row],[Date completed]]="","",tblWorkOrders[[#This Row],[Date completed]]-tblWorkOrders[[#This Row],[Date raised]]))))</f>
        <v>25</v>
      </c>
      <c r="V88" s="43">
        <f>IF(tblWorkOrders[[#This Row],[WO no.]]="","",IF(tblWorkOrders[[#This Row],[Open]]=1,MAX(0,tblWorkOrders[[#This Row],[Estimated (h)]]-tblWorkOrders[[#This Row],[Actual (h)]]),0))</f>
        <v>4</v>
      </c>
      <c r="W88" s="44">
        <f>IF(tblWorkOrders[[#This Row],[WO no.]]="","",tblWorkOrders[[#This Row],[Actual (h)]]*LabourRate)</f>
        <v>192</v>
      </c>
      <c r="X88" s="44">
        <f>IF(tblWorkOrders[[#This Row],[WO no.]]="","",tblWorkOrders[[#This Row],[Labour cost]]+tblWorkOrders[[#This Row],[Parts cost]]+tblWorkOrders[[#This Row],[Contractor cost]])</f>
        <v>192</v>
      </c>
      <c r="Y88" s="45" t="str">
        <f>IF(tblWorkOrders[[#This Row],[WO no.]]="","",IF(tblWorkOrders[[#This Row],[Status]]="Cancelled","",IF(tblWorkOrders[[#This Row],[Open]]=0,"Complete",IF(tblWorkOrders[[#This Row],[Due date]]="","",IF(AsOf&gt;tblWorkOrders[[#This Row],[Due date]],"Overdue",IF(tblWorkOrders[[#This Row],[Due date]]-AsOf&lt;=DueSoonDays,"Due soon","OK"))))))</f>
        <v>OK</v>
      </c>
      <c r="Z88" s="45">
        <f>IF(tblWorkOrders[[#This Row],[WO no.]]="","",IF(OR(tblWorkOrders[[#This Row],[Status]]&lt;&gt;"Complete",tblWorkOrders[[#This Row],[Date completed]]="",tblWorkOrders[[#This Row],[Due date]]=""),"",IF(tblWorkOrders[[#This Row],[Date completed]]&lt;=tblWorkOrders[[#This Row],[Due date]],"Yes","No")))</f>
        <v/>
      </c>
      <c r="AA88" s="42">
        <f>IF(tblWorkOrders[[#This Row],[WO no.]]="","",IF(AND(tblWorkOrders[[#This Row],[Date raised]]&gt;=FFrom,tblWorkOrders[[#This Row],[Date raised]]&lt;=FTo),tblWorkOrders[[#This Row],[Date raised]],""))</f>
        <v>46279</v>
      </c>
      <c r="AB8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89" spans="2:28" x14ac:dyDescent="0.25">
      <c r="B89" s="28" t="s">
        <v>317</v>
      </c>
      <c r="C89" s="29">
        <v>46279</v>
      </c>
      <c r="D89" s="28" t="s">
        <v>116</v>
      </c>
      <c r="E89" s="39" t="s">
        <v>216</v>
      </c>
      <c r="F89" s="28" t="s">
        <v>133</v>
      </c>
      <c r="G89" s="28" t="s">
        <v>147</v>
      </c>
      <c r="H89" s="28" t="s">
        <v>152</v>
      </c>
      <c r="I89" s="28" t="s">
        <v>200</v>
      </c>
      <c r="J89" s="29">
        <v>46282</v>
      </c>
      <c r="K89" s="31">
        <v>5</v>
      </c>
      <c r="L89" s="31">
        <v>4.5</v>
      </c>
      <c r="M89" s="30">
        <v>0</v>
      </c>
      <c r="N89" s="30">
        <v>0</v>
      </c>
      <c r="O89" s="31">
        <v>0</v>
      </c>
      <c r="P89" s="40" t="str">
        <f>IF(tblWorkOrders[[#This Row],[WO no.]]="","",IFERROR(INDEX(tblAssets[Area],MATCH(tblWorkOrders[[#This Row],[Asset]],tblAssets[Asset ID],0)),""))</f>
        <v>End of line</v>
      </c>
      <c r="Q89" s="40" t="str">
        <f>IF(tblWorkOrders[[#This Row],[WO no.]]="","",IFERROR(INDEX(tblWorkTypes[Category],MATCH(tblWorkOrders[[#This Row],[Work type]],tblWorkTypes[Work type],0)),""))</f>
        <v>Planned</v>
      </c>
      <c r="R89" s="41">
        <f>IF(tblWorkOrders[[#This Row],[WO no.]]="","",IFERROR(INDEX(tblPriorities[Target (days)],MATCH(tblWorkOrders[[#This Row],[Priority]],tblPriorities[Priority],0)),""))</f>
        <v>14</v>
      </c>
      <c r="S89" s="42">
        <f>IF(tblWorkOrders[[#This Row],[WO no.]]="","",IF(tblWorkOrders[[#This Row],[Target (days)]]="","",tblWorkOrders[[#This Row],[Date raised]]+tblWorkOrders[[#This Row],[Target (days)]]))</f>
        <v>46293</v>
      </c>
      <c r="T89" s="41">
        <f>IF(tblWorkOrders[[#This Row],[WO no.]]="","",IF(OR(tblWorkOrders[[#This Row],[Status]]="Complete",tblWorkOrders[[#This Row],[Status]]="Cancelled"),0,1))</f>
        <v>0</v>
      </c>
      <c r="U89" s="41">
        <f>IF(tblWorkOrders[[#This Row],[WO no.]]="","",IF(tblWorkOrders[[#This Row],[Status]]="Cancelled","",IF(tblWorkOrders[[#This Row],[Open]]=1,AsOf-tblWorkOrders[[#This Row],[Date raised]],IF(tblWorkOrders[[#This Row],[Date completed]]="","",tblWorkOrders[[#This Row],[Date completed]]-tblWorkOrders[[#This Row],[Date raised]]))))</f>
        <v>3</v>
      </c>
      <c r="V89" s="43">
        <f>IF(tblWorkOrders[[#This Row],[WO no.]]="","",IF(tblWorkOrders[[#This Row],[Open]]=1,MAX(0,tblWorkOrders[[#This Row],[Estimated (h)]]-tblWorkOrders[[#This Row],[Actual (h)]]),0))</f>
        <v>0</v>
      </c>
      <c r="W89" s="44">
        <f>IF(tblWorkOrders[[#This Row],[WO no.]]="","",tblWorkOrders[[#This Row],[Actual (h)]]*LabourRate)</f>
        <v>216</v>
      </c>
      <c r="X89" s="44">
        <f>IF(tblWorkOrders[[#This Row],[WO no.]]="","",tblWorkOrders[[#This Row],[Labour cost]]+tblWorkOrders[[#This Row],[Parts cost]]+tblWorkOrders[[#This Row],[Contractor cost]])</f>
        <v>216</v>
      </c>
      <c r="Y89" s="45" t="str">
        <f>IF(tblWorkOrders[[#This Row],[WO no.]]="","",IF(tblWorkOrders[[#This Row],[Status]]="Cancelled","",IF(tblWorkOrders[[#This Row],[Open]]=0,"Complete",IF(tblWorkOrders[[#This Row],[Due date]]="","",IF(AsOf&gt;tblWorkOrders[[#This Row],[Due date]],"Overdue",IF(tblWorkOrders[[#This Row],[Due date]]-AsOf&lt;=DueSoonDays,"Due soon","OK"))))))</f>
        <v>Complete</v>
      </c>
      <c r="Z89" s="45" t="str">
        <f>IF(tblWorkOrders[[#This Row],[WO no.]]="","",IF(OR(tblWorkOrders[[#This Row],[Status]]&lt;&gt;"Complete",tblWorkOrders[[#This Row],[Date completed]]="",tblWorkOrders[[#This Row],[Due date]]=""),"",IF(tblWorkOrders[[#This Row],[Date completed]]&lt;=tblWorkOrders[[#This Row],[Due date]],"Yes","No")))</f>
        <v>Yes</v>
      </c>
      <c r="AA89" s="42">
        <f>IF(tblWorkOrders[[#This Row],[WO no.]]="","",IF(AND(tblWorkOrders[[#This Row],[Date raised]]&gt;=FFrom,tblWorkOrders[[#This Row],[Date raised]]&lt;=FTo),tblWorkOrders[[#This Row],[Date raised]],""))</f>
        <v>46279</v>
      </c>
      <c r="AB8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0" spans="2:28" x14ac:dyDescent="0.25">
      <c r="B90" s="28" t="s">
        <v>318</v>
      </c>
      <c r="C90" s="29">
        <v>46280</v>
      </c>
      <c r="D90" s="28" t="s">
        <v>119</v>
      </c>
      <c r="E90" s="39" t="s">
        <v>319</v>
      </c>
      <c r="F90" s="28" t="s">
        <v>127</v>
      </c>
      <c r="G90" s="28" t="s">
        <v>143</v>
      </c>
      <c r="H90" s="28" t="s">
        <v>152</v>
      </c>
      <c r="I90" s="28" t="s">
        <v>200</v>
      </c>
      <c r="J90" s="29">
        <v>46280</v>
      </c>
      <c r="K90" s="31">
        <v>6</v>
      </c>
      <c r="L90" s="31">
        <v>8</v>
      </c>
      <c r="M90" s="30">
        <v>900</v>
      </c>
      <c r="N90" s="30">
        <v>0</v>
      </c>
      <c r="O90" s="31">
        <v>8</v>
      </c>
      <c r="P90" s="40" t="str">
        <f>IF(tblWorkOrders[[#This Row],[WO no.]]="","",IFERROR(INDEX(tblAssets[Area],MATCH(tblWorkOrders[[#This Row],[Asset]],tblAssets[Asset ID],0)),""))</f>
        <v>Utilities</v>
      </c>
      <c r="Q90" s="40" t="str">
        <f>IF(tblWorkOrders[[#This Row],[WO no.]]="","",IFERROR(INDEX(tblWorkTypes[Category],MATCH(tblWorkOrders[[#This Row],[Work type]],tblWorkTypes[Work type],0)),""))</f>
        <v>Emergency</v>
      </c>
      <c r="R90" s="41">
        <f>IF(tblWorkOrders[[#This Row],[WO no.]]="","",IFERROR(INDEX(tblPriorities[Target (days)],MATCH(tblWorkOrders[[#This Row],[Priority]],tblPriorities[Priority],0)),""))</f>
        <v>1</v>
      </c>
      <c r="S90" s="42">
        <f>IF(tblWorkOrders[[#This Row],[WO no.]]="","",IF(tblWorkOrders[[#This Row],[Target (days)]]="","",tblWorkOrders[[#This Row],[Date raised]]+tblWorkOrders[[#This Row],[Target (days)]]))</f>
        <v>46281</v>
      </c>
      <c r="T90" s="41">
        <f>IF(tblWorkOrders[[#This Row],[WO no.]]="","",IF(OR(tblWorkOrders[[#This Row],[Status]]="Complete",tblWorkOrders[[#This Row],[Status]]="Cancelled"),0,1))</f>
        <v>0</v>
      </c>
      <c r="U90" s="41">
        <f>IF(tblWorkOrders[[#This Row],[WO no.]]="","",IF(tblWorkOrders[[#This Row],[Status]]="Cancelled","",IF(tblWorkOrders[[#This Row],[Open]]=1,AsOf-tblWorkOrders[[#This Row],[Date raised]],IF(tblWorkOrders[[#This Row],[Date completed]]="","",tblWorkOrders[[#This Row],[Date completed]]-tblWorkOrders[[#This Row],[Date raised]]))))</f>
        <v>0</v>
      </c>
      <c r="V90" s="43">
        <f>IF(tblWorkOrders[[#This Row],[WO no.]]="","",IF(tblWorkOrders[[#This Row],[Open]]=1,MAX(0,tblWorkOrders[[#This Row],[Estimated (h)]]-tblWorkOrders[[#This Row],[Actual (h)]]),0))</f>
        <v>0</v>
      </c>
      <c r="W90" s="44">
        <f>IF(tblWorkOrders[[#This Row],[WO no.]]="","",tblWorkOrders[[#This Row],[Actual (h)]]*LabourRate)</f>
        <v>384</v>
      </c>
      <c r="X90" s="44">
        <f>IF(tblWorkOrders[[#This Row],[WO no.]]="","",tblWorkOrders[[#This Row],[Labour cost]]+tblWorkOrders[[#This Row],[Parts cost]]+tblWorkOrders[[#This Row],[Contractor cost]])</f>
        <v>1284</v>
      </c>
      <c r="Y90" s="45" t="str">
        <f>IF(tblWorkOrders[[#This Row],[WO no.]]="","",IF(tblWorkOrders[[#This Row],[Status]]="Cancelled","",IF(tblWorkOrders[[#This Row],[Open]]=0,"Complete",IF(tblWorkOrders[[#This Row],[Due date]]="","",IF(AsOf&gt;tblWorkOrders[[#This Row],[Due date]],"Overdue",IF(tblWorkOrders[[#This Row],[Due date]]-AsOf&lt;=DueSoonDays,"Due soon","OK"))))))</f>
        <v>Complete</v>
      </c>
      <c r="Z90" s="45" t="str">
        <f>IF(tblWorkOrders[[#This Row],[WO no.]]="","",IF(OR(tblWorkOrders[[#This Row],[Status]]&lt;&gt;"Complete",tblWorkOrders[[#This Row],[Date completed]]="",tblWorkOrders[[#This Row],[Due date]]=""),"",IF(tblWorkOrders[[#This Row],[Date completed]]&lt;=tblWorkOrders[[#This Row],[Due date]],"Yes","No")))</f>
        <v>Yes</v>
      </c>
      <c r="AA90" s="42">
        <f>IF(tblWorkOrders[[#This Row],[WO no.]]="","",IF(AND(tblWorkOrders[[#This Row],[Date raised]]&gt;=FFrom,tblWorkOrders[[#This Row],[Date raised]]&lt;=FTo),tblWorkOrders[[#This Row],[Date raised]],""))</f>
        <v>46280</v>
      </c>
      <c r="AB9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1" spans="2:28" x14ac:dyDescent="0.25">
      <c r="B91" s="28" t="s">
        <v>320</v>
      </c>
      <c r="C91" s="29">
        <v>46280</v>
      </c>
      <c r="D91" s="28" t="s">
        <v>109</v>
      </c>
      <c r="E91" s="39" t="s">
        <v>305</v>
      </c>
      <c r="F91" s="28" t="s">
        <v>130</v>
      </c>
      <c r="G91" s="28" t="s">
        <v>147</v>
      </c>
      <c r="H91" s="28" t="s">
        <v>152</v>
      </c>
      <c r="I91" s="28" t="s">
        <v>200</v>
      </c>
      <c r="J91" s="29">
        <v>46293</v>
      </c>
      <c r="K91" s="31">
        <v>12</v>
      </c>
      <c r="L91" s="31">
        <v>13</v>
      </c>
      <c r="M91" s="30">
        <v>150</v>
      </c>
      <c r="N91" s="30">
        <v>0</v>
      </c>
      <c r="O91" s="31">
        <v>0</v>
      </c>
      <c r="P91" s="40" t="str">
        <f>IF(tblWorkOrders[[#This Row],[WO no.]]="","",IFERROR(INDEX(tblAssets[Area],MATCH(tblWorkOrders[[#This Row],[Asset]],tblAssets[Asset ID],0)),""))</f>
        <v>Line 1</v>
      </c>
      <c r="Q91" s="40" t="str">
        <f>IF(tblWorkOrders[[#This Row],[WO no.]]="","",IFERROR(INDEX(tblWorkTypes[Category],MATCH(tblWorkOrders[[#This Row],[Work type]],tblWorkTypes[Work type],0)),""))</f>
        <v>Corrective</v>
      </c>
      <c r="R91" s="41">
        <f>IF(tblWorkOrders[[#This Row],[WO no.]]="","",IFERROR(INDEX(tblPriorities[Target (days)],MATCH(tblWorkOrders[[#This Row],[Priority]],tblPriorities[Priority],0)),""))</f>
        <v>14</v>
      </c>
      <c r="S91" s="42">
        <f>IF(tblWorkOrders[[#This Row],[WO no.]]="","",IF(tblWorkOrders[[#This Row],[Target (days)]]="","",tblWorkOrders[[#This Row],[Date raised]]+tblWorkOrders[[#This Row],[Target (days)]]))</f>
        <v>46294</v>
      </c>
      <c r="T91" s="41">
        <f>IF(tblWorkOrders[[#This Row],[WO no.]]="","",IF(OR(tblWorkOrders[[#This Row],[Status]]="Complete",tblWorkOrders[[#This Row],[Status]]="Cancelled"),0,1))</f>
        <v>0</v>
      </c>
      <c r="U91" s="41">
        <f>IF(tblWorkOrders[[#This Row],[WO no.]]="","",IF(tblWorkOrders[[#This Row],[Status]]="Cancelled","",IF(tblWorkOrders[[#This Row],[Open]]=1,AsOf-tblWorkOrders[[#This Row],[Date raised]],IF(tblWorkOrders[[#This Row],[Date completed]]="","",tblWorkOrders[[#This Row],[Date completed]]-tblWorkOrders[[#This Row],[Date raised]]))))</f>
        <v>13</v>
      </c>
      <c r="V91" s="43">
        <f>IF(tblWorkOrders[[#This Row],[WO no.]]="","",IF(tblWorkOrders[[#This Row],[Open]]=1,MAX(0,tblWorkOrders[[#This Row],[Estimated (h)]]-tblWorkOrders[[#This Row],[Actual (h)]]),0))</f>
        <v>0</v>
      </c>
      <c r="W91" s="44">
        <f>IF(tblWorkOrders[[#This Row],[WO no.]]="","",tblWorkOrders[[#This Row],[Actual (h)]]*LabourRate)</f>
        <v>624</v>
      </c>
      <c r="X91" s="44">
        <f>IF(tblWorkOrders[[#This Row],[WO no.]]="","",tblWorkOrders[[#This Row],[Labour cost]]+tblWorkOrders[[#This Row],[Parts cost]]+tblWorkOrders[[#This Row],[Contractor cost]])</f>
        <v>774</v>
      </c>
      <c r="Y91" s="45" t="str">
        <f>IF(tblWorkOrders[[#This Row],[WO no.]]="","",IF(tblWorkOrders[[#This Row],[Status]]="Cancelled","",IF(tblWorkOrders[[#This Row],[Open]]=0,"Complete",IF(tblWorkOrders[[#This Row],[Due date]]="","",IF(AsOf&gt;tblWorkOrders[[#This Row],[Due date]],"Overdue",IF(tblWorkOrders[[#This Row],[Due date]]-AsOf&lt;=DueSoonDays,"Due soon","OK"))))))</f>
        <v>Complete</v>
      </c>
      <c r="Z91" s="45" t="str">
        <f>IF(tblWorkOrders[[#This Row],[WO no.]]="","",IF(OR(tblWorkOrders[[#This Row],[Status]]&lt;&gt;"Complete",tblWorkOrders[[#This Row],[Date completed]]="",tblWorkOrders[[#This Row],[Due date]]=""),"",IF(tblWorkOrders[[#This Row],[Date completed]]&lt;=tblWorkOrders[[#This Row],[Due date]],"Yes","No")))</f>
        <v>Yes</v>
      </c>
      <c r="AA91" s="42">
        <f>IF(tblWorkOrders[[#This Row],[WO no.]]="","",IF(AND(tblWorkOrders[[#This Row],[Date raised]]&gt;=FFrom,tblWorkOrders[[#This Row],[Date raised]]&lt;=FTo),tblWorkOrders[[#This Row],[Date raised]],""))</f>
        <v>46280</v>
      </c>
      <c r="AB9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2" spans="2:28" x14ac:dyDescent="0.25">
      <c r="B92" s="28" t="s">
        <v>321</v>
      </c>
      <c r="C92" s="29">
        <v>46281</v>
      </c>
      <c r="D92" s="28" t="s">
        <v>119</v>
      </c>
      <c r="E92" s="39" t="s">
        <v>224</v>
      </c>
      <c r="F92" s="28" t="s">
        <v>136</v>
      </c>
      <c r="G92" s="28" t="s">
        <v>147</v>
      </c>
      <c r="H92" s="28" t="s">
        <v>159</v>
      </c>
      <c r="I92" s="28" t="s">
        <v>200</v>
      </c>
      <c r="J92" s="29">
        <v>46282</v>
      </c>
      <c r="K92" s="31">
        <v>6</v>
      </c>
      <c r="L92" s="31">
        <v>6</v>
      </c>
      <c r="M92" s="30">
        <v>0</v>
      </c>
      <c r="N92" s="30">
        <v>0</v>
      </c>
      <c r="O92" s="31">
        <v>0</v>
      </c>
      <c r="P92" s="40" t="str">
        <f>IF(tblWorkOrders[[#This Row],[WO no.]]="","",IFERROR(INDEX(tblAssets[Area],MATCH(tblWorkOrders[[#This Row],[Asset]],tblAssets[Asset ID],0)),""))</f>
        <v>Utilities</v>
      </c>
      <c r="Q92" s="40" t="str">
        <f>IF(tblWorkOrders[[#This Row],[WO no.]]="","",IFERROR(INDEX(tblWorkTypes[Category],MATCH(tblWorkOrders[[#This Row],[Work type]],tblWorkTypes[Work type],0)),""))</f>
        <v>Planned</v>
      </c>
      <c r="R92" s="41">
        <f>IF(tblWorkOrders[[#This Row],[WO no.]]="","",IFERROR(INDEX(tblPriorities[Target (days)],MATCH(tblWorkOrders[[#This Row],[Priority]],tblPriorities[Priority],0)),""))</f>
        <v>14</v>
      </c>
      <c r="S92" s="42">
        <f>IF(tblWorkOrders[[#This Row],[WO no.]]="","",IF(tblWorkOrders[[#This Row],[Target (days)]]="","",tblWorkOrders[[#This Row],[Date raised]]+tblWorkOrders[[#This Row],[Target (days)]]))</f>
        <v>46295</v>
      </c>
      <c r="T92" s="41">
        <f>IF(tblWorkOrders[[#This Row],[WO no.]]="","",IF(OR(tblWorkOrders[[#This Row],[Status]]="Complete",tblWorkOrders[[#This Row],[Status]]="Cancelled"),0,1))</f>
        <v>0</v>
      </c>
      <c r="U92" s="41">
        <f>IF(tblWorkOrders[[#This Row],[WO no.]]="","",IF(tblWorkOrders[[#This Row],[Status]]="Cancelled","",IF(tblWorkOrders[[#This Row],[Open]]=1,AsOf-tblWorkOrders[[#This Row],[Date raised]],IF(tblWorkOrders[[#This Row],[Date completed]]="","",tblWorkOrders[[#This Row],[Date completed]]-tblWorkOrders[[#This Row],[Date raised]]))))</f>
        <v>1</v>
      </c>
      <c r="V92" s="43">
        <f>IF(tblWorkOrders[[#This Row],[WO no.]]="","",IF(tblWorkOrders[[#This Row],[Open]]=1,MAX(0,tblWorkOrders[[#This Row],[Estimated (h)]]-tblWorkOrders[[#This Row],[Actual (h)]]),0))</f>
        <v>0</v>
      </c>
      <c r="W92" s="44">
        <f>IF(tblWorkOrders[[#This Row],[WO no.]]="","",tblWorkOrders[[#This Row],[Actual (h)]]*LabourRate)</f>
        <v>288</v>
      </c>
      <c r="X92" s="44">
        <f>IF(tblWorkOrders[[#This Row],[WO no.]]="","",tblWorkOrders[[#This Row],[Labour cost]]+tblWorkOrders[[#This Row],[Parts cost]]+tblWorkOrders[[#This Row],[Contractor cost]])</f>
        <v>288</v>
      </c>
      <c r="Y92" s="45" t="str">
        <f>IF(tblWorkOrders[[#This Row],[WO no.]]="","",IF(tblWorkOrders[[#This Row],[Status]]="Cancelled","",IF(tblWorkOrders[[#This Row],[Open]]=0,"Complete",IF(tblWorkOrders[[#This Row],[Due date]]="","",IF(AsOf&gt;tblWorkOrders[[#This Row],[Due date]],"Overdue",IF(tblWorkOrders[[#This Row],[Due date]]-AsOf&lt;=DueSoonDays,"Due soon","OK"))))))</f>
        <v>Complete</v>
      </c>
      <c r="Z92" s="45" t="str">
        <f>IF(tblWorkOrders[[#This Row],[WO no.]]="","",IF(OR(tblWorkOrders[[#This Row],[Status]]&lt;&gt;"Complete",tblWorkOrders[[#This Row],[Date completed]]="",tblWorkOrders[[#This Row],[Due date]]=""),"",IF(tblWorkOrders[[#This Row],[Date completed]]&lt;=tblWorkOrders[[#This Row],[Due date]],"Yes","No")))</f>
        <v>Yes</v>
      </c>
      <c r="AA92" s="42">
        <f>IF(tblWorkOrders[[#This Row],[WO no.]]="","",IF(AND(tblWorkOrders[[#This Row],[Date raised]]&gt;=FFrom,tblWorkOrders[[#This Row],[Date raised]]&lt;=FTo),tblWorkOrders[[#This Row],[Date raised]],""))</f>
        <v>46281</v>
      </c>
      <c r="AB9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3" spans="2:28" x14ac:dyDescent="0.25">
      <c r="B93" s="28" t="s">
        <v>322</v>
      </c>
      <c r="C93" s="29">
        <v>46281</v>
      </c>
      <c r="D93" s="28" t="s">
        <v>97</v>
      </c>
      <c r="E93" s="39" t="s">
        <v>256</v>
      </c>
      <c r="F93" s="28" t="s">
        <v>130</v>
      </c>
      <c r="G93" s="28" t="s">
        <v>145</v>
      </c>
      <c r="H93" s="28" t="s">
        <v>159</v>
      </c>
      <c r="I93" s="28" t="s">
        <v>200</v>
      </c>
      <c r="J93" s="29">
        <v>46283</v>
      </c>
      <c r="K93" s="31">
        <v>12</v>
      </c>
      <c r="L93" s="31">
        <v>13</v>
      </c>
      <c r="M93" s="30">
        <v>150</v>
      </c>
      <c r="N93" s="30">
        <v>0</v>
      </c>
      <c r="O93" s="31">
        <v>0</v>
      </c>
      <c r="P93" s="40" t="str">
        <f>IF(tblWorkOrders[[#This Row],[WO no.]]="","",IFERROR(INDEX(tblAssets[Area],MATCH(tblWorkOrders[[#This Row],[Asset]],tblAssets[Asset ID],0)),""))</f>
        <v>Processing</v>
      </c>
      <c r="Q93" s="40" t="str">
        <f>IF(tblWorkOrders[[#This Row],[WO no.]]="","",IFERROR(INDEX(tblWorkTypes[Category],MATCH(tblWorkOrders[[#This Row],[Work type]],tblWorkTypes[Work type],0)),""))</f>
        <v>Corrective</v>
      </c>
      <c r="R93" s="41">
        <f>IF(tblWorkOrders[[#This Row],[WO no.]]="","",IFERROR(INDEX(tblPriorities[Target (days)],MATCH(tblWorkOrders[[#This Row],[Priority]],tblPriorities[Priority],0)),""))</f>
        <v>3</v>
      </c>
      <c r="S93" s="42">
        <f>IF(tblWorkOrders[[#This Row],[WO no.]]="","",IF(tblWorkOrders[[#This Row],[Target (days)]]="","",tblWorkOrders[[#This Row],[Date raised]]+tblWorkOrders[[#This Row],[Target (days)]]))</f>
        <v>46284</v>
      </c>
      <c r="T93" s="41">
        <f>IF(tblWorkOrders[[#This Row],[WO no.]]="","",IF(OR(tblWorkOrders[[#This Row],[Status]]="Complete",tblWorkOrders[[#This Row],[Status]]="Cancelled"),0,1))</f>
        <v>0</v>
      </c>
      <c r="U93" s="41">
        <f>IF(tblWorkOrders[[#This Row],[WO no.]]="","",IF(tblWorkOrders[[#This Row],[Status]]="Cancelled","",IF(tblWorkOrders[[#This Row],[Open]]=1,AsOf-tblWorkOrders[[#This Row],[Date raised]],IF(tblWorkOrders[[#This Row],[Date completed]]="","",tblWorkOrders[[#This Row],[Date completed]]-tblWorkOrders[[#This Row],[Date raised]]))))</f>
        <v>2</v>
      </c>
      <c r="V93" s="43">
        <f>IF(tblWorkOrders[[#This Row],[WO no.]]="","",IF(tblWorkOrders[[#This Row],[Open]]=1,MAX(0,tblWorkOrders[[#This Row],[Estimated (h)]]-tblWorkOrders[[#This Row],[Actual (h)]]),0))</f>
        <v>0</v>
      </c>
      <c r="W93" s="44">
        <f>IF(tblWorkOrders[[#This Row],[WO no.]]="","",tblWorkOrders[[#This Row],[Actual (h)]]*LabourRate)</f>
        <v>624</v>
      </c>
      <c r="X93" s="44">
        <f>IF(tblWorkOrders[[#This Row],[WO no.]]="","",tblWorkOrders[[#This Row],[Labour cost]]+tblWorkOrders[[#This Row],[Parts cost]]+tblWorkOrders[[#This Row],[Contractor cost]])</f>
        <v>774</v>
      </c>
      <c r="Y93" s="45" t="str">
        <f>IF(tblWorkOrders[[#This Row],[WO no.]]="","",IF(tblWorkOrders[[#This Row],[Status]]="Cancelled","",IF(tblWorkOrders[[#This Row],[Open]]=0,"Complete",IF(tblWorkOrders[[#This Row],[Due date]]="","",IF(AsOf&gt;tblWorkOrders[[#This Row],[Due date]],"Overdue",IF(tblWorkOrders[[#This Row],[Due date]]-AsOf&lt;=DueSoonDays,"Due soon","OK"))))))</f>
        <v>Complete</v>
      </c>
      <c r="Z93" s="45" t="str">
        <f>IF(tblWorkOrders[[#This Row],[WO no.]]="","",IF(OR(tblWorkOrders[[#This Row],[Status]]&lt;&gt;"Complete",tblWorkOrders[[#This Row],[Date completed]]="",tblWorkOrders[[#This Row],[Due date]]=""),"",IF(tblWorkOrders[[#This Row],[Date completed]]&lt;=tblWorkOrders[[#This Row],[Due date]],"Yes","No")))</f>
        <v>Yes</v>
      </c>
      <c r="AA93" s="42">
        <f>IF(tblWorkOrders[[#This Row],[WO no.]]="","",IF(AND(tblWorkOrders[[#This Row],[Date raised]]&gt;=FFrom,tblWorkOrders[[#This Row],[Date raised]]&lt;=FTo),tblWorkOrders[[#This Row],[Date raised]],""))</f>
        <v>46281</v>
      </c>
      <c r="AB9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4" spans="2:28" x14ac:dyDescent="0.25">
      <c r="B94" s="28" t="s">
        <v>323</v>
      </c>
      <c r="C94" s="29">
        <v>46282</v>
      </c>
      <c r="D94" s="28" t="s">
        <v>97</v>
      </c>
      <c r="E94" s="39" t="s">
        <v>256</v>
      </c>
      <c r="F94" s="28" t="s">
        <v>130</v>
      </c>
      <c r="G94" s="28" t="s">
        <v>147</v>
      </c>
      <c r="H94" s="28" t="s">
        <v>159</v>
      </c>
      <c r="I94" s="28" t="s">
        <v>200</v>
      </c>
      <c r="J94" s="29">
        <v>46291</v>
      </c>
      <c r="K94" s="31">
        <v>4</v>
      </c>
      <c r="L94" s="31">
        <v>3.5</v>
      </c>
      <c r="M94" s="30">
        <v>0</v>
      </c>
      <c r="N94" s="30">
        <v>0</v>
      </c>
      <c r="O94" s="31">
        <v>0</v>
      </c>
      <c r="P94" s="40" t="str">
        <f>IF(tblWorkOrders[[#This Row],[WO no.]]="","",IFERROR(INDEX(tblAssets[Area],MATCH(tblWorkOrders[[#This Row],[Asset]],tblAssets[Asset ID],0)),""))</f>
        <v>Processing</v>
      </c>
      <c r="Q94" s="40" t="str">
        <f>IF(tblWorkOrders[[#This Row],[WO no.]]="","",IFERROR(INDEX(tblWorkTypes[Category],MATCH(tblWorkOrders[[#This Row],[Work type]],tblWorkTypes[Work type],0)),""))</f>
        <v>Corrective</v>
      </c>
      <c r="R94" s="41">
        <f>IF(tblWorkOrders[[#This Row],[WO no.]]="","",IFERROR(INDEX(tblPriorities[Target (days)],MATCH(tblWorkOrders[[#This Row],[Priority]],tblPriorities[Priority],0)),""))</f>
        <v>14</v>
      </c>
      <c r="S94" s="42">
        <f>IF(tblWorkOrders[[#This Row],[WO no.]]="","",IF(tblWorkOrders[[#This Row],[Target (days)]]="","",tblWorkOrders[[#This Row],[Date raised]]+tblWorkOrders[[#This Row],[Target (days)]]))</f>
        <v>46296</v>
      </c>
      <c r="T94" s="41">
        <f>IF(tblWorkOrders[[#This Row],[WO no.]]="","",IF(OR(tblWorkOrders[[#This Row],[Status]]="Complete",tblWorkOrders[[#This Row],[Status]]="Cancelled"),0,1))</f>
        <v>0</v>
      </c>
      <c r="U94" s="41">
        <f>IF(tblWorkOrders[[#This Row],[WO no.]]="","",IF(tblWorkOrders[[#This Row],[Status]]="Cancelled","",IF(tblWorkOrders[[#This Row],[Open]]=1,AsOf-tblWorkOrders[[#This Row],[Date raised]],IF(tblWorkOrders[[#This Row],[Date completed]]="","",tblWorkOrders[[#This Row],[Date completed]]-tblWorkOrders[[#This Row],[Date raised]]))))</f>
        <v>9</v>
      </c>
      <c r="V94" s="43">
        <f>IF(tblWorkOrders[[#This Row],[WO no.]]="","",IF(tblWorkOrders[[#This Row],[Open]]=1,MAX(0,tblWorkOrders[[#This Row],[Estimated (h)]]-tblWorkOrders[[#This Row],[Actual (h)]]),0))</f>
        <v>0</v>
      </c>
      <c r="W94" s="44">
        <f>IF(tblWorkOrders[[#This Row],[WO no.]]="","",tblWorkOrders[[#This Row],[Actual (h)]]*LabourRate)</f>
        <v>168</v>
      </c>
      <c r="X94" s="44">
        <f>IF(tblWorkOrders[[#This Row],[WO no.]]="","",tblWorkOrders[[#This Row],[Labour cost]]+tblWorkOrders[[#This Row],[Parts cost]]+tblWorkOrders[[#This Row],[Contractor cost]])</f>
        <v>168</v>
      </c>
      <c r="Y94" s="45" t="str">
        <f>IF(tblWorkOrders[[#This Row],[WO no.]]="","",IF(tblWorkOrders[[#This Row],[Status]]="Cancelled","",IF(tblWorkOrders[[#This Row],[Open]]=0,"Complete",IF(tblWorkOrders[[#This Row],[Due date]]="","",IF(AsOf&gt;tblWorkOrders[[#This Row],[Due date]],"Overdue",IF(tblWorkOrders[[#This Row],[Due date]]-AsOf&lt;=DueSoonDays,"Due soon","OK"))))))</f>
        <v>Complete</v>
      </c>
      <c r="Z94" s="45" t="str">
        <f>IF(tblWorkOrders[[#This Row],[WO no.]]="","",IF(OR(tblWorkOrders[[#This Row],[Status]]&lt;&gt;"Complete",tblWorkOrders[[#This Row],[Date completed]]="",tblWorkOrders[[#This Row],[Due date]]=""),"",IF(tblWorkOrders[[#This Row],[Date completed]]&lt;=tblWorkOrders[[#This Row],[Due date]],"Yes","No")))</f>
        <v>Yes</v>
      </c>
      <c r="AA94" s="42">
        <f>IF(tblWorkOrders[[#This Row],[WO no.]]="","",IF(AND(tblWorkOrders[[#This Row],[Date raised]]&gt;=FFrom,tblWorkOrders[[#This Row],[Date raised]]&lt;=FTo),tblWorkOrders[[#This Row],[Date raised]],""))</f>
        <v>46282</v>
      </c>
      <c r="AB9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5" spans="2:28" x14ac:dyDescent="0.25">
      <c r="B95" s="28" t="s">
        <v>324</v>
      </c>
      <c r="C95" s="29">
        <v>46283</v>
      </c>
      <c r="D95" s="28" t="s">
        <v>104</v>
      </c>
      <c r="E95" s="39" t="s">
        <v>325</v>
      </c>
      <c r="F95" s="28" t="s">
        <v>127</v>
      </c>
      <c r="G95" s="28" t="s">
        <v>143</v>
      </c>
      <c r="H95" s="28" t="s">
        <v>155</v>
      </c>
      <c r="I95" s="28" t="s">
        <v>200</v>
      </c>
      <c r="J95" s="29">
        <v>46283</v>
      </c>
      <c r="K95" s="31">
        <v>2</v>
      </c>
      <c r="L95" s="31">
        <v>3</v>
      </c>
      <c r="M95" s="30">
        <v>0</v>
      </c>
      <c r="N95" s="30">
        <v>0</v>
      </c>
      <c r="O95" s="31">
        <v>2</v>
      </c>
      <c r="P95" s="40" t="str">
        <f>IF(tblWorkOrders[[#This Row],[WO no.]]="","",IFERROR(INDEX(tblAssets[Area],MATCH(tblWorkOrders[[#This Row],[Asset]],tblAssets[Asset ID],0)),""))</f>
        <v>Line 1</v>
      </c>
      <c r="Q95" s="40" t="str">
        <f>IF(tblWorkOrders[[#This Row],[WO no.]]="","",IFERROR(INDEX(tblWorkTypes[Category],MATCH(tblWorkOrders[[#This Row],[Work type]],tblWorkTypes[Work type],0)),""))</f>
        <v>Emergency</v>
      </c>
      <c r="R95" s="41">
        <f>IF(tblWorkOrders[[#This Row],[WO no.]]="","",IFERROR(INDEX(tblPriorities[Target (days)],MATCH(tblWorkOrders[[#This Row],[Priority]],tblPriorities[Priority],0)),""))</f>
        <v>1</v>
      </c>
      <c r="S95" s="42">
        <f>IF(tblWorkOrders[[#This Row],[WO no.]]="","",IF(tblWorkOrders[[#This Row],[Target (days)]]="","",tblWorkOrders[[#This Row],[Date raised]]+tblWorkOrders[[#This Row],[Target (days)]]))</f>
        <v>46284</v>
      </c>
      <c r="T95" s="41">
        <f>IF(tblWorkOrders[[#This Row],[WO no.]]="","",IF(OR(tblWorkOrders[[#This Row],[Status]]="Complete",tblWorkOrders[[#This Row],[Status]]="Cancelled"),0,1))</f>
        <v>0</v>
      </c>
      <c r="U95" s="41">
        <f>IF(tblWorkOrders[[#This Row],[WO no.]]="","",IF(tblWorkOrders[[#This Row],[Status]]="Cancelled","",IF(tblWorkOrders[[#This Row],[Open]]=1,AsOf-tblWorkOrders[[#This Row],[Date raised]],IF(tblWorkOrders[[#This Row],[Date completed]]="","",tblWorkOrders[[#This Row],[Date completed]]-tblWorkOrders[[#This Row],[Date raised]]))))</f>
        <v>0</v>
      </c>
      <c r="V95" s="43">
        <f>IF(tblWorkOrders[[#This Row],[WO no.]]="","",IF(tblWorkOrders[[#This Row],[Open]]=1,MAX(0,tblWorkOrders[[#This Row],[Estimated (h)]]-tblWorkOrders[[#This Row],[Actual (h)]]),0))</f>
        <v>0</v>
      </c>
      <c r="W95" s="44">
        <f>IF(tblWorkOrders[[#This Row],[WO no.]]="","",tblWorkOrders[[#This Row],[Actual (h)]]*LabourRate)</f>
        <v>144</v>
      </c>
      <c r="X95" s="44">
        <f>IF(tblWorkOrders[[#This Row],[WO no.]]="","",tblWorkOrders[[#This Row],[Labour cost]]+tblWorkOrders[[#This Row],[Parts cost]]+tblWorkOrders[[#This Row],[Contractor cost]])</f>
        <v>144</v>
      </c>
      <c r="Y95" s="45" t="str">
        <f>IF(tblWorkOrders[[#This Row],[WO no.]]="","",IF(tblWorkOrders[[#This Row],[Status]]="Cancelled","",IF(tblWorkOrders[[#This Row],[Open]]=0,"Complete",IF(tblWorkOrders[[#This Row],[Due date]]="","",IF(AsOf&gt;tblWorkOrders[[#This Row],[Due date]],"Overdue",IF(tblWorkOrders[[#This Row],[Due date]]-AsOf&lt;=DueSoonDays,"Due soon","OK"))))))</f>
        <v>Complete</v>
      </c>
      <c r="Z95" s="45" t="str">
        <f>IF(tblWorkOrders[[#This Row],[WO no.]]="","",IF(OR(tblWorkOrders[[#This Row],[Status]]&lt;&gt;"Complete",tblWorkOrders[[#This Row],[Date completed]]="",tblWorkOrders[[#This Row],[Due date]]=""),"",IF(tblWorkOrders[[#This Row],[Date completed]]&lt;=tblWorkOrders[[#This Row],[Due date]],"Yes","No")))</f>
        <v>Yes</v>
      </c>
      <c r="AA95" s="42">
        <f>IF(tblWorkOrders[[#This Row],[WO no.]]="","",IF(AND(tblWorkOrders[[#This Row],[Date raised]]&gt;=FFrom,tblWorkOrders[[#This Row],[Date raised]]&lt;=FTo),tblWorkOrders[[#This Row],[Date raised]],""))</f>
        <v>46283</v>
      </c>
      <c r="AB9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6" spans="2:28" x14ac:dyDescent="0.25">
      <c r="B96" s="28" t="s">
        <v>326</v>
      </c>
      <c r="C96" s="29">
        <v>46286</v>
      </c>
      <c r="D96" s="28" t="s">
        <v>107</v>
      </c>
      <c r="E96" s="39" t="s">
        <v>210</v>
      </c>
      <c r="F96" s="28" t="s">
        <v>133</v>
      </c>
      <c r="G96" s="28" t="s">
        <v>147</v>
      </c>
      <c r="H96" s="28" t="s">
        <v>157</v>
      </c>
      <c r="I96" s="28" t="s">
        <v>200</v>
      </c>
      <c r="J96" s="29">
        <v>46287</v>
      </c>
      <c r="K96" s="31">
        <v>2</v>
      </c>
      <c r="L96" s="31">
        <v>2</v>
      </c>
      <c r="M96" s="30">
        <v>0</v>
      </c>
      <c r="N96" s="30">
        <v>0</v>
      </c>
      <c r="O96" s="31">
        <v>0</v>
      </c>
      <c r="P96" s="40" t="str">
        <f>IF(tblWorkOrders[[#This Row],[WO no.]]="","",IFERROR(INDEX(tblAssets[Area],MATCH(tblWorkOrders[[#This Row],[Asset]],tblAssets[Asset ID],0)),""))</f>
        <v>Line 1</v>
      </c>
      <c r="Q96" s="40" t="str">
        <f>IF(tblWorkOrders[[#This Row],[WO no.]]="","",IFERROR(INDEX(tblWorkTypes[Category],MATCH(tblWorkOrders[[#This Row],[Work type]],tblWorkTypes[Work type],0)),""))</f>
        <v>Planned</v>
      </c>
      <c r="R96" s="41">
        <f>IF(tblWorkOrders[[#This Row],[WO no.]]="","",IFERROR(INDEX(tblPriorities[Target (days)],MATCH(tblWorkOrders[[#This Row],[Priority]],tblPriorities[Priority],0)),""))</f>
        <v>14</v>
      </c>
      <c r="S96" s="42">
        <f>IF(tblWorkOrders[[#This Row],[WO no.]]="","",IF(tblWorkOrders[[#This Row],[Target (days)]]="","",tblWorkOrders[[#This Row],[Date raised]]+tblWorkOrders[[#This Row],[Target (days)]]))</f>
        <v>46300</v>
      </c>
      <c r="T96" s="41">
        <f>IF(tblWorkOrders[[#This Row],[WO no.]]="","",IF(OR(tblWorkOrders[[#This Row],[Status]]="Complete",tblWorkOrders[[#This Row],[Status]]="Cancelled"),0,1))</f>
        <v>0</v>
      </c>
      <c r="U96" s="41">
        <f>IF(tblWorkOrders[[#This Row],[WO no.]]="","",IF(tblWorkOrders[[#This Row],[Status]]="Cancelled","",IF(tblWorkOrders[[#This Row],[Open]]=1,AsOf-tblWorkOrders[[#This Row],[Date raised]],IF(tblWorkOrders[[#This Row],[Date completed]]="","",tblWorkOrders[[#This Row],[Date completed]]-tblWorkOrders[[#This Row],[Date raised]]))))</f>
        <v>1</v>
      </c>
      <c r="V96" s="43">
        <f>IF(tblWorkOrders[[#This Row],[WO no.]]="","",IF(tblWorkOrders[[#This Row],[Open]]=1,MAX(0,tblWorkOrders[[#This Row],[Estimated (h)]]-tblWorkOrders[[#This Row],[Actual (h)]]),0))</f>
        <v>0</v>
      </c>
      <c r="W96" s="44">
        <f>IF(tblWorkOrders[[#This Row],[WO no.]]="","",tblWorkOrders[[#This Row],[Actual (h)]]*LabourRate)</f>
        <v>96</v>
      </c>
      <c r="X96" s="44">
        <f>IF(tblWorkOrders[[#This Row],[WO no.]]="","",tblWorkOrders[[#This Row],[Labour cost]]+tblWorkOrders[[#This Row],[Parts cost]]+tblWorkOrders[[#This Row],[Contractor cost]])</f>
        <v>96</v>
      </c>
      <c r="Y96" s="45" t="str">
        <f>IF(tblWorkOrders[[#This Row],[WO no.]]="","",IF(tblWorkOrders[[#This Row],[Status]]="Cancelled","",IF(tblWorkOrders[[#This Row],[Open]]=0,"Complete",IF(tblWorkOrders[[#This Row],[Due date]]="","",IF(AsOf&gt;tblWorkOrders[[#This Row],[Due date]],"Overdue",IF(tblWorkOrders[[#This Row],[Due date]]-AsOf&lt;=DueSoonDays,"Due soon","OK"))))))</f>
        <v>Complete</v>
      </c>
      <c r="Z96" s="45" t="str">
        <f>IF(tblWorkOrders[[#This Row],[WO no.]]="","",IF(OR(tblWorkOrders[[#This Row],[Status]]&lt;&gt;"Complete",tblWorkOrders[[#This Row],[Date completed]]="",tblWorkOrders[[#This Row],[Due date]]=""),"",IF(tblWorkOrders[[#This Row],[Date completed]]&lt;=tblWorkOrders[[#This Row],[Due date]],"Yes","No")))</f>
        <v>Yes</v>
      </c>
      <c r="AA96" s="42">
        <f>IF(tblWorkOrders[[#This Row],[WO no.]]="","",IF(AND(tblWorkOrders[[#This Row],[Date raised]]&gt;=FFrom,tblWorkOrders[[#This Row],[Date raised]]&lt;=FTo),tblWorkOrders[[#This Row],[Date raised]],""))</f>
        <v>46286</v>
      </c>
      <c r="AB9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7" spans="2:28" x14ac:dyDescent="0.25">
      <c r="B97" s="28" t="s">
        <v>327</v>
      </c>
      <c r="C97" s="29">
        <v>46286</v>
      </c>
      <c r="D97" s="28" t="s">
        <v>114</v>
      </c>
      <c r="E97" s="39" t="s">
        <v>252</v>
      </c>
      <c r="F97" s="28" t="s">
        <v>130</v>
      </c>
      <c r="G97" s="28" t="s">
        <v>147</v>
      </c>
      <c r="H97" s="28" t="s">
        <v>152</v>
      </c>
      <c r="I97" s="28" t="s">
        <v>200</v>
      </c>
      <c r="J97" s="29">
        <v>46300</v>
      </c>
      <c r="K97" s="31">
        <v>12</v>
      </c>
      <c r="L97" s="31">
        <v>13.5</v>
      </c>
      <c r="M97" s="30">
        <v>0</v>
      </c>
      <c r="N97" s="30">
        <v>0</v>
      </c>
      <c r="O97" s="31">
        <v>0</v>
      </c>
      <c r="P97" s="40" t="str">
        <f>IF(tblWorkOrders[[#This Row],[WO no.]]="","",IFERROR(INDEX(tblAssets[Area],MATCH(tblWorkOrders[[#This Row],[Asset]],tblAssets[Asset ID],0)),""))</f>
        <v>Line 2</v>
      </c>
      <c r="Q97" s="40" t="str">
        <f>IF(tblWorkOrders[[#This Row],[WO no.]]="","",IFERROR(INDEX(tblWorkTypes[Category],MATCH(tblWorkOrders[[#This Row],[Work type]],tblWorkTypes[Work type],0)),""))</f>
        <v>Corrective</v>
      </c>
      <c r="R97" s="41">
        <f>IF(tblWorkOrders[[#This Row],[WO no.]]="","",IFERROR(INDEX(tblPriorities[Target (days)],MATCH(tblWorkOrders[[#This Row],[Priority]],tblPriorities[Priority],0)),""))</f>
        <v>14</v>
      </c>
      <c r="S97" s="42">
        <f>IF(tblWorkOrders[[#This Row],[WO no.]]="","",IF(tblWorkOrders[[#This Row],[Target (days)]]="","",tblWorkOrders[[#This Row],[Date raised]]+tblWorkOrders[[#This Row],[Target (days)]]))</f>
        <v>46300</v>
      </c>
      <c r="T97" s="41">
        <f>IF(tblWorkOrders[[#This Row],[WO no.]]="","",IF(OR(tblWorkOrders[[#This Row],[Status]]="Complete",tblWorkOrders[[#This Row],[Status]]="Cancelled"),0,1))</f>
        <v>0</v>
      </c>
      <c r="U97" s="41">
        <f>IF(tblWorkOrders[[#This Row],[WO no.]]="","",IF(tblWorkOrders[[#This Row],[Status]]="Cancelled","",IF(tblWorkOrders[[#This Row],[Open]]=1,AsOf-tblWorkOrders[[#This Row],[Date raised]],IF(tblWorkOrders[[#This Row],[Date completed]]="","",tblWorkOrders[[#This Row],[Date completed]]-tblWorkOrders[[#This Row],[Date raised]]))))</f>
        <v>14</v>
      </c>
      <c r="V97" s="43">
        <f>IF(tblWorkOrders[[#This Row],[WO no.]]="","",IF(tblWorkOrders[[#This Row],[Open]]=1,MAX(0,tblWorkOrders[[#This Row],[Estimated (h)]]-tblWorkOrders[[#This Row],[Actual (h)]]),0))</f>
        <v>0</v>
      </c>
      <c r="W97" s="44">
        <f>IF(tblWorkOrders[[#This Row],[WO no.]]="","",tblWorkOrders[[#This Row],[Actual (h)]]*LabourRate)</f>
        <v>648</v>
      </c>
      <c r="X97" s="44">
        <f>IF(tblWorkOrders[[#This Row],[WO no.]]="","",tblWorkOrders[[#This Row],[Labour cost]]+tblWorkOrders[[#This Row],[Parts cost]]+tblWorkOrders[[#This Row],[Contractor cost]])</f>
        <v>648</v>
      </c>
      <c r="Y97" s="45" t="str">
        <f>IF(tblWorkOrders[[#This Row],[WO no.]]="","",IF(tblWorkOrders[[#This Row],[Status]]="Cancelled","",IF(tblWorkOrders[[#This Row],[Open]]=0,"Complete",IF(tblWorkOrders[[#This Row],[Due date]]="","",IF(AsOf&gt;tblWorkOrders[[#This Row],[Due date]],"Overdue",IF(tblWorkOrders[[#This Row],[Due date]]-AsOf&lt;=DueSoonDays,"Due soon","OK"))))))</f>
        <v>Complete</v>
      </c>
      <c r="Z97" s="45" t="str">
        <f>IF(tblWorkOrders[[#This Row],[WO no.]]="","",IF(OR(tblWorkOrders[[#This Row],[Status]]&lt;&gt;"Complete",tblWorkOrders[[#This Row],[Date completed]]="",tblWorkOrders[[#This Row],[Due date]]=""),"",IF(tblWorkOrders[[#This Row],[Date completed]]&lt;=tblWorkOrders[[#This Row],[Due date]],"Yes","No")))</f>
        <v>Yes</v>
      </c>
      <c r="AA97" s="42">
        <f>IF(tblWorkOrders[[#This Row],[WO no.]]="","",IF(AND(tblWorkOrders[[#This Row],[Date raised]]&gt;=FFrom,tblWorkOrders[[#This Row],[Date raised]]&lt;=FTo),tblWorkOrders[[#This Row],[Date raised]],""))</f>
        <v>46286</v>
      </c>
      <c r="AB9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8" spans="2:28" x14ac:dyDescent="0.25">
      <c r="B98" s="28" t="s">
        <v>328</v>
      </c>
      <c r="C98" s="29">
        <v>46286</v>
      </c>
      <c r="D98" s="28" t="s">
        <v>114</v>
      </c>
      <c r="E98" s="39" t="s">
        <v>329</v>
      </c>
      <c r="F98" s="28" t="s">
        <v>140</v>
      </c>
      <c r="G98" s="28" t="s">
        <v>145</v>
      </c>
      <c r="H98" s="28" t="s">
        <v>155</v>
      </c>
      <c r="I98" s="28" t="s">
        <v>200</v>
      </c>
      <c r="J98" s="29">
        <v>46289</v>
      </c>
      <c r="K98" s="31">
        <v>6</v>
      </c>
      <c r="L98" s="31">
        <v>6</v>
      </c>
      <c r="M98" s="30">
        <v>410</v>
      </c>
      <c r="N98" s="30">
        <v>0</v>
      </c>
      <c r="O98" s="31">
        <v>0</v>
      </c>
      <c r="P98" s="40" t="str">
        <f>IF(tblWorkOrders[[#This Row],[WO no.]]="","",IFERROR(INDEX(tblAssets[Area],MATCH(tblWorkOrders[[#This Row],[Asset]],tblAssets[Asset ID],0)),""))</f>
        <v>Line 2</v>
      </c>
      <c r="Q98" s="40" t="str">
        <f>IF(tblWorkOrders[[#This Row],[WO no.]]="","",IFERROR(INDEX(tblWorkTypes[Category],MATCH(tblWorkOrders[[#This Row],[Work type]],tblWorkTypes[Work type],0)),""))</f>
        <v>Planned</v>
      </c>
      <c r="R98" s="41">
        <f>IF(tblWorkOrders[[#This Row],[WO no.]]="","",IFERROR(INDEX(tblPriorities[Target (days)],MATCH(tblWorkOrders[[#This Row],[Priority]],tblPriorities[Priority],0)),""))</f>
        <v>3</v>
      </c>
      <c r="S98" s="42">
        <f>IF(tblWorkOrders[[#This Row],[WO no.]]="","",IF(tblWorkOrders[[#This Row],[Target (days)]]="","",tblWorkOrders[[#This Row],[Date raised]]+tblWorkOrders[[#This Row],[Target (days)]]))</f>
        <v>46289</v>
      </c>
      <c r="T98" s="41">
        <f>IF(tblWorkOrders[[#This Row],[WO no.]]="","",IF(OR(tblWorkOrders[[#This Row],[Status]]="Complete",tblWorkOrders[[#This Row],[Status]]="Cancelled"),0,1))</f>
        <v>0</v>
      </c>
      <c r="U98" s="41">
        <f>IF(tblWorkOrders[[#This Row],[WO no.]]="","",IF(tblWorkOrders[[#This Row],[Status]]="Cancelled","",IF(tblWorkOrders[[#This Row],[Open]]=1,AsOf-tblWorkOrders[[#This Row],[Date raised]],IF(tblWorkOrders[[#This Row],[Date completed]]="","",tblWorkOrders[[#This Row],[Date completed]]-tblWorkOrders[[#This Row],[Date raised]]))))</f>
        <v>3</v>
      </c>
      <c r="V98" s="43">
        <f>IF(tblWorkOrders[[#This Row],[WO no.]]="","",IF(tblWorkOrders[[#This Row],[Open]]=1,MAX(0,tblWorkOrders[[#This Row],[Estimated (h)]]-tblWorkOrders[[#This Row],[Actual (h)]]),0))</f>
        <v>0</v>
      </c>
      <c r="W98" s="44">
        <f>IF(tblWorkOrders[[#This Row],[WO no.]]="","",tblWorkOrders[[#This Row],[Actual (h)]]*LabourRate)</f>
        <v>288</v>
      </c>
      <c r="X98" s="44">
        <f>IF(tblWorkOrders[[#This Row],[WO no.]]="","",tblWorkOrders[[#This Row],[Labour cost]]+tblWorkOrders[[#This Row],[Parts cost]]+tblWorkOrders[[#This Row],[Contractor cost]])</f>
        <v>698</v>
      </c>
      <c r="Y98" s="45" t="str">
        <f>IF(tblWorkOrders[[#This Row],[WO no.]]="","",IF(tblWorkOrders[[#This Row],[Status]]="Cancelled","",IF(tblWorkOrders[[#This Row],[Open]]=0,"Complete",IF(tblWorkOrders[[#This Row],[Due date]]="","",IF(AsOf&gt;tblWorkOrders[[#This Row],[Due date]],"Overdue",IF(tblWorkOrders[[#This Row],[Due date]]-AsOf&lt;=DueSoonDays,"Due soon","OK"))))))</f>
        <v>Complete</v>
      </c>
      <c r="Z98" s="45" t="str">
        <f>IF(tblWorkOrders[[#This Row],[WO no.]]="","",IF(OR(tblWorkOrders[[#This Row],[Status]]&lt;&gt;"Complete",tblWorkOrders[[#This Row],[Date completed]]="",tblWorkOrders[[#This Row],[Due date]]=""),"",IF(tblWorkOrders[[#This Row],[Date completed]]&lt;=tblWorkOrders[[#This Row],[Due date]],"Yes","No")))</f>
        <v>Yes</v>
      </c>
      <c r="AA98" s="42">
        <f>IF(tblWorkOrders[[#This Row],[WO no.]]="","",IF(AND(tblWorkOrders[[#This Row],[Date raised]]&gt;=FFrom,tblWorkOrders[[#This Row],[Date raised]]&lt;=FTo),tblWorkOrders[[#This Row],[Date raised]],""))</f>
        <v>46286</v>
      </c>
      <c r="AB9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99" spans="2:28" x14ac:dyDescent="0.25">
      <c r="B99" s="28" t="s">
        <v>330</v>
      </c>
      <c r="C99" s="29">
        <v>46286</v>
      </c>
      <c r="D99" s="28" t="s">
        <v>104</v>
      </c>
      <c r="E99" s="39" t="s">
        <v>226</v>
      </c>
      <c r="F99" s="28" t="s">
        <v>127</v>
      </c>
      <c r="G99" s="28" t="s">
        <v>143</v>
      </c>
      <c r="H99" s="28" t="s">
        <v>155</v>
      </c>
      <c r="I99" s="28" t="s">
        <v>200</v>
      </c>
      <c r="J99" s="29">
        <v>46288</v>
      </c>
      <c r="K99" s="31">
        <v>2</v>
      </c>
      <c r="L99" s="31">
        <v>3</v>
      </c>
      <c r="M99" s="30">
        <v>0</v>
      </c>
      <c r="N99" s="30">
        <v>0</v>
      </c>
      <c r="O99" s="31">
        <v>3</v>
      </c>
      <c r="P99" s="40" t="str">
        <f>IF(tblWorkOrders[[#This Row],[WO no.]]="","",IFERROR(INDEX(tblAssets[Area],MATCH(tblWorkOrders[[#This Row],[Asset]],tblAssets[Asset ID],0)),""))</f>
        <v>Line 1</v>
      </c>
      <c r="Q99" s="40" t="str">
        <f>IF(tblWorkOrders[[#This Row],[WO no.]]="","",IFERROR(INDEX(tblWorkTypes[Category],MATCH(tblWorkOrders[[#This Row],[Work type]],tblWorkTypes[Work type],0)),""))</f>
        <v>Emergency</v>
      </c>
      <c r="R99" s="41">
        <f>IF(tblWorkOrders[[#This Row],[WO no.]]="","",IFERROR(INDEX(tblPriorities[Target (days)],MATCH(tblWorkOrders[[#This Row],[Priority]],tblPriorities[Priority],0)),""))</f>
        <v>1</v>
      </c>
      <c r="S99" s="42">
        <f>IF(tblWorkOrders[[#This Row],[WO no.]]="","",IF(tblWorkOrders[[#This Row],[Target (days)]]="","",tblWorkOrders[[#This Row],[Date raised]]+tblWorkOrders[[#This Row],[Target (days)]]))</f>
        <v>46287</v>
      </c>
      <c r="T99" s="41">
        <f>IF(tblWorkOrders[[#This Row],[WO no.]]="","",IF(OR(tblWorkOrders[[#This Row],[Status]]="Complete",tblWorkOrders[[#This Row],[Status]]="Cancelled"),0,1))</f>
        <v>0</v>
      </c>
      <c r="U99" s="41">
        <f>IF(tblWorkOrders[[#This Row],[WO no.]]="","",IF(tblWorkOrders[[#This Row],[Status]]="Cancelled","",IF(tblWorkOrders[[#This Row],[Open]]=1,AsOf-tblWorkOrders[[#This Row],[Date raised]],IF(tblWorkOrders[[#This Row],[Date completed]]="","",tblWorkOrders[[#This Row],[Date completed]]-tblWorkOrders[[#This Row],[Date raised]]))))</f>
        <v>2</v>
      </c>
      <c r="V99" s="43">
        <f>IF(tblWorkOrders[[#This Row],[WO no.]]="","",IF(tblWorkOrders[[#This Row],[Open]]=1,MAX(0,tblWorkOrders[[#This Row],[Estimated (h)]]-tblWorkOrders[[#This Row],[Actual (h)]]),0))</f>
        <v>0</v>
      </c>
      <c r="W99" s="44">
        <f>IF(tblWorkOrders[[#This Row],[WO no.]]="","",tblWorkOrders[[#This Row],[Actual (h)]]*LabourRate)</f>
        <v>144</v>
      </c>
      <c r="X99" s="44">
        <f>IF(tblWorkOrders[[#This Row],[WO no.]]="","",tblWorkOrders[[#This Row],[Labour cost]]+tblWorkOrders[[#This Row],[Parts cost]]+tblWorkOrders[[#This Row],[Contractor cost]])</f>
        <v>144</v>
      </c>
      <c r="Y99" s="45" t="str">
        <f>IF(tblWorkOrders[[#This Row],[WO no.]]="","",IF(tblWorkOrders[[#This Row],[Status]]="Cancelled","",IF(tblWorkOrders[[#This Row],[Open]]=0,"Complete",IF(tblWorkOrders[[#This Row],[Due date]]="","",IF(AsOf&gt;tblWorkOrders[[#This Row],[Due date]],"Overdue",IF(tblWorkOrders[[#This Row],[Due date]]-AsOf&lt;=DueSoonDays,"Due soon","OK"))))))</f>
        <v>Complete</v>
      </c>
      <c r="Z99" s="45" t="str">
        <f>IF(tblWorkOrders[[#This Row],[WO no.]]="","",IF(OR(tblWorkOrders[[#This Row],[Status]]&lt;&gt;"Complete",tblWorkOrders[[#This Row],[Date completed]]="",tblWorkOrders[[#This Row],[Due date]]=""),"",IF(tblWorkOrders[[#This Row],[Date completed]]&lt;=tblWorkOrders[[#This Row],[Due date]],"Yes","No")))</f>
        <v>No</v>
      </c>
      <c r="AA99" s="42">
        <f>IF(tblWorkOrders[[#This Row],[WO no.]]="","",IF(AND(tblWorkOrders[[#This Row],[Date raised]]&gt;=FFrom,tblWorkOrders[[#This Row],[Date raised]]&lt;=FTo),tblWorkOrders[[#This Row],[Date raised]],""))</f>
        <v>46286</v>
      </c>
      <c r="AB9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0" spans="2:28" x14ac:dyDescent="0.25">
      <c r="B100" s="28" t="s">
        <v>331</v>
      </c>
      <c r="C100" s="29">
        <v>46286</v>
      </c>
      <c r="D100" s="28" t="s">
        <v>104</v>
      </c>
      <c r="E100" s="39" t="s">
        <v>212</v>
      </c>
      <c r="F100" s="28" t="s">
        <v>133</v>
      </c>
      <c r="G100" s="28" t="s">
        <v>147</v>
      </c>
      <c r="H100" s="28" t="s">
        <v>152</v>
      </c>
      <c r="I100" s="28" t="s">
        <v>200</v>
      </c>
      <c r="J100" s="29">
        <v>46288</v>
      </c>
      <c r="K100" s="31">
        <v>4</v>
      </c>
      <c r="L100" s="31">
        <v>3.5</v>
      </c>
      <c r="M100" s="30">
        <v>40</v>
      </c>
      <c r="N100" s="30">
        <v>0</v>
      </c>
      <c r="O100" s="31">
        <v>0</v>
      </c>
      <c r="P100" s="40" t="str">
        <f>IF(tblWorkOrders[[#This Row],[WO no.]]="","",IFERROR(INDEX(tblAssets[Area],MATCH(tblWorkOrders[[#This Row],[Asset]],tblAssets[Asset ID],0)),""))</f>
        <v>Line 1</v>
      </c>
      <c r="Q100" s="40" t="str">
        <f>IF(tblWorkOrders[[#This Row],[WO no.]]="","",IFERROR(INDEX(tblWorkTypes[Category],MATCH(tblWorkOrders[[#This Row],[Work type]],tblWorkTypes[Work type],0)),""))</f>
        <v>Planned</v>
      </c>
      <c r="R100" s="41">
        <f>IF(tblWorkOrders[[#This Row],[WO no.]]="","",IFERROR(INDEX(tblPriorities[Target (days)],MATCH(tblWorkOrders[[#This Row],[Priority]],tblPriorities[Priority],0)),""))</f>
        <v>14</v>
      </c>
      <c r="S100" s="42">
        <f>IF(tblWorkOrders[[#This Row],[WO no.]]="","",IF(tblWorkOrders[[#This Row],[Target (days)]]="","",tblWorkOrders[[#This Row],[Date raised]]+tblWorkOrders[[#This Row],[Target (days)]]))</f>
        <v>46300</v>
      </c>
      <c r="T100" s="41">
        <f>IF(tblWorkOrders[[#This Row],[WO no.]]="","",IF(OR(tblWorkOrders[[#This Row],[Status]]="Complete",tblWorkOrders[[#This Row],[Status]]="Cancelled"),0,1))</f>
        <v>0</v>
      </c>
      <c r="U100" s="41">
        <f>IF(tblWorkOrders[[#This Row],[WO no.]]="","",IF(tblWorkOrders[[#This Row],[Status]]="Cancelled","",IF(tblWorkOrders[[#This Row],[Open]]=1,AsOf-tblWorkOrders[[#This Row],[Date raised]],IF(tblWorkOrders[[#This Row],[Date completed]]="","",tblWorkOrders[[#This Row],[Date completed]]-tblWorkOrders[[#This Row],[Date raised]]))))</f>
        <v>2</v>
      </c>
      <c r="V100" s="43">
        <f>IF(tblWorkOrders[[#This Row],[WO no.]]="","",IF(tblWorkOrders[[#This Row],[Open]]=1,MAX(0,tblWorkOrders[[#This Row],[Estimated (h)]]-tblWorkOrders[[#This Row],[Actual (h)]]),0))</f>
        <v>0</v>
      </c>
      <c r="W100" s="44">
        <f>IF(tblWorkOrders[[#This Row],[WO no.]]="","",tblWorkOrders[[#This Row],[Actual (h)]]*LabourRate)</f>
        <v>168</v>
      </c>
      <c r="X100" s="44">
        <f>IF(tblWorkOrders[[#This Row],[WO no.]]="","",tblWorkOrders[[#This Row],[Labour cost]]+tblWorkOrders[[#This Row],[Parts cost]]+tblWorkOrders[[#This Row],[Contractor cost]])</f>
        <v>208</v>
      </c>
      <c r="Y100" s="45" t="str">
        <f>IF(tblWorkOrders[[#This Row],[WO no.]]="","",IF(tblWorkOrders[[#This Row],[Status]]="Cancelled","",IF(tblWorkOrders[[#This Row],[Open]]=0,"Complete",IF(tblWorkOrders[[#This Row],[Due date]]="","",IF(AsOf&gt;tblWorkOrders[[#This Row],[Due date]],"Overdue",IF(tblWorkOrders[[#This Row],[Due date]]-AsOf&lt;=DueSoonDays,"Due soon","OK"))))))</f>
        <v>Complete</v>
      </c>
      <c r="Z100" s="45" t="str">
        <f>IF(tblWorkOrders[[#This Row],[WO no.]]="","",IF(OR(tblWorkOrders[[#This Row],[Status]]&lt;&gt;"Complete",tblWorkOrders[[#This Row],[Date completed]]="",tblWorkOrders[[#This Row],[Due date]]=""),"",IF(tblWorkOrders[[#This Row],[Date completed]]&lt;=tblWorkOrders[[#This Row],[Due date]],"Yes","No")))</f>
        <v>Yes</v>
      </c>
      <c r="AA100" s="42">
        <f>IF(tblWorkOrders[[#This Row],[WO no.]]="","",IF(AND(tblWorkOrders[[#This Row],[Date raised]]&gt;=FFrom,tblWorkOrders[[#This Row],[Date raised]]&lt;=FTo),tblWorkOrders[[#This Row],[Date raised]],""))</f>
        <v>46286</v>
      </c>
      <c r="AB10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1" spans="2:28" x14ac:dyDescent="0.25">
      <c r="B101" s="28" t="s">
        <v>332</v>
      </c>
      <c r="C101" s="29">
        <v>46286</v>
      </c>
      <c r="D101" s="28" t="s">
        <v>111</v>
      </c>
      <c r="E101" s="39" t="s">
        <v>214</v>
      </c>
      <c r="F101" s="28" t="s">
        <v>133</v>
      </c>
      <c r="G101" s="28" t="s">
        <v>147</v>
      </c>
      <c r="H101" s="28" t="s">
        <v>155</v>
      </c>
      <c r="I101" s="28" t="s">
        <v>200</v>
      </c>
      <c r="J101" s="29">
        <v>46288</v>
      </c>
      <c r="K101" s="31">
        <v>3</v>
      </c>
      <c r="L101" s="31">
        <v>2.5</v>
      </c>
      <c r="M101" s="30">
        <v>40</v>
      </c>
      <c r="N101" s="30">
        <v>0</v>
      </c>
      <c r="O101" s="31">
        <v>0</v>
      </c>
      <c r="P101" s="40" t="str">
        <f>IF(tblWorkOrders[[#This Row],[WO no.]]="","",IFERROR(INDEX(tblAssets[Area],MATCH(tblWorkOrders[[#This Row],[Asset]],tblAssets[Asset ID],0)),""))</f>
        <v>Line 2</v>
      </c>
      <c r="Q101" s="40" t="str">
        <f>IF(tblWorkOrders[[#This Row],[WO no.]]="","",IFERROR(INDEX(tblWorkTypes[Category],MATCH(tblWorkOrders[[#This Row],[Work type]],tblWorkTypes[Work type],0)),""))</f>
        <v>Planned</v>
      </c>
      <c r="R101" s="41">
        <f>IF(tblWorkOrders[[#This Row],[WO no.]]="","",IFERROR(INDEX(tblPriorities[Target (days)],MATCH(tblWorkOrders[[#This Row],[Priority]],tblPriorities[Priority],0)),""))</f>
        <v>14</v>
      </c>
      <c r="S101" s="42">
        <f>IF(tblWorkOrders[[#This Row],[WO no.]]="","",IF(tblWorkOrders[[#This Row],[Target (days)]]="","",tblWorkOrders[[#This Row],[Date raised]]+tblWorkOrders[[#This Row],[Target (days)]]))</f>
        <v>46300</v>
      </c>
      <c r="T101" s="41">
        <f>IF(tblWorkOrders[[#This Row],[WO no.]]="","",IF(OR(tblWorkOrders[[#This Row],[Status]]="Complete",tblWorkOrders[[#This Row],[Status]]="Cancelled"),0,1))</f>
        <v>0</v>
      </c>
      <c r="U101" s="41">
        <f>IF(tblWorkOrders[[#This Row],[WO no.]]="","",IF(tblWorkOrders[[#This Row],[Status]]="Cancelled","",IF(tblWorkOrders[[#This Row],[Open]]=1,AsOf-tblWorkOrders[[#This Row],[Date raised]],IF(tblWorkOrders[[#This Row],[Date completed]]="","",tblWorkOrders[[#This Row],[Date completed]]-tblWorkOrders[[#This Row],[Date raised]]))))</f>
        <v>2</v>
      </c>
      <c r="V101" s="43">
        <f>IF(tblWorkOrders[[#This Row],[WO no.]]="","",IF(tblWorkOrders[[#This Row],[Open]]=1,MAX(0,tblWorkOrders[[#This Row],[Estimated (h)]]-tblWorkOrders[[#This Row],[Actual (h)]]),0))</f>
        <v>0</v>
      </c>
      <c r="W101" s="44">
        <f>IF(tblWorkOrders[[#This Row],[WO no.]]="","",tblWorkOrders[[#This Row],[Actual (h)]]*LabourRate)</f>
        <v>120</v>
      </c>
      <c r="X101" s="44">
        <f>IF(tblWorkOrders[[#This Row],[WO no.]]="","",tblWorkOrders[[#This Row],[Labour cost]]+tblWorkOrders[[#This Row],[Parts cost]]+tblWorkOrders[[#This Row],[Contractor cost]])</f>
        <v>160</v>
      </c>
      <c r="Y101" s="45" t="str">
        <f>IF(tblWorkOrders[[#This Row],[WO no.]]="","",IF(tblWorkOrders[[#This Row],[Status]]="Cancelled","",IF(tblWorkOrders[[#This Row],[Open]]=0,"Complete",IF(tblWorkOrders[[#This Row],[Due date]]="","",IF(AsOf&gt;tblWorkOrders[[#This Row],[Due date]],"Overdue",IF(tblWorkOrders[[#This Row],[Due date]]-AsOf&lt;=DueSoonDays,"Due soon","OK"))))))</f>
        <v>Complete</v>
      </c>
      <c r="Z101" s="45" t="str">
        <f>IF(tblWorkOrders[[#This Row],[WO no.]]="","",IF(OR(tblWorkOrders[[#This Row],[Status]]&lt;&gt;"Complete",tblWorkOrders[[#This Row],[Date completed]]="",tblWorkOrders[[#This Row],[Due date]]=""),"",IF(tblWorkOrders[[#This Row],[Date completed]]&lt;=tblWorkOrders[[#This Row],[Due date]],"Yes","No")))</f>
        <v>Yes</v>
      </c>
      <c r="AA101" s="42">
        <f>IF(tblWorkOrders[[#This Row],[WO no.]]="","",IF(AND(tblWorkOrders[[#This Row],[Date raised]]&gt;=FFrom,tblWorkOrders[[#This Row],[Date raised]]&lt;=FTo),tblWorkOrders[[#This Row],[Date raised]],""))</f>
        <v>46286</v>
      </c>
      <c r="AB10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2" spans="2:28" x14ac:dyDescent="0.25">
      <c r="B102" s="28" t="s">
        <v>333</v>
      </c>
      <c r="C102" s="29">
        <v>46286</v>
      </c>
      <c r="D102" s="28" t="s">
        <v>116</v>
      </c>
      <c r="E102" s="39" t="s">
        <v>216</v>
      </c>
      <c r="F102" s="28" t="s">
        <v>133</v>
      </c>
      <c r="G102" s="28" t="s">
        <v>147</v>
      </c>
      <c r="H102" s="28" t="s">
        <v>152</v>
      </c>
      <c r="I102" s="28" t="s">
        <v>200</v>
      </c>
      <c r="J102" s="29">
        <v>46288</v>
      </c>
      <c r="K102" s="31">
        <v>5</v>
      </c>
      <c r="L102" s="31">
        <v>6</v>
      </c>
      <c r="M102" s="30">
        <v>0</v>
      </c>
      <c r="N102" s="30">
        <v>0</v>
      </c>
      <c r="O102" s="31">
        <v>0</v>
      </c>
      <c r="P102" s="40" t="str">
        <f>IF(tblWorkOrders[[#This Row],[WO no.]]="","",IFERROR(INDEX(tblAssets[Area],MATCH(tblWorkOrders[[#This Row],[Asset]],tblAssets[Asset ID],0)),""))</f>
        <v>End of line</v>
      </c>
      <c r="Q102" s="40" t="str">
        <f>IF(tblWorkOrders[[#This Row],[WO no.]]="","",IFERROR(INDEX(tblWorkTypes[Category],MATCH(tblWorkOrders[[#This Row],[Work type]],tblWorkTypes[Work type],0)),""))</f>
        <v>Planned</v>
      </c>
      <c r="R102" s="41">
        <f>IF(tblWorkOrders[[#This Row],[WO no.]]="","",IFERROR(INDEX(tblPriorities[Target (days)],MATCH(tblWorkOrders[[#This Row],[Priority]],tblPriorities[Priority],0)),""))</f>
        <v>14</v>
      </c>
      <c r="S102" s="42">
        <f>IF(tblWorkOrders[[#This Row],[WO no.]]="","",IF(tblWorkOrders[[#This Row],[Target (days)]]="","",tblWorkOrders[[#This Row],[Date raised]]+tblWorkOrders[[#This Row],[Target (days)]]))</f>
        <v>46300</v>
      </c>
      <c r="T102" s="41">
        <f>IF(tblWorkOrders[[#This Row],[WO no.]]="","",IF(OR(tblWorkOrders[[#This Row],[Status]]="Complete",tblWorkOrders[[#This Row],[Status]]="Cancelled"),0,1))</f>
        <v>0</v>
      </c>
      <c r="U102" s="41">
        <f>IF(tblWorkOrders[[#This Row],[WO no.]]="","",IF(tblWorkOrders[[#This Row],[Status]]="Cancelled","",IF(tblWorkOrders[[#This Row],[Open]]=1,AsOf-tblWorkOrders[[#This Row],[Date raised]],IF(tblWorkOrders[[#This Row],[Date completed]]="","",tblWorkOrders[[#This Row],[Date completed]]-tblWorkOrders[[#This Row],[Date raised]]))))</f>
        <v>2</v>
      </c>
      <c r="V102" s="43">
        <f>IF(tblWorkOrders[[#This Row],[WO no.]]="","",IF(tblWorkOrders[[#This Row],[Open]]=1,MAX(0,tblWorkOrders[[#This Row],[Estimated (h)]]-tblWorkOrders[[#This Row],[Actual (h)]]),0))</f>
        <v>0</v>
      </c>
      <c r="W102" s="44">
        <f>IF(tblWorkOrders[[#This Row],[WO no.]]="","",tblWorkOrders[[#This Row],[Actual (h)]]*LabourRate)</f>
        <v>288</v>
      </c>
      <c r="X102" s="44">
        <f>IF(tblWorkOrders[[#This Row],[WO no.]]="","",tblWorkOrders[[#This Row],[Labour cost]]+tblWorkOrders[[#This Row],[Parts cost]]+tblWorkOrders[[#This Row],[Contractor cost]])</f>
        <v>288</v>
      </c>
      <c r="Y102" s="45" t="str">
        <f>IF(tblWorkOrders[[#This Row],[WO no.]]="","",IF(tblWorkOrders[[#This Row],[Status]]="Cancelled","",IF(tblWorkOrders[[#This Row],[Open]]=0,"Complete",IF(tblWorkOrders[[#This Row],[Due date]]="","",IF(AsOf&gt;tblWorkOrders[[#This Row],[Due date]],"Overdue",IF(tblWorkOrders[[#This Row],[Due date]]-AsOf&lt;=DueSoonDays,"Due soon","OK"))))))</f>
        <v>Complete</v>
      </c>
      <c r="Z102" s="45" t="str">
        <f>IF(tblWorkOrders[[#This Row],[WO no.]]="","",IF(OR(tblWorkOrders[[#This Row],[Status]]&lt;&gt;"Complete",tblWorkOrders[[#This Row],[Date completed]]="",tblWorkOrders[[#This Row],[Due date]]=""),"",IF(tblWorkOrders[[#This Row],[Date completed]]&lt;=tblWorkOrders[[#This Row],[Due date]],"Yes","No")))</f>
        <v>Yes</v>
      </c>
      <c r="AA102" s="42">
        <f>IF(tblWorkOrders[[#This Row],[WO no.]]="","",IF(AND(tblWorkOrders[[#This Row],[Date raised]]&gt;=FFrom,tblWorkOrders[[#This Row],[Date raised]]&lt;=FTo),tblWorkOrders[[#This Row],[Date raised]],""))</f>
        <v>46286</v>
      </c>
      <c r="AB10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3" spans="2:28" x14ac:dyDescent="0.25">
      <c r="B103" s="28" t="s">
        <v>334</v>
      </c>
      <c r="C103" s="29">
        <v>46287</v>
      </c>
      <c r="D103" s="28" t="s">
        <v>122</v>
      </c>
      <c r="E103" s="39" t="s">
        <v>249</v>
      </c>
      <c r="F103" s="28" t="s">
        <v>136</v>
      </c>
      <c r="G103" s="28" t="s">
        <v>147</v>
      </c>
      <c r="H103" s="28" t="s">
        <v>155</v>
      </c>
      <c r="I103" s="28" t="s">
        <v>200</v>
      </c>
      <c r="J103" s="29">
        <v>46289</v>
      </c>
      <c r="K103" s="31">
        <v>5</v>
      </c>
      <c r="L103" s="31">
        <v>5</v>
      </c>
      <c r="M103" s="30">
        <v>0</v>
      </c>
      <c r="N103" s="30">
        <v>0</v>
      </c>
      <c r="O103" s="31">
        <v>0</v>
      </c>
      <c r="P103" s="40" t="str">
        <f>IF(tblWorkOrders[[#This Row],[WO no.]]="","",IFERROR(INDEX(tblAssets[Area],MATCH(tblWorkOrders[[#This Row],[Asset]],tblAssets[Asset ID],0)),""))</f>
        <v>Utilities</v>
      </c>
      <c r="Q103" s="40" t="str">
        <f>IF(tblWorkOrders[[#This Row],[WO no.]]="","",IFERROR(INDEX(tblWorkTypes[Category],MATCH(tblWorkOrders[[#This Row],[Work type]],tblWorkTypes[Work type],0)),""))</f>
        <v>Planned</v>
      </c>
      <c r="R103" s="41">
        <f>IF(tblWorkOrders[[#This Row],[WO no.]]="","",IFERROR(INDEX(tblPriorities[Target (days)],MATCH(tblWorkOrders[[#This Row],[Priority]],tblPriorities[Priority],0)),""))</f>
        <v>14</v>
      </c>
      <c r="S103" s="42">
        <f>IF(tblWorkOrders[[#This Row],[WO no.]]="","",IF(tblWorkOrders[[#This Row],[Target (days)]]="","",tblWorkOrders[[#This Row],[Date raised]]+tblWorkOrders[[#This Row],[Target (days)]]))</f>
        <v>46301</v>
      </c>
      <c r="T103" s="41">
        <f>IF(tblWorkOrders[[#This Row],[WO no.]]="","",IF(OR(tblWorkOrders[[#This Row],[Status]]="Complete",tblWorkOrders[[#This Row],[Status]]="Cancelled"),0,1))</f>
        <v>0</v>
      </c>
      <c r="U103" s="41">
        <f>IF(tblWorkOrders[[#This Row],[WO no.]]="","",IF(tblWorkOrders[[#This Row],[Status]]="Cancelled","",IF(tblWorkOrders[[#This Row],[Open]]=1,AsOf-tblWorkOrders[[#This Row],[Date raised]],IF(tblWorkOrders[[#This Row],[Date completed]]="","",tblWorkOrders[[#This Row],[Date completed]]-tblWorkOrders[[#This Row],[Date raised]]))))</f>
        <v>2</v>
      </c>
      <c r="V103" s="43">
        <f>IF(tblWorkOrders[[#This Row],[WO no.]]="","",IF(tblWorkOrders[[#This Row],[Open]]=1,MAX(0,tblWorkOrders[[#This Row],[Estimated (h)]]-tblWorkOrders[[#This Row],[Actual (h)]]),0))</f>
        <v>0</v>
      </c>
      <c r="W103" s="44">
        <f>IF(tblWorkOrders[[#This Row],[WO no.]]="","",tblWorkOrders[[#This Row],[Actual (h)]]*LabourRate)</f>
        <v>240</v>
      </c>
      <c r="X103" s="44">
        <f>IF(tblWorkOrders[[#This Row],[WO no.]]="","",tblWorkOrders[[#This Row],[Labour cost]]+tblWorkOrders[[#This Row],[Parts cost]]+tblWorkOrders[[#This Row],[Contractor cost]])</f>
        <v>240</v>
      </c>
      <c r="Y103" s="45" t="str">
        <f>IF(tblWorkOrders[[#This Row],[WO no.]]="","",IF(tblWorkOrders[[#This Row],[Status]]="Cancelled","",IF(tblWorkOrders[[#This Row],[Open]]=0,"Complete",IF(tblWorkOrders[[#This Row],[Due date]]="","",IF(AsOf&gt;tblWorkOrders[[#This Row],[Due date]],"Overdue",IF(tblWorkOrders[[#This Row],[Due date]]-AsOf&lt;=DueSoonDays,"Due soon","OK"))))))</f>
        <v>Complete</v>
      </c>
      <c r="Z103" s="45" t="str">
        <f>IF(tblWorkOrders[[#This Row],[WO no.]]="","",IF(OR(tblWorkOrders[[#This Row],[Status]]&lt;&gt;"Complete",tblWorkOrders[[#This Row],[Date completed]]="",tblWorkOrders[[#This Row],[Due date]]=""),"",IF(tblWorkOrders[[#This Row],[Date completed]]&lt;=tblWorkOrders[[#This Row],[Due date]],"Yes","No")))</f>
        <v>Yes</v>
      </c>
      <c r="AA103" s="42">
        <f>IF(tblWorkOrders[[#This Row],[WO no.]]="","",IF(AND(tblWorkOrders[[#This Row],[Date raised]]&gt;=FFrom,tblWorkOrders[[#This Row],[Date raised]]&lt;=FTo),tblWorkOrders[[#This Row],[Date raised]],""))</f>
        <v>46287</v>
      </c>
      <c r="AB10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4" spans="2:28" x14ac:dyDescent="0.25">
      <c r="B104" s="28" t="s">
        <v>335</v>
      </c>
      <c r="C104" s="29">
        <v>46287</v>
      </c>
      <c r="D104" s="28" t="s">
        <v>107</v>
      </c>
      <c r="E104" s="39" t="s">
        <v>269</v>
      </c>
      <c r="F104" s="28" t="s">
        <v>130</v>
      </c>
      <c r="G104" s="28" t="s">
        <v>145</v>
      </c>
      <c r="H104" s="28" t="s">
        <v>155</v>
      </c>
      <c r="I104" s="28" t="s">
        <v>200</v>
      </c>
      <c r="J104" s="29">
        <v>46291</v>
      </c>
      <c r="K104" s="31">
        <v>2</v>
      </c>
      <c r="L104" s="31">
        <v>2</v>
      </c>
      <c r="M104" s="30">
        <v>0</v>
      </c>
      <c r="N104" s="30">
        <v>0</v>
      </c>
      <c r="O104" s="31">
        <v>0</v>
      </c>
      <c r="P104" s="40" t="str">
        <f>IF(tblWorkOrders[[#This Row],[WO no.]]="","",IFERROR(INDEX(tblAssets[Area],MATCH(tblWorkOrders[[#This Row],[Asset]],tblAssets[Asset ID],0)),""))</f>
        <v>Line 1</v>
      </c>
      <c r="Q104" s="40" t="str">
        <f>IF(tblWorkOrders[[#This Row],[WO no.]]="","",IFERROR(INDEX(tblWorkTypes[Category],MATCH(tblWorkOrders[[#This Row],[Work type]],tblWorkTypes[Work type],0)),""))</f>
        <v>Corrective</v>
      </c>
      <c r="R104" s="41">
        <f>IF(tblWorkOrders[[#This Row],[WO no.]]="","",IFERROR(INDEX(tblPriorities[Target (days)],MATCH(tblWorkOrders[[#This Row],[Priority]],tblPriorities[Priority],0)),""))</f>
        <v>3</v>
      </c>
      <c r="S104" s="42">
        <f>IF(tblWorkOrders[[#This Row],[WO no.]]="","",IF(tblWorkOrders[[#This Row],[Target (days)]]="","",tblWorkOrders[[#This Row],[Date raised]]+tblWorkOrders[[#This Row],[Target (days)]]))</f>
        <v>46290</v>
      </c>
      <c r="T104" s="41">
        <f>IF(tblWorkOrders[[#This Row],[WO no.]]="","",IF(OR(tblWorkOrders[[#This Row],[Status]]="Complete",tblWorkOrders[[#This Row],[Status]]="Cancelled"),0,1))</f>
        <v>0</v>
      </c>
      <c r="U104" s="41">
        <f>IF(tblWorkOrders[[#This Row],[WO no.]]="","",IF(tblWorkOrders[[#This Row],[Status]]="Cancelled","",IF(tblWorkOrders[[#This Row],[Open]]=1,AsOf-tblWorkOrders[[#This Row],[Date raised]],IF(tblWorkOrders[[#This Row],[Date completed]]="","",tblWorkOrders[[#This Row],[Date completed]]-tblWorkOrders[[#This Row],[Date raised]]))))</f>
        <v>4</v>
      </c>
      <c r="V104" s="43">
        <f>IF(tblWorkOrders[[#This Row],[WO no.]]="","",IF(tblWorkOrders[[#This Row],[Open]]=1,MAX(0,tblWorkOrders[[#This Row],[Estimated (h)]]-tblWorkOrders[[#This Row],[Actual (h)]]),0))</f>
        <v>0</v>
      </c>
      <c r="W104" s="44">
        <f>IF(tblWorkOrders[[#This Row],[WO no.]]="","",tblWorkOrders[[#This Row],[Actual (h)]]*LabourRate)</f>
        <v>96</v>
      </c>
      <c r="X104" s="44">
        <f>IF(tblWorkOrders[[#This Row],[WO no.]]="","",tblWorkOrders[[#This Row],[Labour cost]]+tblWorkOrders[[#This Row],[Parts cost]]+tblWorkOrders[[#This Row],[Contractor cost]])</f>
        <v>96</v>
      </c>
      <c r="Y104" s="45" t="str">
        <f>IF(tblWorkOrders[[#This Row],[WO no.]]="","",IF(tblWorkOrders[[#This Row],[Status]]="Cancelled","",IF(tblWorkOrders[[#This Row],[Open]]=0,"Complete",IF(tblWorkOrders[[#This Row],[Due date]]="","",IF(AsOf&gt;tblWorkOrders[[#This Row],[Due date]],"Overdue",IF(tblWorkOrders[[#This Row],[Due date]]-AsOf&lt;=DueSoonDays,"Due soon","OK"))))))</f>
        <v>Complete</v>
      </c>
      <c r="Z104" s="45" t="str">
        <f>IF(tblWorkOrders[[#This Row],[WO no.]]="","",IF(OR(tblWorkOrders[[#This Row],[Status]]&lt;&gt;"Complete",tblWorkOrders[[#This Row],[Date completed]]="",tblWorkOrders[[#This Row],[Due date]]=""),"",IF(tblWorkOrders[[#This Row],[Date completed]]&lt;=tblWorkOrders[[#This Row],[Due date]],"Yes","No")))</f>
        <v>No</v>
      </c>
      <c r="AA104" s="42">
        <f>IF(tblWorkOrders[[#This Row],[WO no.]]="","",IF(AND(tblWorkOrders[[#This Row],[Date raised]]&gt;=FFrom,tblWorkOrders[[#This Row],[Date raised]]&lt;=FTo),tblWorkOrders[[#This Row],[Date raised]],""))</f>
        <v>46287</v>
      </c>
      <c r="AB10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5" spans="2:28" x14ac:dyDescent="0.25">
      <c r="B105" s="28" t="s">
        <v>336</v>
      </c>
      <c r="C105" s="29">
        <v>46287</v>
      </c>
      <c r="D105" s="28" t="s">
        <v>97</v>
      </c>
      <c r="E105" s="39" t="s">
        <v>256</v>
      </c>
      <c r="F105" s="28" t="s">
        <v>130</v>
      </c>
      <c r="G105" s="28" t="s">
        <v>147</v>
      </c>
      <c r="H105" s="28" t="s">
        <v>159</v>
      </c>
      <c r="I105" s="28" t="s">
        <v>200</v>
      </c>
      <c r="J105" s="29">
        <v>46304</v>
      </c>
      <c r="K105" s="31">
        <v>6</v>
      </c>
      <c r="L105" s="31">
        <v>7.5</v>
      </c>
      <c r="M105" s="30">
        <v>150</v>
      </c>
      <c r="N105" s="30">
        <v>0</v>
      </c>
      <c r="O105" s="31">
        <v>0</v>
      </c>
      <c r="P105" s="40" t="str">
        <f>IF(tblWorkOrders[[#This Row],[WO no.]]="","",IFERROR(INDEX(tblAssets[Area],MATCH(tblWorkOrders[[#This Row],[Asset]],tblAssets[Asset ID],0)),""))</f>
        <v>Processing</v>
      </c>
      <c r="Q105" s="40" t="str">
        <f>IF(tblWorkOrders[[#This Row],[WO no.]]="","",IFERROR(INDEX(tblWorkTypes[Category],MATCH(tblWorkOrders[[#This Row],[Work type]],tblWorkTypes[Work type],0)),""))</f>
        <v>Corrective</v>
      </c>
      <c r="R105" s="41">
        <f>IF(tblWorkOrders[[#This Row],[WO no.]]="","",IFERROR(INDEX(tblPriorities[Target (days)],MATCH(tblWorkOrders[[#This Row],[Priority]],tblPriorities[Priority],0)),""))</f>
        <v>14</v>
      </c>
      <c r="S105" s="42">
        <f>IF(tblWorkOrders[[#This Row],[WO no.]]="","",IF(tblWorkOrders[[#This Row],[Target (days)]]="","",tblWorkOrders[[#This Row],[Date raised]]+tblWorkOrders[[#This Row],[Target (days)]]))</f>
        <v>46301</v>
      </c>
      <c r="T105" s="41">
        <f>IF(tblWorkOrders[[#This Row],[WO no.]]="","",IF(OR(tblWorkOrders[[#This Row],[Status]]="Complete",tblWorkOrders[[#This Row],[Status]]="Cancelled"),0,1))</f>
        <v>0</v>
      </c>
      <c r="U105" s="41">
        <f>IF(tblWorkOrders[[#This Row],[WO no.]]="","",IF(tblWorkOrders[[#This Row],[Status]]="Cancelled","",IF(tblWorkOrders[[#This Row],[Open]]=1,AsOf-tblWorkOrders[[#This Row],[Date raised]],IF(tblWorkOrders[[#This Row],[Date completed]]="","",tblWorkOrders[[#This Row],[Date completed]]-tblWorkOrders[[#This Row],[Date raised]]))))</f>
        <v>17</v>
      </c>
      <c r="V105" s="43">
        <f>IF(tblWorkOrders[[#This Row],[WO no.]]="","",IF(tblWorkOrders[[#This Row],[Open]]=1,MAX(0,tblWorkOrders[[#This Row],[Estimated (h)]]-tblWorkOrders[[#This Row],[Actual (h)]]),0))</f>
        <v>0</v>
      </c>
      <c r="W105" s="44">
        <f>IF(tblWorkOrders[[#This Row],[WO no.]]="","",tblWorkOrders[[#This Row],[Actual (h)]]*LabourRate)</f>
        <v>360</v>
      </c>
      <c r="X105" s="44">
        <f>IF(tblWorkOrders[[#This Row],[WO no.]]="","",tblWorkOrders[[#This Row],[Labour cost]]+tblWorkOrders[[#This Row],[Parts cost]]+tblWorkOrders[[#This Row],[Contractor cost]])</f>
        <v>510</v>
      </c>
      <c r="Y105" s="45" t="str">
        <f>IF(tblWorkOrders[[#This Row],[WO no.]]="","",IF(tblWorkOrders[[#This Row],[Status]]="Cancelled","",IF(tblWorkOrders[[#This Row],[Open]]=0,"Complete",IF(tblWorkOrders[[#This Row],[Due date]]="","",IF(AsOf&gt;tblWorkOrders[[#This Row],[Due date]],"Overdue",IF(tblWorkOrders[[#This Row],[Due date]]-AsOf&lt;=DueSoonDays,"Due soon","OK"))))))</f>
        <v>Complete</v>
      </c>
      <c r="Z105" s="45" t="str">
        <f>IF(tblWorkOrders[[#This Row],[WO no.]]="","",IF(OR(tblWorkOrders[[#This Row],[Status]]&lt;&gt;"Complete",tblWorkOrders[[#This Row],[Date completed]]="",tblWorkOrders[[#This Row],[Due date]]=""),"",IF(tblWorkOrders[[#This Row],[Date completed]]&lt;=tblWorkOrders[[#This Row],[Due date]],"Yes","No")))</f>
        <v>No</v>
      </c>
      <c r="AA105" s="42">
        <f>IF(tblWorkOrders[[#This Row],[WO no.]]="","",IF(AND(tblWorkOrders[[#This Row],[Date raised]]&gt;=FFrom,tblWorkOrders[[#This Row],[Date raised]]&lt;=FTo),tblWorkOrders[[#This Row],[Date raised]],""))</f>
        <v>46287</v>
      </c>
      <c r="AB10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6" spans="2:28" x14ac:dyDescent="0.25">
      <c r="B106" s="28" t="s">
        <v>337</v>
      </c>
      <c r="C106" s="29">
        <v>46288</v>
      </c>
      <c r="D106" s="28" t="s">
        <v>119</v>
      </c>
      <c r="E106" s="39" t="s">
        <v>338</v>
      </c>
      <c r="F106" s="28" t="s">
        <v>130</v>
      </c>
      <c r="G106" s="28" t="s">
        <v>145</v>
      </c>
      <c r="H106" s="28" t="s">
        <v>159</v>
      </c>
      <c r="I106" s="28" t="s">
        <v>200</v>
      </c>
      <c r="J106" s="29">
        <v>46289</v>
      </c>
      <c r="K106" s="31">
        <v>4</v>
      </c>
      <c r="L106" s="31">
        <v>4.5</v>
      </c>
      <c r="M106" s="30">
        <v>150</v>
      </c>
      <c r="N106" s="30">
        <v>0</v>
      </c>
      <c r="O106" s="31">
        <v>0</v>
      </c>
      <c r="P106" s="40" t="str">
        <f>IF(tblWorkOrders[[#This Row],[WO no.]]="","",IFERROR(INDEX(tblAssets[Area],MATCH(tblWorkOrders[[#This Row],[Asset]],tblAssets[Asset ID],0)),""))</f>
        <v>Utilities</v>
      </c>
      <c r="Q106" s="40" t="str">
        <f>IF(tblWorkOrders[[#This Row],[WO no.]]="","",IFERROR(INDEX(tblWorkTypes[Category],MATCH(tblWorkOrders[[#This Row],[Work type]],tblWorkTypes[Work type],0)),""))</f>
        <v>Corrective</v>
      </c>
      <c r="R106" s="41">
        <f>IF(tblWorkOrders[[#This Row],[WO no.]]="","",IFERROR(INDEX(tblPriorities[Target (days)],MATCH(tblWorkOrders[[#This Row],[Priority]],tblPriorities[Priority],0)),""))</f>
        <v>3</v>
      </c>
      <c r="S106" s="42">
        <f>IF(tblWorkOrders[[#This Row],[WO no.]]="","",IF(tblWorkOrders[[#This Row],[Target (days)]]="","",tblWorkOrders[[#This Row],[Date raised]]+tblWorkOrders[[#This Row],[Target (days)]]))</f>
        <v>46291</v>
      </c>
      <c r="T106" s="41">
        <f>IF(tblWorkOrders[[#This Row],[WO no.]]="","",IF(OR(tblWorkOrders[[#This Row],[Status]]="Complete",tblWorkOrders[[#This Row],[Status]]="Cancelled"),0,1))</f>
        <v>0</v>
      </c>
      <c r="U106" s="41">
        <f>IF(tblWorkOrders[[#This Row],[WO no.]]="","",IF(tblWorkOrders[[#This Row],[Status]]="Cancelled","",IF(tblWorkOrders[[#This Row],[Open]]=1,AsOf-tblWorkOrders[[#This Row],[Date raised]],IF(tblWorkOrders[[#This Row],[Date completed]]="","",tblWorkOrders[[#This Row],[Date completed]]-tblWorkOrders[[#This Row],[Date raised]]))))</f>
        <v>1</v>
      </c>
      <c r="V106" s="43">
        <f>IF(tblWorkOrders[[#This Row],[WO no.]]="","",IF(tblWorkOrders[[#This Row],[Open]]=1,MAX(0,tblWorkOrders[[#This Row],[Estimated (h)]]-tblWorkOrders[[#This Row],[Actual (h)]]),0))</f>
        <v>0</v>
      </c>
      <c r="W106" s="44">
        <f>IF(tblWorkOrders[[#This Row],[WO no.]]="","",tblWorkOrders[[#This Row],[Actual (h)]]*LabourRate)</f>
        <v>216</v>
      </c>
      <c r="X106" s="44">
        <f>IF(tblWorkOrders[[#This Row],[WO no.]]="","",tblWorkOrders[[#This Row],[Labour cost]]+tblWorkOrders[[#This Row],[Parts cost]]+tblWorkOrders[[#This Row],[Contractor cost]])</f>
        <v>366</v>
      </c>
      <c r="Y106" s="45" t="str">
        <f>IF(tblWorkOrders[[#This Row],[WO no.]]="","",IF(tblWorkOrders[[#This Row],[Status]]="Cancelled","",IF(tblWorkOrders[[#This Row],[Open]]=0,"Complete",IF(tblWorkOrders[[#This Row],[Due date]]="","",IF(AsOf&gt;tblWorkOrders[[#This Row],[Due date]],"Overdue",IF(tblWorkOrders[[#This Row],[Due date]]-AsOf&lt;=DueSoonDays,"Due soon","OK"))))))</f>
        <v>Complete</v>
      </c>
      <c r="Z106" s="45" t="str">
        <f>IF(tblWorkOrders[[#This Row],[WO no.]]="","",IF(OR(tblWorkOrders[[#This Row],[Status]]&lt;&gt;"Complete",tblWorkOrders[[#This Row],[Date completed]]="",tblWorkOrders[[#This Row],[Due date]]=""),"",IF(tblWorkOrders[[#This Row],[Date completed]]&lt;=tblWorkOrders[[#This Row],[Due date]],"Yes","No")))</f>
        <v>Yes</v>
      </c>
      <c r="AA106" s="42">
        <f>IF(tblWorkOrders[[#This Row],[WO no.]]="","",IF(AND(tblWorkOrders[[#This Row],[Date raised]]&gt;=FFrom,tblWorkOrders[[#This Row],[Date raised]]&lt;=FTo),tblWorkOrders[[#This Row],[Date raised]],""))</f>
        <v>46288</v>
      </c>
      <c r="AB10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7" spans="2:28" x14ac:dyDescent="0.25">
      <c r="B107" s="28" t="s">
        <v>339</v>
      </c>
      <c r="C107" s="29">
        <v>46288</v>
      </c>
      <c r="D107" s="28" t="s">
        <v>124</v>
      </c>
      <c r="E107" s="39" t="s">
        <v>340</v>
      </c>
      <c r="F107" s="28" t="s">
        <v>130</v>
      </c>
      <c r="G107" s="28" t="s">
        <v>147</v>
      </c>
      <c r="H107" s="28" t="s">
        <v>159</v>
      </c>
      <c r="I107" s="28" t="s">
        <v>200</v>
      </c>
      <c r="J107" s="29">
        <v>46291</v>
      </c>
      <c r="K107" s="31">
        <v>2</v>
      </c>
      <c r="L107" s="31">
        <v>1.5</v>
      </c>
      <c r="M107" s="30">
        <v>340</v>
      </c>
      <c r="N107" s="30">
        <v>0</v>
      </c>
      <c r="O107" s="31">
        <v>0</v>
      </c>
      <c r="P107" s="40" t="str">
        <f>IF(tblWorkOrders[[#This Row],[WO no.]]="","",IFERROR(INDEX(tblAssets[Area],MATCH(tblWorkOrders[[#This Row],[Asset]],tblAssets[Asset ID],0)),""))</f>
        <v>Utilities</v>
      </c>
      <c r="Q107" s="40" t="str">
        <f>IF(tblWorkOrders[[#This Row],[WO no.]]="","",IFERROR(INDEX(tblWorkTypes[Category],MATCH(tblWorkOrders[[#This Row],[Work type]],tblWorkTypes[Work type],0)),""))</f>
        <v>Corrective</v>
      </c>
      <c r="R107" s="41">
        <f>IF(tblWorkOrders[[#This Row],[WO no.]]="","",IFERROR(INDEX(tblPriorities[Target (days)],MATCH(tblWorkOrders[[#This Row],[Priority]],tblPriorities[Priority],0)),""))</f>
        <v>14</v>
      </c>
      <c r="S107" s="42">
        <f>IF(tblWorkOrders[[#This Row],[WO no.]]="","",IF(tblWorkOrders[[#This Row],[Target (days)]]="","",tblWorkOrders[[#This Row],[Date raised]]+tblWorkOrders[[#This Row],[Target (days)]]))</f>
        <v>46302</v>
      </c>
      <c r="T107" s="41">
        <f>IF(tblWorkOrders[[#This Row],[WO no.]]="","",IF(OR(tblWorkOrders[[#This Row],[Status]]="Complete",tblWorkOrders[[#This Row],[Status]]="Cancelled"),0,1))</f>
        <v>0</v>
      </c>
      <c r="U107" s="41">
        <f>IF(tblWorkOrders[[#This Row],[WO no.]]="","",IF(tblWorkOrders[[#This Row],[Status]]="Cancelled","",IF(tblWorkOrders[[#This Row],[Open]]=1,AsOf-tblWorkOrders[[#This Row],[Date raised]],IF(tblWorkOrders[[#This Row],[Date completed]]="","",tblWorkOrders[[#This Row],[Date completed]]-tblWorkOrders[[#This Row],[Date raised]]))))</f>
        <v>3</v>
      </c>
      <c r="V107" s="43">
        <f>IF(tblWorkOrders[[#This Row],[WO no.]]="","",IF(tblWorkOrders[[#This Row],[Open]]=1,MAX(0,tblWorkOrders[[#This Row],[Estimated (h)]]-tblWorkOrders[[#This Row],[Actual (h)]]),0))</f>
        <v>0</v>
      </c>
      <c r="W107" s="44">
        <f>IF(tblWorkOrders[[#This Row],[WO no.]]="","",tblWorkOrders[[#This Row],[Actual (h)]]*LabourRate)</f>
        <v>72</v>
      </c>
      <c r="X107" s="44">
        <f>IF(tblWorkOrders[[#This Row],[WO no.]]="","",tblWorkOrders[[#This Row],[Labour cost]]+tblWorkOrders[[#This Row],[Parts cost]]+tblWorkOrders[[#This Row],[Contractor cost]])</f>
        <v>412</v>
      </c>
      <c r="Y107" s="45" t="str">
        <f>IF(tblWorkOrders[[#This Row],[WO no.]]="","",IF(tblWorkOrders[[#This Row],[Status]]="Cancelled","",IF(tblWorkOrders[[#This Row],[Open]]=0,"Complete",IF(tblWorkOrders[[#This Row],[Due date]]="","",IF(AsOf&gt;tblWorkOrders[[#This Row],[Due date]],"Overdue",IF(tblWorkOrders[[#This Row],[Due date]]-AsOf&lt;=DueSoonDays,"Due soon","OK"))))))</f>
        <v>Complete</v>
      </c>
      <c r="Z107" s="45" t="str">
        <f>IF(tblWorkOrders[[#This Row],[WO no.]]="","",IF(OR(tblWorkOrders[[#This Row],[Status]]&lt;&gt;"Complete",tblWorkOrders[[#This Row],[Date completed]]="",tblWorkOrders[[#This Row],[Due date]]=""),"",IF(tblWorkOrders[[#This Row],[Date completed]]&lt;=tblWorkOrders[[#This Row],[Due date]],"Yes","No")))</f>
        <v>Yes</v>
      </c>
      <c r="AA107" s="42">
        <f>IF(tblWorkOrders[[#This Row],[WO no.]]="","",IF(AND(tblWorkOrders[[#This Row],[Date raised]]&gt;=FFrom,tblWorkOrders[[#This Row],[Date raised]]&lt;=FTo),tblWorkOrders[[#This Row],[Date raised]],""))</f>
        <v>46288</v>
      </c>
      <c r="AB10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8" spans="2:28" x14ac:dyDescent="0.25">
      <c r="B108" s="28" t="s">
        <v>341</v>
      </c>
      <c r="C108" s="29">
        <v>46289</v>
      </c>
      <c r="D108" s="28" t="s">
        <v>116</v>
      </c>
      <c r="E108" s="39" t="s">
        <v>254</v>
      </c>
      <c r="F108" s="28" t="s">
        <v>130</v>
      </c>
      <c r="G108" s="28" t="s">
        <v>147</v>
      </c>
      <c r="H108" s="28" t="s">
        <v>159</v>
      </c>
      <c r="I108" s="28" t="s">
        <v>176</v>
      </c>
      <c r="J108" s="29"/>
      <c r="K108" s="31">
        <v>16</v>
      </c>
      <c r="L108" s="31">
        <v>0</v>
      </c>
      <c r="M108" s="30">
        <v>0</v>
      </c>
      <c r="N108" s="30">
        <v>0</v>
      </c>
      <c r="O108" s="31">
        <v>0</v>
      </c>
      <c r="P108" s="40" t="str">
        <f>IF(tblWorkOrders[[#This Row],[WO no.]]="","",IFERROR(INDEX(tblAssets[Area],MATCH(tblWorkOrders[[#This Row],[Asset]],tblAssets[Asset ID],0)),""))</f>
        <v>End of line</v>
      </c>
      <c r="Q108" s="40" t="str">
        <f>IF(tblWorkOrders[[#This Row],[WO no.]]="","",IFERROR(INDEX(tblWorkTypes[Category],MATCH(tblWorkOrders[[#This Row],[Work type]],tblWorkTypes[Work type],0)),""))</f>
        <v>Corrective</v>
      </c>
      <c r="R108" s="41">
        <f>IF(tblWorkOrders[[#This Row],[WO no.]]="","",IFERROR(INDEX(tblPriorities[Target (days)],MATCH(tblWorkOrders[[#This Row],[Priority]],tblPriorities[Priority],0)),""))</f>
        <v>14</v>
      </c>
      <c r="S108" s="42">
        <f>IF(tblWorkOrders[[#This Row],[WO no.]]="","",IF(tblWorkOrders[[#This Row],[Target (days)]]="","",tblWorkOrders[[#This Row],[Date raised]]+tblWorkOrders[[#This Row],[Target (days)]]))</f>
        <v>46303</v>
      </c>
      <c r="T108" s="41">
        <f>IF(tblWorkOrders[[#This Row],[WO no.]]="","",IF(OR(tblWorkOrders[[#This Row],[Status]]="Complete",tblWorkOrders[[#This Row],[Status]]="Cancelled"),0,1))</f>
        <v>1</v>
      </c>
      <c r="U108" s="41">
        <f>IF(tblWorkOrders[[#This Row],[WO no.]]="","",IF(tblWorkOrders[[#This Row],[Status]]="Cancelled","",IF(tblWorkOrders[[#This Row],[Open]]=1,AsOf-tblWorkOrders[[#This Row],[Date raised]],IF(tblWorkOrders[[#This Row],[Date completed]]="","",tblWorkOrders[[#This Row],[Date completed]]-tblWorkOrders[[#This Row],[Date raised]]))))</f>
        <v>15</v>
      </c>
      <c r="V108" s="43">
        <f>IF(tblWorkOrders[[#This Row],[WO no.]]="","",IF(tblWorkOrders[[#This Row],[Open]]=1,MAX(0,tblWorkOrders[[#This Row],[Estimated (h)]]-tblWorkOrders[[#This Row],[Actual (h)]]),0))</f>
        <v>16</v>
      </c>
      <c r="W108" s="44">
        <f>IF(tblWorkOrders[[#This Row],[WO no.]]="","",tblWorkOrders[[#This Row],[Actual (h)]]*LabourRate)</f>
        <v>0</v>
      </c>
      <c r="X108" s="44">
        <f>IF(tblWorkOrders[[#This Row],[WO no.]]="","",tblWorkOrders[[#This Row],[Labour cost]]+tblWorkOrders[[#This Row],[Parts cost]]+tblWorkOrders[[#This Row],[Contractor cost]])</f>
        <v>0</v>
      </c>
      <c r="Y108" s="45" t="str">
        <f>IF(tblWorkOrders[[#This Row],[WO no.]]="","",IF(tblWorkOrders[[#This Row],[Status]]="Cancelled","",IF(tblWorkOrders[[#This Row],[Open]]=0,"Complete",IF(tblWorkOrders[[#This Row],[Due date]]="","",IF(AsOf&gt;tblWorkOrders[[#This Row],[Due date]],"Overdue",IF(tblWorkOrders[[#This Row],[Due date]]-AsOf&lt;=DueSoonDays,"Due soon","OK"))))))</f>
        <v>Overdue</v>
      </c>
      <c r="Z108" s="45">
        <f>IF(tblWorkOrders[[#This Row],[WO no.]]="","",IF(OR(tblWorkOrders[[#This Row],[Status]]&lt;&gt;"Complete",tblWorkOrders[[#This Row],[Date completed]]="",tblWorkOrders[[#This Row],[Due date]]=""),"",IF(tblWorkOrders[[#This Row],[Date completed]]&lt;=tblWorkOrders[[#This Row],[Due date]],"Yes","No")))</f>
        <v/>
      </c>
      <c r="AA108" s="42">
        <f>IF(tblWorkOrders[[#This Row],[WO no.]]="","",IF(AND(tblWorkOrders[[#This Row],[Date raised]]&gt;=FFrom,tblWorkOrders[[#This Row],[Date raised]]&lt;=FTo),tblWorkOrders[[#This Row],[Date raised]],""))</f>
        <v>46289</v>
      </c>
      <c r="AB10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09" spans="2:28" x14ac:dyDescent="0.25">
      <c r="B109" s="28" t="s">
        <v>342</v>
      </c>
      <c r="C109" s="29">
        <v>46290</v>
      </c>
      <c r="D109" s="28" t="s">
        <v>119</v>
      </c>
      <c r="E109" s="39" t="s">
        <v>319</v>
      </c>
      <c r="F109" s="28" t="s">
        <v>130</v>
      </c>
      <c r="G109" s="28" t="s">
        <v>147</v>
      </c>
      <c r="H109" s="28" t="s">
        <v>152</v>
      </c>
      <c r="I109" s="28" t="s">
        <v>176</v>
      </c>
      <c r="J109" s="29"/>
      <c r="K109" s="31">
        <v>16</v>
      </c>
      <c r="L109" s="31">
        <v>0</v>
      </c>
      <c r="M109" s="30">
        <v>0</v>
      </c>
      <c r="N109" s="30">
        <v>0</v>
      </c>
      <c r="O109" s="31">
        <v>0</v>
      </c>
      <c r="P109" s="40" t="str">
        <f>IF(tblWorkOrders[[#This Row],[WO no.]]="","",IFERROR(INDEX(tblAssets[Area],MATCH(tblWorkOrders[[#This Row],[Asset]],tblAssets[Asset ID],0)),""))</f>
        <v>Utilities</v>
      </c>
      <c r="Q109" s="40" t="str">
        <f>IF(tblWorkOrders[[#This Row],[WO no.]]="","",IFERROR(INDEX(tblWorkTypes[Category],MATCH(tblWorkOrders[[#This Row],[Work type]],tblWorkTypes[Work type],0)),""))</f>
        <v>Corrective</v>
      </c>
      <c r="R109" s="41">
        <f>IF(tblWorkOrders[[#This Row],[WO no.]]="","",IFERROR(INDEX(tblPriorities[Target (days)],MATCH(tblWorkOrders[[#This Row],[Priority]],tblPriorities[Priority],0)),""))</f>
        <v>14</v>
      </c>
      <c r="S109" s="42">
        <f>IF(tblWorkOrders[[#This Row],[WO no.]]="","",IF(tblWorkOrders[[#This Row],[Target (days)]]="","",tblWorkOrders[[#This Row],[Date raised]]+tblWorkOrders[[#This Row],[Target (days)]]))</f>
        <v>46304</v>
      </c>
      <c r="T109" s="41">
        <f>IF(tblWorkOrders[[#This Row],[WO no.]]="","",IF(OR(tblWorkOrders[[#This Row],[Status]]="Complete",tblWorkOrders[[#This Row],[Status]]="Cancelled"),0,1))</f>
        <v>1</v>
      </c>
      <c r="U109" s="41">
        <f>IF(tblWorkOrders[[#This Row],[WO no.]]="","",IF(tblWorkOrders[[#This Row],[Status]]="Cancelled","",IF(tblWorkOrders[[#This Row],[Open]]=1,AsOf-tblWorkOrders[[#This Row],[Date raised]],IF(tblWorkOrders[[#This Row],[Date completed]]="","",tblWorkOrders[[#This Row],[Date completed]]-tblWorkOrders[[#This Row],[Date raised]]))))</f>
        <v>14</v>
      </c>
      <c r="V109" s="43">
        <f>IF(tblWorkOrders[[#This Row],[WO no.]]="","",IF(tblWorkOrders[[#This Row],[Open]]=1,MAX(0,tblWorkOrders[[#This Row],[Estimated (h)]]-tblWorkOrders[[#This Row],[Actual (h)]]),0))</f>
        <v>16</v>
      </c>
      <c r="W109" s="44">
        <f>IF(tblWorkOrders[[#This Row],[WO no.]]="","",tblWorkOrders[[#This Row],[Actual (h)]]*LabourRate)</f>
        <v>0</v>
      </c>
      <c r="X109" s="44">
        <f>IF(tblWorkOrders[[#This Row],[WO no.]]="","",tblWorkOrders[[#This Row],[Labour cost]]+tblWorkOrders[[#This Row],[Parts cost]]+tblWorkOrders[[#This Row],[Contractor cost]])</f>
        <v>0</v>
      </c>
      <c r="Y109" s="45" t="str">
        <f>IF(tblWorkOrders[[#This Row],[WO no.]]="","",IF(tblWorkOrders[[#This Row],[Status]]="Cancelled","",IF(tblWorkOrders[[#This Row],[Open]]=0,"Complete",IF(tblWorkOrders[[#This Row],[Due date]]="","",IF(AsOf&gt;tblWorkOrders[[#This Row],[Due date]],"Overdue",IF(tblWorkOrders[[#This Row],[Due date]]-AsOf&lt;=DueSoonDays,"Due soon","OK"))))))</f>
        <v>Due soon</v>
      </c>
      <c r="Z109" s="45">
        <f>IF(tblWorkOrders[[#This Row],[WO no.]]="","",IF(OR(tblWorkOrders[[#This Row],[Status]]&lt;&gt;"Complete",tblWorkOrders[[#This Row],[Date completed]]="",tblWorkOrders[[#This Row],[Due date]]=""),"",IF(tblWorkOrders[[#This Row],[Date completed]]&lt;=tblWorkOrders[[#This Row],[Due date]],"Yes","No")))</f>
        <v/>
      </c>
      <c r="AA109" s="42">
        <f>IF(tblWorkOrders[[#This Row],[WO no.]]="","",IF(AND(tblWorkOrders[[#This Row],[Date raised]]&gt;=FFrom,tblWorkOrders[[#This Row],[Date raised]]&lt;=FTo),tblWorkOrders[[#This Row],[Date raised]],""))</f>
        <v>46290</v>
      </c>
      <c r="AB10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0" spans="2:28" x14ac:dyDescent="0.25">
      <c r="B110" s="28" t="s">
        <v>343</v>
      </c>
      <c r="C110" s="29">
        <v>46290</v>
      </c>
      <c r="D110" s="28" t="s">
        <v>124</v>
      </c>
      <c r="E110" s="39" t="s">
        <v>274</v>
      </c>
      <c r="F110" s="28" t="s">
        <v>130</v>
      </c>
      <c r="G110" s="28" t="s">
        <v>145</v>
      </c>
      <c r="H110" s="28" t="s">
        <v>159</v>
      </c>
      <c r="I110" s="28" t="s">
        <v>200</v>
      </c>
      <c r="J110" s="29">
        <v>46291</v>
      </c>
      <c r="K110" s="31">
        <v>12</v>
      </c>
      <c r="L110" s="31">
        <v>13</v>
      </c>
      <c r="M110" s="30">
        <v>0</v>
      </c>
      <c r="N110" s="30">
        <v>0</v>
      </c>
      <c r="O110" s="31">
        <v>0</v>
      </c>
      <c r="P110" s="40" t="str">
        <f>IF(tblWorkOrders[[#This Row],[WO no.]]="","",IFERROR(INDEX(tblAssets[Area],MATCH(tblWorkOrders[[#This Row],[Asset]],tblAssets[Asset ID],0)),""))</f>
        <v>Utilities</v>
      </c>
      <c r="Q110" s="40" t="str">
        <f>IF(tblWorkOrders[[#This Row],[WO no.]]="","",IFERROR(INDEX(tblWorkTypes[Category],MATCH(tblWorkOrders[[#This Row],[Work type]],tblWorkTypes[Work type],0)),""))</f>
        <v>Corrective</v>
      </c>
      <c r="R110" s="41">
        <f>IF(tblWorkOrders[[#This Row],[WO no.]]="","",IFERROR(INDEX(tblPriorities[Target (days)],MATCH(tblWorkOrders[[#This Row],[Priority]],tblPriorities[Priority],0)),""))</f>
        <v>3</v>
      </c>
      <c r="S110" s="42">
        <f>IF(tblWorkOrders[[#This Row],[WO no.]]="","",IF(tblWorkOrders[[#This Row],[Target (days)]]="","",tblWorkOrders[[#This Row],[Date raised]]+tblWorkOrders[[#This Row],[Target (days)]]))</f>
        <v>46293</v>
      </c>
      <c r="T110" s="41">
        <f>IF(tblWorkOrders[[#This Row],[WO no.]]="","",IF(OR(tblWorkOrders[[#This Row],[Status]]="Complete",tblWorkOrders[[#This Row],[Status]]="Cancelled"),0,1))</f>
        <v>0</v>
      </c>
      <c r="U110" s="41">
        <f>IF(tblWorkOrders[[#This Row],[WO no.]]="","",IF(tblWorkOrders[[#This Row],[Status]]="Cancelled","",IF(tblWorkOrders[[#This Row],[Open]]=1,AsOf-tblWorkOrders[[#This Row],[Date raised]],IF(tblWorkOrders[[#This Row],[Date completed]]="","",tblWorkOrders[[#This Row],[Date completed]]-tblWorkOrders[[#This Row],[Date raised]]))))</f>
        <v>1</v>
      </c>
      <c r="V110" s="43">
        <f>IF(tblWorkOrders[[#This Row],[WO no.]]="","",IF(tblWorkOrders[[#This Row],[Open]]=1,MAX(0,tblWorkOrders[[#This Row],[Estimated (h)]]-tblWorkOrders[[#This Row],[Actual (h)]]),0))</f>
        <v>0</v>
      </c>
      <c r="W110" s="44">
        <f>IF(tblWorkOrders[[#This Row],[WO no.]]="","",tblWorkOrders[[#This Row],[Actual (h)]]*LabourRate)</f>
        <v>624</v>
      </c>
      <c r="X110" s="44">
        <f>IF(tblWorkOrders[[#This Row],[WO no.]]="","",tblWorkOrders[[#This Row],[Labour cost]]+tblWorkOrders[[#This Row],[Parts cost]]+tblWorkOrders[[#This Row],[Contractor cost]])</f>
        <v>624</v>
      </c>
      <c r="Y110" s="45" t="str">
        <f>IF(tblWorkOrders[[#This Row],[WO no.]]="","",IF(tblWorkOrders[[#This Row],[Status]]="Cancelled","",IF(tblWorkOrders[[#This Row],[Open]]=0,"Complete",IF(tblWorkOrders[[#This Row],[Due date]]="","",IF(AsOf&gt;tblWorkOrders[[#This Row],[Due date]],"Overdue",IF(tblWorkOrders[[#This Row],[Due date]]-AsOf&lt;=DueSoonDays,"Due soon","OK"))))))</f>
        <v>Complete</v>
      </c>
      <c r="Z110" s="45" t="str">
        <f>IF(tblWorkOrders[[#This Row],[WO no.]]="","",IF(OR(tblWorkOrders[[#This Row],[Status]]&lt;&gt;"Complete",tblWorkOrders[[#This Row],[Date completed]]="",tblWorkOrders[[#This Row],[Due date]]=""),"",IF(tblWorkOrders[[#This Row],[Date completed]]&lt;=tblWorkOrders[[#This Row],[Due date]],"Yes","No")))</f>
        <v>Yes</v>
      </c>
      <c r="AA110" s="42">
        <f>IF(tblWorkOrders[[#This Row],[WO no.]]="","",IF(AND(tblWorkOrders[[#This Row],[Date raised]]&gt;=FFrom,tblWorkOrders[[#This Row],[Date raised]]&lt;=FTo),tblWorkOrders[[#This Row],[Date raised]],""))</f>
        <v>46290</v>
      </c>
      <c r="AB11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1" spans="2:28" x14ac:dyDescent="0.25">
      <c r="B111" s="28" t="s">
        <v>344</v>
      </c>
      <c r="C111" s="29">
        <v>46293</v>
      </c>
      <c r="D111" s="28" t="s">
        <v>122</v>
      </c>
      <c r="E111" s="39" t="s">
        <v>345</v>
      </c>
      <c r="F111" s="28" t="s">
        <v>140</v>
      </c>
      <c r="G111" s="28" t="s">
        <v>147</v>
      </c>
      <c r="H111" s="28" t="s">
        <v>159</v>
      </c>
      <c r="I111" s="28" t="s">
        <v>195</v>
      </c>
      <c r="J111" s="29"/>
      <c r="K111" s="31">
        <v>12</v>
      </c>
      <c r="L111" s="31">
        <v>6</v>
      </c>
      <c r="M111" s="30">
        <v>0</v>
      </c>
      <c r="N111" s="30">
        <v>0</v>
      </c>
      <c r="O111" s="31">
        <v>0</v>
      </c>
      <c r="P111" s="40" t="str">
        <f>IF(tblWorkOrders[[#This Row],[WO no.]]="","",IFERROR(INDEX(tblAssets[Area],MATCH(tblWorkOrders[[#This Row],[Asset]],tblAssets[Asset ID],0)),""))</f>
        <v>Utilities</v>
      </c>
      <c r="Q111" s="40" t="str">
        <f>IF(tblWorkOrders[[#This Row],[WO no.]]="","",IFERROR(INDEX(tblWorkTypes[Category],MATCH(tblWorkOrders[[#This Row],[Work type]],tblWorkTypes[Work type],0)),""))</f>
        <v>Planned</v>
      </c>
      <c r="R111" s="41">
        <f>IF(tblWorkOrders[[#This Row],[WO no.]]="","",IFERROR(INDEX(tblPriorities[Target (days)],MATCH(tblWorkOrders[[#This Row],[Priority]],tblPriorities[Priority],0)),""))</f>
        <v>14</v>
      </c>
      <c r="S111" s="42">
        <f>IF(tblWorkOrders[[#This Row],[WO no.]]="","",IF(tblWorkOrders[[#This Row],[Target (days)]]="","",tblWorkOrders[[#This Row],[Date raised]]+tblWorkOrders[[#This Row],[Target (days)]]))</f>
        <v>46307</v>
      </c>
      <c r="T111" s="41">
        <f>IF(tblWorkOrders[[#This Row],[WO no.]]="","",IF(OR(tblWorkOrders[[#This Row],[Status]]="Complete",tblWorkOrders[[#This Row],[Status]]="Cancelled"),0,1))</f>
        <v>1</v>
      </c>
      <c r="U111" s="41">
        <f>IF(tblWorkOrders[[#This Row],[WO no.]]="","",IF(tblWorkOrders[[#This Row],[Status]]="Cancelled","",IF(tblWorkOrders[[#This Row],[Open]]=1,AsOf-tblWorkOrders[[#This Row],[Date raised]],IF(tblWorkOrders[[#This Row],[Date completed]]="","",tblWorkOrders[[#This Row],[Date completed]]-tblWorkOrders[[#This Row],[Date raised]]))))</f>
        <v>11</v>
      </c>
      <c r="V111" s="43">
        <f>IF(tblWorkOrders[[#This Row],[WO no.]]="","",IF(tblWorkOrders[[#This Row],[Open]]=1,MAX(0,tblWorkOrders[[#This Row],[Estimated (h)]]-tblWorkOrders[[#This Row],[Actual (h)]]),0))</f>
        <v>6</v>
      </c>
      <c r="W111" s="44">
        <f>IF(tblWorkOrders[[#This Row],[WO no.]]="","",tblWorkOrders[[#This Row],[Actual (h)]]*LabourRate)</f>
        <v>288</v>
      </c>
      <c r="X111" s="44">
        <f>IF(tblWorkOrders[[#This Row],[WO no.]]="","",tblWorkOrders[[#This Row],[Labour cost]]+tblWorkOrders[[#This Row],[Parts cost]]+tblWorkOrders[[#This Row],[Contractor cost]])</f>
        <v>288</v>
      </c>
      <c r="Y111" s="45" t="str">
        <f>IF(tblWorkOrders[[#This Row],[WO no.]]="","",IF(tblWorkOrders[[#This Row],[Status]]="Cancelled","",IF(tblWorkOrders[[#This Row],[Open]]=0,"Complete",IF(tblWorkOrders[[#This Row],[Due date]]="","",IF(AsOf&gt;tblWorkOrders[[#This Row],[Due date]],"Overdue",IF(tblWorkOrders[[#This Row],[Due date]]-AsOf&lt;=DueSoonDays,"Due soon","OK"))))))</f>
        <v>Due soon</v>
      </c>
      <c r="Z111" s="45">
        <f>IF(tblWorkOrders[[#This Row],[WO no.]]="","",IF(OR(tblWorkOrders[[#This Row],[Status]]&lt;&gt;"Complete",tblWorkOrders[[#This Row],[Date completed]]="",tblWorkOrders[[#This Row],[Due date]]=""),"",IF(tblWorkOrders[[#This Row],[Date completed]]&lt;=tblWorkOrders[[#This Row],[Due date]],"Yes","No")))</f>
        <v/>
      </c>
      <c r="AA111" s="42">
        <f>IF(tblWorkOrders[[#This Row],[WO no.]]="","",IF(AND(tblWorkOrders[[#This Row],[Date raised]]&gt;=FFrom,tblWorkOrders[[#This Row],[Date raised]]&lt;=FTo),tblWorkOrders[[#This Row],[Date raised]],""))</f>
        <v>46293</v>
      </c>
      <c r="AB11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2" spans="2:28" x14ac:dyDescent="0.25">
      <c r="B112" s="28" t="s">
        <v>346</v>
      </c>
      <c r="C112" s="29">
        <v>46293</v>
      </c>
      <c r="D112" s="28" t="s">
        <v>107</v>
      </c>
      <c r="E112" s="39" t="s">
        <v>210</v>
      </c>
      <c r="F112" s="28" t="s">
        <v>133</v>
      </c>
      <c r="G112" s="28" t="s">
        <v>147</v>
      </c>
      <c r="H112" s="28" t="s">
        <v>152</v>
      </c>
      <c r="I112" s="28" t="s">
        <v>200</v>
      </c>
      <c r="J112" s="29">
        <v>46293</v>
      </c>
      <c r="K112" s="31">
        <v>2</v>
      </c>
      <c r="L112" s="31">
        <v>2</v>
      </c>
      <c r="M112" s="30">
        <v>25</v>
      </c>
      <c r="N112" s="30">
        <v>0</v>
      </c>
      <c r="O112" s="31">
        <v>0</v>
      </c>
      <c r="P112" s="40" t="str">
        <f>IF(tblWorkOrders[[#This Row],[WO no.]]="","",IFERROR(INDEX(tblAssets[Area],MATCH(tblWorkOrders[[#This Row],[Asset]],tblAssets[Asset ID],0)),""))</f>
        <v>Line 1</v>
      </c>
      <c r="Q112" s="40" t="str">
        <f>IF(tblWorkOrders[[#This Row],[WO no.]]="","",IFERROR(INDEX(tblWorkTypes[Category],MATCH(tblWorkOrders[[#This Row],[Work type]],tblWorkTypes[Work type],0)),""))</f>
        <v>Planned</v>
      </c>
      <c r="R112" s="41">
        <f>IF(tblWorkOrders[[#This Row],[WO no.]]="","",IFERROR(INDEX(tblPriorities[Target (days)],MATCH(tblWorkOrders[[#This Row],[Priority]],tblPriorities[Priority],0)),""))</f>
        <v>14</v>
      </c>
      <c r="S112" s="42">
        <f>IF(tblWorkOrders[[#This Row],[WO no.]]="","",IF(tblWorkOrders[[#This Row],[Target (days)]]="","",tblWorkOrders[[#This Row],[Date raised]]+tblWorkOrders[[#This Row],[Target (days)]]))</f>
        <v>46307</v>
      </c>
      <c r="T112" s="41">
        <f>IF(tblWorkOrders[[#This Row],[WO no.]]="","",IF(OR(tblWorkOrders[[#This Row],[Status]]="Complete",tblWorkOrders[[#This Row],[Status]]="Cancelled"),0,1))</f>
        <v>0</v>
      </c>
      <c r="U112" s="41">
        <f>IF(tblWorkOrders[[#This Row],[WO no.]]="","",IF(tblWorkOrders[[#This Row],[Status]]="Cancelled","",IF(tblWorkOrders[[#This Row],[Open]]=1,AsOf-tblWorkOrders[[#This Row],[Date raised]],IF(tblWorkOrders[[#This Row],[Date completed]]="","",tblWorkOrders[[#This Row],[Date completed]]-tblWorkOrders[[#This Row],[Date raised]]))))</f>
        <v>0</v>
      </c>
      <c r="V112" s="43">
        <f>IF(tblWorkOrders[[#This Row],[WO no.]]="","",IF(tblWorkOrders[[#This Row],[Open]]=1,MAX(0,tblWorkOrders[[#This Row],[Estimated (h)]]-tblWorkOrders[[#This Row],[Actual (h)]]),0))</f>
        <v>0</v>
      </c>
      <c r="W112" s="44">
        <f>IF(tblWorkOrders[[#This Row],[WO no.]]="","",tblWorkOrders[[#This Row],[Actual (h)]]*LabourRate)</f>
        <v>96</v>
      </c>
      <c r="X112" s="44">
        <f>IF(tblWorkOrders[[#This Row],[WO no.]]="","",tblWorkOrders[[#This Row],[Labour cost]]+tblWorkOrders[[#This Row],[Parts cost]]+tblWorkOrders[[#This Row],[Contractor cost]])</f>
        <v>121</v>
      </c>
      <c r="Y112" s="45" t="str">
        <f>IF(tblWorkOrders[[#This Row],[WO no.]]="","",IF(tblWorkOrders[[#This Row],[Status]]="Cancelled","",IF(tblWorkOrders[[#This Row],[Open]]=0,"Complete",IF(tblWorkOrders[[#This Row],[Due date]]="","",IF(AsOf&gt;tblWorkOrders[[#This Row],[Due date]],"Overdue",IF(tblWorkOrders[[#This Row],[Due date]]-AsOf&lt;=DueSoonDays,"Due soon","OK"))))))</f>
        <v>Complete</v>
      </c>
      <c r="Z112" s="45" t="str">
        <f>IF(tblWorkOrders[[#This Row],[WO no.]]="","",IF(OR(tblWorkOrders[[#This Row],[Status]]&lt;&gt;"Complete",tblWorkOrders[[#This Row],[Date completed]]="",tblWorkOrders[[#This Row],[Due date]]=""),"",IF(tblWorkOrders[[#This Row],[Date completed]]&lt;=tblWorkOrders[[#This Row],[Due date]],"Yes","No")))</f>
        <v>Yes</v>
      </c>
      <c r="AA112" s="42">
        <f>IF(tblWorkOrders[[#This Row],[WO no.]]="","",IF(AND(tblWorkOrders[[#This Row],[Date raised]]&gt;=FFrom,tblWorkOrders[[#This Row],[Date raised]]&lt;=FTo),tblWorkOrders[[#This Row],[Date raised]],""))</f>
        <v>46293</v>
      </c>
      <c r="AB11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3" spans="2:28" x14ac:dyDescent="0.25">
      <c r="B113" s="28" t="s">
        <v>347</v>
      </c>
      <c r="C113" s="29">
        <v>46293</v>
      </c>
      <c r="D113" s="28" t="s">
        <v>104</v>
      </c>
      <c r="E113" s="39" t="s">
        <v>264</v>
      </c>
      <c r="F113" s="28" t="s">
        <v>130</v>
      </c>
      <c r="G113" s="28" t="s">
        <v>147</v>
      </c>
      <c r="H113" s="28" t="s">
        <v>155</v>
      </c>
      <c r="I113" s="28" t="s">
        <v>200</v>
      </c>
      <c r="J113" s="29">
        <v>46300</v>
      </c>
      <c r="K113" s="31">
        <v>2</v>
      </c>
      <c r="L113" s="31">
        <v>2.5</v>
      </c>
      <c r="M113" s="30">
        <v>220</v>
      </c>
      <c r="N113" s="30">
        <v>0</v>
      </c>
      <c r="O113" s="31">
        <v>0</v>
      </c>
      <c r="P113" s="40" t="str">
        <f>IF(tblWorkOrders[[#This Row],[WO no.]]="","",IFERROR(INDEX(tblAssets[Area],MATCH(tblWorkOrders[[#This Row],[Asset]],tblAssets[Asset ID],0)),""))</f>
        <v>Line 1</v>
      </c>
      <c r="Q113" s="40" t="str">
        <f>IF(tblWorkOrders[[#This Row],[WO no.]]="","",IFERROR(INDEX(tblWorkTypes[Category],MATCH(tblWorkOrders[[#This Row],[Work type]],tblWorkTypes[Work type],0)),""))</f>
        <v>Corrective</v>
      </c>
      <c r="R113" s="41">
        <f>IF(tblWorkOrders[[#This Row],[WO no.]]="","",IFERROR(INDEX(tblPriorities[Target (days)],MATCH(tblWorkOrders[[#This Row],[Priority]],tblPriorities[Priority],0)),""))</f>
        <v>14</v>
      </c>
      <c r="S113" s="42">
        <f>IF(tblWorkOrders[[#This Row],[WO no.]]="","",IF(tblWorkOrders[[#This Row],[Target (days)]]="","",tblWorkOrders[[#This Row],[Date raised]]+tblWorkOrders[[#This Row],[Target (days)]]))</f>
        <v>46307</v>
      </c>
      <c r="T113" s="41">
        <f>IF(tblWorkOrders[[#This Row],[WO no.]]="","",IF(OR(tblWorkOrders[[#This Row],[Status]]="Complete",tblWorkOrders[[#This Row],[Status]]="Cancelled"),0,1))</f>
        <v>0</v>
      </c>
      <c r="U113" s="41">
        <f>IF(tblWorkOrders[[#This Row],[WO no.]]="","",IF(tblWorkOrders[[#This Row],[Status]]="Cancelled","",IF(tblWorkOrders[[#This Row],[Open]]=1,AsOf-tblWorkOrders[[#This Row],[Date raised]],IF(tblWorkOrders[[#This Row],[Date completed]]="","",tblWorkOrders[[#This Row],[Date completed]]-tblWorkOrders[[#This Row],[Date raised]]))))</f>
        <v>7</v>
      </c>
      <c r="V113" s="43">
        <f>IF(tblWorkOrders[[#This Row],[WO no.]]="","",IF(tblWorkOrders[[#This Row],[Open]]=1,MAX(0,tblWorkOrders[[#This Row],[Estimated (h)]]-tblWorkOrders[[#This Row],[Actual (h)]]),0))</f>
        <v>0</v>
      </c>
      <c r="W113" s="44">
        <f>IF(tblWorkOrders[[#This Row],[WO no.]]="","",tblWorkOrders[[#This Row],[Actual (h)]]*LabourRate)</f>
        <v>120</v>
      </c>
      <c r="X113" s="44">
        <f>IF(tblWorkOrders[[#This Row],[WO no.]]="","",tblWorkOrders[[#This Row],[Labour cost]]+tblWorkOrders[[#This Row],[Parts cost]]+tblWorkOrders[[#This Row],[Contractor cost]])</f>
        <v>340</v>
      </c>
      <c r="Y113" s="45" t="str">
        <f>IF(tblWorkOrders[[#This Row],[WO no.]]="","",IF(tblWorkOrders[[#This Row],[Status]]="Cancelled","",IF(tblWorkOrders[[#This Row],[Open]]=0,"Complete",IF(tblWorkOrders[[#This Row],[Due date]]="","",IF(AsOf&gt;tblWorkOrders[[#This Row],[Due date]],"Overdue",IF(tblWorkOrders[[#This Row],[Due date]]-AsOf&lt;=DueSoonDays,"Due soon","OK"))))))</f>
        <v>Complete</v>
      </c>
      <c r="Z113" s="45" t="str">
        <f>IF(tblWorkOrders[[#This Row],[WO no.]]="","",IF(OR(tblWorkOrders[[#This Row],[Status]]&lt;&gt;"Complete",tblWorkOrders[[#This Row],[Date completed]]="",tblWorkOrders[[#This Row],[Due date]]=""),"",IF(tblWorkOrders[[#This Row],[Date completed]]&lt;=tblWorkOrders[[#This Row],[Due date]],"Yes","No")))</f>
        <v>Yes</v>
      </c>
      <c r="AA113" s="42">
        <f>IF(tblWorkOrders[[#This Row],[WO no.]]="","",IF(AND(tblWorkOrders[[#This Row],[Date raised]]&gt;=FFrom,tblWorkOrders[[#This Row],[Date raised]]&lt;=FTo),tblWorkOrders[[#This Row],[Date raised]],""))</f>
        <v>46293</v>
      </c>
      <c r="AB11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4" spans="2:28" x14ac:dyDescent="0.25">
      <c r="B114" s="28" t="s">
        <v>348</v>
      </c>
      <c r="C114" s="29">
        <v>46293</v>
      </c>
      <c r="D114" s="28" t="s">
        <v>104</v>
      </c>
      <c r="E114" s="39" t="s">
        <v>212</v>
      </c>
      <c r="F114" s="28" t="s">
        <v>133</v>
      </c>
      <c r="G114" s="28" t="s">
        <v>147</v>
      </c>
      <c r="H114" s="28" t="s">
        <v>155</v>
      </c>
      <c r="I114" s="28" t="s">
        <v>200</v>
      </c>
      <c r="J114" s="29">
        <v>46296</v>
      </c>
      <c r="K114" s="31">
        <v>4</v>
      </c>
      <c r="L114" s="31">
        <v>4</v>
      </c>
      <c r="M114" s="30">
        <v>0</v>
      </c>
      <c r="N114" s="30">
        <v>0</v>
      </c>
      <c r="O114" s="31">
        <v>0</v>
      </c>
      <c r="P114" s="40" t="str">
        <f>IF(tblWorkOrders[[#This Row],[WO no.]]="","",IFERROR(INDEX(tblAssets[Area],MATCH(tblWorkOrders[[#This Row],[Asset]],tblAssets[Asset ID],0)),""))</f>
        <v>Line 1</v>
      </c>
      <c r="Q114" s="40" t="str">
        <f>IF(tblWorkOrders[[#This Row],[WO no.]]="","",IFERROR(INDEX(tblWorkTypes[Category],MATCH(tblWorkOrders[[#This Row],[Work type]],tblWorkTypes[Work type],0)),""))</f>
        <v>Planned</v>
      </c>
      <c r="R114" s="41">
        <f>IF(tblWorkOrders[[#This Row],[WO no.]]="","",IFERROR(INDEX(tblPriorities[Target (days)],MATCH(tblWorkOrders[[#This Row],[Priority]],tblPriorities[Priority],0)),""))</f>
        <v>14</v>
      </c>
      <c r="S114" s="42">
        <f>IF(tblWorkOrders[[#This Row],[WO no.]]="","",IF(tblWorkOrders[[#This Row],[Target (days)]]="","",tblWorkOrders[[#This Row],[Date raised]]+tblWorkOrders[[#This Row],[Target (days)]]))</f>
        <v>46307</v>
      </c>
      <c r="T114" s="41">
        <f>IF(tblWorkOrders[[#This Row],[WO no.]]="","",IF(OR(tblWorkOrders[[#This Row],[Status]]="Complete",tblWorkOrders[[#This Row],[Status]]="Cancelled"),0,1))</f>
        <v>0</v>
      </c>
      <c r="U114" s="41">
        <f>IF(tblWorkOrders[[#This Row],[WO no.]]="","",IF(tblWorkOrders[[#This Row],[Status]]="Cancelled","",IF(tblWorkOrders[[#This Row],[Open]]=1,AsOf-tblWorkOrders[[#This Row],[Date raised]],IF(tblWorkOrders[[#This Row],[Date completed]]="","",tblWorkOrders[[#This Row],[Date completed]]-tblWorkOrders[[#This Row],[Date raised]]))))</f>
        <v>3</v>
      </c>
      <c r="V114" s="43">
        <f>IF(tblWorkOrders[[#This Row],[WO no.]]="","",IF(tblWorkOrders[[#This Row],[Open]]=1,MAX(0,tblWorkOrders[[#This Row],[Estimated (h)]]-tblWorkOrders[[#This Row],[Actual (h)]]),0))</f>
        <v>0</v>
      </c>
      <c r="W114" s="44">
        <f>IF(tblWorkOrders[[#This Row],[WO no.]]="","",tblWorkOrders[[#This Row],[Actual (h)]]*LabourRate)</f>
        <v>192</v>
      </c>
      <c r="X114" s="44">
        <f>IF(tblWorkOrders[[#This Row],[WO no.]]="","",tblWorkOrders[[#This Row],[Labour cost]]+tblWorkOrders[[#This Row],[Parts cost]]+tblWorkOrders[[#This Row],[Contractor cost]])</f>
        <v>192</v>
      </c>
      <c r="Y114" s="45" t="str">
        <f>IF(tblWorkOrders[[#This Row],[WO no.]]="","",IF(tblWorkOrders[[#This Row],[Status]]="Cancelled","",IF(tblWorkOrders[[#This Row],[Open]]=0,"Complete",IF(tblWorkOrders[[#This Row],[Due date]]="","",IF(AsOf&gt;tblWorkOrders[[#This Row],[Due date]],"Overdue",IF(tblWorkOrders[[#This Row],[Due date]]-AsOf&lt;=DueSoonDays,"Due soon","OK"))))))</f>
        <v>Complete</v>
      </c>
      <c r="Z114" s="45" t="str">
        <f>IF(tblWorkOrders[[#This Row],[WO no.]]="","",IF(OR(tblWorkOrders[[#This Row],[Status]]&lt;&gt;"Complete",tblWorkOrders[[#This Row],[Date completed]]="",tblWorkOrders[[#This Row],[Due date]]=""),"",IF(tblWorkOrders[[#This Row],[Date completed]]&lt;=tblWorkOrders[[#This Row],[Due date]],"Yes","No")))</f>
        <v>Yes</v>
      </c>
      <c r="AA114" s="42">
        <f>IF(tblWorkOrders[[#This Row],[WO no.]]="","",IF(AND(tblWorkOrders[[#This Row],[Date raised]]&gt;=FFrom,tblWorkOrders[[#This Row],[Date raised]]&lt;=FTo),tblWorkOrders[[#This Row],[Date raised]],""))</f>
        <v>46293</v>
      </c>
      <c r="AB11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5" spans="2:28" x14ac:dyDescent="0.25">
      <c r="B115" s="28" t="s">
        <v>349</v>
      </c>
      <c r="C115" s="29">
        <v>46293</v>
      </c>
      <c r="D115" s="28" t="s">
        <v>111</v>
      </c>
      <c r="E115" s="39" t="s">
        <v>214</v>
      </c>
      <c r="F115" s="28" t="s">
        <v>133</v>
      </c>
      <c r="G115" s="28" t="s">
        <v>147</v>
      </c>
      <c r="H115" s="28" t="s">
        <v>157</v>
      </c>
      <c r="I115" s="28" t="s">
        <v>200</v>
      </c>
      <c r="J115" s="29">
        <v>46296</v>
      </c>
      <c r="K115" s="31">
        <v>3</v>
      </c>
      <c r="L115" s="31">
        <v>3.5</v>
      </c>
      <c r="M115" s="30">
        <v>25</v>
      </c>
      <c r="N115" s="30">
        <v>0</v>
      </c>
      <c r="O115" s="31">
        <v>0</v>
      </c>
      <c r="P115" s="40" t="str">
        <f>IF(tblWorkOrders[[#This Row],[WO no.]]="","",IFERROR(INDEX(tblAssets[Area],MATCH(tblWorkOrders[[#This Row],[Asset]],tblAssets[Asset ID],0)),""))</f>
        <v>Line 2</v>
      </c>
      <c r="Q115" s="40" t="str">
        <f>IF(tblWorkOrders[[#This Row],[WO no.]]="","",IFERROR(INDEX(tblWorkTypes[Category],MATCH(tblWorkOrders[[#This Row],[Work type]],tblWorkTypes[Work type],0)),""))</f>
        <v>Planned</v>
      </c>
      <c r="R115" s="41">
        <f>IF(tblWorkOrders[[#This Row],[WO no.]]="","",IFERROR(INDEX(tblPriorities[Target (days)],MATCH(tblWorkOrders[[#This Row],[Priority]],tblPriorities[Priority],0)),""))</f>
        <v>14</v>
      </c>
      <c r="S115" s="42">
        <f>IF(tblWorkOrders[[#This Row],[WO no.]]="","",IF(tblWorkOrders[[#This Row],[Target (days)]]="","",tblWorkOrders[[#This Row],[Date raised]]+tblWorkOrders[[#This Row],[Target (days)]]))</f>
        <v>46307</v>
      </c>
      <c r="T115" s="41">
        <f>IF(tblWorkOrders[[#This Row],[WO no.]]="","",IF(OR(tblWorkOrders[[#This Row],[Status]]="Complete",tblWorkOrders[[#This Row],[Status]]="Cancelled"),0,1))</f>
        <v>0</v>
      </c>
      <c r="U115" s="41">
        <f>IF(tblWorkOrders[[#This Row],[WO no.]]="","",IF(tblWorkOrders[[#This Row],[Status]]="Cancelled","",IF(tblWorkOrders[[#This Row],[Open]]=1,AsOf-tblWorkOrders[[#This Row],[Date raised]],IF(tblWorkOrders[[#This Row],[Date completed]]="","",tblWorkOrders[[#This Row],[Date completed]]-tblWorkOrders[[#This Row],[Date raised]]))))</f>
        <v>3</v>
      </c>
      <c r="V115" s="43">
        <f>IF(tblWorkOrders[[#This Row],[WO no.]]="","",IF(tblWorkOrders[[#This Row],[Open]]=1,MAX(0,tblWorkOrders[[#This Row],[Estimated (h)]]-tblWorkOrders[[#This Row],[Actual (h)]]),0))</f>
        <v>0</v>
      </c>
      <c r="W115" s="44">
        <f>IF(tblWorkOrders[[#This Row],[WO no.]]="","",tblWorkOrders[[#This Row],[Actual (h)]]*LabourRate)</f>
        <v>168</v>
      </c>
      <c r="X115" s="44">
        <f>IF(tblWorkOrders[[#This Row],[WO no.]]="","",tblWorkOrders[[#This Row],[Labour cost]]+tblWorkOrders[[#This Row],[Parts cost]]+tblWorkOrders[[#This Row],[Contractor cost]])</f>
        <v>193</v>
      </c>
      <c r="Y115" s="45" t="str">
        <f>IF(tblWorkOrders[[#This Row],[WO no.]]="","",IF(tblWorkOrders[[#This Row],[Status]]="Cancelled","",IF(tblWorkOrders[[#This Row],[Open]]=0,"Complete",IF(tblWorkOrders[[#This Row],[Due date]]="","",IF(AsOf&gt;tblWorkOrders[[#This Row],[Due date]],"Overdue",IF(tblWorkOrders[[#This Row],[Due date]]-AsOf&lt;=DueSoonDays,"Due soon","OK"))))))</f>
        <v>Complete</v>
      </c>
      <c r="Z115" s="45" t="str">
        <f>IF(tblWorkOrders[[#This Row],[WO no.]]="","",IF(OR(tblWorkOrders[[#This Row],[Status]]&lt;&gt;"Complete",tblWorkOrders[[#This Row],[Date completed]]="",tblWorkOrders[[#This Row],[Due date]]=""),"",IF(tblWorkOrders[[#This Row],[Date completed]]&lt;=tblWorkOrders[[#This Row],[Due date]],"Yes","No")))</f>
        <v>Yes</v>
      </c>
      <c r="AA115" s="42">
        <f>IF(tblWorkOrders[[#This Row],[WO no.]]="","",IF(AND(tblWorkOrders[[#This Row],[Date raised]]&gt;=FFrom,tblWorkOrders[[#This Row],[Date raised]]&lt;=FTo),tblWorkOrders[[#This Row],[Date raised]],""))</f>
        <v>46293</v>
      </c>
      <c r="AB11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6" spans="2:28" x14ac:dyDescent="0.25">
      <c r="B116" s="28" t="s">
        <v>350</v>
      </c>
      <c r="C116" s="29">
        <v>46293</v>
      </c>
      <c r="D116" s="28" t="s">
        <v>116</v>
      </c>
      <c r="E116" s="39" t="s">
        <v>216</v>
      </c>
      <c r="F116" s="28" t="s">
        <v>133</v>
      </c>
      <c r="G116" s="28" t="s">
        <v>147</v>
      </c>
      <c r="H116" s="28" t="s">
        <v>152</v>
      </c>
      <c r="I116" s="28" t="s">
        <v>200</v>
      </c>
      <c r="J116" s="29">
        <v>46295</v>
      </c>
      <c r="K116" s="31">
        <v>5</v>
      </c>
      <c r="L116" s="31">
        <v>6</v>
      </c>
      <c r="M116" s="30">
        <v>25</v>
      </c>
      <c r="N116" s="30">
        <v>0</v>
      </c>
      <c r="O116" s="31">
        <v>0</v>
      </c>
      <c r="P116" s="40" t="str">
        <f>IF(tblWorkOrders[[#This Row],[WO no.]]="","",IFERROR(INDEX(tblAssets[Area],MATCH(tblWorkOrders[[#This Row],[Asset]],tblAssets[Asset ID],0)),""))</f>
        <v>End of line</v>
      </c>
      <c r="Q116" s="40" t="str">
        <f>IF(tblWorkOrders[[#This Row],[WO no.]]="","",IFERROR(INDEX(tblWorkTypes[Category],MATCH(tblWorkOrders[[#This Row],[Work type]],tblWorkTypes[Work type],0)),""))</f>
        <v>Planned</v>
      </c>
      <c r="R116" s="41">
        <f>IF(tblWorkOrders[[#This Row],[WO no.]]="","",IFERROR(INDEX(tblPriorities[Target (days)],MATCH(tblWorkOrders[[#This Row],[Priority]],tblPriorities[Priority],0)),""))</f>
        <v>14</v>
      </c>
      <c r="S116" s="42">
        <f>IF(tblWorkOrders[[#This Row],[WO no.]]="","",IF(tblWorkOrders[[#This Row],[Target (days)]]="","",tblWorkOrders[[#This Row],[Date raised]]+tblWorkOrders[[#This Row],[Target (days)]]))</f>
        <v>46307</v>
      </c>
      <c r="T116" s="41">
        <f>IF(tblWorkOrders[[#This Row],[WO no.]]="","",IF(OR(tblWorkOrders[[#This Row],[Status]]="Complete",tblWorkOrders[[#This Row],[Status]]="Cancelled"),0,1))</f>
        <v>0</v>
      </c>
      <c r="U116" s="41">
        <f>IF(tblWorkOrders[[#This Row],[WO no.]]="","",IF(tblWorkOrders[[#This Row],[Status]]="Cancelled","",IF(tblWorkOrders[[#This Row],[Open]]=1,AsOf-tblWorkOrders[[#This Row],[Date raised]],IF(tblWorkOrders[[#This Row],[Date completed]]="","",tblWorkOrders[[#This Row],[Date completed]]-tblWorkOrders[[#This Row],[Date raised]]))))</f>
        <v>2</v>
      </c>
      <c r="V116" s="43">
        <f>IF(tblWorkOrders[[#This Row],[WO no.]]="","",IF(tblWorkOrders[[#This Row],[Open]]=1,MAX(0,tblWorkOrders[[#This Row],[Estimated (h)]]-tblWorkOrders[[#This Row],[Actual (h)]]),0))</f>
        <v>0</v>
      </c>
      <c r="W116" s="44">
        <f>IF(tblWorkOrders[[#This Row],[WO no.]]="","",tblWorkOrders[[#This Row],[Actual (h)]]*LabourRate)</f>
        <v>288</v>
      </c>
      <c r="X116" s="44">
        <f>IF(tblWorkOrders[[#This Row],[WO no.]]="","",tblWorkOrders[[#This Row],[Labour cost]]+tblWorkOrders[[#This Row],[Parts cost]]+tblWorkOrders[[#This Row],[Contractor cost]])</f>
        <v>313</v>
      </c>
      <c r="Y116" s="45" t="str">
        <f>IF(tblWorkOrders[[#This Row],[WO no.]]="","",IF(tblWorkOrders[[#This Row],[Status]]="Cancelled","",IF(tblWorkOrders[[#This Row],[Open]]=0,"Complete",IF(tblWorkOrders[[#This Row],[Due date]]="","",IF(AsOf&gt;tblWorkOrders[[#This Row],[Due date]],"Overdue",IF(tblWorkOrders[[#This Row],[Due date]]-AsOf&lt;=DueSoonDays,"Due soon","OK"))))))</f>
        <v>Complete</v>
      </c>
      <c r="Z116" s="45" t="str">
        <f>IF(tblWorkOrders[[#This Row],[WO no.]]="","",IF(OR(tblWorkOrders[[#This Row],[Status]]&lt;&gt;"Complete",tblWorkOrders[[#This Row],[Date completed]]="",tblWorkOrders[[#This Row],[Due date]]=""),"",IF(tblWorkOrders[[#This Row],[Date completed]]&lt;=tblWorkOrders[[#This Row],[Due date]],"Yes","No")))</f>
        <v>Yes</v>
      </c>
      <c r="AA116" s="42">
        <f>IF(tblWorkOrders[[#This Row],[WO no.]]="","",IF(AND(tblWorkOrders[[#This Row],[Date raised]]&gt;=FFrom,tblWorkOrders[[#This Row],[Date raised]]&lt;=FTo),tblWorkOrders[[#This Row],[Date raised]],""))</f>
        <v>46293</v>
      </c>
      <c r="AB11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7" spans="2:28" x14ac:dyDescent="0.25">
      <c r="B117" s="28" t="s">
        <v>351</v>
      </c>
      <c r="C117" s="29">
        <v>46293</v>
      </c>
      <c r="D117" s="28" t="s">
        <v>102</v>
      </c>
      <c r="E117" s="39" t="s">
        <v>303</v>
      </c>
      <c r="F117" s="28" t="s">
        <v>130</v>
      </c>
      <c r="G117" s="28" t="s">
        <v>147</v>
      </c>
      <c r="H117" s="28" t="s">
        <v>152</v>
      </c>
      <c r="I117" s="28" t="s">
        <v>200</v>
      </c>
      <c r="J117" s="29">
        <v>46298</v>
      </c>
      <c r="K117" s="31">
        <v>3</v>
      </c>
      <c r="L117" s="31">
        <v>3</v>
      </c>
      <c r="M117" s="30">
        <v>150</v>
      </c>
      <c r="N117" s="30">
        <v>0</v>
      </c>
      <c r="O117" s="31">
        <v>0</v>
      </c>
      <c r="P117" s="40" t="str">
        <f>IF(tblWorkOrders[[#This Row],[WO no.]]="","",IFERROR(INDEX(tblAssets[Area],MATCH(tblWorkOrders[[#This Row],[Asset]],tblAssets[Asset ID],0)),""))</f>
        <v>Processing</v>
      </c>
      <c r="Q117" s="40" t="str">
        <f>IF(tblWorkOrders[[#This Row],[WO no.]]="","",IFERROR(INDEX(tblWorkTypes[Category],MATCH(tblWorkOrders[[#This Row],[Work type]],tblWorkTypes[Work type],0)),""))</f>
        <v>Corrective</v>
      </c>
      <c r="R117" s="41">
        <f>IF(tblWorkOrders[[#This Row],[WO no.]]="","",IFERROR(INDEX(tblPriorities[Target (days)],MATCH(tblWorkOrders[[#This Row],[Priority]],tblPriorities[Priority],0)),""))</f>
        <v>14</v>
      </c>
      <c r="S117" s="42">
        <f>IF(tblWorkOrders[[#This Row],[WO no.]]="","",IF(tblWorkOrders[[#This Row],[Target (days)]]="","",tblWorkOrders[[#This Row],[Date raised]]+tblWorkOrders[[#This Row],[Target (days)]]))</f>
        <v>46307</v>
      </c>
      <c r="T117" s="41">
        <f>IF(tblWorkOrders[[#This Row],[WO no.]]="","",IF(OR(tblWorkOrders[[#This Row],[Status]]="Complete",tblWorkOrders[[#This Row],[Status]]="Cancelled"),0,1))</f>
        <v>0</v>
      </c>
      <c r="U117" s="41">
        <f>IF(tblWorkOrders[[#This Row],[WO no.]]="","",IF(tblWorkOrders[[#This Row],[Status]]="Cancelled","",IF(tblWorkOrders[[#This Row],[Open]]=1,AsOf-tblWorkOrders[[#This Row],[Date raised]],IF(tblWorkOrders[[#This Row],[Date completed]]="","",tblWorkOrders[[#This Row],[Date completed]]-tblWorkOrders[[#This Row],[Date raised]]))))</f>
        <v>5</v>
      </c>
      <c r="V117" s="43">
        <f>IF(tblWorkOrders[[#This Row],[WO no.]]="","",IF(tblWorkOrders[[#This Row],[Open]]=1,MAX(0,tblWorkOrders[[#This Row],[Estimated (h)]]-tblWorkOrders[[#This Row],[Actual (h)]]),0))</f>
        <v>0</v>
      </c>
      <c r="W117" s="44">
        <f>IF(tblWorkOrders[[#This Row],[WO no.]]="","",tblWorkOrders[[#This Row],[Actual (h)]]*LabourRate)</f>
        <v>144</v>
      </c>
      <c r="X117" s="44">
        <f>IF(tblWorkOrders[[#This Row],[WO no.]]="","",tblWorkOrders[[#This Row],[Labour cost]]+tblWorkOrders[[#This Row],[Parts cost]]+tblWorkOrders[[#This Row],[Contractor cost]])</f>
        <v>294</v>
      </c>
      <c r="Y117" s="45" t="str">
        <f>IF(tblWorkOrders[[#This Row],[WO no.]]="","",IF(tblWorkOrders[[#This Row],[Status]]="Cancelled","",IF(tblWorkOrders[[#This Row],[Open]]=0,"Complete",IF(tblWorkOrders[[#This Row],[Due date]]="","",IF(AsOf&gt;tblWorkOrders[[#This Row],[Due date]],"Overdue",IF(tblWorkOrders[[#This Row],[Due date]]-AsOf&lt;=DueSoonDays,"Due soon","OK"))))))</f>
        <v>Complete</v>
      </c>
      <c r="Z117" s="45" t="str">
        <f>IF(tblWorkOrders[[#This Row],[WO no.]]="","",IF(OR(tblWorkOrders[[#This Row],[Status]]&lt;&gt;"Complete",tblWorkOrders[[#This Row],[Date completed]]="",tblWorkOrders[[#This Row],[Due date]]=""),"",IF(tblWorkOrders[[#This Row],[Date completed]]&lt;=tblWorkOrders[[#This Row],[Due date]],"Yes","No")))</f>
        <v>Yes</v>
      </c>
      <c r="AA117" s="42">
        <f>IF(tblWorkOrders[[#This Row],[WO no.]]="","",IF(AND(tblWorkOrders[[#This Row],[Date raised]]&gt;=FFrom,tblWorkOrders[[#This Row],[Date raised]]&lt;=FTo),tblWorkOrders[[#This Row],[Date raised]],""))</f>
        <v>46293</v>
      </c>
      <c r="AB11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8" spans="2:28" x14ac:dyDescent="0.25">
      <c r="B118" s="28" t="s">
        <v>352</v>
      </c>
      <c r="C118" s="29">
        <v>46294</v>
      </c>
      <c r="D118" s="28" t="s">
        <v>107</v>
      </c>
      <c r="E118" s="39" t="s">
        <v>269</v>
      </c>
      <c r="F118" s="28" t="s">
        <v>127</v>
      </c>
      <c r="G118" s="28" t="s">
        <v>143</v>
      </c>
      <c r="H118" s="28" t="s">
        <v>159</v>
      </c>
      <c r="I118" s="28" t="s">
        <v>200</v>
      </c>
      <c r="J118" s="29">
        <v>46296</v>
      </c>
      <c r="K118" s="31">
        <v>4</v>
      </c>
      <c r="L118" s="31">
        <v>5.5</v>
      </c>
      <c r="M118" s="30">
        <v>260</v>
      </c>
      <c r="N118" s="30">
        <v>0</v>
      </c>
      <c r="O118" s="31">
        <v>4.5</v>
      </c>
      <c r="P118" s="40" t="str">
        <f>IF(tblWorkOrders[[#This Row],[WO no.]]="","",IFERROR(INDEX(tblAssets[Area],MATCH(tblWorkOrders[[#This Row],[Asset]],tblAssets[Asset ID],0)),""))</f>
        <v>Line 1</v>
      </c>
      <c r="Q118" s="40" t="str">
        <f>IF(tblWorkOrders[[#This Row],[WO no.]]="","",IFERROR(INDEX(tblWorkTypes[Category],MATCH(tblWorkOrders[[#This Row],[Work type]],tblWorkTypes[Work type],0)),""))</f>
        <v>Emergency</v>
      </c>
      <c r="R118" s="41">
        <f>IF(tblWorkOrders[[#This Row],[WO no.]]="","",IFERROR(INDEX(tblPriorities[Target (days)],MATCH(tblWorkOrders[[#This Row],[Priority]],tblPriorities[Priority],0)),""))</f>
        <v>1</v>
      </c>
      <c r="S118" s="42">
        <f>IF(tblWorkOrders[[#This Row],[WO no.]]="","",IF(tblWorkOrders[[#This Row],[Target (days)]]="","",tblWorkOrders[[#This Row],[Date raised]]+tblWorkOrders[[#This Row],[Target (days)]]))</f>
        <v>46295</v>
      </c>
      <c r="T118" s="41">
        <f>IF(tblWorkOrders[[#This Row],[WO no.]]="","",IF(OR(tblWorkOrders[[#This Row],[Status]]="Complete",tblWorkOrders[[#This Row],[Status]]="Cancelled"),0,1))</f>
        <v>0</v>
      </c>
      <c r="U118" s="41">
        <f>IF(tblWorkOrders[[#This Row],[WO no.]]="","",IF(tblWorkOrders[[#This Row],[Status]]="Cancelled","",IF(tblWorkOrders[[#This Row],[Open]]=1,AsOf-tblWorkOrders[[#This Row],[Date raised]],IF(tblWorkOrders[[#This Row],[Date completed]]="","",tblWorkOrders[[#This Row],[Date completed]]-tblWorkOrders[[#This Row],[Date raised]]))))</f>
        <v>2</v>
      </c>
      <c r="V118" s="43">
        <f>IF(tblWorkOrders[[#This Row],[WO no.]]="","",IF(tblWorkOrders[[#This Row],[Open]]=1,MAX(0,tblWorkOrders[[#This Row],[Estimated (h)]]-tblWorkOrders[[#This Row],[Actual (h)]]),0))</f>
        <v>0</v>
      </c>
      <c r="W118" s="44">
        <f>IF(tblWorkOrders[[#This Row],[WO no.]]="","",tblWorkOrders[[#This Row],[Actual (h)]]*LabourRate)</f>
        <v>264</v>
      </c>
      <c r="X118" s="44">
        <f>IF(tblWorkOrders[[#This Row],[WO no.]]="","",tblWorkOrders[[#This Row],[Labour cost]]+tblWorkOrders[[#This Row],[Parts cost]]+tblWorkOrders[[#This Row],[Contractor cost]])</f>
        <v>524</v>
      </c>
      <c r="Y118" s="45" t="str">
        <f>IF(tblWorkOrders[[#This Row],[WO no.]]="","",IF(tblWorkOrders[[#This Row],[Status]]="Cancelled","",IF(tblWorkOrders[[#This Row],[Open]]=0,"Complete",IF(tblWorkOrders[[#This Row],[Due date]]="","",IF(AsOf&gt;tblWorkOrders[[#This Row],[Due date]],"Overdue",IF(tblWorkOrders[[#This Row],[Due date]]-AsOf&lt;=DueSoonDays,"Due soon","OK"))))))</f>
        <v>Complete</v>
      </c>
      <c r="Z118" s="45" t="str">
        <f>IF(tblWorkOrders[[#This Row],[WO no.]]="","",IF(OR(tblWorkOrders[[#This Row],[Status]]&lt;&gt;"Complete",tblWorkOrders[[#This Row],[Date completed]]="",tblWorkOrders[[#This Row],[Due date]]=""),"",IF(tblWorkOrders[[#This Row],[Date completed]]&lt;=tblWorkOrders[[#This Row],[Due date]],"Yes","No")))</f>
        <v>No</v>
      </c>
      <c r="AA118" s="42">
        <f>IF(tblWorkOrders[[#This Row],[WO no.]]="","",IF(AND(tblWorkOrders[[#This Row],[Date raised]]&gt;=FFrom,tblWorkOrders[[#This Row],[Date raised]]&lt;=FTo),tblWorkOrders[[#This Row],[Date raised]],""))</f>
        <v>46294</v>
      </c>
      <c r="AB11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19" spans="2:28" x14ac:dyDescent="0.25">
      <c r="B119" s="28" t="s">
        <v>353</v>
      </c>
      <c r="C119" s="29">
        <v>46294</v>
      </c>
      <c r="D119" s="28" t="s">
        <v>114</v>
      </c>
      <c r="E119" s="39" t="s">
        <v>234</v>
      </c>
      <c r="F119" s="28" t="s">
        <v>127</v>
      </c>
      <c r="G119" s="28" t="s">
        <v>143</v>
      </c>
      <c r="H119" s="28" t="s">
        <v>157</v>
      </c>
      <c r="I119" s="28" t="s">
        <v>200</v>
      </c>
      <c r="J119" s="29">
        <v>46296</v>
      </c>
      <c r="K119" s="31">
        <v>3</v>
      </c>
      <c r="L119" s="31">
        <v>4</v>
      </c>
      <c r="M119" s="30">
        <v>260</v>
      </c>
      <c r="N119" s="30">
        <v>0</v>
      </c>
      <c r="O119" s="31">
        <v>3.5</v>
      </c>
      <c r="P119" s="40" t="str">
        <f>IF(tblWorkOrders[[#This Row],[WO no.]]="","",IFERROR(INDEX(tblAssets[Area],MATCH(tblWorkOrders[[#This Row],[Asset]],tblAssets[Asset ID],0)),""))</f>
        <v>Line 2</v>
      </c>
      <c r="Q119" s="40" t="str">
        <f>IF(tblWorkOrders[[#This Row],[WO no.]]="","",IFERROR(INDEX(tblWorkTypes[Category],MATCH(tblWorkOrders[[#This Row],[Work type]],tblWorkTypes[Work type],0)),""))</f>
        <v>Emergency</v>
      </c>
      <c r="R119" s="41">
        <f>IF(tblWorkOrders[[#This Row],[WO no.]]="","",IFERROR(INDEX(tblPriorities[Target (days)],MATCH(tblWorkOrders[[#This Row],[Priority]],tblPriorities[Priority],0)),""))</f>
        <v>1</v>
      </c>
      <c r="S119" s="42">
        <f>IF(tblWorkOrders[[#This Row],[WO no.]]="","",IF(tblWorkOrders[[#This Row],[Target (days)]]="","",tblWorkOrders[[#This Row],[Date raised]]+tblWorkOrders[[#This Row],[Target (days)]]))</f>
        <v>46295</v>
      </c>
      <c r="T119" s="41">
        <f>IF(tblWorkOrders[[#This Row],[WO no.]]="","",IF(OR(tblWorkOrders[[#This Row],[Status]]="Complete",tblWorkOrders[[#This Row],[Status]]="Cancelled"),0,1))</f>
        <v>0</v>
      </c>
      <c r="U119" s="41">
        <f>IF(tblWorkOrders[[#This Row],[WO no.]]="","",IF(tblWorkOrders[[#This Row],[Status]]="Cancelled","",IF(tblWorkOrders[[#This Row],[Open]]=1,AsOf-tblWorkOrders[[#This Row],[Date raised]],IF(tblWorkOrders[[#This Row],[Date completed]]="","",tblWorkOrders[[#This Row],[Date completed]]-tblWorkOrders[[#This Row],[Date raised]]))))</f>
        <v>2</v>
      </c>
      <c r="V119" s="43">
        <f>IF(tblWorkOrders[[#This Row],[WO no.]]="","",IF(tblWorkOrders[[#This Row],[Open]]=1,MAX(0,tblWorkOrders[[#This Row],[Estimated (h)]]-tblWorkOrders[[#This Row],[Actual (h)]]),0))</f>
        <v>0</v>
      </c>
      <c r="W119" s="44">
        <f>IF(tblWorkOrders[[#This Row],[WO no.]]="","",tblWorkOrders[[#This Row],[Actual (h)]]*LabourRate)</f>
        <v>192</v>
      </c>
      <c r="X119" s="44">
        <f>IF(tblWorkOrders[[#This Row],[WO no.]]="","",tblWorkOrders[[#This Row],[Labour cost]]+tblWorkOrders[[#This Row],[Parts cost]]+tblWorkOrders[[#This Row],[Contractor cost]])</f>
        <v>452</v>
      </c>
      <c r="Y119" s="45" t="str">
        <f>IF(tblWorkOrders[[#This Row],[WO no.]]="","",IF(tblWorkOrders[[#This Row],[Status]]="Cancelled","",IF(tblWorkOrders[[#This Row],[Open]]=0,"Complete",IF(tblWorkOrders[[#This Row],[Due date]]="","",IF(AsOf&gt;tblWorkOrders[[#This Row],[Due date]],"Overdue",IF(tblWorkOrders[[#This Row],[Due date]]-AsOf&lt;=DueSoonDays,"Due soon","OK"))))))</f>
        <v>Complete</v>
      </c>
      <c r="Z119" s="45" t="str">
        <f>IF(tblWorkOrders[[#This Row],[WO no.]]="","",IF(OR(tblWorkOrders[[#This Row],[Status]]&lt;&gt;"Complete",tblWorkOrders[[#This Row],[Date completed]]="",tblWorkOrders[[#This Row],[Due date]]=""),"",IF(tblWorkOrders[[#This Row],[Date completed]]&lt;=tblWorkOrders[[#This Row],[Due date]],"Yes","No")))</f>
        <v>No</v>
      </c>
      <c r="AA119" s="42">
        <f>IF(tblWorkOrders[[#This Row],[WO no.]]="","",IF(AND(tblWorkOrders[[#This Row],[Date raised]]&gt;=FFrom,tblWorkOrders[[#This Row],[Date raised]]&lt;=FTo),tblWorkOrders[[#This Row],[Date raised]],""))</f>
        <v>46294</v>
      </c>
      <c r="AB11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0" spans="2:28" x14ac:dyDescent="0.25">
      <c r="B120" s="28" t="s">
        <v>354</v>
      </c>
      <c r="C120" s="29">
        <v>46294</v>
      </c>
      <c r="D120" s="28" t="s">
        <v>114</v>
      </c>
      <c r="E120" s="39" t="s">
        <v>252</v>
      </c>
      <c r="F120" s="28" t="s">
        <v>130</v>
      </c>
      <c r="G120" s="28" t="s">
        <v>147</v>
      </c>
      <c r="H120" s="28" t="s">
        <v>155</v>
      </c>
      <c r="I120" s="28" t="s">
        <v>195</v>
      </c>
      <c r="J120" s="29"/>
      <c r="K120" s="31">
        <v>4</v>
      </c>
      <c r="L120" s="31">
        <v>0</v>
      </c>
      <c r="M120" s="30">
        <v>150</v>
      </c>
      <c r="N120" s="30">
        <v>0</v>
      </c>
      <c r="O120" s="31">
        <v>0</v>
      </c>
      <c r="P120" s="40" t="str">
        <f>IF(tblWorkOrders[[#This Row],[WO no.]]="","",IFERROR(INDEX(tblAssets[Area],MATCH(tblWorkOrders[[#This Row],[Asset]],tblAssets[Asset ID],0)),""))</f>
        <v>Line 2</v>
      </c>
      <c r="Q120" s="40" t="str">
        <f>IF(tblWorkOrders[[#This Row],[WO no.]]="","",IFERROR(INDEX(tblWorkTypes[Category],MATCH(tblWorkOrders[[#This Row],[Work type]],tblWorkTypes[Work type],0)),""))</f>
        <v>Corrective</v>
      </c>
      <c r="R120" s="41">
        <f>IF(tblWorkOrders[[#This Row],[WO no.]]="","",IFERROR(INDEX(tblPriorities[Target (days)],MATCH(tblWorkOrders[[#This Row],[Priority]],tblPriorities[Priority],0)),""))</f>
        <v>14</v>
      </c>
      <c r="S120" s="42">
        <f>IF(tblWorkOrders[[#This Row],[WO no.]]="","",IF(tblWorkOrders[[#This Row],[Target (days)]]="","",tblWorkOrders[[#This Row],[Date raised]]+tblWorkOrders[[#This Row],[Target (days)]]))</f>
        <v>46308</v>
      </c>
      <c r="T120" s="41">
        <f>IF(tblWorkOrders[[#This Row],[WO no.]]="","",IF(OR(tblWorkOrders[[#This Row],[Status]]="Complete",tblWorkOrders[[#This Row],[Status]]="Cancelled"),0,1))</f>
        <v>1</v>
      </c>
      <c r="U120" s="41">
        <f>IF(tblWorkOrders[[#This Row],[WO no.]]="","",IF(tblWorkOrders[[#This Row],[Status]]="Cancelled","",IF(tblWorkOrders[[#This Row],[Open]]=1,AsOf-tblWorkOrders[[#This Row],[Date raised]],IF(tblWorkOrders[[#This Row],[Date completed]]="","",tblWorkOrders[[#This Row],[Date completed]]-tblWorkOrders[[#This Row],[Date raised]]))))</f>
        <v>10</v>
      </c>
      <c r="V120" s="43">
        <f>IF(tblWorkOrders[[#This Row],[WO no.]]="","",IF(tblWorkOrders[[#This Row],[Open]]=1,MAX(0,tblWorkOrders[[#This Row],[Estimated (h)]]-tblWorkOrders[[#This Row],[Actual (h)]]),0))</f>
        <v>4</v>
      </c>
      <c r="W120" s="44">
        <f>IF(tblWorkOrders[[#This Row],[WO no.]]="","",tblWorkOrders[[#This Row],[Actual (h)]]*LabourRate)</f>
        <v>0</v>
      </c>
      <c r="X120" s="44">
        <f>IF(tblWorkOrders[[#This Row],[WO no.]]="","",tblWorkOrders[[#This Row],[Labour cost]]+tblWorkOrders[[#This Row],[Parts cost]]+tblWorkOrders[[#This Row],[Contractor cost]])</f>
        <v>150</v>
      </c>
      <c r="Y120" s="45" t="str">
        <f>IF(tblWorkOrders[[#This Row],[WO no.]]="","",IF(tblWorkOrders[[#This Row],[Status]]="Cancelled","",IF(tblWorkOrders[[#This Row],[Open]]=0,"Complete",IF(tblWorkOrders[[#This Row],[Due date]]="","",IF(AsOf&gt;tblWorkOrders[[#This Row],[Due date]],"Overdue",IF(tblWorkOrders[[#This Row],[Due date]]-AsOf&lt;=DueSoonDays,"Due soon","OK"))))))</f>
        <v>OK</v>
      </c>
      <c r="Z120" s="45">
        <f>IF(tblWorkOrders[[#This Row],[WO no.]]="","",IF(OR(tblWorkOrders[[#This Row],[Status]]&lt;&gt;"Complete",tblWorkOrders[[#This Row],[Date completed]]="",tblWorkOrders[[#This Row],[Due date]]=""),"",IF(tblWorkOrders[[#This Row],[Date completed]]&lt;=tblWorkOrders[[#This Row],[Due date]],"Yes","No")))</f>
        <v/>
      </c>
      <c r="AA120" s="42">
        <f>IF(tblWorkOrders[[#This Row],[WO no.]]="","",IF(AND(tblWorkOrders[[#This Row],[Date raised]]&gt;=FFrom,tblWorkOrders[[#This Row],[Date raised]]&lt;=FTo),tblWorkOrders[[#This Row],[Date raised]],""))</f>
        <v>46294</v>
      </c>
      <c r="AB12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1" spans="2:28" x14ac:dyDescent="0.25">
      <c r="B121" s="28" t="s">
        <v>355</v>
      </c>
      <c r="C121" s="29">
        <v>46295</v>
      </c>
      <c r="D121" s="28" t="s">
        <v>119</v>
      </c>
      <c r="E121" s="39" t="s">
        <v>224</v>
      </c>
      <c r="F121" s="28" t="s">
        <v>136</v>
      </c>
      <c r="G121" s="28" t="s">
        <v>147</v>
      </c>
      <c r="H121" s="28" t="s">
        <v>159</v>
      </c>
      <c r="I121" s="28" t="s">
        <v>200</v>
      </c>
      <c r="J121" s="29">
        <v>46296</v>
      </c>
      <c r="K121" s="31">
        <v>6</v>
      </c>
      <c r="L121" s="31">
        <v>6</v>
      </c>
      <c r="M121" s="30">
        <v>0</v>
      </c>
      <c r="N121" s="30">
        <v>0</v>
      </c>
      <c r="O121" s="31">
        <v>0</v>
      </c>
      <c r="P121" s="40" t="str">
        <f>IF(tblWorkOrders[[#This Row],[WO no.]]="","",IFERROR(INDEX(tblAssets[Area],MATCH(tblWorkOrders[[#This Row],[Asset]],tblAssets[Asset ID],0)),""))</f>
        <v>Utilities</v>
      </c>
      <c r="Q121" s="40" t="str">
        <f>IF(tblWorkOrders[[#This Row],[WO no.]]="","",IFERROR(INDEX(tblWorkTypes[Category],MATCH(tblWorkOrders[[#This Row],[Work type]],tblWorkTypes[Work type],0)),""))</f>
        <v>Planned</v>
      </c>
      <c r="R121" s="41">
        <f>IF(tblWorkOrders[[#This Row],[WO no.]]="","",IFERROR(INDEX(tblPriorities[Target (days)],MATCH(tblWorkOrders[[#This Row],[Priority]],tblPriorities[Priority],0)),""))</f>
        <v>14</v>
      </c>
      <c r="S121" s="42">
        <f>IF(tblWorkOrders[[#This Row],[WO no.]]="","",IF(tblWorkOrders[[#This Row],[Target (days)]]="","",tblWorkOrders[[#This Row],[Date raised]]+tblWorkOrders[[#This Row],[Target (days)]]))</f>
        <v>46309</v>
      </c>
      <c r="T121" s="41">
        <f>IF(tblWorkOrders[[#This Row],[WO no.]]="","",IF(OR(tblWorkOrders[[#This Row],[Status]]="Complete",tblWorkOrders[[#This Row],[Status]]="Cancelled"),0,1))</f>
        <v>0</v>
      </c>
      <c r="U121" s="41">
        <f>IF(tblWorkOrders[[#This Row],[WO no.]]="","",IF(tblWorkOrders[[#This Row],[Status]]="Cancelled","",IF(tblWorkOrders[[#This Row],[Open]]=1,AsOf-tblWorkOrders[[#This Row],[Date raised]],IF(tblWorkOrders[[#This Row],[Date completed]]="","",tblWorkOrders[[#This Row],[Date completed]]-tblWorkOrders[[#This Row],[Date raised]]))))</f>
        <v>1</v>
      </c>
      <c r="V121" s="43">
        <f>IF(tblWorkOrders[[#This Row],[WO no.]]="","",IF(tblWorkOrders[[#This Row],[Open]]=1,MAX(0,tblWorkOrders[[#This Row],[Estimated (h)]]-tblWorkOrders[[#This Row],[Actual (h)]]),0))</f>
        <v>0</v>
      </c>
      <c r="W121" s="44">
        <f>IF(tblWorkOrders[[#This Row],[WO no.]]="","",tblWorkOrders[[#This Row],[Actual (h)]]*LabourRate)</f>
        <v>288</v>
      </c>
      <c r="X121" s="44">
        <f>IF(tblWorkOrders[[#This Row],[WO no.]]="","",tblWorkOrders[[#This Row],[Labour cost]]+tblWorkOrders[[#This Row],[Parts cost]]+tblWorkOrders[[#This Row],[Contractor cost]])</f>
        <v>288</v>
      </c>
      <c r="Y121" s="45" t="str">
        <f>IF(tblWorkOrders[[#This Row],[WO no.]]="","",IF(tblWorkOrders[[#This Row],[Status]]="Cancelled","",IF(tblWorkOrders[[#This Row],[Open]]=0,"Complete",IF(tblWorkOrders[[#This Row],[Due date]]="","",IF(AsOf&gt;tblWorkOrders[[#This Row],[Due date]],"Overdue",IF(tblWorkOrders[[#This Row],[Due date]]-AsOf&lt;=DueSoonDays,"Due soon","OK"))))))</f>
        <v>Complete</v>
      </c>
      <c r="Z121" s="45" t="str">
        <f>IF(tblWorkOrders[[#This Row],[WO no.]]="","",IF(OR(tblWorkOrders[[#This Row],[Status]]&lt;&gt;"Complete",tblWorkOrders[[#This Row],[Date completed]]="",tblWorkOrders[[#This Row],[Due date]]=""),"",IF(tblWorkOrders[[#This Row],[Date completed]]&lt;=tblWorkOrders[[#This Row],[Due date]],"Yes","No")))</f>
        <v>Yes</v>
      </c>
      <c r="AA121" s="42">
        <f>IF(tblWorkOrders[[#This Row],[WO no.]]="","",IF(AND(tblWorkOrders[[#This Row],[Date raised]]&gt;=FFrom,tblWorkOrders[[#This Row],[Date raised]]&lt;=FTo),tblWorkOrders[[#This Row],[Date raised]],""))</f>
        <v>46295</v>
      </c>
      <c r="AB12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2" spans="2:28" x14ac:dyDescent="0.25">
      <c r="B122" s="28" t="s">
        <v>356</v>
      </c>
      <c r="C122" s="29">
        <v>46295</v>
      </c>
      <c r="D122" s="28" t="s">
        <v>107</v>
      </c>
      <c r="E122" s="39" t="s">
        <v>276</v>
      </c>
      <c r="F122" s="28" t="s">
        <v>130</v>
      </c>
      <c r="G122" s="28" t="s">
        <v>147</v>
      </c>
      <c r="H122" s="28" t="s">
        <v>157</v>
      </c>
      <c r="I122" s="28" t="s">
        <v>200</v>
      </c>
      <c r="J122" s="29">
        <v>46304</v>
      </c>
      <c r="K122" s="31">
        <v>3</v>
      </c>
      <c r="L122" s="31">
        <v>3</v>
      </c>
      <c r="M122" s="30">
        <v>150</v>
      </c>
      <c r="N122" s="30">
        <v>0</v>
      </c>
      <c r="O122" s="31">
        <v>0</v>
      </c>
      <c r="P122" s="40" t="str">
        <f>IF(tblWorkOrders[[#This Row],[WO no.]]="","",IFERROR(INDEX(tblAssets[Area],MATCH(tblWorkOrders[[#This Row],[Asset]],tblAssets[Asset ID],0)),""))</f>
        <v>Line 1</v>
      </c>
      <c r="Q122" s="40" t="str">
        <f>IF(tblWorkOrders[[#This Row],[WO no.]]="","",IFERROR(INDEX(tblWorkTypes[Category],MATCH(tblWorkOrders[[#This Row],[Work type]],tblWorkTypes[Work type],0)),""))</f>
        <v>Corrective</v>
      </c>
      <c r="R122" s="41">
        <f>IF(tblWorkOrders[[#This Row],[WO no.]]="","",IFERROR(INDEX(tblPriorities[Target (days)],MATCH(tblWorkOrders[[#This Row],[Priority]],tblPriorities[Priority],0)),""))</f>
        <v>14</v>
      </c>
      <c r="S122" s="42">
        <f>IF(tblWorkOrders[[#This Row],[WO no.]]="","",IF(tblWorkOrders[[#This Row],[Target (days)]]="","",tblWorkOrders[[#This Row],[Date raised]]+tblWorkOrders[[#This Row],[Target (days)]]))</f>
        <v>46309</v>
      </c>
      <c r="T122" s="41">
        <f>IF(tblWorkOrders[[#This Row],[WO no.]]="","",IF(OR(tblWorkOrders[[#This Row],[Status]]="Complete",tblWorkOrders[[#This Row],[Status]]="Cancelled"),0,1))</f>
        <v>0</v>
      </c>
      <c r="U122" s="41">
        <f>IF(tblWorkOrders[[#This Row],[WO no.]]="","",IF(tblWorkOrders[[#This Row],[Status]]="Cancelled","",IF(tblWorkOrders[[#This Row],[Open]]=1,AsOf-tblWorkOrders[[#This Row],[Date raised]],IF(tblWorkOrders[[#This Row],[Date completed]]="","",tblWorkOrders[[#This Row],[Date completed]]-tblWorkOrders[[#This Row],[Date raised]]))))</f>
        <v>9</v>
      </c>
      <c r="V122" s="43">
        <f>IF(tblWorkOrders[[#This Row],[WO no.]]="","",IF(tblWorkOrders[[#This Row],[Open]]=1,MAX(0,tblWorkOrders[[#This Row],[Estimated (h)]]-tblWorkOrders[[#This Row],[Actual (h)]]),0))</f>
        <v>0</v>
      </c>
      <c r="W122" s="44">
        <f>IF(tblWorkOrders[[#This Row],[WO no.]]="","",tblWorkOrders[[#This Row],[Actual (h)]]*LabourRate)</f>
        <v>144</v>
      </c>
      <c r="X122" s="44">
        <f>IF(tblWorkOrders[[#This Row],[WO no.]]="","",tblWorkOrders[[#This Row],[Labour cost]]+tblWorkOrders[[#This Row],[Parts cost]]+tblWorkOrders[[#This Row],[Contractor cost]])</f>
        <v>294</v>
      </c>
      <c r="Y122" s="45" t="str">
        <f>IF(tblWorkOrders[[#This Row],[WO no.]]="","",IF(tblWorkOrders[[#This Row],[Status]]="Cancelled","",IF(tblWorkOrders[[#This Row],[Open]]=0,"Complete",IF(tblWorkOrders[[#This Row],[Due date]]="","",IF(AsOf&gt;tblWorkOrders[[#This Row],[Due date]],"Overdue",IF(tblWorkOrders[[#This Row],[Due date]]-AsOf&lt;=DueSoonDays,"Due soon","OK"))))))</f>
        <v>Complete</v>
      </c>
      <c r="Z122" s="45" t="str">
        <f>IF(tblWorkOrders[[#This Row],[WO no.]]="","",IF(OR(tblWorkOrders[[#This Row],[Status]]&lt;&gt;"Complete",tblWorkOrders[[#This Row],[Date completed]]="",tblWorkOrders[[#This Row],[Due date]]=""),"",IF(tblWorkOrders[[#This Row],[Date completed]]&lt;=tblWorkOrders[[#This Row],[Due date]],"Yes","No")))</f>
        <v>Yes</v>
      </c>
      <c r="AA122" s="42">
        <f>IF(tblWorkOrders[[#This Row],[WO no.]]="","",IF(AND(tblWorkOrders[[#This Row],[Date raised]]&gt;=FFrom,tblWorkOrders[[#This Row],[Date raised]]&lt;=FTo),tblWorkOrders[[#This Row],[Date raised]],""))</f>
        <v>46295</v>
      </c>
      <c r="AB12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3" spans="2:28" x14ac:dyDescent="0.25">
      <c r="B123" s="28" t="s">
        <v>357</v>
      </c>
      <c r="C123" s="29">
        <v>46295</v>
      </c>
      <c r="D123" s="28" t="s">
        <v>114</v>
      </c>
      <c r="E123" s="39" t="s">
        <v>234</v>
      </c>
      <c r="F123" s="28" t="s">
        <v>127</v>
      </c>
      <c r="G123" s="28" t="s">
        <v>143</v>
      </c>
      <c r="H123" s="28" t="s">
        <v>155</v>
      </c>
      <c r="I123" s="28" t="s">
        <v>200</v>
      </c>
      <c r="J123" s="29">
        <v>46295</v>
      </c>
      <c r="K123" s="31">
        <v>3</v>
      </c>
      <c r="L123" s="31">
        <v>3</v>
      </c>
      <c r="M123" s="30">
        <v>260</v>
      </c>
      <c r="N123" s="30">
        <v>0</v>
      </c>
      <c r="O123" s="31">
        <v>5</v>
      </c>
      <c r="P123" s="40" t="str">
        <f>IF(tblWorkOrders[[#This Row],[WO no.]]="","",IFERROR(INDEX(tblAssets[Area],MATCH(tblWorkOrders[[#This Row],[Asset]],tblAssets[Asset ID],0)),""))</f>
        <v>Line 2</v>
      </c>
      <c r="Q123" s="40" t="str">
        <f>IF(tblWorkOrders[[#This Row],[WO no.]]="","",IFERROR(INDEX(tblWorkTypes[Category],MATCH(tblWorkOrders[[#This Row],[Work type]],tblWorkTypes[Work type],0)),""))</f>
        <v>Emergency</v>
      </c>
      <c r="R123" s="41">
        <f>IF(tblWorkOrders[[#This Row],[WO no.]]="","",IFERROR(INDEX(tblPriorities[Target (days)],MATCH(tblWorkOrders[[#This Row],[Priority]],tblPriorities[Priority],0)),""))</f>
        <v>1</v>
      </c>
      <c r="S123" s="42">
        <f>IF(tblWorkOrders[[#This Row],[WO no.]]="","",IF(tblWorkOrders[[#This Row],[Target (days)]]="","",tblWorkOrders[[#This Row],[Date raised]]+tblWorkOrders[[#This Row],[Target (days)]]))</f>
        <v>46296</v>
      </c>
      <c r="T123" s="41">
        <f>IF(tblWorkOrders[[#This Row],[WO no.]]="","",IF(OR(tblWorkOrders[[#This Row],[Status]]="Complete",tblWorkOrders[[#This Row],[Status]]="Cancelled"),0,1))</f>
        <v>0</v>
      </c>
      <c r="U123" s="41">
        <f>IF(tblWorkOrders[[#This Row],[WO no.]]="","",IF(tblWorkOrders[[#This Row],[Status]]="Cancelled","",IF(tblWorkOrders[[#This Row],[Open]]=1,AsOf-tblWorkOrders[[#This Row],[Date raised]],IF(tblWorkOrders[[#This Row],[Date completed]]="","",tblWorkOrders[[#This Row],[Date completed]]-tblWorkOrders[[#This Row],[Date raised]]))))</f>
        <v>0</v>
      </c>
      <c r="V123" s="43">
        <f>IF(tblWorkOrders[[#This Row],[WO no.]]="","",IF(tblWorkOrders[[#This Row],[Open]]=1,MAX(0,tblWorkOrders[[#This Row],[Estimated (h)]]-tblWorkOrders[[#This Row],[Actual (h)]]),0))</f>
        <v>0</v>
      </c>
      <c r="W123" s="44">
        <f>IF(tblWorkOrders[[#This Row],[WO no.]]="","",tblWorkOrders[[#This Row],[Actual (h)]]*LabourRate)</f>
        <v>144</v>
      </c>
      <c r="X123" s="44">
        <f>IF(tblWorkOrders[[#This Row],[WO no.]]="","",tblWorkOrders[[#This Row],[Labour cost]]+tblWorkOrders[[#This Row],[Parts cost]]+tblWorkOrders[[#This Row],[Contractor cost]])</f>
        <v>404</v>
      </c>
      <c r="Y123" s="45" t="str">
        <f>IF(tblWorkOrders[[#This Row],[WO no.]]="","",IF(tblWorkOrders[[#This Row],[Status]]="Cancelled","",IF(tblWorkOrders[[#This Row],[Open]]=0,"Complete",IF(tblWorkOrders[[#This Row],[Due date]]="","",IF(AsOf&gt;tblWorkOrders[[#This Row],[Due date]],"Overdue",IF(tblWorkOrders[[#This Row],[Due date]]-AsOf&lt;=DueSoonDays,"Due soon","OK"))))))</f>
        <v>Complete</v>
      </c>
      <c r="Z123" s="45" t="str">
        <f>IF(tblWorkOrders[[#This Row],[WO no.]]="","",IF(OR(tblWorkOrders[[#This Row],[Status]]&lt;&gt;"Complete",tblWorkOrders[[#This Row],[Date completed]]="",tblWorkOrders[[#This Row],[Due date]]=""),"",IF(tblWorkOrders[[#This Row],[Date completed]]&lt;=tblWorkOrders[[#This Row],[Due date]],"Yes","No")))</f>
        <v>Yes</v>
      </c>
      <c r="AA123" s="42">
        <f>IF(tblWorkOrders[[#This Row],[WO no.]]="","",IF(AND(tblWorkOrders[[#This Row],[Date raised]]&gt;=FFrom,tblWorkOrders[[#This Row],[Date raised]]&lt;=FTo),tblWorkOrders[[#This Row],[Date raised]],""))</f>
        <v>46295</v>
      </c>
      <c r="AB12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4" spans="2:28" x14ac:dyDescent="0.25">
      <c r="B124" s="28" t="s">
        <v>358</v>
      </c>
      <c r="C124" s="29">
        <v>46296</v>
      </c>
      <c r="D124" s="28" t="s">
        <v>114</v>
      </c>
      <c r="E124" s="39" t="s">
        <v>234</v>
      </c>
      <c r="F124" s="28" t="s">
        <v>130</v>
      </c>
      <c r="G124" s="28" t="s">
        <v>145</v>
      </c>
      <c r="H124" s="28" t="s">
        <v>152</v>
      </c>
      <c r="I124" s="28" t="s">
        <v>200</v>
      </c>
      <c r="J124" s="29">
        <v>46299</v>
      </c>
      <c r="K124" s="31">
        <v>8</v>
      </c>
      <c r="L124" s="31">
        <v>8</v>
      </c>
      <c r="M124" s="30">
        <v>220</v>
      </c>
      <c r="N124" s="30">
        <v>0</v>
      </c>
      <c r="O124" s="31">
        <v>0</v>
      </c>
      <c r="P124" s="40" t="str">
        <f>IF(tblWorkOrders[[#This Row],[WO no.]]="","",IFERROR(INDEX(tblAssets[Area],MATCH(tblWorkOrders[[#This Row],[Asset]],tblAssets[Asset ID],0)),""))</f>
        <v>Line 2</v>
      </c>
      <c r="Q124" s="40" t="str">
        <f>IF(tblWorkOrders[[#This Row],[WO no.]]="","",IFERROR(INDEX(tblWorkTypes[Category],MATCH(tblWorkOrders[[#This Row],[Work type]],tblWorkTypes[Work type],0)),""))</f>
        <v>Corrective</v>
      </c>
      <c r="R124" s="41">
        <f>IF(tblWorkOrders[[#This Row],[WO no.]]="","",IFERROR(INDEX(tblPriorities[Target (days)],MATCH(tblWorkOrders[[#This Row],[Priority]],tblPriorities[Priority],0)),""))</f>
        <v>3</v>
      </c>
      <c r="S124" s="42">
        <f>IF(tblWorkOrders[[#This Row],[WO no.]]="","",IF(tblWorkOrders[[#This Row],[Target (days)]]="","",tblWorkOrders[[#This Row],[Date raised]]+tblWorkOrders[[#This Row],[Target (days)]]))</f>
        <v>46299</v>
      </c>
      <c r="T124" s="41">
        <f>IF(tblWorkOrders[[#This Row],[WO no.]]="","",IF(OR(tblWorkOrders[[#This Row],[Status]]="Complete",tblWorkOrders[[#This Row],[Status]]="Cancelled"),0,1))</f>
        <v>0</v>
      </c>
      <c r="U124" s="41">
        <f>IF(tblWorkOrders[[#This Row],[WO no.]]="","",IF(tblWorkOrders[[#This Row],[Status]]="Cancelled","",IF(tblWorkOrders[[#This Row],[Open]]=1,AsOf-tblWorkOrders[[#This Row],[Date raised]],IF(tblWorkOrders[[#This Row],[Date completed]]="","",tblWorkOrders[[#This Row],[Date completed]]-tblWorkOrders[[#This Row],[Date raised]]))))</f>
        <v>3</v>
      </c>
      <c r="V124" s="43">
        <f>IF(tblWorkOrders[[#This Row],[WO no.]]="","",IF(tblWorkOrders[[#This Row],[Open]]=1,MAX(0,tblWorkOrders[[#This Row],[Estimated (h)]]-tblWorkOrders[[#This Row],[Actual (h)]]),0))</f>
        <v>0</v>
      </c>
      <c r="W124" s="44">
        <f>IF(tblWorkOrders[[#This Row],[WO no.]]="","",tblWorkOrders[[#This Row],[Actual (h)]]*LabourRate)</f>
        <v>384</v>
      </c>
      <c r="X124" s="44">
        <f>IF(tblWorkOrders[[#This Row],[WO no.]]="","",tblWorkOrders[[#This Row],[Labour cost]]+tblWorkOrders[[#This Row],[Parts cost]]+tblWorkOrders[[#This Row],[Contractor cost]])</f>
        <v>604</v>
      </c>
      <c r="Y124" s="45" t="str">
        <f>IF(tblWorkOrders[[#This Row],[WO no.]]="","",IF(tblWorkOrders[[#This Row],[Status]]="Cancelled","",IF(tblWorkOrders[[#This Row],[Open]]=0,"Complete",IF(tblWorkOrders[[#This Row],[Due date]]="","",IF(AsOf&gt;tblWorkOrders[[#This Row],[Due date]],"Overdue",IF(tblWorkOrders[[#This Row],[Due date]]-AsOf&lt;=DueSoonDays,"Due soon","OK"))))))</f>
        <v>Complete</v>
      </c>
      <c r="Z124" s="45" t="str">
        <f>IF(tblWorkOrders[[#This Row],[WO no.]]="","",IF(OR(tblWorkOrders[[#This Row],[Status]]&lt;&gt;"Complete",tblWorkOrders[[#This Row],[Date completed]]="",tblWorkOrders[[#This Row],[Due date]]=""),"",IF(tblWorkOrders[[#This Row],[Date completed]]&lt;=tblWorkOrders[[#This Row],[Due date]],"Yes","No")))</f>
        <v>Yes</v>
      </c>
      <c r="AA124" s="42">
        <f>IF(tblWorkOrders[[#This Row],[WO no.]]="","",IF(AND(tblWorkOrders[[#This Row],[Date raised]]&gt;=FFrom,tblWorkOrders[[#This Row],[Date raised]]&lt;=FTo),tblWorkOrders[[#This Row],[Date raised]],""))</f>
        <v>46296</v>
      </c>
      <c r="AB12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5" spans="2:28" x14ac:dyDescent="0.25">
      <c r="B125" s="28" t="s">
        <v>359</v>
      </c>
      <c r="C125" s="29">
        <v>46296</v>
      </c>
      <c r="D125" s="28" t="s">
        <v>104</v>
      </c>
      <c r="E125" s="39" t="s">
        <v>264</v>
      </c>
      <c r="F125" s="28" t="s">
        <v>130</v>
      </c>
      <c r="G125" s="28" t="s">
        <v>145</v>
      </c>
      <c r="H125" s="28" t="s">
        <v>155</v>
      </c>
      <c r="I125" s="28" t="s">
        <v>188</v>
      </c>
      <c r="J125" s="29"/>
      <c r="K125" s="31">
        <v>12</v>
      </c>
      <c r="L125" s="31">
        <v>0</v>
      </c>
      <c r="M125" s="30">
        <v>0</v>
      </c>
      <c r="N125" s="30">
        <v>0</v>
      </c>
      <c r="O125" s="31">
        <v>0</v>
      </c>
      <c r="P125" s="40" t="str">
        <f>IF(tblWorkOrders[[#This Row],[WO no.]]="","",IFERROR(INDEX(tblAssets[Area],MATCH(tblWorkOrders[[#This Row],[Asset]],tblAssets[Asset ID],0)),""))</f>
        <v>Line 1</v>
      </c>
      <c r="Q125" s="40" t="str">
        <f>IF(tblWorkOrders[[#This Row],[WO no.]]="","",IFERROR(INDEX(tblWorkTypes[Category],MATCH(tblWorkOrders[[#This Row],[Work type]],tblWorkTypes[Work type],0)),""))</f>
        <v>Corrective</v>
      </c>
      <c r="R125" s="41">
        <f>IF(tblWorkOrders[[#This Row],[WO no.]]="","",IFERROR(INDEX(tblPriorities[Target (days)],MATCH(tblWorkOrders[[#This Row],[Priority]],tblPriorities[Priority],0)),""))</f>
        <v>3</v>
      </c>
      <c r="S125" s="42">
        <f>IF(tblWorkOrders[[#This Row],[WO no.]]="","",IF(tblWorkOrders[[#This Row],[Target (days)]]="","",tblWorkOrders[[#This Row],[Date raised]]+tblWorkOrders[[#This Row],[Target (days)]]))</f>
        <v>46299</v>
      </c>
      <c r="T125" s="41">
        <f>IF(tblWorkOrders[[#This Row],[WO no.]]="","",IF(OR(tblWorkOrders[[#This Row],[Status]]="Complete",tblWorkOrders[[#This Row],[Status]]="Cancelled"),0,1))</f>
        <v>1</v>
      </c>
      <c r="U125" s="41">
        <f>IF(tblWorkOrders[[#This Row],[WO no.]]="","",IF(tblWorkOrders[[#This Row],[Status]]="Cancelled","",IF(tblWorkOrders[[#This Row],[Open]]=1,AsOf-tblWorkOrders[[#This Row],[Date raised]],IF(tblWorkOrders[[#This Row],[Date completed]]="","",tblWorkOrders[[#This Row],[Date completed]]-tblWorkOrders[[#This Row],[Date raised]]))))</f>
        <v>8</v>
      </c>
      <c r="V125" s="43">
        <f>IF(tblWorkOrders[[#This Row],[WO no.]]="","",IF(tblWorkOrders[[#This Row],[Open]]=1,MAX(0,tblWorkOrders[[#This Row],[Estimated (h)]]-tblWorkOrders[[#This Row],[Actual (h)]]),0))</f>
        <v>12</v>
      </c>
      <c r="W125" s="44">
        <f>IF(tblWorkOrders[[#This Row],[WO no.]]="","",tblWorkOrders[[#This Row],[Actual (h)]]*LabourRate)</f>
        <v>0</v>
      </c>
      <c r="X125" s="44">
        <f>IF(tblWorkOrders[[#This Row],[WO no.]]="","",tblWorkOrders[[#This Row],[Labour cost]]+tblWorkOrders[[#This Row],[Parts cost]]+tblWorkOrders[[#This Row],[Contractor cost]])</f>
        <v>0</v>
      </c>
      <c r="Y125" s="45" t="str">
        <f>IF(tblWorkOrders[[#This Row],[WO no.]]="","",IF(tblWorkOrders[[#This Row],[Status]]="Cancelled","",IF(tblWorkOrders[[#This Row],[Open]]=0,"Complete",IF(tblWorkOrders[[#This Row],[Due date]]="","",IF(AsOf&gt;tblWorkOrders[[#This Row],[Due date]],"Overdue",IF(tblWorkOrders[[#This Row],[Due date]]-AsOf&lt;=DueSoonDays,"Due soon","OK"))))))</f>
        <v>Overdue</v>
      </c>
      <c r="Z125" s="45">
        <f>IF(tblWorkOrders[[#This Row],[WO no.]]="","",IF(OR(tblWorkOrders[[#This Row],[Status]]&lt;&gt;"Complete",tblWorkOrders[[#This Row],[Date completed]]="",tblWorkOrders[[#This Row],[Due date]]=""),"",IF(tblWorkOrders[[#This Row],[Date completed]]&lt;=tblWorkOrders[[#This Row],[Due date]],"Yes","No")))</f>
        <v/>
      </c>
      <c r="AA125" s="42">
        <f>IF(tblWorkOrders[[#This Row],[WO no.]]="","",IF(AND(tblWorkOrders[[#This Row],[Date raised]]&gt;=FFrom,tblWorkOrders[[#This Row],[Date raised]]&lt;=FTo),tblWorkOrders[[#This Row],[Date raised]],""))</f>
        <v>46296</v>
      </c>
      <c r="AB12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6" spans="2:28" x14ac:dyDescent="0.25">
      <c r="B126" s="28" t="s">
        <v>360</v>
      </c>
      <c r="C126" s="29">
        <v>46297</v>
      </c>
      <c r="D126" s="28" t="s">
        <v>124</v>
      </c>
      <c r="E126" s="39" t="s">
        <v>340</v>
      </c>
      <c r="F126" s="28" t="s">
        <v>130</v>
      </c>
      <c r="G126" s="28" t="s">
        <v>145</v>
      </c>
      <c r="H126" s="28" t="s">
        <v>159</v>
      </c>
      <c r="I126" s="28" t="s">
        <v>200</v>
      </c>
      <c r="J126" s="29">
        <v>46301</v>
      </c>
      <c r="K126" s="31">
        <v>12</v>
      </c>
      <c r="L126" s="31">
        <v>12.5</v>
      </c>
      <c r="M126" s="30">
        <v>90</v>
      </c>
      <c r="N126" s="30">
        <v>0</v>
      </c>
      <c r="O126" s="31">
        <v>0</v>
      </c>
      <c r="P126" s="40" t="str">
        <f>IF(tblWorkOrders[[#This Row],[WO no.]]="","",IFERROR(INDEX(tblAssets[Area],MATCH(tblWorkOrders[[#This Row],[Asset]],tblAssets[Asset ID],0)),""))</f>
        <v>Utilities</v>
      </c>
      <c r="Q126" s="40" t="str">
        <f>IF(tblWorkOrders[[#This Row],[WO no.]]="","",IFERROR(INDEX(tblWorkTypes[Category],MATCH(tblWorkOrders[[#This Row],[Work type]],tblWorkTypes[Work type],0)),""))</f>
        <v>Corrective</v>
      </c>
      <c r="R126" s="41">
        <f>IF(tblWorkOrders[[#This Row],[WO no.]]="","",IFERROR(INDEX(tblPriorities[Target (days)],MATCH(tblWorkOrders[[#This Row],[Priority]],tblPriorities[Priority],0)),""))</f>
        <v>3</v>
      </c>
      <c r="S126" s="42">
        <f>IF(tblWorkOrders[[#This Row],[WO no.]]="","",IF(tblWorkOrders[[#This Row],[Target (days)]]="","",tblWorkOrders[[#This Row],[Date raised]]+tblWorkOrders[[#This Row],[Target (days)]]))</f>
        <v>46300</v>
      </c>
      <c r="T126" s="41">
        <f>IF(tblWorkOrders[[#This Row],[WO no.]]="","",IF(OR(tblWorkOrders[[#This Row],[Status]]="Complete",tblWorkOrders[[#This Row],[Status]]="Cancelled"),0,1))</f>
        <v>0</v>
      </c>
      <c r="U126" s="41">
        <f>IF(tblWorkOrders[[#This Row],[WO no.]]="","",IF(tblWorkOrders[[#This Row],[Status]]="Cancelled","",IF(tblWorkOrders[[#This Row],[Open]]=1,AsOf-tblWorkOrders[[#This Row],[Date raised]],IF(tblWorkOrders[[#This Row],[Date completed]]="","",tblWorkOrders[[#This Row],[Date completed]]-tblWorkOrders[[#This Row],[Date raised]]))))</f>
        <v>4</v>
      </c>
      <c r="V126" s="43">
        <f>IF(tblWorkOrders[[#This Row],[WO no.]]="","",IF(tblWorkOrders[[#This Row],[Open]]=1,MAX(0,tblWorkOrders[[#This Row],[Estimated (h)]]-tblWorkOrders[[#This Row],[Actual (h)]]),0))</f>
        <v>0</v>
      </c>
      <c r="W126" s="44">
        <f>IF(tblWorkOrders[[#This Row],[WO no.]]="","",tblWorkOrders[[#This Row],[Actual (h)]]*LabourRate)</f>
        <v>600</v>
      </c>
      <c r="X126" s="44">
        <f>IF(tblWorkOrders[[#This Row],[WO no.]]="","",tblWorkOrders[[#This Row],[Labour cost]]+tblWorkOrders[[#This Row],[Parts cost]]+tblWorkOrders[[#This Row],[Contractor cost]])</f>
        <v>690</v>
      </c>
      <c r="Y126" s="45" t="str">
        <f>IF(tblWorkOrders[[#This Row],[WO no.]]="","",IF(tblWorkOrders[[#This Row],[Status]]="Cancelled","",IF(tblWorkOrders[[#This Row],[Open]]=0,"Complete",IF(tblWorkOrders[[#This Row],[Due date]]="","",IF(AsOf&gt;tblWorkOrders[[#This Row],[Due date]],"Overdue",IF(tblWorkOrders[[#This Row],[Due date]]-AsOf&lt;=DueSoonDays,"Due soon","OK"))))))</f>
        <v>Complete</v>
      </c>
      <c r="Z126" s="45" t="str">
        <f>IF(tblWorkOrders[[#This Row],[WO no.]]="","",IF(OR(tblWorkOrders[[#This Row],[Status]]&lt;&gt;"Complete",tblWorkOrders[[#This Row],[Date completed]]="",tblWorkOrders[[#This Row],[Due date]]=""),"",IF(tblWorkOrders[[#This Row],[Date completed]]&lt;=tblWorkOrders[[#This Row],[Due date]],"Yes","No")))</f>
        <v>No</v>
      </c>
      <c r="AA126" s="42">
        <f>IF(tblWorkOrders[[#This Row],[WO no.]]="","",IF(AND(tblWorkOrders[[#This Row],[Date raised]]&gt;=FFrom,tblWorkOrders[[#This Row],[Date raised]]&lt;=FTo),tblWorkOrders[[#This Row],[Date raised]],""))</f>
        <v>46297</v>
      </c>
      <c r="AB12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7" spans="2:28" x14ac:dyDescent="0.25">
      <c r="B127" s="28" t="s">
        <v>361</v>
      </c>
      <c r="C127" s="29">
        <v>46297</v>
      </c>
      <c r="D127" s="28" t="s">
        <v>107</v>
      </c>
      <c r="E127" s="39" t="s">
        <v>269</v>
      </c>
      <c r="F127" s="28" t="s">
        <v>130</v>
      </c>
      <c r="G127" s="28" t="s">
        <v>147</v>
      </c>
      <c r="H127" s="28" t="s">
        <v>157</v>
      </c>
      <c r="I127" s="28" t="s">
        <v>200</v>
      </c>
      <c r="J127" s="29">
        <v>46303</v>
      </c>
      <c r="K127" s="31">
        <v>2</v>
      </c>
      <c r="L127" s="31">
        <v>2.5</v>
      </c>
      <c r="M127" s="30">
        <v>35</v>
      </c>
      <c r="N127" s="30">
        <v>0</v>
      </c>
      <c r="O127" s="31">
        <v>0</v>
      </c>
      <c r="P127" s="40" t="str">
        <f>IF(tblWorkOrders[[#This Row],[WO no.]]="","",IFERROR(INDEX(tblAssets[Area],MATCH(tblWorkOrders[[#This Row],[Asset]],tblAssets[Asset ID],0)),""))</f>
        <v>Line 1</v>
      </c>
      <c r="Q127" s="40" t="str">
        <f>IF(tblWorkOrders[[#This Row],[WO no.]]="","",IFERROR(INDEX(tblWorkTypes[Category],MATCH(tblWorkOrders[[#This Row],[Work type]],tblWorkTypes[Work type],0)),""))</f>
        <v>Corrective</v>
      </c>
      <c r="R127" s="41">
        <f>IF(tblWorkOrders[[#This Row],[WO no.]]="","",IFERROR(INDEX(tblPriorities[Target (days)],MATCH(tblWorkOrders[[#This Row],[Priority]],tblPriorities[Priority],0)),""))</f>
        <v>14</v>
      </c>
      <c r="S127" s="42">
        <f>IF(tblWorkOrders[[#This Row],[WO no.]]="","",IF(tblWorkOrders[[#This Row],[Target (days)]]="","",tblWorkOrders[[#This Row],[Date raised]]+tblWorkOrders[[#This Row],[Target (days)]]))</f>
        <v>46311</v>
      </c>
      <c r="T127" s="41">
        <f>IF(tblWorkOrders[[#This Row],[WO no.]]="","",IF(OR(tblWorkOrders[[#This Row],[Status]]="Complete",tblWorkOrders[[#This Row],[Status]]="Cancelled"),0,1))</f>
        <v>0</v>
      </c>
      <c r="U127" s="41">
        <f>IF(tblWorkOrders[[#This Row],[WO no.]]="","",IF(tblWorkOrders[[#This Row],[Status]]="Cancelled","",IF(tblWorkOrders[[#This Row],[Open]]=1,AsOf-tblWorkOrders[[#This Row],[Date raised]],IF(tblWorkOrders[[#This Row],[Date completed]]="","",tblWorkOrders[[#This Row],[Date completed]]-tblWorkOrders[[#This Row],[Date raised]]))))</f>
        <v>6</v>
      </c>
      <c r="V127" s="43">
        <f>IF(tblWorkOrders[[#This Row],[WO no.]]="","",IF(tblWorkOrders[[#This Row],[Open]]=1,MAX(0,tblWorkOrders[[#This Row],[Estimated (h)]]-tblWorkOrders[[#This Row],[Actual (h)]]),0))</f>
        <v>0</v>
      </c>
      <c r="W127" s="44">
        <f>IF(tblWorkOrders[[#This Row],[WO no.]]="","",tblWorkOrders[[#This Row],[Actual (h)]]*LabourRate)</f>
        <v>120</v>
      </c>
      <c r="X127" s="44">
        <f>IF(tblWorkOrders[[#This Row],[WO no.]]="","",tblWorkOrders[[#This Row],[Labour cost]]+tblWorkOrders[[#This Row],[Parts cost]]+tblWorkOrders[[#This Row],[Contractor cost]])</f>
        <v>155</v>
      </c>
      <c r="Y127" s="45" t="str">
        <f>IF(tblWorkOrders[[#This Row],[WO no.]]="","",IF(tblWorkOrders[[#This Row],[Status]]="Cancelled","",IF(tblWorkOrders[[#This Row],[Open]]=0,"Complete",IF(tblWorkOrders[[#This Row],[Due date]]="","",IF(AsOf&gt;tblWorkOrders[[#This Row],[Due date]],"Overdue",IF(tblWorkOrders[[#This Row],[Due date]]-AsOf&lt;=DueSoonDays,"Due soon","OK"))))))</f>
        <v>Complete</v>
      </c>
      <c r="Z127" s="45" t="str">
        <f>IF(tblWorkOrders[[#This Row],[WO no.]]="","",IF(OR(tblWorkOrders[[#This Row],[Status]]&lt;&gt;"Complete",tblWorkOrders[[#This Row],[Date completed]]="",tblWorkOrders[[#This Row],[Due date]]=""),"",IF(tblWorkOrders[[#This Row],[Date completed]]&lt;=tblWorkOrders[[#This Row],[Due date]],"Yes","No")))</f>
        <v>Yes</v>
      </c>
      <c r="AA127" s="42">
        <f>IF(tblWorkOrders[[#This Row],[WO no.]]="","",IF(AND(tblWorkOrders[[#This Row],[Date raised]]&gt;=FFrom,tblWorkOrders[[#This Row],[Date raised]]&lt;=FTo),tblWorkOrders[[#This Row],[Date raised]],""))</f>
        <v>46297</v>
      </c>
      <c r="AB12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8" spans="2:28" x14ac:dyDescent="0.25">
      <c r="B128" s="28" t="s">
        <v>362</v>
      </c>
      <c r="C128" s="29">
        <v>46300</v>
      </c>
      <c r="D128" s="28" t="s">
        <v>119</v>
      </c>
      <c r="E128" s="39" t="s">
        <v>338</v>
      </c>
      <c r="F128" s="28" t="s">
        <v>130</v>
      </c>
      <c r="G128" s="28" t="s">
        <v>147</v>
      </c>
      <c r="H128" s="28" t="s">
        <v>157</v>
      </c>
      <c r="I128" s="28" t="s">
        <v>195</v>
      </c>
      <c r="J128" s="29"/>
      <c r="K128" s="31">
        <v>8</v>
      </c>
      <c r="L128" s="31">
        <v>4</v>
      </c>
      <c r="M128" s="30">
        <v>150</v>
      </c>
      <c r="N128" s="30">
        <v>0</v>
      </c>
      <c r="O128" s="31">
        <v>0</v>
      </c>
      <c r="P128" s="40" t="str">
        <f>IF(tblWorkOrders[[#This Row],[WO no.]]="","",IFERROR(INDEX(tblAssets[Area],MATCH(tblWorkOrders[[#This Row],[Asset]],tblAssets[Asset ID],0)),""))</f>
        <v>Utilities</v>
      </c>
      <c r="Q128" s="40" t="str">
        <f>IF(tblWorkOrders[[#This Row],[WO no.]]="","",IFERROR(INDEX(tblWorkTypes[Category],MATCH(tblWorkOrders[[#This Row],[Work type]],tblWorkTypes[Work type],0)),""))</f>
        <v>Corrective</v>
      </c>
      <c r="R128" s="41">
        <f>IF(tblWorkOrders[[#This Row],[WO no.]]="","",IFERROR(INDEX(tblPriorities[Target (days)],MATCH(tblWorkOrders[[#This Row],[Priority]],tblPriorities[Priority],0)),""))</f>
        <v>14</v>
      </c>
      <c r="S128" s="42">
        <f>IF(tblWorkOrders[[#This Row],[WO no.]]="","",IF(tblWorkOrders[[#This Row],[Target (days)]]="","",tblWorkOrders[[#This Row],[Date raised]]+tblWorkOrders[[#This Row],[Target (days)]]))</f>
        <v>46314</v>
      </c>
      <c r="T128" s="41">
        <f>IF(tblWorkOrders[[#This Row],[WO no.]]="","",IF(OR(tblWorkOrders[[#This Row],[Status]]="Complete",tblWorkOrders[[#This Row],[Status]]="Cancelled"),0,1))</f>
        <v>1</v>
      </c>
      <c r="U128" s="41">
        <f>IF(tblWorkOrders[[#This Row],[WO no.]]="","",IF(tblWorkOrders[[#This Row],[Status]]="Cancelled","",IF(tblWorkOrders[[#This Row],[Open]]=1,AsOf-tblWorkOrders[[#This Row],[Date raised]],IF(tblWorkOrders[[#This Row],[Date completed]]="","",tblWorkOrders[[#This Row],[Date completed]]-tblWorkOrders[[#This Row],[Date raised]]))))</f>
        <v>4</v>
      </c>
      <c r="V128" s="43">
        <f>IF(tblWorkOrders[[#This Row],[WO no.]]="","",IF(tblWorkOrders[[#This Row],[Open]]=1,MAX(0,tblWorkOrders[[#This Row],[Estimated (h)]]-tblWorkOrders[[#This Row],[Actual (h)]]),0))</f>
        <v>4</v>
      </c>
      <c r="W128" s="44">
        <f>IF(tblWorkOrders[[#This Row],[WO no.]]="","",tblWorkOrders[[#This Row],[Actual (h)]]*LabourRate)</f>
        <v>192</v>
      </c>
      <c r="X128" s="44">
        <f>IF(tblWorkOrders[[#This Row],[WO no.]]="","",tblWorkOrders[[#This Row],[Labour cost]]+tblWorkOrders[[#This Row],[Parts cost]]+tblWorkOrders[[#This Row],[Contractor cost]])</f>
        <v>342</v>
      </c>
      <c r="Y128" s="45" t="str">
        <f>IF(tblWorkOrders[[#This Row],[WO no.]]="","",IF(tblWorkOrders[[#This Row],[Status]]="Cancelled","",IF(tblWorkOrders[[#This Row],[Open]]=0,"Complete",IF(tblWorkOrders[[#This Row],[Due date]]="","",IF(AsOf&gt;tblWorkOrders[[#This Row],[Due date]],"Overdue",IF(tblWorkOrders[[#This Row],[Due date]]-AsOf&lt;=DueSoonDays,"Due soon","OK"))))))</f>
        <v>OK</v>
      </c>
      <c r="Z128" s="45">
        <f>IF(tblWorkOrders[[#This Row],[WO no.]]="","",IF(OR(tblWorkOrders[[#This Row],[Status]]&lt;&gt;"Complete",tblWorkOrders[[#This Row],[Date completed]]="",tblWorkOrders[[#This Row],[Due date]]=""),"",IF(tblWorkOrders[[#This Row],[Date completed]]&lt;=tblWorkOrders[[#This Row],[Due date]],"Yes","No")))</f>
        <v/>
      </c>
      <c r="AA128" s="42">
        <f>IF(tblWorkOrders[[#This Row],[WO no.]]="","",IF(AND(tblWorkOrders[[#This Row],[Date raised]]&gt;=FFrom,tblWorkOrders[[#This Row],[Date raised]]&lt;=FTo),tblWorkOrders[[#This Row],[Date raised]],""))</f>
        <v>46300</v>
      </c>
      <c r="AB12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29" spans="2:28" x14ac:dyDescent="0.25">
      <c r="B129" s="28" t="s">
        <v>363</v>
      </c>
      <c r="C129" s="29">
        <v>46300</v>
      </c>
      <c r="D129" s="28" t="s">
        <v>107</v>
      </c>
      <c r="E129" s="39" t="s">
        <v>210</v>
      </c>
      <c r="F129" s="28" t="s">
        <v>133</v>
      </c>
      <c r="G129" s="28" t="s">
        <v>147</v>
      </c>
      <c r="H129" s="28" t="s">
        <v>157</v>
      </c>
      <c r="I129" s="28" t="s">
        <v>200</v>
      </c>
      <c r="J129" s="29">
        <v>46300</v>
      </c>
      <c r="K129" s="31">
        <v>2</v>
      </c>
      <c r="L129" s="31">
        <v>2.5</v>
      </c>
      <c r="M129" s="30">
        <v>40</v>
      </c>
      <c r="N129" s="30">
        <v>0</v>
      </c>
      <c r="O129" s="31">
        <v>0</v>
      </c>
      <c r="P129" s="40" t="str">
        <f>IF(tblWorkOrders[[#This Row],[WO no.]]="","",IFERROR(INDEX(tblAssets[Area],MATCH(tblWorkOrders[[#This Row],[Asset]],tblAssets[Asset ID],0)),""))</f>
        <v>Line 1</v>
      </c>
      <c r="Q129" s="40" t="str">
        <f>IF(tblWorkOrders[[#This Row],[WO no.]]="","",IFERROR(INDEX(tblWorkTypes[Category],MATCH(tblWorkOrders[[#This Row],[Work type]],tblWorkTypes[Work type],0)),""))</f>
        <v>Planned</v>
      </c>
      <c r="R129" s="41">
        <f>IF(tblWorkOrders[[#This Row],[WO no.]]="","",IFERROR(INDEX(tblPriorities[Target (days)],MATCH(tblWorkOrders[[#This Row],[Priority]],tblPriorities[Priority],0)),""))</f>
        <v>14</v>
      </c>
      <c r="S129" s="42">
        <f>IF(tblWorkOrders[[#This Row],[WO no.]]="","",IF(tblWorkOrders[[#This Row],[Target (days)]]="","",tblWorkOrders[[#This Row],[Date raised]]+tblWorkOrders[[#This Row],[Target (days)]]))</f>
        <v>46314</v>
      </c>
      <c r="T129" s="41">
        <f>IF(tblWorkOrders[[#This Row],[WO no.]]="","",IF(OR(tblWorkOrders[[#This Row],[Status]]="Complete",tblWorkOrders[[#This Row],[Status]]="Cancelled"),0,1))</f>
        <v>0</v>
      </c>
      <c r="U129" s="41">
        <f>IF(tblWorkOrders[[#This Row],[WO no.]]="","",IF(tblWorkOrders[[#This Row],[Status]]="Cancelled","",IF(tblWorkOrders[[#This Row],[Open]]=1,AsOf-tblWorkOrders[[#This Row],[Date raised]],IF(tblWorkOrders[[#This Row],[Date completed]]="","",tblWorkOrders[[#This Row],[Date completed]]-tblWorkOrders[[#This Row],[Date raised]]))))</f>
        <v>0</v>
      </c>
      <c r="V129" s="43">
        <f>IF(tblWorkOrders[[#This Row],[WO no.]]="","",IF(tblWorkOrders[[#This Row],[Open]]=1,MAX(0,tblWorkOrders[[#This Row],[Estimated (h)]]-tblWorkOrders[[#This Row],[Actual (h)]]),0))</f>
        <v>0</v>
      </c>
      <c r="W129" s="44">
        <f>IF(tblWorkOrders[[#This Row],[WO no.]]="","",tblWorkOrders[[#This Row],[Actual (h)]]*LabourRate)</f>
        <v>120</v>
      </c>
      <c r="X129" s="44">
        <f>IF(tblWorkOrders[[#This Row],[WO no.]]="","",tblWorkOrders[[#This Row],[Labour cost]]+tblWorkOrders[[#This Row],[Parts cost]]+tblWorkOrders[[#This Row],[Contractor cost]])</f>
        <v>160</v>
      </c>
      <c r="Y129" s="45" t="str">
        <f>IF(tblWorkOrders[[#This Row],[WO no.]]="","",IF(tblWorkOrders[[#This Row],[Status]]="Cancelled","",IF(tblWorkOrders[[#This Row],[Open]]=0,"Complete",IF(tblWorkOrders[[#This Row],[Due date]]="","",IF(AsOf&gt;tblWorkOrders[[#This Row],[Due date]],"Overdue",IF(tblWorkOrders[[#This Row],[Due date]]-AsOf&lt;=DueSoonDays,"Due soon","OK"))))))</f>
        <v>Complete</v>
      </c>
      <c r="Z129" s="45" t="str">
        <f>IF(tblWorkOrders[[#This Row],[WO no.]]="","",IF(OR(tblWorkOrders[[#This Row],[Status]]&lt;&gt;"Complete",tblWorkOrders[[#This Row],[Date completed]]="",tblWorkOrders[[#This Row],[Due date]]=""),"",IF(tblWorkOrders[[#This Row],[Date completed]]&lt;=tblWorkOrders[[#This Row],[Due date]],"Yes","No")))</f>
        <v>Yes</v>
      </c>
      <c r="AA129" s="42">
        <f>IF(tblWorkOrders[[#This Row],[WO no.]]="","",IF(AND(tblWorkOrders[[#This Row],[Date raised]]&gt;=FFrom,tblWorkOrders[[#This Row],[Date raised]]&lt;=FTo),tblWorkOrders[[#This Row],[Date raised]],""))</f>
        <v>46300</v>
      </c>
      <c r="AB12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0" spans="2:28" x14ac:dyDescent="0.25">
      <c r="B130" s="28" t="s">
        <v>364</v>
      </c>
      <c r="C130" s="29">
        <v>46300</v>
      </c>
      <c r="D130" s="28" t="s">
        <v>114</v>
      </c>
      <c r="E130" s="39" t="s">
        <v>220</v>
      </c>
      <c r="F130" s="28" t="s">
        <v>133</v>
      </c>
      <c r="G130" s="28" t="s">
        <v>147</v>
      </c>
      <c r="H130" s="28" t="s">
        <v>155</v>
      </c>
      <c r="I130" s="28" t="s">
        <v>176</v>
      </c>
      <c r="J130" s="29"/>
      <c r="K130" s="31">
        <v>3</v>
      </c>
      <c r="L130" s="31">
        <v>0</v>
      </c>
      <c r="M130" s="30">
        <v>0</v>
      </c>
      <c r="N130" s="30">
        <v>0</v>
      </c>
      <c r="O130" s="31">
        <v>0</v>
      </c>
      <c r="P130" s="40" t="str">
        <f>IF(tblWorkOrders[[#This Row],[WO no.]]="","",IFERROR(INDEX(tblAssets[Area],MATCH(tblWorkOrders[[#This Row],[Asset]],tblAssets[Asset ID],0)),""))</f>
        <v>Line 2</v>
      </c>
      <c r="Q130" s="40" t="str">
        <f>IF(tblWorkOrders[[#This Row],[WO no.]]="","",IFERROR(INDEX(tblWorkTypes[Category],MATCH(tblWorkOrders[[#This Row],[Work type]],tblWorkTypes[Work type],0)),""))</f>
        <v>Planned</v>
      </c>
      <c r="R130" s="41">
        <f>IF(tblWorkOrders[[#This Row],[WO no.]]="","",IFERROR(INDEX(tblPriorities[Target (days)],MATCH(tblWorkOrders[[#This Row],[Priority]],tblPriorities[Priority],0)),""))</f>
        <v>14</v>
      </c>
      <c r="S130" s="42">
        <f>IF(tblWorkOrders[[#This Row],[WO no.]]="","",IF(tblWorkOrders[[#This Row],[Target (days)]]="","",tblWorkOrders[[#This Row],[Date raised]]+tblWorkOrders[[#This Row],[Target (days)]]))</f>
        <v>46314</v>
      </c>
      <c r="T130" s="41">
        <f>IF(tblWorkOrders[[#This Row],[WO no.]]="","",IF(OR(tblWorkOrders[[#This Row],[Status]]="Complete",tblWorkOrders[[#This Row],[Status]]="Cancelled"),0,1))</f>
        <v>1</v>
      </c>
      <c r="U130" s="41">
        <f>IF(tblWorkOrders[[#This Row],[WO no.]]="","",IF(tblWorkOrders[[#This Row],[Status]]="Cancelled","",IF(tblWorkOrders[[#This Row],[Open]]=1,AsOf-tblWorkOrders[[#This Row],[Date raised]],IF(tblWorkOrders[[#This Row],[Date completed]]="","",tblWorkOrders[[#This Row],[Date completed]]-tblWorkOrders[[#This Row],[Date raised]]))))</f>
        <v>4</v>
      </c>
      <c r="V130" s="43">
        <f>IF(tblWorkOrders[[#This Row],[WO no.]]="","",IF(tblWorkOrders[[#This Row],[Open]]=1,MAX(0,tblWorkOrders[[#This Row],[Estimated (h)]]-tblWorkOrders[[#This Row],[Actual (h)]]),0))</f>
        <v>3</v>
      </c>
      <c r="W130" s="44">
        <f>IF(tblWorkOrders[[#This Row],[WO no.]]="","",tblWorkOrders[[#This Row],[Actual (h)]]*LabourRate)</f>
        <v>0</v>
      </c>
      <c r="X130" s="44">
        <f>IF(tblWorkOrders[[#This Row],[WO no.]]="","",tblWorkOrders[[#This Row],[Labour cost]]+tblWorkOrders[[#This Row],[Parts cost]]+tblWorkOrders[[#This Row],[Contractor cost]])</f>
        <v>0</v>
      </c>
      <c r="Y130" s="45" t="str">
        <f>IF(tblWorkOrders[[#This Row],[WO no.]]="","",IF(tblWorkOrders[[#This Row],[Status]]="Cancelled","",IF(tblWorkOrders[[#This Row],[Open]]=0,"Complete",IF(tblWorkOrders[[#This Row],[Due date]]="","",IF(AsOf&gt;tblWorkOrders[[#This Row],[Due date]],"Overdue",IF(tblWorkOrders[[#This Row],[Due date]]-AsOf&lt;=DueSoonDays,"Due soon","OK"))))))</f>
        <v>OK</v>
      </c>
      <c r="Z130" s="45">
        <f>IF(tblWorkOrders[[#This Row],[WO no.]]="","",IF(OR(tblWorkOrders[[#This Row],[Status]]&lt;&gt;"Complete",tblWorkOrders[[#This Row],[Date completed]]="",tblWorkOrders[[#This Row],[Due date]]=""),"",IF(tblWorkOrders[[#This Row],[Date completed]]&lt;=tblWorkOrders[[#This Row],[Due date]],"Yes","No")))</f>
        <v/>
      </c>
      <c r="AA130" s="42">
        <f>IF(tblWorkOrders[[#This Row],[WO no.]]="","",IF(AND(tblWorkOrders[[#This Row],[Date raised]]&gt;=FFrom,tblWorkOrders[[#This Row],[Date raised]]&lt;=FTo),tblWorkOrders[[#This Row],[Date raised]],""))</f>
        <v>46300</v>
      </c>
      <c r="AB13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1" spans="2:28" x14ac:dyDescent="0.25">
      <c r="B131" s="28" t="s">
        <v>365</v>
      </c>
      <c r="C131" s="29">
        <v>46300</v>
      </c>
      <c r="D131" s="28" t="s">
        <v>104</v>
      </c>
      <c r="E131" s="39" t="s">
        <v>212</v>
      </c>
      <c r="F131" s="28" t="s">
        <v>133</v>
      </c>
      <c r="G131" s="28" t="s">
        <v>147</v>
      </c>
      <c r="H131" s="28" t="s">
        <v>152</v>
      </c>
      <c r="I131" s="28" t="s">
        <v>200</v>
      </c>
      <c r="J131" s="29">
        <v>46303</v>
      </c>
      <c r="K131" s="31">
        <v>4</v>
      </c>
      <c r="L131" s="31">
        <v>5</v>
      </c>
      <c r="M131" s="30">
        <v>0</v>
      </c>
      <c r="N131" s="30">
        <v>0</v>
      </c>
      <c r="O131" s="31">
        <v>0</v>
      </c>
      <c r="P131" s="40" t="str">
        <f>IF(tblWorkOrders[[#This Row],[WO no.]]="","",IFERROR(INDEX(tblAssets[Area],MATCH(tblWorkOrders[[#This Row],[Asset]],tblAssets[Asset ID],0)),""))</f>
        <v>Line 1</v>
      </c>
      <c r="Q131" s="40" t="str">
        <f>IF(tblWorkOrders[[#This Row],[WO no.]]="","",IFERROR(INDEX(tblWorkTypes[Category],MATCH(tblWorkOrders[[#This Row],[Work type]],tblWorkTypes[Work type],0)),""))</f>
        <v>Planned</v>
      </c>
      <c r="R131" s="41">
        <f>IF(tblWorkOrders[[#This Row],[WO no.]]="","",IFERROR(INDEX(tblPriorities[Target (days)],MATCH(tblWorkOrders[[#This Row],[Priority]],tblPriorities[Priority],0)),""))</f>
        <v>14</v>
      </c>
      <c r="S131" s="42">
        <f>IF(tblWorkOrders[[#This Row],[WO no.]]="","",IF(tblWorkOrders[[#This Row],[Target (days)]]="","",tblWorkOrders[[#This Row],[Date raised]]+tblWorkOrders[[#This Row],[Target (days)]]))</f>
        <v>46314</v>
      </c>
      <c r="T131" s="41">
        <f>IF(tblWorkOrders[[#This Row],[WO no.]]="","",IF(OR(tblWorkOrders[[#This Row],[Status]]="Complete",tblWorkOrders[[#This Row],[Status]]="Cancelled"),0,1))</f>
        <v>0</v>
      </c>
      <c r="U131" s="41">
        <f>IF(tblWorkOrders[[#This Row],[WO no.]]="","",IF(tblWorkOrders[[#This Row],[Status]]="Cancelled","",IF(tblWorkOrders[[#This Row],[Open]]=1,AsOf-tblWorkOrders[[#This Row],[Date raised]],IF(tblWorkOrders[[#This Row],[Date completed]]="","",tblWorkOrders[[#This Row],[Date completed]]-tblWorkOrders[[#This Row],[Date raised]]))))</f>
        <v>3</v>
      </c>
      <c r="V131" s="43">
        <f>IF(tblWorkOrders[[#This Row],[WO no.]]="","",IF(tblWorkOrders[[#This Row],[Open]]=1,MAX(0,tblWorkOrders[[#This Row],[Estimated (h)]]-tblWorkOrders[[#This Row],[Actual (h)]]),0))</f>
        <v>0</v>
      </c>
      <c r="W131" s="44">
        <f>IF(tblWorkOrders[[#This Row],[WO no.]]="","",tblWorkOrders[[#This Row],[Actual (h)]]*LabourRate)</f>
        <v>240</v>
      </c>
      <c r="X131" s="44">
        <f>IF(tblWorkOrders[[#This Row],[WO no.]]="","",tblWorkOrders[[#This Row],[Labour cost]]+tblWorkOrders[[#This Row],[Parts cost]]+tblWorkOrders[[#This Row],[Contractor cost]])</f>
        <v>240</v>
      </c>
      <c r="Y131" s="45" t="str">
        <f>IF(tblWorkOrders[[#This Row],[WO no.]]="","",IF(tblWorkOrders[[#This Row],[Status]]="Cancelled","",IF(tblWorkOrders[[#This Row],[Open]]=0,"Complete",IF(tblWorkOrders[[#This Row],[Due date]]="","",IF(AsOf&gt;tblWorkOrders[[#This Row],[Due date]],"Overdue",IF(tblWorkOrders[[#This Row],[Due date]]-AsOf&lt;=DueSoonDays,"Due soon","OK"))))))</f>
        <v>Complete</v>
      </c>
      <c r="Z131" s="45" t="str">
        <f>IF(tblWorkOrders[[#This Row],[WO no.]]="","",IF(OR(tblWorkOrders[[#This Row],[Status]]&lt;&gt;"Complete",tblWorkOrders[[#This Row],[Date completed]]="",tblWorkOrders[[#This Row],[Due date]]=""),"",IF(tblWorkOrders[[#This Row],[Date completed]]&lt;=tblWorkOrders[[#This Row],[Due date]],"Yes","No")))</f>
        <v>Yes</v>
      </c>
      <c r="AA131" s="42">
        <f>IF(tblWorkOrders[[#This Row],[WO no.]]="","",IF(AND(tblWorkOrders[[#This Row],[Date raised]]&gt;=FFrom,tblWorkOrders[[#This Row],[Date raised]]&lt;=FTo),tblWorkOrders[[#This Row],[Date raised]],""))</f>
        <v>46300</v>
      </c>
      <c r="AB13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2" spans="2:28" x14ac:dyDescent="0.25">
      <c r="B132" s="28" t="s">
        <v>366</v>
      </c>
      <c r="C132" s="29">
        <v>46300</v>
      </c>
      <c r="D132" s="28" t="s">
        <v>111</v>
      </c>
      <c r="E132" s="39" t="s">
        <v>214</v>
      </c>
      <c r="F132" s="28" t="s">
        <v>133</v>
      </c>
      <c r="G132" s="28" t="s">
        <v>147</v>
      </c>
      <c r="H132" s="28" t="s">
        <v>152</v>
      </c>
      <c r="I132" s="28" t="s">
        <v>200</v>
      </c>
      <c r="J132" s="29">
        <v>46303</v>
      </c>
      <c r="K132" s="31">
        <v>3</v>
      </c>
      <c r="L132" s="31">
        <v>3</v>
      </c>
      <c r="M132" s="30">
        <v>0</v>
      </c>
      <c r="N132" s="30">
        <v>0</v>
      </c>
      <c r="O132" s="31">
        <v>0</v>
      </c>
      <c r="P132" s="40" t="str">
        <f>IF(tblWorkOrders[[#This Row],[WO no.]]="","",IFERROR(INDEX(tblAssets[Area],MATCH(tblWorkOrders[[#This Row],[Asset]],tblAssets[Asset ID],0)),""))</f>
        <v>Line 2</v>
      </c>
      <c r="Q132" s="40" t="str">
        <f>IF(tblWorkOrders[[#This Row],[WO no.]]="","",IFERROR(INDEX(tblWorkTypes[Category],MATCH(tblWorkOrders[[#This Row],[Work type]],tblWorkTypes[Work type],0)),""))</f>
        <v>Planned</v>
      </c>
      <c r="R132" s="41">
        <f>IF(tblWorkOrders[[#This Row],[WO no.]]="","",IFERROR(INDEX(tblPriorities[Target (days)],MATCH(tblWorkOrders[[#This Row],[Priority]],tblPriorities[Priority],0)),""))</f>
        <v>14</v>
      </c>
      <c r="S132" s="42">
        <f>IF(tblWorkOrders[[#This Row],[WO no.]]="","",IF(tblWorkOrders[[#This Row],[Target (days)]]="","",tblWorkOrders[[#This Row],[Date raised]]+tblWorkOrders[[#This Row],[Target (days)]]))</f>
        <v>46314</v>
      </c>
      <c r="T132" s="41">
        <f>IF(tblWorkOrders[[#This Row],[WO no.]]="","",IF(OR(tblWorkOrders[[#This Row],[Status]]="Complete",tblWorkOrders[[#This Row],[Status]]="Cancelled"),0,1))</f>
        <v>0</v>
      </c>
      <c r="U132" s="41">
        <f>IF(tblWorkOrders[[#This Row],[WO no.]]="","",IF(tblWorkOrders[[#This Row],[Status]]="Cancelled","",IF(tblWorkOrders[[#This Row],[Open]]=1,AsOf-tblWorkOrders[[#This Row],[Date raised]],IF(tblWorkOrders[[#This Row],[Date completed]]="","",tblWorkOrders[[#This Row],[Date completed]]-tblWorkOrders[[#This Row],[Date raised]]))))</f>
        <v>3</v>
      </c>
      <c r="V132" s="43">
        <f>IF(tblWorkOrders[[#This Row],[WO no.]]="","",IF(tblWorkOrders[[#This Row],[Open]]=1,MAX(0,tblWorkOrders[[#This Row],[Estimated (h)]]-tblWorkOrders[[#This Row],[Actual (h)]]),0))</f>
        <v>0</v>
      </c>
      <c r="W132" s="44">
        <f>IF(tblWorkOrders[[#This Row],[WO no.]]="","",tblWorkOrders[[#This Row],[Actual (h)]]*LabourRate)</f>
        <v>144</v>
      </c>
      <c r="X132" s="44">
        <f>IF(tblWorkOrders[[#This Row],[WO no.]]="","",tblWorkOrders[[#This Row],[Labour cost]]+tblWorkOrders[[#This Row],[Parts cost]]+tblWorkOrders[[#This Row],[Contractor cost]])</f>
        <v>144</v>
      </c>
      <c r="Y132" s="45" t="str">
        <f>IF(tblWorkOrders[[#This Row],[WO no.]]="","",IF(tblWorkOrders[[#This Row],[Status]]="Cancelled","",IF(tblWorkOrders[[#This Row],[Open]]=0,"Complete",IF(tblWorkOrders[[#This Row],[Due date]]="","",IF(AsOf&gt;tblWorkOrders[[#This Row],[Due date]],"Overdue",IF(tblWorkOrders[[#This Row],[Due date]]-AsOf&lt;=DueSoonDays,"Due soon","OK"))))))</f>
        <v>Complete</v>
      </c>
      <c r="Z132" s="45" t="str">
        <f>IF(tblWorkOrders[[#This Row],[WO no.]]="","",IF(OR(tblWorkOrders[[#This Row],[Status]]&lt;&gt;"Complete",tblWorkOrders[[#This Row],[Date completed]]="",tblWorkOrders[[#This Row],[Due date]]=""),"",IF(tblWorkOrders[[#This Row],[Date completed]]&lt;=tblWorkOrders[[#This Row],[Due date]],"Yes","No")))</f>
        <v>Yes</v>
      </c>
      <c r="AA132" s="42">
        <f>IF(tblWorkOrders[[#This Row],[WO no.]]="","",IF(AND(tblWorkOrders[[#This Row],[Date raised]]&gt;=FFrom,tblWorkOrders[[#This Row],[Date raised]]&lt;=FTo),tblWorkOrders[[#This Row],[Date raised]],""))</f>
        <v>46300</v>
      </c>
      <c r="AB13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3" spans="2:28" x14ac:dyDescent="0.25">
      <c r="B133" s="28" t="s">
        <v>367</v>
      </c>
      <c r="C133" s="29">
        <v>46300</v>
      </c>
      <c r="D133" s="28" t="s">
        <v>109</v>
      </c>
      <c r="E133" s="39" t="s">
        <v>238</v>
      </c>
      <c r="F133" s="28" t="s">
        <v>133</v>
      </c>
      <c r="G133" s="28" t="s">
        <v>147</v>
      </c>
      <c r="H133" s="28" t="s">
        <v>152</v>
      </c>
      <c r="I133" s="28" t="s">
        <v>200</v>
      </c>
      <c r="J133" s="29">
        <v>46303</v>
      </c>
      <c r="K133" s="31">
        <v>2</v>
      </c>
      <c r="L133" s="31">
        <v>2</v>
      </c>
      <c r="M133" s="30">
        <v>80</v>
      </c>
      <c r="N133" s="30">
        <v>0</v>
      </c>
      <c r="O133" s="31">
        <v>0</v>
      </c>
      <c r="P133" s="40" t="str">
        <f>IF(tblWorkOrders[[#This Row],[WO no.]]="","",IFERROR(INDEX(tblAssets[Area],MATCH(tblWorkOrders[[#This Row],[Asset]],tblAssets[Asset ID],0)),""))</f>
        <v>Line 1</v>
      </c>
      <c r="Q133" s="40" t="str">
        <f>IF(tblWorkOrders[[#This Row],[WO no.]]="","",IFERROR(INDEX(tblWorkTypes[Category],MATCH(tblWorkOrders[[#This Row],[Work type]],tblWorkTypes[Work type],0)),""))</f>
        <v>Planned</v>
      </c>
      <c r="R133" s="41">
        <f>IF(tblWorkOrders[[#This Row],[WO no.]]="","",IFERROR(INDEX(tblPriorities[Target (days)],MATCH(tblWorkOrders[[#This Row],[Priority]],tblPriorities[Priority],0)),""))</f>
        <v>14</v>
      </c>
      <c r="S133" s="42">
        <f>IF(tblWorkOrders[[#This Row],[WO no.]]="","",IF(tblWorkOrders[[#This Row],[Target (days)]]="","",tblWorkOrders[[#This Row],[Date raised]]+tblWorkOrders[[#This Row],[Target (days)]]))</f>
        <v>46314</v>
      </c>
      <c r="T133" s="41">
        <f>IF(tblWorkOrders[[#This Row],[WO no.]]="","",IF(OR(tblWorkOrders[[#This Row],[Status]]="Complete",tblWorkOrders[[#This Row],[Status]]="Cancelled"),0,1))</f>
        <v>0</v>
      </c>
      <c r="U133" s="41">
        <f>IF(tblWorkOrders[[#This Row],[WO no.]]="","",IF(tblWorkOrders[[#This Row],[Status]]="Cancelled","",IF(tblWorkOrders[[#This Row],[Open]]=1,AsOf-tblWorkOrders[[#This Row],[Date raised]],IF(tblWorkOrders[[#This Row],[Date completed]]="","",tblWorkOrders[[#This Row],[Date completed]]-tblWorkOrders[[#This Row],[Date raised]]))))</f>
        <v>3</v>
      </c>
      <c r="V133" s="43">
        <f>IF(tblWorkOrders[[#This Row],[WO no.]]="","",IF(tblWorkOrders[[#This Row],[Open]]=1,MAX(0,tblWorkOrders[[#This Row],[Estimated (h)]]-tblWorkOrders[[#This Row],[Actual (h)]]),0))</f>
        <v>0</v>
      </c>
      <c r="W133" s="44">
        <f>IF(tblWorkOrders[[#This Row],[WO no.]]="","",tblWorkOrders[[#This Row],[Actual (h)]]*LabourRate)</f>
        <v>96</v>
      </c>
      <c r="X133" s="44">
        <f>IF(tblWorkOrders[[#This Row],[WO no.]]="","",tblWorkOrders[[#This Row],[Labour cost]]+tblWorkOrders[[#This Row],[Parts cost]]+tblWorkOrders[[#This Row],[Contractor cost]])</f>
        <v>176</v>
      </c>
      <c r="Y133" s="45" t="str">
        <f>IF(tblWorkOrders[[#This Row],[WO no.]]="","",IF(tblWorkOrders[[#This Row],[Status]]="Cancelled","",IF(tblWorkOrders[[#This Row],[Open]]=0,"Complete",IF(tblWorkOrders[[#This Row],[Due date]]="","",IF(AsOf&gt;tblWorkOrders[[#This Row],[Due date]],"Overdue",IF(tblWorkOrders[[#This Row],[Due date]]-AsOf&lt;=DueSoonDays,"Due soon","OK"))))))</f>
        <v>Complete</v>
      </c>
      <c r="Z133" s="45" t="str">
        <f>IF(tblWorkOrders[[#This Row],[WO no.]]="","",IF(OR(tblWorkOrders[[#This Row],[Status]]&lt;&gt;"Complete",tblWorkOrders[[#This Row],[Date completed]]="",tblWorkOrders[[#This Row],[Due date]]=""),"",IF(tblWorkOrders[[#This Row],[Date completed]]&lt;=tblWorkOrders[[#This Row],[Due date]],"Yes","No")))</f>
        <v>Yes</v>
      </c>
      <c r="AA133" s="42">
        <f>IF(tblWorkOrders[[#This Row],[WO no.]]="","",IF(AND(tblWorkOrders[[#This Row],[Date raised]]&gt;=FFrom,tblWorkOrders[[#This Row],[Date raised]]&lt;=FTo),tblWorkOrders[[#This Row],[Date raised]],""))</f>
        <v>46300</v>
      </c>
      <c r="AB13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4" spans="2:28" x14ac:dyDescent="0.25">
      <c r="B134" s="28" t="s">
        <v>368</v>
      </c>
      <c r="C134" s="29">
        <v>46300</v>
      </c>
      <c r="D134" s="28" t="s">
        <v>100</v>
      </c>
      <c r="E134" s="39" t="s">
        <v>228</v>
      </c>
      <c r="F134" s="28" t="s">
        <v>133</v>
      </c>
      <c r="G134" s="28" t="s">
        <v>147</v>
      </c>
      <c r="H134" s="28" t="s">
        <v>155</v>
      </c>
      <c r="I134" s="28" t="s">
        <v>200</v>
      </c>
      <c r="J134" s="29">
        <v>46304</v>
      </c>
      <c r="K134" s="31">
        <v>2.5</v>
      </c>
      <c r="L134" s="31">
        <v>2</v>
      </c>
      <c r="M134" s="30">
        <v>30</v>
      </c>
      <c r="N134" s="30">
        <v>0</v>
      </c>
      <c r="O134" s="31">
        <v>0</v>
      </c>
      <c r="P134" s="40" t="str">
        <f>IF(tblWorkOrders[[#This Row],[WO no.]]="","",IFERROR(INDEX(tblAssets[Area],MATCH(tblWorkOrders[[#This Row],[Asset]],tblAssets[Asset ID],0)),""))</f>
        <v>Processing</v>
      </c>
      <c r="Q134" s="40" t="str">
        <f>IF(tblWorkOrders[[#This Row],[WO no.]]="","",IFERROR(INDEX(tblWorkTypes[Category],MATCH(tblWorkOrders[[#This Row],[Work type]],tblWorkTypes[Work type],0)),""))</f>
        <v>Planned</v>
      </c>
      <c r="R134" s="41">
        <f>IF(tblWorkOrders[[#This Row],[WO no.]]="","",IFERROR(INDEX(tblPriorities[Target (days)],MATCH(tblWorkOrders[[#This Row],[Priority]],tblPriorities[Priority],0)),""))</f>
        <v>14</v>
      </c>
      <c r="S134" s="42">
        <f>IF(tblWorkOrders[[#This Row],[WO no.]]="","",IF(tblWorkOrders[[#This Row],[Target (days)]]="","",tblWorkOrders[[#This Row],[Date raised]]+tblWorkOrders[[#This Row],[Target (days)]]))</f>
        <v>46314</v>
      </c>
      <c r="T134" s="41">
        <f>IF(tblWorkOrders[[#This Row],[WO no.]]="","",IF(OR(tblWorkOrders[[#This Row],[Status]]="Complete",tblWorkOrders[[#This Row],[Status]]="Cancelled"),0,1))</f>
        <v>0</v>
      </c>
      <c r="U134" s="41">
        <f>IF(tblWorkOrders[[#This Row],[WO no.]]="","",IF(tblWorkOrders[[#This Row],[Status]]="Cancelled","",IF(tblWorkOrders[[#This Row],[Open]]=1,AsOf-tblWorkOrders[[#This Row],[Date raised]],IF(tblWorkOrders[[#This Row],[Date completed]]="","",tblWorkOrders[[#This Row],[Date completed]]-tblWorkOrders[[#This Row],[Date raised]]))))</f>
        <v>4</v>
      </c>
      <c r="V134" s="43">
        <f>IF(tblWorkOrders[[#This Row],[WO no.]]="","",IF(tblWorkOrders[[#This Row],[Open]]=1,MAX(0,tblWorkOrders[[#This Row],[Estimated (h)]]-tblWorkOrders[[#This Row],[Actual (h)]]),0))</f>
        <v>0</v>
      </c>
      <c r="W134" s="44">
        <f>IF(tblWorkOrders[[#This Row],[WO no.]]="","",tblWorkOrders[[#This Row],[Actual (h)]]*LabourRate)</f>
        <v>96</v>
      </c>
      <c r="X134" s="44">
        <f>IF(tblWorkOrders[[#This Row],[WO no.]]="","",tblWorkOrders[[#This Row],[Labour cost]]+tblWorkOrders[[#This Row],[Parts cost]]+tblWorkOrders[[#This Row],[Contractor cost]])</f>
        <v>126</v>
      </c>
      <c r="Y134" s="45" t="str">
        <f>IF(tblWorkOrders[[#This Row],[WO no.]]="","",IF(tblWorkOrders[[#This Row],[Status]]="Cancelled","",IF(tblWorkOrders[[#This Row],[Open]]=0,"Complete",IF(tblWorkOrders[[#This Row],[Due date]]="","",IF(AsOf&gt;tblWorkOrders[[#This Row],[Due date]],"Overdue",IF(tblWorkOrders[[#This Row],[Due date]]-AsOf&lt;=DueSoonDays,"Due soon","OK"))))))</f>
        <v>Complete</v>
      </c>
      <c r="Z134" s="45" t="str">
        <f>IF(tblWorkOrders[[#This Row],[WO no.]]="","",IF(OR(tblWorkOrders[[#This Row],[Status]]&lt;&gt;"Complete",tblWorkOrders[[#This Row],[Date completed]]="",tblWorkOrders[[#This Row],[Due date]]=""),"",IF(tblWorkOrders[[#This Row],[Date completed]]&lt;=tblWorkOrders[[#This Row],[Due date]],"Yes","No")))</f>
        <v>Yes</v>
      </c>
      <c r="AA134" s="42">
        <f>IF(tblWorkOrders[[#This Row],[WO no.]]="","",IF(AND(tblWorkOrders[[#This Row],[Date raised]]&gt;=FFrom,tblWorkOrders[[#This Row],[Date raised]]&lt;=FTo),tblWorkOrders[[#This Row],[Date raised]],""))</f>
        <v>46300</v>
      </c>
      <c r="AB13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5" spans="2:28" x14ac:dyDescent="0.25">
      <c r="B135" s="28" t="s">
        <v>369</v>
      </c>
      <c r="C135" s="29">
        <v>46300</v>
      </c>
      <c r="D135" s="28" t="s">
        <v>116</v>
      </c>
      <c r="E135" s="39" t="s">
        <v>308</v>
      </c>
      <c r="F135" s="28" t="s">
        <v>130</v>
      </c>
      <c r="G135" s="28" t="s">
        <v>147</v>
      </c>
      <c r="H135" s="28" t="s">
        <v>155</v>
      </c>
      <c r="I135" s="28" t="s">
        <v>176</v>
      </c>
      <c r="J135" s="29"/>
      <c r="K135" s="31">
        <v>4</v>
      </c>
      <c r="L135" s="31">
        <v>0</v>
      </c>
      <c r="M135" s="30">
        <v>0</v>
      </c>
      <c r="N135" s="30">
        <v>0</v>
      </c>
      <c r="O135" s="31">
        <v>0</v>
      </c>
      <c r="P135" s="40" t="str">
        <f>IF(tblWorkOrders[[#This Row],[WO no.]]="","",IFERROR(INDEX(tblAssets[Area],MATCH(tblWorkOrders[[#This Row],[Asset]],tblAssets[Asset ID],0)),""))</f>
        <v>End of line</v>
      </c>
      <c r="Q135" s="40" t="str">
        <f>IF(tblWorkOrders[[#This Row],[WO no.]]="","",IFERROR(INDEX(tblWorkTypes[Category],MATCH(tblWorkOrders[[#This Row],[Work type]],tblWorkTypes[Work type],0)),""))</f>
        <v>Corrective</v>
      </c>
      <c r="R135" s="41">
        <f>IF(tblWorkOrders[[#This Row],[WO no.]]="","",IFERROR(INDEX(tblPriorities[Target (days)],MATCH(tblWorkOrders[[#This Row],[Priority]],tblPriorities[Priority],0)),""))</f>
        <v>14</v>
      </c>
      <c r="S135" s="42">
        <f>IF(tblWorkOrders[[#This Row],[WO no.]]="","",IF(tblWorkOrders[[#This Row],[Target (days)]]="","",tblWorkOrders[[#This Row],[Date raised]]+tblWorkOrders[[#This Row],[Target (days)]]))</f>
        <v>46314</v>
      </c>
      <c r="T135" s="41">
        <f>IF(tblWorkOrders[[#This Row],[WO no.]]="","",IF(OR(tblWorkOrders[[#This Row],[Status]]="Complete",tblWorkOrders[[#This Row],[Status]]="Cancelled"),0,1))</f>
        <v>1</v>
      </c>
      <c r="U135" s="41">
        <f>IF(tblWorkOrders[[#This Row],[WO no.]]="","",IF(tblWorkOrders[[#This Row],[Status]]="Cancelled","",IF(tblWorkOrders[[#This Row],[Open]]=1,AsOf-tblWorkOrders[[#This Row],[Date raised]],IF(tblWorkOrders[[#This Row],[Date completed]]="","",tblWorkOrders[[#This Row],[Date completed]]-tblWorkOrders[[#This Row],[Date raised]]))))</f>
        <v>4</v>
      </c>
      <c r="V135" s="43">
        <f>IF(tblWorkOrders[[#This Row],[WO no.]]="","",IF(tblWorkOrders[[#This Row],[Open]]=1,MAX(0,tblWorkOrders[[#This Row],[Estimated (h)]]-tblWorkOrders[[#This Row],[Actual (h)]]),0))</f>
        <v>4</v>
      </c>
      <c r="W135" s="44">
        <f>IF(tblWorkOrders[[#This Row],[WO no.]]="","",tblWorkOrders[[#This Row],[Actual (h)]]*LabourRate)</f>
        <v>0</v>
      </c>
      <c r="X135" s="44">
        <f>IF(tblWorkOrders[[#This Row],[WO no.]]="","",tblWorkOrders[[#This Row],[Labour cost]]+tblWorkOrders[[#This Row],[Parts cost]]+tblWorkOrders[[#This Row],[Contractor cost]])</f>
        <v>0</v>
      </c>
      <c r="Y135" s="45" t="str">
        <f>IF(tblWorkOrders[[#This Row],[WO no.]]="","",IF(tblWorkOrders[[#This Row],[Status]]="Cancelled","",IF(tblWorkOrders[[#This Row],[Open]]=0,"Complete",IF(tblWorkOrders[[#This Row],[Due date]]="","",IF(AsOf&gt;tblWorkOrders[[#This Row],[Due date]],"Overdue",IF(tblWorkOrders[[#This Row],[Due date]]-AsOf&lt;=DueSoonDays,"Due soon","OK"))))))</f>
        <v>OK</v>
      </c>
      <c r="Z135" s="45">
        <f>IF(tblWorkOrders[[#This Row],[WO no.]]="","",IF(OR(tblWorkOrders[[#This Row],[Status]]&lt;&gt;"Complete",tblWorkOrders[[#This Row],[Date completed]]="",tblWorkOrders[[#This Row],[Due date]]=""),"",IF(tblWorkOrders[[#This Row],[Date completed]]&lt;=tblWorkOrders[[#This Row],[Due date]],"Yes","No")))</f>
        <v/>
      </c>
      <c r="AA135" s="42">
        <f>IF(tblWorkOrders[[#This Row],[WO no.]]="","",IF(AND(tblWorkOrders[[#This Row],[Date raised]]&gt;=FFrom,tblWorkOrders[[#This Row],[Date raised]]&lt;=FTo),tblWorkOrders[[#This Row],[Date raised]],""))</f>
        <v>46300</v>
      </c>
      <c r="AB13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6" spans="2:28" x14ac:dyDescent="0.25">
      <c r="B136" s="28" t="s">
        <v>370</v>
      </c>
      <c r="C136" s="29">
        <v>46300</v>
      </c>
      <c r="D136" s="28" t="s">
        <v>116</v>
      </c>
      <c r="E136" s="39" t="s">
        <v>371</v>
      </c>
      <c r="F136" s="28" t="s">
        <v>130</v>
      </c>
      <c r="G136" s="28" t="s">
        <v>147</v>
      </c>
      <c r="H136" s="28" t="s">
        <v>152</v>
      </c>
      <c r="I136" s="28" t="s">
        <v>188</v>
      </c>
      <c r="J136" s="29"/>
      <c r="K136" s="31">
        <v>10</v>
      </c>
      <c r="L136" s="31">
        <v>0</v>
      </c>
      <c r="M136" s="30">
        <v>0</v>
      </c>
      <c r="N136" s="30">
        <v>0</v>
      </c>
      <c r="O136" s="31">
        <v>0</v>
      </c>
      <c r="P136" s="40" t="str">
        <f>IF(tblWorkOrders[[#This Row],[WO no.]]="","",IFERROR(INDEX(tblAssets[Area],MATCH(tblWorkOrders[[#This Row],[Asset]],tblAssets[Asset ID],0)),""))</f>
        <v>End of line</v>
      </c>
      <c r="Q136" s="40" t="str">
        <f>IF(tblWorkOrders[[#This Row],[WO no.]]="","",IFERROR(INDEX(tblWorkTypes[Category],MATCH(tblWorkOrders[[#This Row],[Work type]],tblWorkTypes[Work type],0)),""))</f>
        <v>Corrective</v>
      </c>
      <c r="R136" s="41">
        <f>IF(tblWorkOrders[[#This Row],[WO no.]]="","",IFERROR(INDEX(tblPriorities[Target (days)],MATCH(tblWorkOrders[[#This Row],[Priority]],tblPriorities[Priority],0)),""))</f>
        <v>14</v>
      </c>
      <c r="S136" s="42">
        <f>IF(tblWorkOrders[[#This Row],[WO no.]]="","",IF(tblWorkOrders[[#This Row],[Target (days)]]="","",tblWorkOrders[[#This Row],[Date raised]]+tblWorkOrders[[#This Row],[Target (days)]]))</f>
        <v>46314</v>
      </c>
      <c r="T136" s="41">
        <f>IF(tblWorkOrders[[#This Row],[WO no.]]="","",IF(OR(tblWorkOrders[[#This Row],[Status]]="Complete",tblWorkOrders[[#This Row],[Status]]="Cancelled"),0,1))</f>
        <v>1</v>
      </c>
      <c r="U136" s="41">
        <f>IF(tblWorkOrders[[#This Row],[WO no.]]="","",IF(tblWorkOrders[[#This Row],[Status]]="Cancelled","",IF(tblWorkOrders[[#This Row],[Open]]=1,AsOf-tblWorkOrders[[#This Row],[Date raised]],IF(tblWorkOrders[[#This Row],[Date completed]]="","",tblWorkOrders[[#This Row],[Date completed]]-tblWorkOrders[[#This Row],[Date raised]]))))</f>
        <v>4</v>
      </c>
      <c r="V136" s="43">
        <f>IF(tblWorkOrders[[#This Row],[WO no.]]="","",IF(tblWorkOrders[[#This Row],[Open]]=1,MAX(0,tblWorkOrders[[#This Row],[Estimated (h)]]-tblWorkOrders[[#This Row],[Actual (h)]]),0))</f>
        <v>10</v>
      </c>
      <c r="W136" s="44">
        <f>IF(tblWorkOrders[[#This Row],[WO no.]]="","",tblWorkOrders[[#This Row],[Actual (h)]]*LabourRate)</f>
        <v>0</v>
      </c>
      <c r="X136" s="44">
        <f>IF(tblWorkOrders[[#This Row],[WO no.]]="","",tblWorkOrders[[#This Row],[Labour cost]]+tblWorkOrders[[#This Row],[Parts cost]]+tblWorkOrders[[#This Row],[Contractor cost]])</f>
        <v>0</v>
      </c>
      <c r="Y136" s="45" t="str">
        <f>IF(tblWorkOrders[[#This Row],[WO no.]]="","",IF(tblWorkOrders[[#This Row],[Status]]="Cancelled","",IF(tblWorkOrders[[#This Row],[Open]]=0,"Complete",IF(tblWorkOrders[[#This Row],[Due date]]="","",IF(AsOf&gt;tblWorkOrders[[#This Row],[Due date]],"Overdue",IF(tblWorkOrders[[#This Row],[Due date]]-AsOf&lt;=DueSoonDays,"Due soon","OK"))))))</f>
        <v>OK</v>
      </c>
      <c r="Z136" s="45">
        <f>IF(tblWorkOrders[[#This Row],[WO no.]]="","",IF(OR(tblWorkOrders[[#This Row],[Status]]&lt;&gt;"Complete",tblWorkOrders[[#This Row],[Date completed]]="",tblWorkOrders[[#This Row],[Due date]]=""),"",IF(tblWorkOrders[[#This Row],[Date completed]]&lt;=tblWorkOrders[[#This Row],[Due date]],"Yes","No")))</f>
        <v/>
      </c>
      <c r="AA136" s="42">
        <f>IF(tblWorkOrders[[#This Row],[WO no.]]="","",IF(AND(tblWorkOrders[[#This Row],[Date raised]]&gt;=FFrom,tblWorkOrders[[#This Row],[Date raised]]&lt;=FTo),tblWorkOrders[[#This Row],[Date raised]],""))</f>
        <v>46300</v>
      </c>
      <c r="AB13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7" spans="2:28" x14ac:dyDescent="0.25">
      <c r="B137" s="28" t="s">
        <v>372</v>
      </c>
      <c r="C137" s="29">
        <v>46300</v>
      </c>
      <c r="D137" s="28" t="s">
        <v>116</v>
      </c>
      <c r="E137" s="39" t="s">
        <v>216</v>
      </c>
      <c r="F137" s="28" t="s">
        <v>133</v>
      </c>
      <c r="G137" s="28" t="s">
        <v>147</v>
      </c>
      <c r="H137" s="28" t="s">
        <v>152</v>
      </c>
      <c r="I137" s="28" t="s">
        <v>200</v>
      </c>
      <c r="J137" s="29">
        <v>46300</v>
      </c>
      <c r="K137" s="31">
        <v>5</v>
      </c>
      <c r="L137" s="31">
        <v>5.5</v>
      </c>
      <c r="M137" s="30">
        <v>0</v>
      </c>
      <c r="N137" s="30">
        <v>0</v>
      </c>
      <c r="O137" s="31">
        <v>0</v>
      </c>
      <c r="P137" s="40" t="str">
        <f>IF(tblWorkOrders[[#This Row],[WO no.]]="","",IFERROR(INDEX(tblAssets[Area],MATCH(tblWorkOrders[[#This Row],[Asset]],tblAssets[Asset ID],0)),""))</f>
        <v>End of line</v>
      </c>
      <c r="Q137" s="40" t="str">
        <f>IF(tblWorkOrders[[#This Row],[WO no.]]="","",IFERROR(INDEX(tblWorkTypes[Category],MATCH(tblWorkOrders[[#This Row],[Work type]],tblWorkTypes[Work type],0)),""))</f>
        <v>Planned</v>
      </c>
      <c r="R137" s="41">
        <f>IF(tblWorkOrders[[#This Row],[WO no.]]="","",IFERROR(INDEX(tblPriorities[Target (days)],MATCH(tblWorkOrders[[#This Row],[Priority]],tblPriorities[Priority],0)),""))</f>
        <v>14</v>
      </c>
      <c r="S137" s="42">
        <f>IF(tblWorkOrders[[#This Row],[WO no.]]="","",IF(tblWorkOrders[[#This Row],[Target (days)]]="","",tblWorkOrders[[#This Row],[Date raised]]+tblWorkOrders[[#This Row],[Target (days)]]))</f>
        <v>46314</v>
      </c>
      <c r="T137" s="41">
        <f>IF(tblWorkOrders[[#This Row],[WO no.]]="","",IF(OR(tblWorkOrders[[#This Row],[Status]]="Complete",tblWorkOrders[[#This Row],[Status]]="Cancelled"),0,1))</f>
        <v>0</v>
      </c>
      <c r="U137" s="41">
        <f>IF(tblWorkOrders[[#This Row],[WO no.]]="","",IF(tblWorkOrders[[#This Row],[Status]]="Cancelled","",IF(tblWorkOrders[[#This Row],[Open]]=1,AsOf-tblWorkOrders[[#This Row],[Date raised]],IF(tblWorkOrders[[#This Row],[Date completed]]="","",tblWorkOrders[[#This Row],[Date completed]]-tblWorkOrders[[#This Row],[Date raised]]))))</f>
        <v>0</v>
      </c>
      <c r="V137" s="43">
        <f>IF(tblWorkOrders[[#This Row],[WO no.]]="","",IF(tblWorkOrders[[#This Row],[Open]]=1,MAX(0,tblWorkOrders[[#This Row],[Estimated (h)]]-tblWorkOrders[[#This Row],[Actual (h)]]),0))</f>
        <v>0</v>
      </c>
      <c r="W137" s="44">
        <f>IF(tblWorkOrders[[#This Row],[WO no.]]="","",tblWorkOrders[[#This Row],[Actual (h)]]*LabourRate)</f>
        <v>264</v>
      </c>
      <c r="X137" s="44">
        <f>IF(tblWorkOrders[[#This Row],[WO no.]]="","",tblWorkOrders[[#This Row],[Labour cost]]+tblWorkOrders[[#This Row],[Parts cost]]+tblWorkOrders[[#This Row],[Contractor cost]])</f>
        <v>264</v>
      </c>
      <c r="Y137" s="45" t="str">
        <f>IF(tblWorkOrders[[#This Row],[WO no.]]="","",IF(tblWorkOrders[[#This Row],[Status]]="Cancelled","",IF(tblWorkOrders[[#This Row],[Open]]=0,"Complete",IF(tblWorkOrders[[#This Row],[Due date]]="","",IF(AsOf&gt;tblWorkOrders[[#This Row],[Due date]],"Overdue",IF(tblWorkOrders[[#This Row],[Due date]]-AsOf&lt;=DueSoonDays,"Due soon","OK"))))))</f>
        <v>Complete</v>
      </c>
      <c r="Z137" s="45" t="str">
        <f>IF(tblWorkOrders[[#This Row],[WO no.]]="","",IF(OR(tblWorkOrders[[#This Row],[Status]]&lt;&gt;"Complete",tblWorkOrders[[#This Row],[Date completed]]="",tblWorkOrders[[#This Row],[Due date]]=""),"",IF(tblWorkOrders[[#This Row],[Date completed]]&lt;=tblWorkOrders[[#This Row],[Due date]],"Yes","No")))</f>
        <v>Yes</v>
      </c>
      <c r="AA137" s="42">
        <f>IF(tblWorkOrders[[#This Row],[WO no.]]="","",IF(AND(tblWorkOrders[[#This Row],[Date raised]]&gt;=FFrom,tblWorkOrders[[#This Row],[Date raised]]&lt;=FTo),tblWorkOrders[[#This Row],[Date raised]],""))</f>
        <v>46300</v>
      </c>
      <c r="AB13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8" spans="2:28" x14ac:dyDescent="0.25">
      <c r="B138" s="28" t="s">
        <v>373</v>
      </c>
      <c r="C138" s="29">
        <v>46301</v>
      </c>
      <c r="D138" s="28" t="s">
        <v>122</v>
      </c>
      <c r="E138" s="39" t="s">
        <v>249</v>
      </c>
      <c r="F138" s="28" t="s">
        <v>136</v>
      </c>
      <c r="G138" s="28" t="s">
        <v>147</v>
      </c>
      <c r="H138" s="28" t="s">
        <v>155</v>
      </c>
      <c r="I138" s="28" t="s">
        <v>200</v>
      </c>
      <c r="J138" s="29">
        <v>46303</v>
      </c>
      <c r="K138" s="31">
        <v>5</v>
      </c>
      <c r="L138" s="31">
        <v>5</v>
      </c>
      <c r="M138" s="30">
        <v>0</v>
      </c>
      <c r="N138" s="30">
        <v>0</v>
      </c>
      <c r="O138" s="31">
        <v>0</v>
      </c>
      <c r="P138" s="40" t="str">
        <f>IF(tblWorkOrders[[#This Row],[WO no.]]="","",IFERROR(INDEX(tblAssets[Area],MATCH(tblWorkOrders[[#This Row],[Asset]],tblAssets[Asset ID],0)),""))</f>
        <v>Utilities</v>
      </c>
      <c r="Q138" s="40" t="str">
        <f>IF(tblWorkOrders[[#This Row],[WO no.]]="","",IFERROR(INDEX(tblWorkTypes[Category],MATCH(tblWorkOrders[[#This Row],[Work type]],tblWorkTypes[Work type],0)),""))</f>
        <v>Planned</v>
      </c>
      <c r="R138" s="41">
        <f>IF(tblWorkOrders[[#This Row],[WO no.]]="","",IFERROR(INDEX(tblPriorities[Target (days)],MATCH(tblWorkOrders[[#This Row],[Priority]],tblPriorities[Priority],0)),""))</f>
        <v>14</v>
      </c>
      <c r="S138" s="42">
        <f>IF(tblWorkOrders[[#This Row],[WO no.]]="","",IF(tblWorkOrders[[#This Row],[Target (days)]]="","",tblWorkOrders[[#This Row],[Date raised]]+tblWorkOrders[[#This Row],[Target (days)]]))</f>
        <v>46315</v>
      </c>
      <c r="T138" s="41">
        <f>IF(tblWorkOrders[[#This Row],[WO no.]]="","",IF(OR(tblWorkOrders[[#This Row],[Status]]="Complete",tblWorkOrders[[#This Row],[Status]]="Cancelled"),0,1))</f>
        <v>0</v>
      </c>
      <c r="U138" s="41">
        <f>IF(tblWorkOrders[[#This Row],[WO no.]]="","",IF(tblWorkOrders[[#This Row],[Status]]="Cancelled","",IF(tblWorkOrders[[#This Row],[Open]]=1,AsOf-tblWorkOrders[[#This Row],[Date raised]],IF(tblWorkOrders[[#This Row],[Date completed]]="","",tblWorkOrders[[#This Row],[Date completed]]-tblWorkOrders[[#This Row],[Date raised]]))))</f>
        <v>2</v>
      </c>
      <c r="V138" s="43">
        <f>IF(tblWorkOrders[[#This Row],[WO no.]]="","",IF(tblWorkOrders[[#This Row],[Open]]=1,MAX(0,tblWorkOrders[[#This Row],[Estimated (h)]]-tblWorkOrders[[#This Row],[Actual (h)]]),0))</f>
        <v>0</v>
      </c>
      <c r="W138" s="44">
        <f>IF(tblWorkOrders[[#This Row],[WO no.]]="","",tblWorkOrders[[#This Row],[Actual (h)]]*LabourRate)</f>
        <v>240</v>
      </c>
      <c r="X138" s="44">
        <f>IF(tblWorkOrders[[#This Row],[WO no.]]="","",tblWorkOrders[[#This Row],[Labour cost]]+tblWorkOrders[[#This Row],[Parts cost]]+tblWorkOrders[[#This Row],[Contractor cost]])</f>
        <v>240</v>
      </c>
      <c r="Y138" s="45" t="str">
        <f>IF(tblWorkOrders[[#This Row],[WO no.]]="","",IF(tblWorkOrders[[#This Row],[Status]]="Cancelled","",IF(tblWorkOrders[[#This Row],[Open]]=0,"Complete",IF(tblWorkOrders[[#This Row],[Due date]]="","",IF(AsOf&gt;tblWorkOrders[[#This Row],[Due date]],"Overdue",IF(tblWorkOrders[[#This Row],[Due date]]-AsOf&lt;=DueSoonDays,"Due soon","OK"))))))</f>
        <v>Complete</v>
      </c>
      <c r="Z138" s="45" t="str">
        <f>IF(tblWorkOrders[[#This Row],[WO no.]]="","",IF(OR(tblWorkOrders[[#This Row],[Status]]&lt;&gt;"Complete",tblWorkOrders[[#This Row],[Date completed]]="",tblWorkOrders[[#This Row],[Due date]]=""),"",IF(tblWorkOrders[[#This Row],[Date completed]]&lt;=tblWorkOrders[[#This Row],[Due date]],"Yes","No")))</f>
        <v>Yes</v>
      </c>
      <c r="AA138" s="42">
        <f>IF(tblWorkOrders[[#This Row],[WO no.]]="","",IF(AND(tblWorkOrders[[#This Row],[Date raised]]&gt;=FFrom,tblWorkOrders[[#This Row],[Date raised]]&lt;=FTo),tblWorkOrders[[#This Row],[Date raised]],""))</f>
        <v>46301</v>
      </c>
      <c r="AB13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39" spans="2:28" x14ac:dyDescent="0.25">
      <c r="B139" s="28" t="s">
        <v>374</v>
      </c>
      <c r="C139" s="29">
        <v>46301</v>
      </c>
      <c r="D139" s="28" t="s">
        <v>104</v>
      </c>
      <c r="E139" s="39" t="s">
        <v>264</v>
      </c>
      <c r="F139" s="28" t="s">
        <v>127</v>
      </c>
      <c r="G139" s="28" t="s">
        <v>143</v>
      </c>
      <c r="H139" s="28" t="s">
        <v>152</v>
      </c>
      <c r="I139" s="28" t="s">
        <v>200</v>
      </c>
      <c r="J139" s="29">
        <v>46301</v>
      </c>
      <c r="K139" s="31">
        <v>6</v>
      </c>
      <c r="L139" s="31">
        <v>6.5</v>
      </c>
      <c r="M139" s="30">
        <v>416</v>
      </c>
      <c r="N139" s="30">
        <v>0</v>
      </c>
      <c r="O139" s="31">
        <v>5.5</v>
      </c>
      <c r="P139" s="40" t="str">
        <f>IF(tblWorkOrders[[#This Row],[WO no.]]="","",IFERROR(INDEX(tblAssets[Area],MATCH(tblWorkOrders[[#This Row],[Asset]],tblAssets[Asset ID],0)),""))</f>
        <v>Line 1</v>
      </c>
      <c r="Q139" s="40" t="str">
        <f>IF(tblWorkOrders[[#This Row],[WO no.]]="","",IFERROR(INDEX(tblWorkTypes[Category],MATCH(tblWorkOrders[[#This Row],[Work type]],tblWorkTypes[Work type],0)),""))</f>
        <v>Emergency</v>
      </c>
      <c r="R139" s="41">
        <f>IF(tblWorkOrders[[#This Row],[WO no.]]="","",IFERROR(INDEX(tblPriorities[Target (days)],MATCH(tblWorkOrders[[#This Row],[Priority]],tblPriorities[Priority],0)),""))</f>
        <v>1</v>
      </c>
      <c r="S139" s="42">
        <f>IF(tblWorkOrders[[#This Row],[WO no.]]="","",IF(tblWorkOrders[[#This Row],[Target (days)]]="","",tblWorkOrders[[#This Row],[Date raised]]+tblWorkOrders[[#This Row],[Target (days)]]))</f>
        <v>46302</v>
      </c>
      <c r="T139" s="41">
        <f>IF(tblWorkOrders[[#This Row],[WO no.]]="","",IF(OR(tblWorkOrders[[#This Row],[Status]]="Complete",tblWorkOrders[[#This Row],[Status]]="Cancelled"),0,1))</f>
        <v>0</v>
      </c>
      <c r="U139" s="41">
        <f>IF(tblWorkOrders[[#This Row],[WO no.]]="","",IF(tblWorkOrders[[#This Row],[Status]]="Cancelled","",IF(tblWorkOrders[[#This Row],[Open]]=1,AsOf-tblWorkOrders[[#This Row],[Date raised]],IF(tblWorkOrders[[#This Row],[Date completed]]="","",tblWorkOrders[[#This Row],[Date completed]]-tblWorkOrders[[#This Row],[Date raised]]))))</f>
        <v>0</v>
      </c>
      <c r="V139" s="43">
        <f>IF(tblWorkOrders[[#This Row],[WO no.]]="","",IF(tblWorkOrders[[#This Row],[Open]]=1,MAX(0,tblWorkOrders[[#This Row],[Estimated (h)]]-tblWorkOrders[[#This Row],[Actual (h)]]),0))</f>
        <v>0</v>
      </c>
      <c r="W139" s="44">
        <f>IF(tblWorkOrders[[#This Row],[WO no.]]="","",tblWorkOrders[[#This Row],[Actual (h)]]*LabourRate)</f>
        <v>312</v>
      </c>
      <c r="X139" s="44">
        <f>IF(tblWorkOrders[[#This Row],[WO no.]]="","",tblWorkOrders[[#This Row],[Labour cost]]+tblWorkOrders[[#This Row],[Parts cost]]+tblWorkOrders[[#This Row],[Contractor cost]])</f>
        <v>728</v>
      </c>
      <c r="Y139" s="45" t="str">
        <f>IF(tblWorkOrders[[#This Row],[WO no.]]="","",IF(tblWorkOrders[[#This Row],[Status]]="Cancelled","",IF(tblWorkOrders[[#This Row],[Open]]=0,"Complete",IF(tblWorkOrders[[#This Row],[Due date]]="","",IF(AsOf&gt;tblWorkOrders[[#This Row],[Due date]],"Overdue",IF(tblWorkOrders[[#This Row],[Due date]]-AsOf&lt;=DueSoonDays,"Due soon","OK"))))))</f>
        <v>Complete</v>
      </c>
      <c r="Z139" s="45" t="str">
        <f>IF(tblWorkOrders[[#This Row],[WO no.]]="","",IF(OR(tblWorkOrders[[#This Row],[Status]]&lt;&gt;"Complete",tblWorkOrders[[#This Row],[Date completed]]="",tblWorkOrders[[#This Row],[Due date]]=""),"",IF(tblWorkOrders[[#This Row],[Date completed]]&lt;=tblWorkOrders[[#This Row],[Due date]],"Yes","No")))</f>
        <v>Yes</v>
      </c>
      <c r="AA139" s="42">
        <f>IF(tblWorkOrders[[#This Row],[WO no.]]="","",IF(AND(tblWorkOrders[[#This Row],[Date raised]]&gt;=FFrom,tblWorkOrders[[#This Row],[Date raised]]&lt;=FTo),tblWorkOrders[[#This Row],[Date raised]],""))</f>
        <v>46301</v>
      </c>
      <c r="AB13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0" spans="2:28" x14ac:dyDescent="0.25">
      <c r="B140" s="28" t="s">
        <v>375</v>
      </c>
      <c r="C140" s="29">
        <v>46301</v>
      </c>
      <c r="D140" s="28" t="s">
        <v>104</v>
      </c>
      <c r="E140" s="39" t="s">
        <v>264</v>
      </c>
      <c r="F140" s="28" t="s">
        <v>130</v>
      </c>
      <c r="G140" s="28" t="s">
        <v>147</v>
      </c>
      <c r="H140" s="28" t="s">
        <v>157</v>
      </c>
      <c r="I140" s="28" t="s">
        <v>195</v>
      </c>
      <c r="J140" s="29"/>
      <c r="K140" s="31">
        <v>16</v>
      </c>
      <c r="L140" s="31">
        <v>4</v>
      </c>
      <c r="M140" s="30">
        <v>0</v>
      </c>
      <c r="N140" s="30">
        <v>0</v>
      </c>
      <c r="O140" s="31">
        <v>0</v>
      </c>
      <c r="P140" s="40" t="str">
        <f>IF(tblWorkOrders[[#This Row],[WO no.]]="","",IFERROR(INDEX(tblAssets[Area],MATCH(tblWorkOrders[[#This Row],[Asset]],tblAssets[Asset ID],0)),""))</f>
        <v>Line 1</v>
      </c>
      <c r="Q140" s="40" t="str">
        <f>IF(tblWorkOrders[[#This Row],[WO no.]]="","",IFERROR(INDEX(tblWorkTypes[Category],MATCH(tblWorkOrders[[#This Row],[Work type]],tblWorkTypes[Work type],0)),""))</f>
        <v>Corrective</v>
      </c>
      <c r="R140" s="41">
        <f>IF(tblWorkOrders[[#This Row],[WO no.]]="","",IFERROR(INDEX(tblPriorities[Target (days)],MATCH(tblWorkOrders[[#This Row],[Priority]],tblPriorities[Priority],0)),""))</f>
        <v>14</v>
      </c>
      <c r="S140" s="42">
        <f>IF(tblWorkOrders[[#This Row],[WO no.]]="","",IF(tblWorkOrders[[#This Row],[Target (days)]]="","",tblWorkOrders[[#This Row],[Date raised]]+tblWorkOrders[[#This Row],[Target (days)]]))</f>
        <v>46315</v>
      </c>
      <c r="T140" s="41">
        <f>IF(tblWorkOrders[[#This Row],[WO no.]]="","",IF(OR(tblWorkOrders[[#This Row],[Status]]="Complete",tblWorkOrders[[#This Row],[Status]]="Cancelled"),0,1))</f>
        <v>1</v>
      </c>
      <c r="U140" s="41">
        <f>IF(tblWorkOrders[[#This Row],[WO no.]]="","",IF(tblWorkOrders[[#This Row],[Status]]="Cancelled","",IF(tblWorkOrders[[#This Row],[Open]]=1,AsOf-tblWorkOrders[[#This Row],[Date raised]],IF(tblWorkOrders[[#This Row],[Date completed]]="","",tblWorkOrders[[#This Row],[Date completed]]-tblWorkOrders[[#This Row],[Date raised]]))))</f>
        <v>3</v>
      </c>
      <c r="V140" s="43">
        <f>IF(tblWorkOrders[[#This Row],[WO no.]]="","",IF(tblWorkOrders[[#This Row],[Open]]=1,MAX(0,tblWorkOrders[[#This Row],[Estimated (h)]]-tblWorkOrders[[#This Row],[Actual (h)]]),0))</f>
        <v>12</v>
      </c>
      <c r="W140" s="44">
        <f>IF(tblWorkOrders[[#This Row],[WO no.]]="","",tblWorkOrders[[#This Row],[Actual (h)]]*LabourRate)</f>
        <v>192</v>
      </c>
      <c r="X140" s="44">
        <f>IF(tblWorkOrders[[#This Row],[WO no.]]="","",tblWorkOrders[[#This Row],[Labour cost]]+tblWorkOrders[[#This Row],[Parts cost]]+tblWorkOrders[[#This Row],[Contractor cost]])</f>
        <v>192</v>
      </c>
      <c r="Y140" s="45" t="str">
        <f>IF(tblWorkOrders[[#This Row],[WO no.]]="","",IF(tblWorkOrders[[#This Row],[Status]]="Cancelled","",IF(tblWorkOrders[[#This Row],[Open]]=0,"Complete",IF(tblWorkOrders[[#This Row],[Due date]]="","",IF(AsOf&gt;tblWorkOrders[[#This Row],[Due date]],"Overdue",IF(tblWorkOrders[[#This Row],[Due date]]-AsOf&lt;=DueSoonDays,"Due soon","OK"))))))</f>
        <v>OK</v>
      </c>
      <c r="Z140" s="45">
        <f>IF(tblWorkOrders[[#This Row],[WO no.]]="","",IF(OR(tblWorkOrders[[#This Row],[Status]]&lt;&gt;"Complete",tblWorkOrders[[#This Row],[Date completed]]="",tblWorkOrders[[#This Row],[Due date]]=""),"",IF(tblWorkOrders[[#This Row],[Date completed]]&lt;=tblWorkOrders[[#This Row],[Due date]],"Yes","No")))</f>
        <v/>
      </c>
      <c r="AA140" s="42">
        <f>IF(tblWorkOrders[[#This Row],[WO no.]]="","",IF(AND(tblWorkOrders[[#This Row],[Date raised]]&gt;=FFrom,tblWorkOrders[[#This Row],[Date raised]]&lt;=FTo),tblWorkOrders[[#This Row],[Date raised]],""))</f>
        <v>46301</v>
      </c>
      <c r="AB14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1" spans="2:28" x14ac:dyDescent="0.25">
      <c r="B141" s="28" t="s">
        <v>376</v>
      </c>
      <c r="C141" s="29">
        <v>46301</v>
      </c>
      <c r="D141" s="28" t="s">
        <v>97</v>
      </c>
      <c r="E141" s="39" t="s">
        <v>300</v>
      </c>
      <c r="F141" s="28" t="s">
        <v>130</v>
      </c>
      <c r="G141" s="28" t="s">
        <v>147</v>
      </c>
      <c r="H141" s="28" t="s">
        <v>159</v>
      </c>
      <c r="I141" s="28" t="s">
        <v>195</v>
      </c>
      <c r="J141" s="29"/>
      <c r="K141" s="31">
        <v>8</v>
      </c>
      <c r="L141" s="31">
        <v>2</v>
      </c>
      <c r="M141" s="30">
        <v>150</v>
      </c>
      <c r="N141" s="30">
        <v>0</v>
      </c>
      <c r="O141" s="31">
        <v>0</v>
      </c>
      <c r="P141" s="40" t="str">
        <f>IF(tblWorkOrders[[#This Row],[WO no.]]="","",IFERROR(INDEX(tblAssets[Area],MATCH(tblWorkOrders[[#This Row],[Asset]],tblAssets[Asset ID],0)),""))</f>
        <v>Processing</v>
      </c>
      <c r="Q141" s="40" t="str">
        <f>IF(tblWorkOrders[[#This Row],[WO no.]]="","",IFERROR(INDEX(tblWorkTypes[Category],MATCH(tblWorkOrders[[#This Row],[Work type]],tblWorkTypes[Work type],0)),""))</f>
        <v>Corrective</v>
      </c>
      <c r="R141" s="41">
        <f>IF(tblWorkOrders[[#This Row],[WO no.]]="","",IFERROR(INDEX(tblPriorities[Target (days)],MATCH(tblWorkOrders[[#This Row],[Priority]],tblPriorities[Priority],0)),""))</f>
        <v>14</v>
      </c>
      <c r="S141" s="42">
        <f>IF(tblWorkOrders[[#This Row],[WO no.]]="","",IF(tblWorkOrders[[#This Row],[Target (days)]]="","",tblWorkOrders[[#This Row],[Date raised]]+tblWorkOrders[[#This Row],[Target (days)]]))</f>
        <v>46315</v>
      </c>
      <c r="T141" s="41">
        <f>IF(tblWorkOrders[[#This Row],[WO no.]]="","",IF(OR(tblWorkOrders[[#This Row],[Status]]="Complete",tblWorkOrders[[#This Row],[Status]]="Cancelled"),0,1))</f>
        <v>1</v>
      </c>
      <c r="U141" s="41">
        <f>IF(tblWorkOrders[[#This Row],[WO no.]]="","",IF(tblWorkOrders[[#This Row],[Status]]="Cancelled","",IF(tblWorkOrders[[#This Row],[Open]]=1,AsOf-tblWorkOrders[[#This Row],[Date raised]],IF(tblWorkOrders[[#This Row],[Date completed]]="","",tblWorkOrders[[#This Row],[Date completed]]-tblWorkOrders[[#This Row],[Date raised]]))))</f>
        <v>3</v>
      </c>
      <c r="V141" s="43">
        <f>IF(tblWorkOrders[[#This Row],[WO no.]]="","",IF(tblWorkOrders[[#This Row],[Open]]=1,MAX(0,tblWorkOrders[[#This Row],[Estimated (h)]]-tblWorkOrders[[#This Row],[Actual (h)]]),0))</f>
        <v>6</v>
      </c>
      <c r="W141" s="44">
        <f>IF(tblWorkOrders[[#This Row],[WO no.]]="","",tblWorkOrders[[#This Row],[Actual (h)]]*LabourRate)</f>
        <v>96</v>
      </c>
      <c r="X141" s="44">
        <f>IF(tblWorkOrders[[#This Row],[WO no.]]="","",tblWorkOrders[[#This Row],[Labour cost]]+tblWorkOrders[[#This Row],[Parts cost]]+tblWorkOrders[[#This Row],[Contractor cost]])</f>
        <v>246</v>
      </c>
      <c r="Y141" s="45" t="str">
        <f>IF(tblWorkOrders[[#This Row],[WO no.]]="","",IF(tblWorkOrders[[#This Row],[Status]]="Cancelled","",IF(tblWorkOrders[[#This Row],[Open]]=0,"Complete",IF(tblWorkOrders[[#This Row],[Due date]]="","",IF(AsOf&gt;tblWorkOrders[[#This Row],[Due date]],"Overdue",IF(tblWorkOrders[[#This Row],[Due date]]-AsOf&lt;=DueSoonDays,"Due soon","OK"))))))</f>
        <v>OK</v>
      </c>
      <c r="Z141" s="45">
        <f>IF(tblWorkOrders[[#This Row],[WO no.]]="","",IF(OR(tblWorkOrders[[#This Row],[Status]]&lt;&gt;"Complete",tblWorkOrders[[#This Row],[Date completed]]="",tblWorkOrders[[#This Row],[Due date]]=""),"",IF(tblWorkOrders[[#This Row],[Date completed]]&lt;=tblWorkOrders[[#This Row],[Due date]],"Yes","No")))</f>
        <v/>
      </c>
      <c r="AA141" s="42">
        <f>IF(tblWorkOrders[[#This Row],[WO no.]]="","",IF(AND(tblWorkOrders[[#This Row],[Date raised]]&gt;=FFrom,tblWorkOrders[[#This Row],[Date raised]]&lt;=FTo),tblWorkOrders[[#This Row],[Date raised]],""))</f>
        <v>46301</v>
      </c>
      <c r="AB141"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2" spans="2:28" x14ac:dyDescent="0.25">
      <c r="B142" s="28" t="s">
        <v>377</v>
      </c>
      <c r="C142" s="29">
        <v>46301</v>
      </c>
      <c r="D142" s="28" t="s">
        <v>97</v>
      </c>
      <c r="E142" s="39" t="s">
        <v>228</v>
      </c>
      <c r="F142" s="28" t="s">
        <v>133</v>
      </c>
      <c r="G142" s="28" t="s">
        <v>147</v>
      </c>
      <c r="H142" s="28" t="s">
        <v>159</v>
      </c>
      <c r="I142" s="28" t="s">
        <v>176</v>
      </c>
      <c r="J142" s="29"/>
      <c r="K142" s="31">
        <v>2.5</v>
      </c>
      <c r="L142" s="31">
        <v>0</v>
      </c>
      <c r="M142" s="30">
        <v>0</v>
      </c>
      <c r="N142" s="30">
        <v>0</v>
      </c>
      <c r="O142" s="31">
        <v>0</v>
      </c>
      <c r="P142" s="40" t="str">
        <f>IF(tblWorkOrders[[#This Row],[WO no.]]="","",IFERROR(INDEX(tblAssets[Area],MATCH(tblWorkOrders[[#This Row],[Asset]],tblAssets[Asset ID],0)),""))</f>
        <v>Processing</v>
      </c>
      <c r="Q142" s="40" t="str">
        <f>IF(tblWorkOrders[[#This Row],[WO no.]]="","",IFERROR(INDEX(tblWorkTypes[Category],MATCH(tblWorkOrders[[#This Row],[Work type]],tblWorkTypes[Work type],0)),""))</f>
        <v>Planned</v>
      </c>
      <c r="R142" s="41">
        <f>IF(tblWorkOrders[[#This Row],[WO no.]]="","",IFERROR(INDEX(tblPriorities[Target (days)],MATCH(tblWorkOrders[[#This Row],[Priority]],tblPriorities[Priority],0)),""))</f>
        <v>14</v>
      </c>
      <c r="S142" s="42">
        <f>IF(tblWorkOrders[[#This Row],[WO no.]]="","",IF(tblWorkOrders[[#This Row],[Target (days)]]="","",tblWorkOrders[[#This Row],[Date raised]]+tblWorkOrders[[#This Row],[Target (days)]]))</f>
        <v>46315</v>
      </c>
      <c r="T142" s="41">
        <f>IF(tblWorkOrders[[#This Row],[WO no.]]="","",IF(OR(tblWorkOrders[[#This Row],[Status]]="Complete",tblWorkOrders[[#This Row],[Status]]="Cancelled"),0,1))</f>
        <v>1</v>
      </c>
      <c r="U142" s="41">
        <f>IF(tblWorkOrders[[#This Row],[WO no.]]="","",IF(tblWorkOrders[[#This Row],[Status]]="Cancelled","",IF(tblWorkOrders[[#This Row],[Open]]=1,AsOf-tblWorkOrders[[#This Row],[Date raised]],IF(tblWorkOrders[[#This Row],[Date completed]]="","",tblWorkOrders[[#This Row],[Date completed]]-tblWorkOrders[[#This Row],[Date raised]]))))</f>
        <v>3</v>
      </c>
      <c r="V142" s="43">
        <f>IF(tblWorkOrders[[#This Row],[WO no.]]="","",IF(tblWorkOrders[[#This Row],[Open]]=1,MAX(0,tblWorkOrders[[#This Row],[Estimated (h)]]-tblWorkOrders[[#This Row],[Actual (h)]]),0))</f>
        <v>2.5</v>
      </c>
      <c r="W142" s="44">
        <f>IF(tblWorkOrders[[#This Row],[WO no.]]="","",tblWorkOrders[[#This Row],[Actual (h)]]*LabourRate)</f>
        <v>0</v>
      </c>
      <c r="X142" s="44">
        <f>IF(tblWorkOrders[[#This Row],[WO no.]]="","",tblWorkOrders[[#This Row],[Labour cost]]+tblWorkOrders[[#This Row],[Parts cost]]+tblWorkOrders[[#This Row],[Contractor cost]])</f>
        <v>0</v>
      </c>
      <c r="Y142" s="45" t="str">
        <f>IF(tblWorkOrders[[#This Row],[WO no.]]="","",IF(tblWorkOrders[[#This Row],[Status]]="Cancelled","",IF(tblWorkOrders[[#This Row],[Open]]=0,"Complete",IF(tblWorkOrders[[#This Row],[Due date]]="","",IF(AsOf&gt;tblWorkOrders[[#This Row],[Due date]],"Overdue",IF(tblWorkOrders[[#This Row],[Due date]]-AsOf&lt;=DueSoonDays,"Due soon","OK"))))))</f>
        <v>OK</v>
      </c>
      <c r="Z142" s="45">
        <f>IF(tblWorkOrders[[#This Row],[WO no.]]="","",IF(OR(tblWorkOrders[[#This Row],[Status]]&lt;&gt;"Complete",tblWorkOrders[[#This Row],[Date completed]]="",tblWorkOrders[[#This Row],[Due date]]=""),"",IF(tblWorkOrders[[#This Row],[Date completed]]&lt;=tblWorkOrders[[#This Row],[Due date]],"Yes","No")))</f>
        <v/>
      </c>
      <c r="AA142" s="42">
        <f>IF(tblWorkOrders[[#This Row],[WO no.]]="","",IF(AND(tblWorkOrders[[#This Row],[Date raised]]&gt;=FFrom,tblWorkOrders[[#This Row],[Date raised]]&lt;=FTo),tblWorkOrders[[#This Row],[Date raised]],""))</f>
        <v>46301</v>
      </c>
      <c r="AB142"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3" spans="2:28" x14ac:dyDescent="0.25">
      <c r="B143" s="28" t="s">
        <v>378</v>
      </c>
      <c r="C143" s="29">
        <v>46302</v>
      </c>
      <c r="D143" s="28" t="s">
        <v>122</v>
      </c>
      <c r="E143" s="39" t="s">
        <v>379</v>
      </c>
      <c r="F143" s="28" t="s">
        <v>130</v>
      </c>
      <c r="G143" s="28" t="s">
        <v>145</v>
      </c>
      <c r="H143" s="28" t="s">
        <v>159</v>
      </c>
      <c r="I143" s="28" t="s">
        <v>200</v>
      </c>
      <c r="J143" s="29">
        <v>46304</v>
      </c>
      <c r="K143" s="31">
        <v>4</v>
      </c>
      <c r="L143" s="31">
        <v>4.5</v>
      </c>
      <c r="M143" s="30">
        <v>340</v>
      </c>
      <c r="N143" s="30">
        <v>0</v>
      </c>
      <c r="O143" s="31">
        <v>0</v>
      </c>
      <c r="P143" s="40" t="str">
        <f>IF(tblWorkOrders[[#This Row],[WO no.]]="","",IFERROR(INDEX(tblAssets[Area],MATCH(tblWorkOrders[[#This Row],[Asset]],tblAssets[Asset ID],0)),""))</f>
        <v>Utilities</v>
      </c>
      <c r="Q143" s="40" t="str">
        <f>IF(tblWorkOrders[[#This Row],[WO no.]]="","",IFERROR(INDEX(tblWorkTypes[Category],MATCH(tblWorkOrders[[#This Row],[Work type]],tblWorkTypes[Work type],0)),""))</f>
        <v>Corrective</v>
      </c>
      <c r="R143" s="41">
        <f>IF(tblWorkOrders[[#This Row],[WO no.]]="","",IFERROR(INDEX(tblPriorities[Target (days)],MATCH(tblWorkOrders[[#This Row],[Priority]],tblPriorities[Priority],0)),""))</f>
        <v>3</v>
      </c>
      <c r="S143" s="42">
        <f>IF(tblWorkOrders[[#This Row],[WO no.]]="","",IF(tblWorkOrders[[#This Row],[Target (days)]]="","",tblWorkOrders[[#This Row],[Date raised]]+tblWorkOrders[[#This Row],[Target (days)]]))</f>
        <v>46305</v>
      </c>
      <c r="T143" s="41">
        <f>IF(tblWorkOrders[[#This Row],[WO no.]]="","",IF(OR(tblWorkOrders[[#This Row],[Status]]="Complete",tblWorkOrders[[#This Row],[Status]]="Cancelled"),0,1))</f>
        <v>0</v>
      </c>
      <c r="U143" s="41">
        <f>IF(tblWorkOrders[[#This Row],[WO no.]]="","",IF(tblWorkOrders[[#This Row],[Status]]="Cancelled","",IF(tblWorkOrders[[#This Row],[Open]]=1,AsOf-tblWorkOrders[[#This Row],[Date raised]],IF(tblWorkOrders[[#This Row],[Date completed]]="","",tblWorkOrders[[#This Row],[Date completed]]-tblWorkOrders[[#This Row],[Date raised]]))))</f>
        <v>2</v>
      </c>
      <c r="V143" s="43">
        <f>IF(tblWorkOrders[[#This Row],[WO no.]]="","",IF(tblWorkOrders[[#This Row],[Open]]=1,MAX(0,tblWorkOrders[[#This Row],[Estimated (h)]]-tblWorkOrders[[#This Row],[Actual (h)]]),0))</f>
        <v>0</v>
      </c>
      <c r="W143" s="44">
        <f>IF(tblWorkOrders[[#This Row],[WO no.]]="","",tblWorkOrders[[#This Row],[Actual (h)]]*LabourRate)</f>
        <v>216</v>
      </c>
      <c r="X143" s="44">
        <f>IF(tblWorkOrders[[#This Row],[WO no.]]="","",tblWorkOrders[[#This Row],[Labour cost]]+tblWorkOrders[[#This Row],[Parts cost]]+tblWorkOrders[[#This Row],[Contractor cost]])</f>
        <v>556</v>
      </c>
      <c r="Y143" s="45" t="str">
        <f>IF(tblWorkOrders[[#This Row],[WO no.]]="","",IF(tblWorkOrders[[#This Row],[Status]]="Cancelled","",IF(tblWorkOrders[[#This Row],[Open]]=0,"Complete",IF(tblWorkOrders[[#This Row],[Due date]]="","",IF(AsOf&gt;tblWorkOrders[[#This Row],[Due date]],"Overdue",IF(tblWorkOrders[[#This Row],[Due date]]-AsOf&lt;=DueSoonDays,"Due soon","OK"))))))</f>
        <v>Complete</v>
      </c>
      <c r="Z143" s="45" t="str">
        <f>IF(tblWorkOrders[[#This Row],[WO no.]]="","",IF(OR(tblWorkOrders[[#This Row],[Status]]&lt;&gt;"Complete",tblWorkOrders[[#This Row],[Date completed]]="",tblWorkOrders[[#This Row],[Due date]]=""),"",IF(tblWorkOrders[[#This Row],[Date completed]]&lt;=tblWorkOrders[[#This Row],[Due date]],"Yes","No")))</f>
        <v>Yes</v>
      </c>
      <c r="AA143" s="42">
        <f>IF(tblWorkOrders[[#This Row],[WO no.]]="","",IF(AND(tblWorkOrders[[#This Row],[Date raised]]&gt;=FFrom,tblWorkOrders[[#This Row],[Date raised]]&lt;=FTo),tblWorkOrders[[#This Row],[Date raised]],""))</f>
        <v>46302</v>
      </c>
      <c r="AB143"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4" spans="2:28" x14ac:dyDescent="0.25">
      <c r="B144" s="28" t="s">
        <v>380</v>
      </c>
      <c r="C144" s="29">
        <v>46302</v>
      </c>
      <c r="D144" s="28" t="s">
        <v>102</v>
      </c>
      <c r="E144" s="39" t="s">
        <v>230</v>
      </c>
      <c r="F144" s="28" t="s">
        <v>133</v>
      </c>
      <c r="G144" s="28" t="s">
        <v>147</v>
      </c>
      <c r="H144" s="28" t="s">
        <v>159</v>
      </c>
      <c r="I144" s="28" t="s">
        <v>200</v>
      </c>
      <c r="J144" s="29">
        <v>46304</v>
      </c>
      <c r="K144" s="31">
        <v>5</v>
      </c>
      <c r="L144" s="31">
        <v>5</v>
      </c>
      <c r="M144" s="30">
        <v>0</v>
      </c>
      <c r="N144" s="30">
        <v>0</v>
      </c>
      <c r="O144" s="31">
        <v>0</v>
      </c>
      <c r="P144" s="40" t="str">
        <f>IF(tblWorkOrders[[#This Row],[WO no.]]="","",IFERROR(INDEX(tblAssets[Area],MATCH(tblWorkOrders[[#This Row],[Asset]],tblAssets[Asset ID],0)),""))</f>
        <v>Processing</v>
      </c>
      <c r="Q144" s="40" t="str">
        <f>IF(tblWorkOrders[[#This Row],[WO no.]]="","",IFERROR(INDEX(tblWorkTypes[Category],MATCH(tblWorkOrders[[#This Row],[Work type]],tblWorkTypes[Work type],0)),""))</f>
        <v>Planned</v>
      </c>
      <c r="R144" s="41">
        <f>IF(tblWorkOrders[[#This Row],[WO no.]]="","",IFERROR(INDEX(tblPriorities[Target (days)],MATCH(tblWorkOrders[[#This Row],[Priority]],tblPriorities[Priority],0)),""))</f>
        <v>14</v>
      </c>
      <c r="S144" s="42">
        <f>IF(tblWorkOrders[[#This Row],[WO no.]]="","",IF(tblWorkOrders[[#This Row],[Target (days)]]="","",tblWorkOrders[[#This Row],[Date raised]]+tblWorkOrders[[#This Row],[Target (days)]]))</f>
        <v>46316</v>
      </c>
      <c r="T144" s="41">
        <f>IF(tblWorkOrders[[#This Row],[WO no.]]="","",IF(OR(tblWorkOrders[[#This Row],[Status]]="Complete",tblWorkOrders[[#This Row],[Status]]="Cancelled"),0,1))</f>
        <v>0</v>
      </c>
      <c r="U144" s="41">
        <f>IF(tblWorkOrders[[#This Row],[WO no.]]="","",IF(tblWorkOrders[[#This Row],[Status]]="Cancelled","",IF(tblWorkOrders[[#This Row],[Open]]=1,AsOf-tblWorkOrders[[#This Row],[Date raised]],IF(tblWorkOrders[[#This Row],[Date completed]]="","",tblWorkOrders[[#This Row],[Date completed]]-tblWorkOrders[[#This Row],[Date raised]]))))</f>
        <v>2</v>
      </c>
      <c r="V144" s="43">
        <f>IF(tblWorkOrders[[#This Row],[WO no.]]="","",IF(tblWorkOrders[[#This Row],[Open]]=1,MAX(0,tblWorkOrders[[#This Row],[Estimated (h)]]-tblWorkOrders[[#This Row],[Actual (h)]]),0))</f>
        <v>0</v>
      </c>
      <c r="W144" s="44">
        <f>IF(tblWorkOrders[[#This Row],[WO no.]]="","",tblWorkOrders[[#This Row],[Actual (h)]]*LabourRate)</f>
        <v>240</v>
      </c>
      <c r="X144" s="44">
        <f>IF(tblWorkOrders[[#This Row],[WO no.]]="","",tblWorkOrders[[#This Row],[Labour cost]]+tblWorkOrders[[#This Row],[Parts cost]]+tblWorkOrders[[#This Row],[Contractor cost]])</f>
        <v>240</v>
      </c>
      <c r="Y144" s="45" t="str">
        <f>IF(tblWorkOrders[[#This Row],[WO no.]]="","",IF(tblWorkOrders[[#This Row],[Status]]="Cancelled","",IF(tblWorkOrders[[#This Row],[Open]]=0,"Complete",IF(tblWorkOrders[[#This Row],[Due date]]="","",IF(AsOf&gt;tblWorkOrders[[#This Row],[Due date]],"Overdue",IF(tblWorkOrders[[#This Row],[Due date]]-AsOf&lt;=DueSoonDays,"Due soon","OK"))))))</f>
        <v>Complete</v>
      </c>
      <c r="Z144" s="45" t="str">
        <f>IF(tblWorkOrders[[#This Row],[WO no.]]="","",IF(OR(tblWorkOrders[[#This Row],[Status]]&lt;&gt;"Complete",tblWorkOrders[[#This Row],[Date completed]]="",tblWorkOrders[[#This Row],[Due date]]=""),"",IF(tblWorkOrders[[#This Row],[Date completed]]&lt;=tblWorkOrders[[#This Row],[Due date]],"Yes","No")))</f>
        <v>Yes</v>
      </c>
      <c r="AA144" s="42">
        <f>IF(tblWorkOrders[[#This Row],[WO no.]]="","",IF(AND(tblWorkOrders[[#This Row],[Date raised]]&gt;=FFrom,tblWorkOrders[[#This Row],[Date raised]]&lt;=FTo),tblWorkOrders[[#This Row],[Date raised]],""))</f>
        <v>46302</v>
      </c>
      <c r="AB144"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5" spans="2:28" x14ac:dyDescent="0.25">
      <c r="B145" s="28" t="s">
        <v>381</v>
      </c>
      <c r="C145" s="29">
        <v>46303</v>
      </c>
      <c r="D145" s="28" t="s">
        <v>119</v>
      </c>
      <c r="E145" s="39" t="s">
        <v>206</v>
      </c>
      <c r="F145" s="28" t="s">
        <v>133</v>
      </c>
      <c r="G145" s="28" t="s">
        <v>147</v>
      </c>
      <c r="H145" s="28" t="s">
        <v>152</v>
      </c>
      <c r="I145" s="28" t="s">
        <v>176</v>
      </c>
      <c r="J145" s="29"/>
      <c r="K145" s="31">
        <v>3</v>
      </c>
      <c r="L145" s="31">
        <v>0</v>
      </c>
      <c r="M145" s="30">
        <v>0</v>
      </c>
      <c r="N145" s="30">
        <v>0</v>
      </c>
      <c r="O145" s="31">
        <v>0</v>
      </c>
      <c r="P145" s="40" t="str">
        <f>IF(tblWorkOrders[[#This Row],[WO no.]]="","",IFERROR(INDEX(tblAssets[Area],MATCH(tblWorkOrders[[#This Row],[Asset]],tblAssets[Asset ID],0)),""))</f>
        <v>Utilities</v>
      </c>
      <c r="Q145" s="40" t="str">
        <f>IF(tblWorkOrders[[#This Row],[WO no.]]="","",IFERROR(INDEX(tblWorkTypes[Category],MATCH(tblWorkOrders[[#This Row],[Work type]],tblWorkTypes[Work type],0)),""))</f>
        <v>Planned</v>
      </c>
      <c r="R145" s="41">
        <f>IF(tblWorkOrders[[#This Row],[WO no.]]="","",IFERROR(INDEX(tblPriorities[Target (days)],MATCH(tblWorkOrders[[#This Row],[Priority]],tblPriorities[Priority],0)),""))</f>
        <v>14</v>
      </c>
      <c r="S145" s="42">
        <f>IF(tblWorkOrders[[#This Row],[WO no.]]="","",IF(tblWorkOrders[[#This Row],[Target (days)]]="","",tblWorkOrders[[#This Row],[Date raised]]+tblWorkOrders[[#This Row],[Target (days)]]))</f>
        <v>46317</v>
      </c>
      <c r="T145" s="41">
        <f>IF(tblWorkOrders[[#This Row],[WO no.]]="","",IF(OR(tblWorkOrders[[#This Row],[Status]]="Complete",tblWorkOrders[[#This Row],[Status]]="Cancelled"),0,1))</f>
        <v>1</v>
      </c>
      <c r="U145" s="41">
        <f>IF(tblWorkOrders[[#This Row],[WO no.]]="","",IF(tblWorkOrders[[#This Row],[Status]]="Cancelled","",IF(tblWorkOrders[[#This Row],[Open]]=1,AsOf-tblWorkOrders[[#This Row],[Date raised]],IF(tblWorkOrders[[#This Row],[Date completed]]="","",tblWorkOrders[[#This Row],[Date completed]]-tblWorkOrders[[#This Row],[Date raised]]))))</f>
        <v>1</v>
      </c>
      <c r="V145" s="43">
        <f>IF(tblWorkOrders[[#This Row],[WO no.]]="","",IF(tblWorkOrders[[#This Row],[Open]]=1,MAX(0,tblWorkOrders[[#This Row],[Estimated (h)]]-tblWorkOrders[[#This Row],[Actual (h)]]),0))</f>
        <v>3</v>
      </c>
      <c r="W145" s="44">
        <f>IF(tblWorkOrders[[#This Row],[WO no.]]="","",tblWorkOrders[[#This Row],[Actual (h)]]*LabourRate)</f>
        <v>0</v>
      </c>
      <c r="X145" s="44">
        <f>IF(tblWorkOrders[[#This Row],[WO no.]]="","",tblWorkOrders[[#This Row],[Labour cost]]+tblWorkOrders[[#This Row],[Parts cost]]+tblWorkOrders[[#This Row],[Contractor cost]])</f>
        <v>0</v>
      </c>
      <c r="Y145" s="45" t="str">
        <f>IF(tblWorkOrders[[#This Row],[WO no.]]="","",IF(tblWorkOrders[[#This Row],[Status]]="Cancelled","",IF(tblWorkOrders[[#This Row],[Open]]=0,"Complete",IF(tblWorkOrders[[#This Row],[Due date]]="","",IF(AsOf&gt;tblWorkOrders[[#This Row],[Due date]],"Overdue",IF(tblWorkOrders[[#This Row],[Due date]]-AsOf&lt;=DueSoonDays,"Due soon","OK"))))))</f>
        <v>OK</v>
      </c>
      <c r="Z145" s="45">
        <f>IF(tblWorkOrders[[#This Row],[WO no.]]="","",IF(OR(tblWorkOrders[[#This Row],[Status]]&lt;&gt;"Complete",tblWorkOrders[[#This Row],[Date completed]]="",tblWorkOrders[[#This Row],[Due date]]=""),"",IF(tblWorkOrders[[#This Row],[Date completed]]&lt;=tblWorkOrders[[#This Row],[Due date]],"Yes","No")))</f>
        <v/>
      </c>
      <c r="AA145" s="42">
        <f>IF(tblWorkOrders[[#This Row],[WO no.]]="","",IF(AND(tblWorkOrders[[#This Row],[Date raised]]&gt;=FFrom,tblWorkOrders[[#This Row],[Date raised]]&lt;=FTo),tblWorkOrders[[#This Row],[Date raised]],""))</f>
        <v>46303</v>
      </c>
      <c r="AB145"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6" spans="2:28" x14ac:dyDescent="0.25">
      <c r="B146" s="28" t="s">
        <v>382</v>
      </c>
      <c r="C146" s="29">
        <v>46303</v>
      </c>
      <c r="D146" s="28" t="s">
        <v>122</v>
      </c>
      <c r="E146" s="39" t="s">
        <v>383</v>
      </c>
      <c r="F146" s="28" t="s">
        <v>130</v>
      </c>
      <c r="G146" s="28" t="s">
        <v>147</v>
      </c>
      <c r="H146" s="28" t="s">
        <v>155</v>
      </c>
      <c r="I146" s="28" t="s">
        <v>188</v>
      </c>
      <c r="J146" s="29"/>
      <c r="K146" s="31">
        <v>8</v>
      </c>
      <c r="L146" s="31">
        <v>0</v>
      </c>
      <c r="M146" s="30">
        <v>0</v>
      </c>
      <c r="N146" s="30">
        <v>0</v>
      </c>
      <c r="O146" s="31">
        <v>0</v>
      </c>
      <c r="P146" s="40" t="str">
        <f>IF(tblWorkOrders[[#This Row],[WO no.]]="","",IFERROR(INDEX(tblAssets[Area],MATCH(tblWorkOrders[[#This Row],[Asset]],tblAssets[Asset ID],0)),""))</f>
        <v>Utilities</v>
      </c>
      <c r="Q146" s="40" t="str">
        <f>IF(tblWorkOrders[[#This Row],[WO no.]]="","",IFERROR(INDEX(tblWorkTypes[Category],MATCH(tblWorkOrders[[#This Row],[Work type]],tblWorkTypes[Work type],0)),""))</f>
        <v>Corrective</v>
      </c>
      <c r="R146" s="41">
        <f>IF(tblWorkOrders[[#This Row],[WO no.]]="","",IFERROR(INDEX(tblPriorities[Target (days)],MATCH(tblWorkOrders[[#This Row],[Priority]],tblPriorities[Priority],0)),""))</f>
        <v>14</v>
      </c>
      <c r="S146" s="42">
        <f>IF(tblWorkOrders[[#This Row],[WO no.]]="","",IF(tblWorkOrders[[#This Row],[Target (days)]]="","",tblWorkOrders[[#This Row],[Date raised]]+tblWorkOrders[[#This Row],[Target (days)]]))</f>
        <v>46317</v>
      </c>
      <c r="T146" s="41">
        <f>IF(tblWorkOrders[[#This Row],[WO no.]]="","",IF(OR(tblWorkOrders[[#This Row],[Status]]="Complete",tblWorkOrders[[#This Row],[Status]]="Cancelled"),0,1))</f>
        <v>1</v>
      </c>
      <c r="U146" s="41">
        <f>IF(tblWorkOrders[[#This Row],[WO no.]]="","",IF(tblWorkOrders[[#This Row],[Status]]="Cancelled","",IF(tblWorkOrders[[#This Row],[Open]]=1,AsOf-tblWorkOrders[[#This Row],[Date raised]],IF(tblWorkOrders[[#This Row],[Date completed]]="","",tblWorkOrders[[#This Row],[Date completed]]-tblWorkOrders[[#This Row],[Date raised]]))))</f>
        <v>1</v>
      </c>
      <c r="V146" s="43">
        <f>IF(tblWorkOrders[[#This Row],[WO no.]]="","",IF(tblWorkOrders[[#This Row],[Open]]=1,MAX(0,tblWorkOrders[[#This Row],[Estimated (h)]]-tblWorkOrders[[#This Row],[Actual (h)]]),0))</f>
        <v>8</v>
      </c>
      <c r="W146" s="44">
        <f>IF(tblWorkOrders[[#This Row],[WO no.]]="","",tblWorkOrders[[#This Row],[Actual (h)]]*LabourRate)</f>
        <v>0</v>
      </c>
      <c r="X146" s="44">
        <f>IF(tblWorkOrders[[#This Row],[WO no.]]="","",tblWorkOrders[[#This Row],[Labour cost]]+tblWorkOrders[[#This Row],[Parts cost]]+tblWorkOrders[[#This Row],[Contractor cost]])</f>
        <v>0</v>
      </c>
      <c r="Y146" s="45" t="str">
        <f>IF(tblWorkOrders[[#This Row],[WO no.]]="","",IF(tblWorkOrders[[#This Row],[Status]]="Cancelled","",IF(tblWorkOrders[[#This Row],[Open]]=0,"Complete",IF(tblWorkOrders[[#This Row],[Due date]]="","",IF(AsOf&gt;tblWorkOrders[[#This Row],[Due date]],"Overdue",IF(tblWorkOrders[[#This Row],[Due date]]-AsOf&lt;=DueSoonDays,"Due soon","OK"))))))</f>
        <v>OK</v>
      </c>
      <c r="Z146" s="45">
        <f>IF(tblWorkOrders[[#This Row],[WO no.]]="","",IF(OR(tblWorkOrders[[#This Row],[Status]]&lt;&gt;"Complete",tblWorkOrders[[#This Row],[Date completed]]="",tblWorkOrders[[#This Row],[Due date]]=""),"",IF(tblWorkOrders[[#This Row],[Date completed]]&lt;=tblWorkOrders[[#This Row],[Due date]],"Yes","No")))</f>
        <v/>
      </c>
      <c r="AA146" s="42">
        <f>IF(tblWorkOrders[[#This Row],[WO no.]]="","",IF(AND(tblWorkOrders[[#This Row],[Date raised]]&gt;=FFrom,tblWorkOrders[[#This Row],[Date raised]]&lt;=FTo),tblWorkOrders[[#This Row],[Date raised]],""))</f>
        <v>46303</v>
      </c>
      <c r="AB146"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7" spans="2:28" x14ac:dyDescent="0.25">
      <c r="B147" s="28" t="s">
        <v>384</v>
      </c>
      <c r="C147" s="29">
        <v>46303</v>
      </c>
      <c r="D147" s="28" t="s">
        <v>122</v>
      </c>
      <c r="E147" s="39" t="s">
        <v>208</v>
      </c>
      <c r="F147" s="28" t="s">
        <v>133</v>
      </c>
      <c r="G147" s="28" t="s">
        <v>147</v>
      </c>
      <c r="H147" s="28" t="s">
        <v>155</v>
      </c>
      <c r="I147" s="28" t="s">
        <v>176</v>
      </c>
      <c r="J147" s="29"/>
      <c r="K147" s="31">
        <v>4</v>
      </c>
      <c r="L147" s="31">
        <v>0</v>
      </c>
      <c r="M147" s="30">
        <v>0</v>
      </c>
      <c r="N147" s="30">
        <v>0</v>
      </c>
      <c r="O147" s="31">
        <v>0</v>
      </c>
      <c r="P147" s="40" t="str">
        <f>IF(tblWorkOrders[[#This Row],[WO no.]]="","",IFERROR(INDEX(tblAssets[Area],MATCH(tblWorkOrders[[#This Row],[Asset]],tblAssets[Asset ID],0)),""))</f>
        <v>Utilities</v>
      </c>
      <c r="Q147" s="40" t="str">
        <f>IF(tblWorkOrders[[#This Row],[WO no.]]="","",IFERROR(INDEX(tblWorkTypes[Category],MATCH(tblWorkOrders[[#This Row],[Work type]],tblWorkTypes[Work type],0)),""))</f>
        <v>Planned</v>
      </c>
      <c r="R147" s="41">
        <f>IF(tblWorkOrders[[#This Row],[WO no.]]="","",IFERROR(INDEX(tblPriorities[Target (days)],MATCH(tblWorkOrders[[#This Row],[Priority]],tblPriorities[Priority],0)),""))</f>
        <v>14</v>
      </c>
      <c r="S147" s="42">
        <f>IF(tblWorkOrders[[#This Row],[WO no.]]="","",IF(tblWorkOrders[[#This Row],[Target (days)]]="","",tblWorkOrders[[#This Row],[Date raised]]+tblWorkOrders[[#This Row],[Target (days)]]))</f>
        <v>46317</v>
      </c>
      <c r="T147" s="41">
        <f>IF(tblWorkOrders[[#This Row],[WO no.]]="","",IF(OR(tblWorkOrders[[#This Row],[Status]]="Complete",tblWorkOrders[[#This Row],[Status]]="Cancelled"),0,1))</f>
        <v>1</v>
      </c>
      <c r="U147" s="41">
        <f>IF(tblWorkOrders[[#This Row],[WO no.]]="","",IF(tblWorkOrders[[#This Row],[Status]]="Cancelled","",IF(tblWorkOrders[[#This Row],[Open]]=1,AsOf-tblWorkOrders[[#This Row],[Date raised]],IF(tblWorkOrders[[#This Row],[Date completed]]="","",tblWorkOrders[[#This Row],[Date completed]]-tblWorkOrders[[#This Row],[Date raised]]))))</f>
        <v>1</v>
      </c>
      <c r="V147" s="43">
        <f>IF(tblWorkOrders[[#This Row],[WO no.]]="","",IF(tblWorkOrders[[#This Row],[Open]]=1,MAX(0,tblWorkOrders[[#This Row],[Estimated (h)]]-tblWorkOrders[[#This Row],[Actual (h)]]),0))</f>
        <v>4</v>
      </c>
      <c r="W147" s="44">
        <f>IF(tblWorkOrders[[#This Row],[WO no.]]="","",tblWorkOrders[[#This Row],[Actual (h)]]*LabourRate)</f>
        <v>0</v>
      </c>
      <c r="X147" s="44">
        <f>IF(tblWorkOrders[[#This Row],[WO no.]]="","",tblWorkOrders[[#This Row],[Labour cost]]+tblWorkOrders[[#This Row],[Parts cost]]+tblWorkOrders[[#This Row],[Contractor cost]])</f>
        <v>0</v>
      </c>
      <c r="Y147" s="45" t="str">
        <f>IF(tblWorkOrders[[#This Row],[WO no.]]="","",IF(tblWorkOrders[[#This Row],[Status]]="Cancelled","",IF(tblWorkOrders[[#This Row],[Open]]=0,"Complete",IF(tblWorkOrders[[#This Row],[Due date]]="","",IF(AsOf&gt;tblWorkOrders[[#This Row],[Due date]],"Overdue",IF(tblWorkOrders[[#This Row],[Due date]]-AsOf&lt;=DueSoonDays,"Due soon","OK"))))))</f>
        <v>OK</v>
      </c>
      <c r="Z147" s="45">
        <f>IF(tblWorkOrders[[#This Row],[WO no.]]="","",IF(OR(tblWorkOrders[[#This Row],[Status]]&lt;&gt;"Complete",tblWorkOrders[[#This Row],[Date completed]]="",tblWorkOrders[[#This Row],[Due date]]=""),"",IF(tblWorkOrders[[#This Row],[Date completed]]&lt;=tblWorkOrders[[#This Row],[Due date]],"Yes","No")))</f>
        <v/>
      </c>
      <c r="AA147" s="42">
        <f>IF(tblWorkOrders[[#This Row],[WO no.]]="","",IF(AND(tblWorkOrders[[#This Row],[Date raised]]&gt;=FFrom,tblWorkOrders[[#This Row],[Date raised]]&lt;=FTo),tblWorkOrders[[#This Row],[Date raised]],""))</f>
        <v>46303</v>
      </c>
      <c r="AB147"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8" spans="2:28" x14ac:dyDescent="0.25">
      <c r="B148" s="28" t="s">
        <v>385</v>
      </c>
      <c r="C148" s="29">
        <v>46303</v>
      </c>
      <c r="D148" s="28" t="s">
        <v>124</v>
      </c>
      <c r="E148" s="39" t="s">
        <v>218</v>
      </c>
      <c r="F148" s="28" t="s">
        <v>133</v>
      </c>
      <c r="G148" s="28" t="s">
        <v>147</v>
      </c>
      <c r="H148" s="28" t="s">
        <v>152</v>
      </c>
      <c r="I148" s="28" t="s">
        <v>200</v>
      </c>
      <c r="J148" s="29">
        <v>46304</v>
      </c>
      <c r="K148" s="31">
        <v>3</v>
      </c>
      <c r="L148" s="31">
        <v>2.5</v>
      </c>
      <c r="M148" s="30">
        <v>55</v>
      </c>
      <c r="N148" s="30">
        <v>0</v>
      </c>
      <c r="O148" s="31">
        <v>0</v>
      </c>
      <c r="P148" s="40" t="str">
        <f>IF(tblWorkOrders[[#This Row],[WO no.]]="","",IFERROR(INDEX(tblAssets[Area],MATCH(tblWorkOrders[[#This Row],[Asset]],tblAssets[Asset ID],0)),""))</f>
        <v>Utilities</v>
      </c>
      <c r="Q148" s="40" t="str">
        <f>IF(tblWorkOrders[[#This Row],[WO no.]]="","",IFERROR(INDEX(tblWorkTypes[Category],MATCH(tblWorkOrders[[#This Row],[Work type]],tblWorkTypes[Work type],0)),""))</f>
        <v>Planned</v>
      </c>
      <c r="R148" s="41">
        <f>IF(tblWorkOrders[[#This Row],[WO no.]]="","",IFERROR(INDEX(tblPriorities[Target (days)],MATCH(tblWorkOrders[[#This Row],[Priority]],tblPriorities[Priority],0)),""))</f>
        <v>14</v>
      </c>
      <c r="S148" s="42">
        <f>IF(tblWorkOrders[[#This Row],[WO no.]]="","",IF(tblWorkOrders[[#This Row],[Target (days)]]="","",tblWorkOrders[[#This Row],[Date raised]]+tblWorkOrders[[#This Row],[Target (days)]]))</f>
        <v>46317</v>
      </c>
      <c r="T148" s="41">
        <f>IF(tblWorkOrders[[#This Row],[WO no.]]="","",IF(OR(tblWorkOrders[[#This Row],[Status]]="Complete",tblWorkOrders[[#This Row],[Status]]="Cancelled"),0,1))</f>
        <v>0</v>
      </c>
      <c r="U148" s="41">
        <f>IF(tblWorkOrders[[#This Row],[WO no.]]="","",IF(tblWorkOrders[[#This Row],[Status]]="Cancelled","",IF(tblWorkOrders[[#This Row],[Open]]=1,AsOf-tblWorkOrders[[#This Row],[Date raised]],IF(tblWorkOrders[[#This Row],[Date completed]]="","",tblWorkOrders[[#This Row],[Date completed]]-tblWorkOrders[[#This Row],[Date raised]]))))</f>
        <v>1</v>
      </c>
      <c r="V148" s="43">
        <f>IF(tblWorkOrders[[#This Row],[WO no.]]="","",IF(tblWorkOrders[[#This Row],[Open]]=1,MAX(0,tblWorkOrders[[#This Row],[Estimated (h)]]-tblWorkOrders[[#This Row],[Actual (h)]]),0))</f>
        <v>0</v>
      </c>
      <c r="W148" s="44">
        <f>IF(tblWorkOrders[[#This Row],[WO no.]]="","",tblWorkOrders[[#This Row],[Actual (h)]]*LabourRate)</f>
        <v>120</v>
      </c>
      <c r="X148" s="44">
        <f>IF(tblWorkOrders[[#This Row],[WO no.]]="","",tblWorkOrders[[#This Row],[Labour cost]]+tblWorkOrders[[#This Row],[Parts cost]]+tblWorkOrders[[#This Row],[Contractor cost]])</f>
        <v>175</v>
      </c>
      <c r="Y148" s="45" t="str">
        <f>IF(tblWorkOrders[[#This Row],[WO no.]]="","",IF(tblWorkOrders[[#This Row],[Status]]="Cancelled","",IF(tblWorkOrders[[#This Row],[Open]]=0,"Complete",IF(tblWorkOrders[[#This Row],[Due date]]="","",IF(AsOf&gt;tblWorkOrders[[#This Row],[Due date]],"Overdue",IF(tblWorkOrders[[#This Row],[Due date]]-AsOf&lt;=DueSoonDays,"Due soon","OK"))))))</f>
        <v>Complete</v>
      </c>
      <c r="Z148" s="45" t="str">
        <f>IF(tblWorkOrders[[#This Row],[WO no.]]="","",IF(OR(tblWorkOrders[[#This Row],[Status]]&lt;&gt;"Complete",tblWorkOrders[[#This Row],[Date completed]]="",tblWorkOrders[[#This Row],[Due date]]=""),"",IF(tblWorkOrders[[#This Row],[Date completed]]&lt;=tblWorkOrders[[#This Row],[Due date]],"Yes","No")))</f>
        <v>Yes</v>
      </c>
      <c r="AA148" s="42">
        <f>IF(tblWorkOrders[[#This Row],[WO no.]]="","",IF(AND(tblWorkOrders[[#This Row],[Date raised]]&gt;=FFrom,tblWorkOrders[[#This Row],[Date raised]]&lt;=FTo),tblWorkOrders[[#This Row],[Date raised]],""))</f>
        <v>46303</v>
      </c>
      <c r="AB148"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49" spans="2:28" x14ac:dyDescent="0.25">
      <c r="B149" s="28" t="s">
        <v>386</v>
      </c>
      <c r="C149" s="29">
        <v>46304</v>
      </c>
      <c r="D149" s="28" t="s">
        <v>124</v>
      </c>
      <c r="E149" s="39" t="s">
        <v>274</v>
      </c>
      <c r="F149" s="28" t="s">
        <v>130</v>
      </c>
      <c r="G149" s="28" t="s">
        <v>147</v>
      </c>
      <c r="H149" s="28" t="s">
        <v>157</v>
      </c>
      <c r="I149" s="28" t="s">
        <v>176</v>
      </c>
      <c r="J149" s="29"/>
      <c r="K149" s="31">
        <v>6</v>
      </c>
      <c r="L149" s="31">
        <v>0</v>
      </c>
      <c r="M149" s="30">
        <v>0</v>
      </c>
      <c r="N149" s="30">
        <v>0</v>
      </c>
      <c r="O149" s="31">
        <v>0</v>
      </c>
      <c r="P149" s="40" t="str">
        <f>IF(tblWorkOrders[[#This Row],[WO no.]]="","",IFERROR(INDEX(tblAssets[Area],MATCH(tblWorkOrders[[#This Row],[Asset]],tblAssets[Asset ID],0)),""))</f>
        <v>Utilities</v>
      </c>
      <c r="Q149" s="40" t="str">
        <f>IF(tblWorkOrders[[#This Row],[WO no.]]="","",IFERROR(INDEX(tblWorkTypes[Category],MATCH(tblWorkOrders[[#This Row],[Work type]],tblWorkTypes[Work type],0)),""))</f>
        <v>Corrective</v>
      </c>
      <c r="R149" s="41">
        <f>IF(tblWorkOrders[[#This Row],[WO no.]]="","",IFERROR(INDEX(tblPriorities[Target (days)],MATCH(tblWorkOrders[[#This Row],[Priority]],tblPriorities[Priority],0)),""))</f>
        <v>14</v>
      </c>
      <c r="S149" s="42">
        <f>IF(tblWorkOrders[[#This Row],[WO no.]]="","",IF(tblWorkOrders[[#This Row],[Target (days)]]="","",tblWorkOrders[[#This Row],[Date raised]]+tblWorkOrders[[#This Row],[Target (days)]]))</f>
        <v>46318</v>
      </c>
      <c r="T149" s="41">
        <f>IF(tblWorkOrders[[#This Row],[WO no.]]="","",IF(OR(tblWorkOrders[[#This Row],[Status]]="Complete",tblWorkOrders[[#This Row],[Status]]="Cancelled"),0,1))</f>
        <v>1</v>
      </c>
      <c r="U149" s="41">
        <f>IF(tblWorkOrders[[#This Row],[WO no.]]="","",IF(tblWorkOrders[[#This Row],[Status]]="Cancelled","",IF(tblWorkOrders[[#This Row],[Open]]=1,AsOf-tblWorkOrders[[#This Row],[Date raised]],IF(tblWorkOrders[[#This Row],[Date completed]]="","",tblWorkOrders[[#This Row],[Date completed]]-tblWorkOrders[[#This Row],[Date raised]]))))</f>
        <v>0</v>
      </c>
      <c r="V149" s="43">
        <f>IF(tblWorkOrders[[#This Row],[WO no.]]="","",IF(tblWorkOrders[[#This Row],[Open]]=1,MAX(0,tblWorkOrders[[#This Row],[Estimated (h)]]-tblWorkOrders[[#This Row],[Actual (h)]]),0))</f>
        <v>6</v>
      </c>
      <c r="W149" s="44">
        <f>IF(tblWorkOrders[[#This Row],[WO no.]]="","",tblWorkOrders[[#This Row],[Actual (h)]]*LabourRate)</f>
        <v>0</v>
      </c>
      <c r="X149" s="44">
        <f>IF(tblWorkOrders[[#This Row],[WO no.]]="","",tblWorkOrders[[#This Row],[Labour cost]]+tblWorkOrders[[#This Row],[Parts cost]]+tblWorkOrders[[#This Row],[Contractor cost]])</f>
        <v>0</v>
      </c>
      <c r="Y149" s="45" t="str">
        <f>IF(tblWorkOrders[[#This Row],[WO no.]]="","",IF(tblWorkOrders[[#This Row],[Status]]="Cancelled","",IF(tblWorkOrders[[#This Row],[Open]]=0,"Complete",IF(tblWorkOrders[[#This Row],[Due date]]="","",IF(AsOf&gt;tblWorkOrders[[#This Row],[Due date]],"Overdue",IF(tblWorkOrders[[#This Row],[Due date]]-AsOf&lt;=DueSoonDays,"Due soon","OK"))))))</f>
        <v>OK</v>
      </c>
      <c r="Z149" s="45">
        <f>IF(tblWorkOrders[[#This Row],[WO no.]]="","",IF(OR(tblWorkOrders[[#This Row],[Status]]&lt;&gt;"Complete",tblWorkOrders[[#This Row],[Date completed]]="",tblWorkOrders[[#This Row],[Due date]]=""),"",IF(tblWorkOrders[[#This Row],[Date completed]]&lt;=tblWorkOrders[[#This Row],[Due date]],"Yes","No")))</f>
        <v/>
      </c>
      <c r="AA149" s="42">
        <f>IF(tblWorkOrders[[#This Row],[WO no.]]="","",IF(AND(tblWorkOrders[[#This Row],[Date raised]]&gt;=FFrom,tblWorkOrders[[#This Row],[Date raised]]&lt;=FTo),tblWorkOrders[[#This Row],[Date raised]],""))</f>
        <v>46304</v>
      </c>
      <c r="AB149"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row r="150" spans="2:28" x14ac:dyDescent="0.25">
      <c r="B150" s="28" t="s">
        <v>387</v>
      </c>
      <c r="C150" s="29">
        <v>46304</v>
      </c>
      <c r="D150" s="28" t="s">
        <v>104</v>
      </c>
      <c r="E150" s="39" t="s">
        <v>264</v>
      </c>
      <c r="F150" s="28" t="s">
        <v>127</v>
      </c>
      <c r="G150" s="28" t="s">
        <v>143</v>
      </c>
      <c r="H150" s="28" t="s">
        <v>152</v>
      </c>
      <c r="I150" s="28" t="s">
        <v>200</v>
      </c>
      <c r="J150" s="29">
        <v>46304</v>
      </c>
      <c r="K150" s="31">
        <v>6</v>
      </c>
      <c r="L150" s="31">
        <v>8.5</v>
      </c>
      <c r="M150" s="30">
        <v>72</v>
      </c>
      <c r="N150" s="30">
        <v>0</v>
      </c>
      <c r="O150" s="31">
        <v>5</v>
      </c>
      <c r="P150" s="40" t="str">
        <f>IF(tblWorkOrders[[#This Row],[WO no.]]="","",IFERROR(INDEX(tblAssets[Area],MATCH(tblWorkOrders[[#This Row],[Asset]],tblAssets[Asset ID],0)),""))</f>
        <v>Line 1</v>
      </c>
      <c r="Q150" s="40" t="str">
        <f>IF(tblWorkOrders[[#This Row],[WO no.]]="","",IFERROR(INDEX(tblWorkTypes[Category],MATCH(tblWorkOrders[[#This Row],[Work type]],tblWorkTypes[Work type],0)),""))</f>
        <v>Emergency</v>
      </c>
      <c r="R150" s="41">
        <f>IF(tblWorkOrders[[#This Row],[WO no.]]="","",IFERROR(INDEX(tblPriorities[Target (days)],MATCH(tblWorkOrders[[#This Row],[Priority]],tblPriorities[Priority],0)),""))</f>
        <v>1</v>
      </c>
      <c r="S150" s="42">
        <f>IF(tblWorkOrders[[#This Row],[WO no.]]="","",IF(tblWorkOrders[[#This Row],[Target (days)]]="","",tblWorkOrders[[#This Row],[Date raised]]+tblWorkOrders[[#This Row],[Target (days)]]))</f>
        <v>46305</v>
      </c>
      <c r="T150" s="41">
        <f>IF(tblWorkOrders[[#This Row],[WO no.]]="","",IF(OR(tblWorkOrders[[#This Row],[Status]]="Complete",tblWorkOrders[[#This Row],[Status]]="Cancelled"),0,1))</f>
        <v>0</v>
      </c>
      <c r="U150" s="41">
        <f>IF(tblWorkOrders[[#This Row],[WO no.]]="","",IF(tblWorkOrders[[#This Row],[Status]]="Cancelled","",IF(tblWorkOrders[[#This Row],[Open]]=1,AsOf-tblWorkOrders[[#This Row],[Date raised]],IF(tblWorkOrders[[#This Row],[Date completed]]="","",tblWorkOrders[[#This Row],[Date completed]]-tblWorkOrders[[#This Row],[Date raised]]))))</f>
        <v>0</v>
      </c>
      <c r="V150" s="43">
        <f>IF(tblWorkOrders[[#This Row],[WO no.]]="","",IF(tblWorkOrders[[#This Row],[Open]]=1,MAX(0,tblWorkOrders[[#This Row],[Estimated (h)]]-tblWorkOrders[[#This Row],[Actual (h)]]),0))</f>
        <v>0</v>
      </c>
      <c r="W150" s="44">
        <f>IF(tblWorkOrders[[#This Row],[WO no.]]="","",tblWorkOrders[[#This Row],[Actual (h)]]*LabourRate)</f>
        <v>408</v>
      </c>
      <c r="X150" s="44">
        <f>IF(tblWorkOrders[[#This Row],[WO no.]]="","",tblWorkOrders[[#This Row],[Labour cost]]+tblWorkOrders[[#This Row],[Parts cost]]+tblWorkOrders[[#This Row],[Contractor cost]])</f>
        <v>480</v>
      </c>
      <c r="Y150" s="45" t="str">
        <f>IF(tblWorkOrders[[#This Row],[WO no.]]="","",IF(tblWorkOrders[[#This Row],[Status]]="Cancelled","",IF(tblWorkOrders[[#This Row],[Open]]=0,"Complete",IF(tblWorkOrders[[#This Row],[Due date]]="","",IF(AsOf&gt;tblWorkOrders[[#This Row],[Due date]],"Overdue",IF(tblWorkOrders[[#This Row],[Due date]]-AsOf&lt;=DueSoonDays,"Due soon","OK"))))))</f>
        <v>Complete</v>
      </c>
      <c r="Z150" s="45" t="str">
        <f>IF(tblWorkOrders[[#This Row],[WO no.]]="","",IF(OR(tblWorkOrders[[#This Row],[Status]]&lt;&gt;"Complete",tblWorkOrders[[#This Row],[Date completed]]="",tblWorkOrders[[#This Row],[Due date]]=""),"",IF(tblWorkOrders[[#This Row],[Date completed]]&lt;=tblWorkOrders[[#This Row],[Due date]],"Yes","No")))</f>
        <v>Yes</v>
      </c>
      <c r="AA150" s="42">
        <f>IF(tblWorkOrders[[#This Row],[WO no.]]="","",IF(AND(tblWorkOrders[[#This Row],[Date raised]]&gt;=FFrom,tblWorkOrders[[#This Row],[Date raised]]&lt;=FTo),tblWorkOrders[[#This Row],[Date raised]],""))</f>
        <v>46304</v>
      </c>
      <c r="AB150" s="46" t="str">
        <f>IF(tblWorkOrders[[#This Row],[WO no.]]="","",IF(tblWorkOrders[[#This Row],[Date raised]]="","Missing date raised",IF(tblWorkOrders[[#This Row],[Asset]]="","Missing asset",IF(tblWorkOrders[[#This Row],[Status]]="","Missing status",IF(tblWorkOrders[[#This Row],[Area]]="","Asset not on Setup list",IF(tblWorkOrders[[#This Row],[Category]]="","Work type not on Setup list",IF(tblWorkOrders[[#This Row],[Target (days)]]="","Priority not on Setup list",IF(OR(AND(tblWorkOrders[[#This Row],[Status]]="Complete",tblWorkOrders[[#This Row],[Date completed]]=""),AND(tblWorkOrders[[#This Row],[Status]]&lt;&gt;"Complete",tblWorkOrders[[#This Row],[Date completed]]&lt;&gt;"")),"Status and completion date disagree",IF(AND(tblWorkOrders[[#This Row],[Date completed]]&lt;&gt;"",tblWorkOrders[[#This Row],[Date completed]]&lt;tblWorkOrders[[#This Row],[Date raised]]),"Completed before raised",IF(OR(tblWorkOrders[[#This Row],[Date raised]]&gt;AsOf,AND(tblWorkOrders[[#This Row],[Date completed]]&lt;&gt;"",tblWorkOrders[[#This Row],[Date completed]]&gt;AsOf)),"Date after the status date",IF(COUNTIF(tblWorkOrders[WO no.],tblWorkOrders[[#This Row],[WO no.]])&gt;1,"Duplicate WO no.","OK")))))))))))</f>
        <v>OK</v>
      </c>
    </row>
  </sheetData>
  <mergeCells count="3">
    <mergeCell ref="A1:AB1"/>
    <mergeCell ref="B2:AA2"/>
    <mergeCell ref="B4:AB4"/>
  </mergeCells>
  <conditionalFormatting sqref="AB7:AB650">
    <cfRule type="expression" dxfId="3" priority="42">
      <formula>$AB7="OK"</formula>
    </cfRule>
    <cfRule type="expression" dxfId="1" priority="43">
      <formula>AND($AB7&lt;&gt;"",$AB7&lt;&gt;"OK")</formula>
    </cfRule>
  </conditionalFormatting>
  <conditionalFormatting sqref="V7:V650">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Y7:Y650">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Z7:Z650">
    <cfRule type="cellIs" dxfId="0" priority="22" operator="equal">
      <formula>"On target"</formula>
    </cfRule>
    <cfRule type="cellIs" dxfId="0" priority="23" operator="equal">
      <formula>"PASS"</formula>
    </cfRule>
    <cfRule type="cellIs" dxfId="0" priority="24" operator="equal">
      <formula>"OK"</formula>
    </cfRule>
    <cfRule type="cellIs" dxfId="0" priority="25" operator="equal">
      <formula>"Within limits"</formula>
    </cfRule>
    <cfRule type="cellIs" dxfId="0" priority="26" operator="equal">
      <formula>"Under capacity"</formula>
    </cfRule>
    <cfRule type="cellIs" dxfId="0" priority="27" operator="equal">
      <formula>"Complete"</formula>
    </cfRule>
    <cfRule type="cellIs" dxfId="0" priority="28" operator="equal">
      <formula>"Yes"</formula>
    </cfRule>
    <cfRule type="cellIs" dxfId="1" priority="29" operator="equal">
      <formula>"Near target"</formula>
    </cfRule>
    <cfRule type="cellIs" dxfId="1" priority="30" operator="equal">
      <formula>"Check"</formula>
    </cfRule>
    <cfRule type="cellIs" dxfId="1" priority="31" operator="equal">
      <formula>"Due soon"</formula>
    </cfRule>
    <cfRule type="cellIs" dxfId="1" priority="32" operator="equal">
      <formula>"Near capacity"</formula>
    </cfRule>
    <cfRule type="cellIs" dxfId="1" priority="33" operator="equal">
      <formula>"In progress"</formula>
    </cfRule>
    <cfRule type="cellIs" dxfId="1" priority="34" operator="equal">
      <formula>"Partial"</formula>
    </cfRule>
    <cfRule type="cellIs" dxfId="2" priority="35" operator="equal">
      <formula>"Below target"</formula>
    </cfRule>
    <cfRule type="cellIs" dxfId="2" priority="36" operator="equal">
      <formula>"Above target"</formula>
    </cfRule>
    <cfRule type="cellIs" dxfId="2" priority="37" operator="equal">
      <formula>"FAIL"</formula>
    </cfRule>
    <cfRule type="cellIs" dxfId="2" priority="38" operator="equal">
      <formula>"Over capacity"</formula>
    </cfRule>
    <cfRule type="cellIs" dxfId="2" priority="39" operator="equal">
      <formula>"Overdue"</formula>
    </cfRule>
    <cfRule type="cellIs" dxfId="2" priority="40" operator="equal">
      <formula>"Out of limits"</formula>
    </cfRule>
    <cfRule type="cellIs" dxfId="2" priority="41" operator="equal">
      <formula>"No"</formula>
    </cfRule>
  </conditionalFormatting>
  <dataValidations count="14">
    <dataValidation type="textLength" allowBlank="1" showInputMessage="1" showErrorMessage="1" errorTitle="Check this entry" error="Text up to 30 characters." promptTitle="WO no." prompt="Your work order number. Each number once. Text up to 30 characters." sqref="B7:B650">
      <formula1>0</formula1>
      <formula2>30</formula2>
    </dataValidation>
    <dataValidation type="date" allowBlank="1" showInputMessage="1" showErrorMessage="1" errorTitle="Check this entry" error="Enter a date between 01 Jan 2000 and 31 Dec 2100." promptTitle="Date raised" prompt="Enter a date between 01 Jan 2000 and 31 Dec 2100." sqref="C7:C650">
      <formula1>36526</formula1>
      <formula2>73415</formula2>
    </dataValidation>
    <dataValidation type="list" allowBlank="1" showInputMessage="1" showErrorMessage="1" errorTitle="Check this entry" error="Pick from the list (edit the list on Setup: Assets)." promptTitle="Asset" prompt="Pick from the list (edit the list on Setup: Assets)." sqref="D7:D650">
      <formula1>Assets</formula1>
    </dataValidation>
    <dataValidation type="textLength" allowBlank="1" showInputMessage="1" showErrorMessage="1" errorTitle="Check this entry" error="Text up to 255 characters." promptTitle="Description" prompt="What is wrong or what is to be done, in a few words. Text up to 255 characters." sqref="E7:E650">
      <formula1>0</formula1>
      <formula2>255</formula2>
    </dataValidation>
    <dataValidation type="list" allowBlank="1" showInputMessage="1" showErrorMessage="1" errorTitle="Check this entry" error="Pick from the list (edit the list on Setup: WorkTypes)." promptTitle="Work type" prompt="Pick from the list (edit the list on Setup: WorkTypes)." sqref="F7:F650">
      <formula1>WorkTypes</formula1>
    </dataValidation>
    <dataValidation type="list" allowBlank="1" showInputMessage="1" showErrorMessage="1" errorTitle="Check this entry" error="Pick from the list (edit the list on Setup: Priorities)." promptTitle="Priority" prompt="Pick from the list (edit the list on Setup: Priorities)." sqref="G7:G650">
      <formula1>Priorities</formula1>
    </dataValidation>
    <dataValidation type="list" allowBlank="1" showInputMessage="1" showErrorMessage="1" errorTitle="Check this entry" error="Pick from the list (edit the list on Setup: Technicians)." promptTitle="Assigned to" prompt="Pick from the list (edit the list on Setup: Technicians)." sqref="H7:H650">
      <formula1>Technicians</formula1>
    </dataValidation>
    <dataValidation type="list" allowBlank="1" showInputMessage="1" showErrorMessage="1" errorTitle="Check this entry" error="Pick one of: Open, Waiting parts, In progress, Complete, Cancelled." promptTitle="Status" prompt="Complete and Cancelled close the order; the other three keep it in the backlog. Pick one of: Open, Waiting parts, In progress, Complete, Cancelled." sqref="I7:I650">
      <formula1>"Open,Waiting parts,In progress,Complete,Cancelled"</formula1>
    </dataValidation>
    <dataValidation type="date" allowBlank="1" showInputMessage="1" showErrorMessage="1" errorTitle="Check this entry" error="Enter a date between 01 Jan 2000 and 31 Dec 2100." promptTitle="Date completed" prompt="Fill in when the status is Complete; leave blank while open. Enter a date between 01 Jan 2000 and 31 Dec 2100." sqref="J7:J650">
      <formula1>36526</formula1>
      <formula2>73415</formula2>
    </dataValidation>
    <dataValidation type="decimal" allowBlank="1" showInputMessage="1" showErrorMessage="1" errorTitle="Check this entry" error="Enter a number from 0 to 10,000." promptTitle="Estimated (h)" prompt="Planned person-hours for the whole job. Enter a number from 0 to 10,000." sqref="K7:K650">
      <formula1>0</formula1>
      <formula2>10000</formula2>
    </dataValidation>
    <dataValidation type="decimal" allowBlank="1" showInputMessage="1" showErrorMessage="1" errorTitle="Check this entry" error="Enter a number from 0 to 10,000." promptTitle="Actual (h)" prompt="Person-hours booked so far (all technicians). Enter a number from 0 to 10,000." sqref="L7:L650">
      <formula1>0</formula1>
      <formula2>10000</formula2>
    </dataValidation>
    <dataValidation type="decimal" allowBlank="1" showInputMessage="1" showErrorMessage="1" errorTitle="Check this entry" error="Enter a number from 0 to 100,000,000." promptTitle="Parts cost" prompt="Spares and materials issued to this order. Enter a number from 0 to 100,000,000." sqref="M7:M650">
      <formula1>0</formula1>
      <formula2>100000000.0</formula2>
    </dataValidation>
    <dataValidation type="decimal" allowBlank="1" showInputMessage="1" showErrorMessage="1" errorTitle="Check this entry" error="Enter a number from 0 to 100,000,000." promptTitle="Contractor cost" prompt="Invoiced outside services for this order. Enter a number from 0 to 100,000,000." sqref="N7:N650">
      <formula1>0</formula1>
      <formula2>100000000.0</formula2>
    </dataValidation>
    <dataValidation type="decimal" allowBlank="1" showInputMessage="1" showErrorMessage="1" errorTitle="Check this entry" error="Enter a number from 0 to 10,000." promptTitle="Downtime (h)" prompt="Hours the asset could not produce because of this fault or job (0 if it ran). Enter a number from 0 to 10,000." sqref="O7:O650">
      <formula1>0</formula1>
      <formula2>10000</formula2>
    </dataValidation>
  </dataValidations>
  <hyperlinks>
    <hyperlink ref="AB2" r:id="rId1" tooltip="Free manufacturing calculators and templates"/>
  </hyperlinks>
  <pageMargins left="0.4" right="0.4" top="0.7" bottom="0.65" header="0.3" footer="0.3"/>
  <pageSetup fitToHeight="0" orientation="landscape"/>
  <headerFooter>
    <oddHeader>&amp;L&amp;8MFG Calcs - Maintenance Work Order Log&amp;R&amp;8&amp;A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V7:V650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7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388</v>
      </c>
      <c r="C4" s="47"/>
      <c r="D4" s="47"/>
      <c r="F4" s="27" t="s">
        <v>389</v>
      </c>
      <c r="G4" s="47"/>
      <c r="H4" s="47"/>
    </row>
    <row r="5" spans="1:12" x14ac:dyDescent="0.25">
      <c r="B5" s="48" t="str">
        <f>"Period figures: "&amp;COUNTIFS(tblWorkOrders[View date],"&gt;0")&amp;" work orders raised between the dates (blank = all). Backlog figures: every order open on the status date, "&amp;TEXT(AsOf,"d mmm yyyy")&amp;"."</f>
        <v>Period figures: 144 work orders raised between the dates (blank = all). Backlog figures: every order open on the status date, 9 Oct 2026.</v>
      </c>
      <c r="C5" s="48"/>
      <c r="D5" s="48"/>
      <c r="E5" s="48"/>
      <c r="F5" s="48"/>
      <c r="G5" s="48"/>
      <c r="H5" s="48"/>
      <c r="I5" s="48"/>
      <c r="J5" s="48"/>
      <c r="K5" s="48"/>
      <c r="L5" s="48"/>
    </row>
    <row r="7" spans="1:12" ht="18" customHeight="1" x14ac:dyDescent="0.25">
      <c r="B7" s="49" t="s">
        <v>390</v>
      </c>
      <c r="C7" s="49"/>
      <c r="D7" s="49" t="s">
        <v>391</v>
      </c>
      <c r="E7" s="49"/>
      <c r="F7" s="49"/>
      <c r="G7" s="49" t="s">
        <v>392</v>
      </c>
      <c r="H7" s="49"/>
      <c r="I7" s="49"/>
      <c r="J7" s="49" t="s">
        <v>393</v>
      </c>
      <c r="K7" s="49"/>
      <c r="L7" s="49"/>
    </row>
    <row r="8" spans="1:12" ht="21" customHeight="1" x14ac:dyDescent="0.25">
      <c r="B8" s="50">
        <f>IF((NetCrewHours)=0,"",(SUM(tblWorkOrders[Remaining (h)]))/(NetCrewHours))</f>
        <v>1.87083333333333</v>
      </c>
      <c r="C8" s="50"/>
      <c r="D8" s="51">
        <f>IF((COUNTIFS(tblWorkOrders[View date],"&gt;0",tblWorkOrders[Status],"&lt;&gt;Cancelled"))=0,"",(COUNTIFS(tblWorkOrders[Category],"Emergency",tblWorkOrders[View date],"&gt;0",tblWorkOrders[Status],"&lt;&gt;Cancelled"))/(COUNTIFS(tblWorkOrders[View date],"&gt;0",tblWorkOrders[Status],"&lt;&gt;Cancelled")))</f>
        <v>0.111888111888112</v>
      </c>
      <c r="E8" s="51"/>
      <c r="F8" s="51"/>
      <c r="G8" s="51">
        <f>IF((COUNTIFS(tblWorkOrders[Status],"Complete",tblWorkOrders[View date],"&gt;0"))=0,"",(COUNTIFS(tblWorkOrders[On time],"Yes",tblWorkOrders[View date],"&gt;0"))/(COUNTIFS(tblWorkOrders[Status],"Complete",tblWorkOrders[View date],"&gt;0")))</f>
        <v>0.864406779661017</v>
      </c>
      <c r="H8" s="51"/>
      <c r="I8" s="51"/>
      <c r="J8" s="52">
        <f>COUNTIFS(tblWorkOrders[Due status],"Overdue")</f>
        <v>10</v>
      </c>
      <c r="K8" s="52"/>
      <c r="L8" s="52"/>
    </row>
    <row r="9" spans="1:12" ht="21" customHeight="1" x14ac:dyDescent="0.25">
      <c r="B9" s="50"/>
      <c r="C9" s="50"/>
      <c r="D9" s="51"/>
      <c r="E9" s="51"/>
      <c r="F9" s="51"/>
      <c r="G9" s="51"/>
      <c r="H9" s="51"/>
      <c r="I9" s="51"/>
      <c r="J9" s="52"/>
      <c r="K9" s="52"/>
      <c r="L9" s="52"/>
    </row>
    <row r="10" spans="1:12" x14ac:dyDescent="0.25">
      <c r="B10" s="53">
        <f>TargetWeeks</f>
        <v>3</v>
      </c>
      <c r="C10" s="53"/>
      <c r="D10" s="54">
        <f>MaxEmergency</f>
        <v>0.1</v>
      </c>
      <c r="E10" s="54"/>
      <c r="F10" s="54"/>
      <c r="G10" s="55">
        <f>TargetOnTime</f>
        <v>0.9</v>
      </c>
      <c r="H10" s="55"/>
      <c r="I10" s="55"/>
      <c r="J10" s="56" t="s">
        <v>394</v>
      </c>
      <c r="K10" s="56"/>
      <c r="L10" s="56"/>
    </row>
    <row r="11" spans="1:12" ht="18" customHeight="1" x14ac:dyDescent="0.25">
      <c r="B11" s="57" t="str">
        <f>IF(NOT(ISNUMBER(KpiWeeks)),"No data",IF(KpiWeeks&lt;=(TargetWeeks),"On target",IF(KpiWeeks&lt;=(TargetWeeks)*(1+0.05),"Near target","Above target")))</f>
        <v>On target</v>
      </c>
      <c r="C11" s="57"/>
      <c r="D11" s="57" t="str">
        <f>IF(NOT(ISNUMBER(KpiEmerg)),"No data",IF(KpiEmerg&lt;=(MaxEmergency),"On target",IF(KpiEmerg&lt;=(MaxEmergency)*(1+0.05),"Near target","Above target")))</f>
        <v>Above target</v>
      </c>
      <c r="E11" s="57"/>
      <c r="F11" s="57"/>
      <c r="G11" s="57" t="str">
        <f>IF(NOT(ISNUMBER(KpiOnTime)),"No data",IF(KpiOnTime&gt;=(TargetOnTime),"On target",IF(KpiOnTime&gt;=(TargetOnTime)*(1-0.05),"Near target","Below target")))</f>
        <v>Near target</v>
      </c>
      <c r="H11" s="57"/>
      <c r="I11" s="57"/>
      <c r="J11" s="57"/>
      <c r="K11" s="57"/>
      <c r="L11" s="57"/>
    </row>
    <row r="29" spans="2:12" ht="18" customHeight="1" x14ac:dyDescent="0.25">
      <c r="B29" s="49" t="s">
        <v>395</v>
      </c>
      <c r="C29" s="49"/>
      <c r="D29" s="49" t="s">
        <v>396</v>
      </c>
      <c r="E29" s="49"/>
      <c r="F29" s="49"/>
      <c r="G29" s="49" t="s">
        <v>397</v>
      </c>
      <c r="H29" s="49"/>
      <c r="I29" s="49"/>
      <c r="J29" s="49" t="str">
        <f>"MAINTENANCE COST ("&amp;Currency&amp;")"</f>
        <v>MAINTENANCE COST (USD)</v>
      </c>
      <c r="K29" s="49"/>
      <c r="L29" s="49"/>
    </row>
    <row r="30" spans="2:12" ht="21" customHeight="1" x14ac:dyDescent="0.25">
      <c r="B30" s="50">
        <f>SUM(tblWorkOrders[Remaining (h)])</f>
        <v>224.5</v>
      </c>
      <c r="C30" s="50"/>
      <c r="D30" s="52">
        <f>SUM(tblWorkOrders[Open])</f>
        <v>25</v>
      </c>
      <c r="E30" s="52"/>
      <c r="F30" s="52"/>
      <c r="G30" s="51">
        <f>IF((SUMIFS(tblWorkOrders[Actual (h)],tblWorkOrders[View date],"&gt;0"))=0,"",(SUMIFS(tblWorkOrders[Actual (h)],tblWorkOrders[Category],"Planned",tblWorkOrders[View date],"&gt;0"))/(SUMIFS(tblWorkOrders[Actual (h)],tblWorkOrders[View date],"&gt;0")))</f>
        <v>0.465530596436871</v>
      </c>
      <c r="H30" s="51"/>
      <c r="I30" s="51"/>
      <c r="J30" s="52">
        <f>SUMIFS(tblWorkOrders[Total cost],tblWorkOrders[View date],"&gt;0")</f>
        <v>45769</v>
      </c>
      <c r="K30" s="52"/>
      <c r="L30" s="52"/>
    </row>
    <row r="31" spans="2:12" ht="21" customHeight="1" x14ac:dyDescent="0.25">
      <c r="B31" s="50"/>
      <c r="C31" s="50"/>
      <c r="D31" s="52"/>
      <c r="E31" s="52"/>
      <c r="F31" s="52"/>
      <c r="G31" s="51"/>
      <c r="H31" s="51"/>
      <c r="I31" s="51"/>
      <c r="J31" s="52"/>
      <c r="K31" s="52"/>
      <c r="L31" s="52"/>
    </row>
    <row r="32" spans="2:12" x14ac:dyDescent="0.25">
      <c r="B32" s="56" t="s">
        <v>398</v>
      </c>
      <c r="C32" s="56"/>
      <c r="D32" s="56" t="s">
        <v>399</v>
      </c>
      <c r="E32" s="56"/>
      <c r="F32" s="56"/>
      <c r="G32" s="56" t="s">
        <v>400</v>
      </c>
      <c r="H32" s="56"/>
      <c r="I32" s="56"/>
      <c r="J32" s="56" t="s">
        <v>401</v>
      </c>
      <c r="K32" s="56"/>
      <c r="L32" s="56"/>
    </row>
    <row r="33" spans="2:12" ht="18" customHeight="1" x14ac:dyDescent="0.25">
      <c r="B33" s="57"/>
      <c r="C33" s="57"/>
      <c r="D33" s="57"/>
      <c r="E33" s="57"/>
      <c r="F33" s="57"/>
      <c r="G33" s="57"/>
      <c r="H33" s="57"/>
      <c r="I33" s="57"/>
      <c r="J33" s="57"/>
      <c r="K33" s="57"/>
      <c r="L33" s="57"/>
    </row>
    <row r="35" spans="2:12" x14ac:dyDescent="0.25">
      <c r="B35" s="35" t="s">
        <v>402</v>
      </c>
      <c r="C35" s="35"/>
      <c r="D35" s="35"/>
      <c r="E35" s="35"/>
      <c r="F35" s="35"/>
      <c r="G35" s="35"/>
      <c r="H35" s="35"/>
    </row>
    <row r="36" spans="2:12" ht="45.5" customHeight="1" x14ac:dyDescent="0.25">
      <c r="B36" s="58" t="s">
        <v>403</v>
      </c>
      <c r="C36" s="36" t="s">
        <v>404</v>
      </c>
      <c r="D36" s="36" t="s">
        <v>405</v>
      </c>
      <c r="E36" s="36" t="s">
        <v>406</v>
      </c>
      <c r="F36" s="36" t="s">
        <v>407</v>
      </c>
      <c r="G36" s="36" t="s">
        <v>408</v>
      </c>
      <c r="H36" s="36" t="s">
        <v>409</v>
      </c>
    </row>
    <row r="37" spans="2:12" x14ac:dyDescent="0.25">
      <c r="B37" s="59">
        <f>IF($B$38="","",$B$38-7)</f>
        <v>46251</v>
      </c>
      <c r="C37" s="41">
        <f>IF($B$37="","",COUNTIFS(tblWorkOrders[Date raised],"&gt;="&amp;$B$37,tblWorkOrders[Date raised],"&lt;"&amp;$B$37+7,tblWorkOrders[Status],"&lt;&gt;Cancelled"))</f>
        <v>19</v>
      </c>
      <c r="D37" s="41">
        <f>IF($B$37="","",COUNTIFS(tblWorkOrders[Date raised],"&gt;="&amp;$B$37,tblWorkOrders[Date raised],"&lt;"&amp;$B$37+7,tblWorkOrders[Category],"Emergency",tblWorkOrders[Status],"&lt;&gt;Cancelled"))</f>
        <v>2</v>
      </c>
      <c r="E37" s="41">
        <f>IF($B$37="","",COUNTIFS(tblWorkOrders[Date completed],"&gt;="&amp;$B$37,tblWorkOrders[Date completed],"&lt;"&amp;$B$37+7,tblWorkOrders[Status],"Complete"))</f>
        <v>10</v>
      </c>
      <c r="F37" s="41">
        <f>IF($B$37="","",COUNTIFS(tblWorkOrders[Date completed],"&gt;="&amp;$B$37,tblWorkOrders[Date completed],"&lt;"&amp;$B$37+7,tblWorkOrders[On time],"Yes"))</f>
        <v>9</v>
      </c>
      <c r="G37" s="43">
        <f>IF($B$37="","",SUMIFS(tblWorkOrders[Actual (h)],tblWorkOrders[Date completed],"&gt;="&amp;$B$37,tblWorkOrders[Date completed],"&lt;"&amp;$B$37+7,tblWorkOrders[Status],"Complete"))</f>
        <v>40</v>
      </c>
      <c r="H37" s="41">
        <f>IF($B$37="","",COUNTIFS(tblWorkOrders[Date raised],"&lt;"&amp;$B$37+7,tblWorkOrders[Status],"&lt;&gt;Cancelled")-COUNTIFS(tblWorkOrders[Date completed],"&lt;"&amp;$B$37+7,tblWorkOrders[Status],"Complete"))</f>
        <v>15</v>
      </c>
    </row>
    <row r="38" spans="2:12" x14ac:dyDescent="0.25">
      <c r="B38" s="59">
        <f>IF($B$39="","",$B$39-7)</f>
        <v>46258</v>
      </c>
      <c r="C38" s="41">
        <f>IF($B$38="","",COUNTIFS(tblWorkOrders[Date raised],"&gt;="&amp;$B$38,tblWorkOrders[Date raised],"&lt;"&amp;$B$38+7,tblWorkOrders[Status],"&lt;&gt;Cancelled"))</f>
        <v>13</v>
      </c>
      <c r="D38" s="41">
        <f>IF($B$38="","",COUNTIFS(tblWorkOrders[Date raised],"&gt;="&amp;$B$38,tblWorkOrders[Date raised],"&lt;"&amp;$B$38+7,tblWorkOrders[Category],"Emergency",tblWorkOrders[Status],"&lt;&gt;Cancelled"))</f>
        <v>3</v>
      </c>
      <c r="E38" s="41">
        <f>IF($B$38="","",COUNTIFS(tblWorkOrders[Date completed],"&gt;="&amp;$B$38,tblWorkOrders[Date completed],"&lt;"&amp;$B$38+7,tblWorkOrders[Status],"Complete"))</f>
        <v>17</v>
      </c>
      <c r="F38" s="41">
        <f>IF($B$38="","",COUNTIFS(tblWorkOrders[Date completed],"&gt;="&amp;$B$38,tblWorkOrders[Date completed],"&lt;"&amp;$B$38+7,tblWorkOrders[On time],"Yes"))</f>
        <v>16</v>
      </c>
      <c r="G38" s="43">
        <f>IF($B$38="","",SUMIFS(tblWorkOrders[Actual (h)],tblWorkOrders[Date completed],"&gt;="&amp;$B$38,tblWorkOrders[Date completed],"&lt;"&amp;$B$38+7,tblWorkOrders[Status],"Complete"))</f>
        <v>86.5</v>
      </c>
      <c r="H38" s="41">
        <f>IF($B$38="","",COUNTIFS(tblWorkOrders[Date raised],"&lt;"&amp;$B$38+7,tblWorkOrders[Status],"&lt;&gt;Cancelled")-COUNTIFS(tblWorkOrders[Date completed],"&lt;"&amp;$B$38+7,tblWorkOrders[Status],"Complete"))</f>
        <v>11</v>
      </c>
    </row>
    <row r="39" spans="2:12" x14ac:dyDescent="0.25">
      <c r="B39" s="59">
        <f>IF($B$40="","",$B$40-7)</f>
        <v>46265</v>
      </c>
      <c r="C39" s="41">
        <f>IF($B$39="","",COUNTIFS(tblWorkOrders[Date raised],"&gt;="&amp;$B$39,tblWorkOrders[Date raised],"&lt;"&amp;$B$39+7,tblWorkOrders[Status],"&lt;&gt;Cancelled"))</f>
        <v>12</v>
      </c>
      <c r="D39" s="41">
        <f>IF($B$39="","",COUNTIFS(tblWorkOrders[Date raised],"&gt;="&amp;$B$39,tblWorkOrders[Date raised],"&lt;"&amp;$B$39+7,tblWorkOrders[Category],"Emergency",tblWorkOrders[Status],"&lt;&gt;Cancelled"))</f>
        <v>1</v>
      </c>
      <c r="E39" s="41">
        <f>IF($B$39="","",COUNTIFS(tblWorkOrders[Date completed],"&gt;="&amp;$B$39,tblWorkOrders[Date completed],"&lt;"&amp;$B$39+7,tblWorkOrders[Status],"Complete"))</f>
        <v>11</v>
      </c>
      <c r="F39" s="41">
        <f>IF($B$39="","",COUNTIFS(tblWorkOrders[Date completed],"&gt;="&amp;$B$39,tblWorkOrders[Date completed],"&lt;"&amp;$B$39+7,tblWorkOrders[On time],"Yes"))</f>
        <v>9</v>
      </c>
      <c r="G39" s="43">
        <f>IF($B$39="","",SUMIFS(tblWorkOrders[Actual (h)],tblWorkOrders[Date completed],"&gt;="&amp;$B$39,tblWorkOrders[Date completed],"&lt;"&amp;$B$39+7,tblWorkOrders[Status],"Complete"))</f>
        <v>54</v>
      </c>
      <c r="H39" s="41">
        <f>IF($B$39="","",COUNTIFS(tblWorkOrders[Date raised],"&lt;"&amp;$B$39+7,tblWorkOrders[Status],"&lt;&gt;Cancelled")-COUNTIFS(tblWorkOrders[Date completed],"&lt;"&amp;$B$39+7,tblWorkOrders[Status],"Complete"))</f>
        <v>12</v>
      </c>
    </row>
    <row r="40" spans="2:12" x14ac:dyDescent="0.25">
      <c r="B40" s="59">
        <f>IF($B$41="","",$B$41-7)</f>
        <v>46272</v>
      </c>
      <c r="C40" s="41">
        <f>IF($B$40="","",COUNTIFS(tblWorkOrders[Date raised],"&gt;="&amp;$B$40,tblWorkOrders[Date raised],"&lt;"&amp;$B$40+7,tblWorkOrders[Status],"&lt;&gt;Cancelled"))</f>
        <v>25</v>
      </c>
      <c r="D40" s="41">
        <f>IF($B$40="","",COUNTIFS(tblWorkOrders[Date raised],"&gt;="&amp;$B$40,tblWorkOrders[Date raised],"&lt;"&amp;$B$40+7,tblWorkOrders[Category],"Emergency",tblWorkOrders[Status],"&lt;&gt;Cancelled"))</f>
        <v>2</v>
      </c>
      <c r="E40" s="41">
        <f>IF($B$40="","",COUNTIFS(tblWorkOrders[Date completed],"&gt;="&amp;$B$40,tblWorkOrders[Date completed],"&lt;"&amp;$B$40+7,tblWorkOrders[Status],"Complete"))</f>
        <v>16</v>
      </c>
      <c r="F40" s="41">
        <f>IF($B$40="","",COUNTIFS(tblWorkOrders[Date completed],"&gt;="&amp;$B$40,tblWorkOrders[Date completed],"&lt;"&amp;$B$40+7,tblWorkOrders[On time],"Yes"))</f>
        <v>14</v>
      </c>
      <c r="G40" s="43">
        <f>IF($B$40="","",SUMIFS(tblWorkOrders[Actual (h)],tblWorkOrders[Date completed],"&gt;="&amp;$B$40,tblWorkOrders[Date completed],"&lt;"&amp;$B$40+7,tblWorkOrders[Status],"Complete"))</f>
        <v>92</v>
      </c>
      <c r="H40" s="41">
        <f>IF($B$40="","",COUNTIFS(tblWorkOrders[Date raised],"&lt;"&amp;$B$40+7,tblWorkOrders[Status],"&lt;&gt;Cancelled")-COUNTIFS(tblWorkOrders[Date completed],"&lt;"&amp;$B$40+7,tblWorkOrders[Status],"Complete"))</f>
        <v>21</v>
      </c>
    </row>
    <row r="41" spans="2:12" x14ac:dyDescent="0.25">
      <c r="B41" s="59">
        <f>IF($B$42="","",$B$42-7)</f>
        <v>46279</v>
      </c>
      <c r="C41" s="41">
        <f>IF($B$41="","",COUNTIFS(tblWorkOrders[Date raised],"&gt;="&amp;$B$41,tblWorkOrders[Date raised],"&lt;"&amp;$B$41+7,tblWorkOrders[Status],"&lt;&gt;Cancelled"))</f>
        <v>11</v>
      </c>
      <c r="D41" s="41">
        <f>IF($B$41="","",COUNTIFS(tblWorkOrders[Date raised],"&gt;="&amp;$B$41,tblWorkOrders[Date raised],"&lt;"&amp;$B$41+7,tblWorkOrders[Category],"Emergency",tblWorkOrders[Status],"&lt;&gt;Cancelled"))</f>
        <v>2</v>
      </c>
      <c r="E41" s="41">
        <f>IF($B$41="","",COUNTIFS(tblWorkOrders[Date completed],"&gt;="&amp;$B$41,tblWorkOrders[Date completed],"&lt;"&amp;$B$41+7,tblWorkOrders[Status],"Complete"))</f>
        <v>17</v>
      </c>
      <c r="F41" s="41">
        <f>IF($B$41="","",COUNTIFS(tblWorkOrders[Date completed],"&gt;="&amp;$B$41,tblWorkOrders[Date completed],"&lt;"&amp;$B$41+7,tblWorkOrders[On time],"Yes"))</f>
        <v>17</v>
      </c>
      <c r="G41" s="43">
        <f>IF($B$41="","",SUMIFS(tblWorkOrders[Actual (h)],tblWorkOrders[Date completed],"&gt;="&amp;$B$41,tblWorkOrders[Date completed],"&lt;"&amp;$B$41+7,tblWorkOrders[Status],"Complete"))</f>
        <v>79</v>
      </c>
      <c r="H41" s="41">
        <f>IF($B$41="","",COUNTIFS(tblWorkOrders[Date raised],"&lt;"&amp;$B$41+7,tblWorkOrders[Status],"&lt;&gt;Cancelled")-COUNTIFS(tblWorkOrders[Date completed],"&lt;"&amp;$B$41+7,tblWorkOrders[Status],"Complete"))</f>
        <v>15</v>
      </c>
    </row>
    <row r="42" spans="2:12" x14ac:dyDescent="0.25">
      <c r="B42" s="59">
        <f>IF($B$43="","",$B$43-7)</f>
        <v>46286</v>
      </c>
      <c r="C42" s="41">
        <f>IF($B$42="","",COUNTIFS(tblWorkOrders[Date raised],"&gt;="&amp;$B$42,tblWorkOrders[Date raised],"&lt;"&amp;$B$42+7,tblWorkOrders[Status],"&lt;&gt;Cancelled"))</f>
        <v>15</v>
      </c>
      <c r="D42" s="41">
        <f>IF($B$42="","",COUNTIFS(tblWorkOrders[Date raised],"&gt;="&amp;$B$42,tblWorkOrders[Date raised],"&lt;"&amp;$B$42+7,tblWorkOrders[Category],"Emergency",tblWorkOrders[Status],"&lt;&gt;Cancelled"))</f>
        <v>1</v>
      </c>
      <c r="E42" s="41">
        <f>IF($B$42="","",COUNTIFS(tblWorkOrders[Date completed],"&gt;="&amp;$B$42,tblWorkOrders[Date completed],"&lt;"&amp;$B$42+7,tblWorkOrders[Status],"Complete"))</f>
        <v>15</v>
      </c>
      <c r="F42" s="41">
        <f>IF($B$42="","",COUNTIFS(tblWorkOrders[Date completed],"&gt;="&amp;$B$42,tblWorkOrders[Date completed],"&lt;"&amp;$B$42+7,tblWorkOrders[On time],"Yes"))</f>
        <v>10</v>
      </c>
      <c r="G42" s="43">
        <f>IF($B$42="","",SUMIFS(tblWorkOrders[Actual (h)],tblWorkOrders[Date completed],"&gt;="&amp;$B$42,tblWorkOrders[Date completed],"&lt;"&amp;$B$42+7,tblWorkOrders[Status],"Complete"))</f>
        <v>75.5</v>
      </c>
      <c r="H42" s="41">
        <f>IF($B$42="","",COUNTIFS(tblWorkOrders[Date raised],"&lt;"&amp;$B$42+7,tblWorkOrders[Status],"&lt;&gt;Cancelled")-COUNTIFS(tblWorkOrders[Date completed],"&lt;"&amp;$B$42+7,tblWorkOrders[Status],"Complete"))</f>
        <v>15</v>
      </c>
    </row>
    <row r="43" spans="2:12" x14ac:dyDescent="0.25">
      <c r="B43" s="59">
        <f>IF($B$44="","",$B$44-7)</f>
        <v>46293</v>
      </c>
      <c r="C43" s="41">
        <f>IF($B$43="","",COUNTIFS(tblWorkOrders[Date raised],"&gt;="&amp;$B$43,tblWorkOrders[Date raised],"&lt;"&amp;$B$43+7,tblWorkOrders[Status],"&lt;&gt;Cancelled"))</f>
        <v>17</v>
      </c>
      <c r="D43" s="41">
        <f>IF($B$43="","",COUNTIFS(tblWorkOrders[Date raised],"&gt;="&amp;$B$43,tblWorkOrders[Date raised],"&lt;"&amp;$B$43+7,tblWorkOrders[Category],"Emergency",tblWorkOrders[Status],"&lt;&gt;Cancelled"))</f>
        <v>3</v>
      </c>
      <c r="E43" s="41">
        <f>IF($B$43="","",COUNTIFS(tblWorkOrders[Date completed],"&gt;="&amp;$B$43,tblWorkOrders[Date completed],"&lt;"&amp;$B$43+7,tblWorkOrders[Status],"Complete"))</f>
        <v>12</v>
      </c>
      <c r="F43" s="41">
        <f>IF($B$43="","",COUNTIFS(tblWorkOrders[Date completed],"&gt;="&amp;$B$43,tblWorkOrders[Date completed],"&lt;"&amp;$B$43+7,tblWorkOrders[On time],"Yes"))</f>
        <v>9</v>
      </c>
      <c r="G43" s="43">
        <f>IF($B$43="","",SUMIFS(tblWorkOrders[Actual (h)],tblWorkOrders[Date completed],"&gt;="&amp;$B$43,tblWorkOrders[Date completed],"&lt;"&amp;$B$43+7,tblWorkOrders[Status],"Complete"))</f>
        <v>82</v>
      </c>
      <c r="H43" s="41">
        <f>IF($B$43="","",COUNTIFS(tblWorkOrders[Date raised],"&lt;"&amp;$B$43+7,tblWorkOrders[Status],"&lt;&gt;Cancelled")-COUNTIFS(tblWorkOrders[Date completed],"&lt;"&amp;$B$43+7,tblWorkOrders[Status],"Complete"))</f>
        <v>20</v>
      </c>
    </row>
    <row r="44" spans="2:12" x14ac:dyDescent="0.25">
      <c r="B44" s="59">
        <f>IF(AsOf="","",AsOf-WEEKDAY(AsOf,2)+1)</f>
        <v>46300</v>
      </c>
      <c r="C44" s="41">
        <f>IF($B$44="","",COUNTIFS(tblWorkOrders[Date raised],"&gt;="&amp;$B$44,tblWorkOrders[Date raised],"&lt;"&amp;$B$44+7,tblWorkOrders[Status],"&lt;&gt;Cancelled"))</f>
        <v>23</v>
      </c>
      <c r="D44" s="41">
        <f>IF($B$44="","",COUNTIFS(tblWorkOrders[Date raised],"&gt;="&amp;$B$44,tblWorkOrders[Date raised],"&lt;"&amp;$B$44+7,tblWorkOrders[Category],"Emergency",tblWorkOrders[Status],"&lt;&gt;Cancelled"))</f>
        <v>2</v>
      </c>
      <c r="E44" s="41">
        <f>IF($B$44="","",COUNTIFS(tblWorkOrders[Date completed],"&gt;="&amp;$B$44,tblWorkOrders[Date completed],"&lt;"&amp;$B$44+7,tblWorkOrders[Status],"Complete"))</f>
        <v>18</v>
      </c>
      <c r="F44" s="41">
        <f>IF($B$44="","",COUNTIFS(tblWorkOrders[Date completed],"&gt;="&amp;$B$44,tblWorkOrders[Date completed],"&lt;"&amp;$B$44+7,tblWorkOrders[On time],"Yes"))</f>
        <v>16</v>
      </c>
      <c r="G44" s="43">
        <f>IF($B$44="","",SUMIFS(tblWorkOrders[Actual (h)],tblWorkOrders[Date completed],"&gt;="&amp;$B$44,tblWorkOrders[Date completed],"&lt;"&amp;$B$44+7,tblWorkOrders[Status],"Complete"))</f>
        <v>93.5</v>
      </c>
      <c r="H44" s="41">
        <f>IF($B$44="","",COUNTIFS(tblWorkOrders[Date raised],"&lt;"&amp;$B$44+7,tblWorkOrders[Status],"&lt;&gt;Cancelled")-COUNTIFS(tblWorkOrders[Date completed],"&lt;"&amp;$B$44+7,tblWorkOrders[Status],"Complete"))</f>
        <v>25</v>
      </c>
    </row>
    <row r="46" spans="2:12" x14ac:dyDescent="0.25">
      <c r="B46" s="35" t="s">
        <v>410</v>
      </c>
      <c r="C46" s="35"/>
      <c r="D46" s="35"/>
      <c r="E46" s="35"/>
      <c r="F46" s="35"/>
      <c r="G46" s="35"/>
      <c r="H46" s="35"/>
      <c r="I46" s="35"/>
    </row>
    <row r="47" spans="2:12" ht="32" customHeight="1" x14ac:dyDescent="0.25">
      <c r="B47" s="58" t="s">
        <v>411</v>
      </c>
      <c r="C47" s="36" t="s">
        <v>412</v>
      </c>
      <c r="D47" s="36" t="s">
        <v>413</v>
      </c>
      <c r="E47" s="36" t="s">
        <v>414</v>
      </c>
      <c r="F47" s="36" t="s">
        <v>415</v>
      </c>
      <c r="G47" s="36" t="s">
        <v>416</v>
      </c>
      <c r="H47" s="36" t="s">
        <v>417</v>
      </c>
      <c r="I47" s="36" t="s">
        <v>418</v>
      </c>
    </row>
    <row r="48" spans="2:12" ht="14" customHeight="1" x14ac:dyDescent="0.25">
      <c r="B48" s="38"/>
      <c r="C48" s="38"/>
      <c r="D48" s="38"/>
      <c r="E48" s="38"/>
      <c r="F48" s="38"/>
      <c r="G48" s="38" t="str">
        <f>Currency</f>
        <v>USD</v>
      </c>
      <c r="H48" s="38"/>
      <c r="I48" s="38"/>
    </row>
    <row r="49" spans="2:43" x14ac:dyDescent="0.25">
      <c r="B49" s="60" t="s">
        <v>128</v>
      </c>
      <c r="C49" s="41">
        <f>COUNTIFS(tblWorkOrders[Category],$B$49,tblWorkOrders[View date],"&gt;0",tblWorkOrders[Status],"&lt;&gt;Cancelled")</f>
        <v>16</v>
      </c>
      <c r="D49" s="61">
        <f>IF((COUNTIFS(tblWorkOrders[View date],"&gt;0",tblWorkOrders[Status],"&lt;&gt;Cancelled"))=0,"",(COUNTIFS(tblWorkOrders[Category],$B$49,tblWorkOrders[View date],"&gt;0",tblWorkOrders[Status],"&lt;&gt;Cancelled"))/(COUNTIFS(tblWorkOrders[View date],"&gt;0",tblWorkOrders[Status],"&lt;&gt;Cancelled")))</f>
        <v>0.111888111888112</v>
      </c>
      <c r="E49" s="43">
        <f>SUMIFS(tblWorkOrders[Actual (h)],tblWorkOrders[Category],$B$49,tblWorkOrders[View date],"&gt;0")</f>
        <v>78</v>
      </c>
      <c r="F49" s="61">
        <f>IF((SUMIFS(tblWorkOrders[Actual (h)],tblWorkOrders[View date],"&gt;0"))=0,"",(SUMIFS(tblWorkOrders[Actual (h)],tblWorkOrders[Category],$B$49,tblWorkOrders[View date],"&gt;0"))/(SUMIFS(tblWorkOrders[Actual (h)],tblWorkOrders[View date],"&gt;0")))</f>
        <v>0.120836560805577</v>
      </c>
      <c r="G49" s="41">
        <f>SUMIFS(tblWorkOrders[Total cost],tblWorkOrders[Category],$B$49,tblWorkOrders[View date],"&gt;0")</f>
        <v>8184</v>
      </c>
      <c r="H49" s="41">
        <f>SUMIFS(tblWorkOrders[Open],tblWorkOrders[Category],$B$49)</f>
        <v>0</v>
      </c>
      <c r="I49" s="43">
        <f>SUMIFS(tblWorkOrders[Remaining (h)],tblWorkOrders[Category],$B$49)</f>
        <v>0</v>
      </c>
    </row>
    <row r="50" spans="2:43" x14ac:dyDescent="0.25">
      <c r="B50" s="60" t="s">
        <v>131</v>
      </c>
      <c r="C50" s="41">
        <f>COUNTIFS(tblWorkOrders[Category],$B$50,tblWorkOrders[View date],"&gt;0",tblWorkOrders[Status],"&lt;&gt;Cancelled")</f>
        <v>52</v>
      </c>
      <c r="D50" s="61">
        <f>IF((COUNTIFS(tblWorkOrders[View date],"&gt;0",tblWorkOrders[Status],"&lt;&gt;Cancelled"))=0,"",(COUNTIFS(tblWorkOrders[Category],$B$50,tblWorkOrders[View date],"&gt;0",tblWorkOrders[Status],"&lt;&gt;Cancelled"))/(COUNTIFS(tblWorkOrders[View date],"&gt;0",tblWorkOrders[Status],"&lt;&gt;Cancelled")))</f>
        <v>0.363636363636364</v>
      </c>
      <c r="E50" s="43">
        <f>SUMIFS(tblWorkOrders[Actual (h)],tblWorkOrders[Category],$B$50,tblWorkOrders[View date],"&gt;0")</f>
        <v>267</v>
      </c>
      <c r="F50" s="61">
        <f>IF((SUMIFS(tblWorkOrders[Actual (h)],tblWorkOrders[View date],"&gt;0"))=0,"",(SUMIFS(tblWorkOrders[Actual (h)],tblWorkOrders[Category],$B$50,tblWorkOrders[View date],"&gt;0"))/(SUMIFS(tblWorkOrders[Actual (h)],tblWorkOrders[View date],"&gt;0")))</f>
        <v>0.413632842757552</v>
      </c>
      <c r="G50" s="41">
        <f>SUMIFS(tblWorkOrders[Total cost],tblWorkOrders[Category],$B$50,tblWorkOrders[View date],"&gt;0")</f>
        <v>17731</v>
      </c>
      <c r="H50" s="41">
        <f>SUMIFS(tblWorkOrders[Open],tblWorkOrders[Category],$B$50)</f>
        <v>15</v>
      </c>
      <c r="I50" s="43">
        <f>SUMIFS(tblWorkOrders[Remaining (h)],tblWorkOrders[Category],$B$50)</f>
        <v>120</v>
      </c>
    </row>
    <row r="51" spans="2:43" x14ac:dyDescent="0.25">
      <c r="B51" s="60" t="s">
        <v>134</v>
      </c>
      <c r="C51" s="41">
        <f>COUNTIFS(tblWorkOrders[Category],$B$51,tblWorkOrders[View date],"&gt;0",tblWorkOrders[Status],"&lt;&gt;Cancelled")</f>
        <v>75</v>
      </c>
      <c r="D51" s="61">
        <f>IF((COUNTIFS(tblWorkOrders[View date],"&gt;0",tblWorkOrders[Status],"&lt;&gt;Cancelled"))=0,"",(COUNTIFS(tblWorkOrders[Category],$B$51,tblWorkOrders[View date],"&gt;0",tblWorkOrders[Status],"&lt;&gt;Cancelled"))/(COUNTIFS(tblWorkOrders[View date],"&gt;0",tblWorkOrders[Status],"&lt;&gt;Cancelled")))</f>
        <v>0.524475524475525</v>
      </c>
      <c r="E51" s="43">
        <f>SUMIFS(tblWorkOrders[Actual (h)],tblWorkOrders[Category],$B$51,tblWorkOrders[View date],"&gt;0")</f>
        <v>300.5</v>
      </c>
      <c r="F51" s="61">
        <f>IF((SUMIFS(tblWorkOrders[Actual (h)],tblWorkOrders[View date],"&gt;0"))=0,"",(SUMIFS(tblWorkOrders[Actual (h)],tblWorkOrders[Category],$B$51,tblWorkOrders[View date],"&gt;0"))/(SUMIFS(tblWorkOrders[Actual (h)],tblWorkOrders[View date],"&gt;0")))</f>
        <v>0.465530596436871</v>
      </c>
      <c r="G51" s="41">
        <f>SUMIFS(tblWorkOrders[Total cost],tblWorkOrders[Category],$B$51,tblWorkOrders[View date],"&gt;0")</f>
        <v>19854</v>
      </c>
      <c r="H51" s="41">
        <f>SUMIFS(tblWorkOrders[Open],tblWorkOrders[Category],$B$51)</f>
        <v>10</v>
      </c>
      <c r="I51" s="43">
        <f>SUMIFS(tblWorkOrders[Remaining (h)],tblWorkOrders[Category],$B$51)</f>
        <v>104.5</v>
      </c>
    </row>
    <row r="53" spans="2:43" x14ac:dyDescent="0.25">
      <c r="B53" s="35" t="s">
        <v>419</v>
      </c>
      <c r="C53" s="35"/>
      <c r="D53" s="35"/>
      <c r="E53" s="35"/>
      <c r="F53" s="35"/>
      <c r="G53" s="35" t="s">
        <v>420</v>
      </c>
      <c r="H53" s="35"/>
      <c r="I53" s="35"/>
      <c r="J53" s="35"/>
      <c r="K53" s="35"/>
      <c r="L53" s="35"/>
    </row>
    <row r="54" spans="2:43" ht="20" customHeight="1" x14ac:dyDescent="0.25">
      <c r="B54" s="58" t="s">
        <v>68</v>
      </c>
      <c r="C54" s="36" t="s">
        <v>417</v>
      </c>
      <c r="D54" s="36" t="s">
        <v>421</v>
      </c>
      <c r="E54" s="36" t="s">
        <v>418</v>
      </c>
      <c r="F54" s="36" t="s">
        <v>177</v>
      </c>
      <c r="G54" s="36" t="s">
        <v>422</v>
      </c>
      <c r="H54" s="58" t="s">
        <v>64</v>
      </c>
      <c r="I54" s="58"/>
      <c r="J54" s="36" t="s">
        <v>180</v>
      </c>
      <c r="K54" s="36" t="s">
        <v>423</v>
      </c>
      <c r="L54" s="36" t="s">
        <v>424</v>
      </c>
      <c r="AO54" s="7" t="s">
        <v>425</v>
      </c>
      <c r="AP54" s="7" t="s">
        <v>426</v>
      </c>
      <c r="AQ54" s="7" t="s">
        <v>427</v>
      </c>
    </row>
    <row r="55" spans="2:43" x14ac:dyDescent="0.25">
      <c r="B55" s="60" t="str">
        <f>IFERROR(INDEX(tblPriorities[Priority],1)&amp;"","")</f>
        <v>P1 Immediate</v>
      </c>
      <c r="C55" s="41">
        <f>IF($B$55="","",SUMIFS(tblWorkOrders[Open],tblWorkOrders[Priority],$B$55))</f>
        <v>0</v>
      </c>
      <c r="D55" s="41">
        <f>IF($B$55="","",COUNTIFS(tblWorkOrders[Priority],$B$55,tblWorkOrders[Due status],"Overdue"))</f>
        <v>0</v>
      </c>
      <c r="E55" s="43">
        <f>IF($B$55="","",SUMIFS(tblWorkOrders[Remaining (h)],tblWorkOrders[Priority],$B$55))</f>
        <v>0</v>
      </c>
      <c r="F55" s="43">
        <f>IF($B$55="","",IF((SUMIFS(tblWorkOrders[Open],tblWorkOrders[Priority],$B$55))=0,"",(SUMIFS(tblWorkOrders[Age (days)],tblWorkOrders[Priority],$B$55,tblWorkOrders[Open],1))/(SUMIFS(tblWorkOrders[Open],tblWorkOrders[Priority],$B$55))))</f>
        <v/>
      </c>
      <c r="G55" s="38"/>
      <c r="H55" s="38"/>
      <c r="I55" s="38"/>
      <c r="J55" s="38" t="str">
        <f>Currency</f>
        <v>USD</v>
      </c>
      <c r="K55" s="38" t="s">
        <v>428</v>
      </c>
      <c r="L55" s="38" t="s">
        <v>428</v>
      </c>
    </row>
    <row r="56" spans="2:43" x14ac:dyDescent="0.25">
      <c r="B56" s="60" t="str">
        <f>IFERROR(INDEX(tblPriorities[Priority],2)&amp;"","")</f>
        <v>P2 Urgent</v>
      </c>
      <c r="C56" s="41">
        <f>IF($B$56="","",SUMIFS(tblWorkOrders[Open],tblWorkOrders[Priority],$B$56))</f>
        <v>2</v>
      </c>
      <c r="D56" s="41">
        <f>IF($B$56="","",COUNTIFS(tblWorkOrders[Priority],$B$56,tblWorkOrders[Due status],"Overdue"))</f>
        <v>2</v>
      </c>
      <c r="E56" s="43">
        <f>IF($B$56="","",SUMIFS(tblWorkOrders[Remaining (h)],tblWorkOrders[Priority],$B$56))</f>
        <v>14</v>
      </c>
      <c r="F56" s="43">
        <f>IF($B$56="","",IF((SUMIFS(tblWorkOrders[Open],tblWorkOrders[Priority],$B$56))=0,"",(SUMIFS(tblWorkOrders[Age (days)],tblWorkOrders[Priority],$B$56,tblWorkOrders[Open],1))/(SUMIFS(tblWorkOrders[Open],tblWorkOrders[Priority],$B$56))))</f>
        <v>18</v>
      </c>
      <c r="G56" s="62">
        <v>1</v>
      </c>
      <c r="H56" s="40" t="str">
        <f>IF(INDEX($AP$56:$AP$67,MATCH(1,$AQ$56:$AQ$67,0))&lt;0,"",INDEX($AO$56:$AO$67,MATCH(1,$AQ$56:$AQ$67,0)))</f>
        <v>FL-01</v>
      </c>
      <c r="I56" s="40"/>
      <c r="J56" s="41">
        <f>IF($H$56="","",INDEX($AP$56:$AP$67,MATCH(1,$AQ$56:$AQ$67,0)))</f>
        <v>10767</v>
      </c>
      <c r="K56" s="61">
        <f>IF(OR($H$56="",$J$68=0),"",$J$56/$J$68)</f>
        <v>0.235246564268391</v>
      </c>
      <c r="L56" s="61">
        <f>IF(OR($H$56="",$J$68=0),"",SUM($J$56:$J$56)/$J$68)</f>
        <v>0.235246564268391</v>
      </c>
      <c r="AO56" s="11" t="str">
        <f>IFERROR(INDEX(tblAssets[Asset ID],1)&amp;"","")</f>
        <v>MX-01</v>
      </c>
      <c r="AP56" s="63">
        <f>IF($AO$56="",-1,SUMIFS(tblWorkOrders[Total cost],tblWorkOrders[Asset],$AO$56,tblWorkOrders[View date],"&gt;0"))</f>
        <v>3676</v>
      </c>
      <c r="AQ56" s="63">
        <f>COUNTIF($AP$56:$AP$67,"&gt;"&amp;$AP$56)+COUNTIF($AP$56:$AP$56,$AP$56)</f>
        <v>4</v>
      </c>
    </row>
    <row r="57" spans="2:43" x14ac:dyDescent="0.25">
      <c r="B57" s="60" t="str">
        <f>IFERROR(INDEX(tblPriorities[Priority],3)&amp;"","")</f>
        <v>P3 Normal</v>
      </c>
      <c r="C57" s="41">
        <f>IF($B$57="","",SUMIFS(tblWorkOrders[Open],tblWorkOrders[Priority],$B$57))</f>
        <v>19</v>
      </c>
      <c r="D57" s="41">
        <f>IF($B$57="","",COUNTIFS(tblWorkOrders[Priority],$B$57,tblWorkOrders[Due status],"Overdue"))</f>
        <v>5</v>
      </c>
      <c r="E57" s="43">
        <f>IF($B$57="","",SUMIFS(tblWorkOrders[Remaining (h)],tblWorkOrders[Priority],$B$57))</f>
        <v>134.5</v>
      </c>
      <c r="F57" s="43">
        <f>IF($B$57="","",IF((SUMIFS(tblWorkOrders[Open],tblWorkOrders[Priority],$B$57))=0,"",(SUMIFS(tblWorkOrders[Age (days)],tblWorkOrders[Priority],$B$57,tblWorkOrders[Open],1))/(SUMIFS(tblWorkOrders[Open],tblWorkOrders[Priority],$B$57))))</f>
        <v>17.8947368421053</v>
      </c>
      <c r="G57" s="62">
        <v>2</v>
      </c>
      <c r="H57" s="40" t="str">
        <f>IF(INDEX($AP$56:$AP$67,MATCH(2,$AQ$56:$AQ$67,0))&lt;0,"",INDEX($AO$56:$AO$67,MATCH(2,$AQ$56:$AQ$67,0)))</f>
        <v>CS-02</v>
      </c>
      <c r="I57" s="40"/>
      <c r="J57" s="41">
        <f>IF($H$57="","",INDEX($AP$56:$AP$67,MATCH(2,$AQ$56:$AQ$67,0)))</f>
        <v>6074</v>
      </c>
      <c r="K57" s="61">
        <f>IF(OR($H$57="",$J$68=0),"",$J$57/$J$68)</f>
        <v>0.13270991282309</v>
      </c>
      <c r="L57" s="61">
        <f>IF(OR($H$57="",$J$68=0),"",SUM($J$56:$J$57)/$J$68)</f>
        <v>0.367956477091481</v>
      </c>
      <c r="AO57" s="11" t="str">
        <f>IFERROR(INDEX(tblAssets[Asset ID],2)&amp;"","")</f>
        <v>MX-02</v>
      </c>
      <c r="AP57" s="63">
        <f>IF($AO$57="",-1,SUMIFS(tblWorkOrders[Total cost],tblWorkOrders[Asset],$AO$57,tblWorkOrders[View date],"&gt;0"))</f>
        <v>620</v>
      </c>
      <c r="AQ57" s="63">
        <f>COUNTIF($AP$56:$AP$67,"&gt;"&amp;$AP$57)+COUNTIF($AP$56:$AP$57,$AP$57)</f>
        <v>12</v>
      </c>
    </row>
    <row r="58" spans="2:43" x14ac:dyDescent="0.25">
      <c r="B58" s="60" t="str">
        <f>IFERROR(INDEX(tblPriorities[Priority],4)&amp;"","")</f>
        <v>P4 Opportunity</v>
      </c>
      <c r="C58" s="41">
        <f>IF($B$58="","",SUMIFS(tblWorkOrders[Open],tblWorkOrders[Priority],$B$58))</f>
        <v>4</v>
      </c>
      <c r="D58" s="41">
        <f>IF($B$58="","",COUNTIFS(tblWorkOrders[Priority],$B$58,tblWorkOrders[Due status],"Overdue"))</f>
        <v>3</v>
      </c>
      <c r="E58" s="43">
        <f>IF($B$58="","",SUMIFS(tblWorkOrders[Remaining (h)],tblWorkOrders[Priority],$B$58))</f>
        <v>76</v>
      </c>
      <c r="F58" s="43">
        <f>IF($B$58="","",IF((SUMIFS(tblWorkOrders[Open],tblWorkOrders[Priority],$B$58))=0,"",(SUMIFS(tblWorkOrders[Age (days)],tblWorkOrders[Priority],$B$58,tblWorkOrders[Open],1))/(SUMIFS(tblWorkOrders[Open],tblWorkOrders[Priority],$B$58))))</f>
        <v>62.25</v>
      </c>
      <c r="G58" s="62">
        <v>3</v>
      </c>
      <c r="H58" s="40" t="str">
        <f>IF(INDEX($AP$56:$AP$67,MATCH(3,$AQ$56:$AQ$67,0))&lt;0,"",INDEX($AO$56:$AO$67,MATCH(3,$AQ$56:$AQ$67,0)))</f>
        <v>AC-01</v>
      </c>
      <c r="I58" s="40"/>
      <c r="J58" s="41">
        <f>IF($H$58="","",INDEX($AP$56:$AP$67,MATCH(3,$AQ$56:$AQ$67,0)))</f>
        <v>4989</v>
      </c>
      <c r="K58" s="61">
        <f>IF(OR($H$58="",$J$68=0),"",$J$58/$J$68)</f>
        <v>0.109003910944089</v>
      </c>
      <c r="L58" s="61">
        <f>IF(OR($H$58="",$J$68=0),"",SUM($J$56:$J$58)/$J$68)</f>
        <v>0.47696038803557</v>
      </c>
      <c r="AO58" s="11" t="str">
        <f>IFERROR(INDEX(tblAssets[Asset ID],3)&amp;"","")</f>
        <v>PS-01</v>
      </c>
      <c r="AP58" s="63">
        <f>IF($AO$58="",-1,SUMIFS(tblWorkOrders[Total cost],tblWorkOrders[Asset],$AO$58,tblWorkOrders[View date],"&gt;0"))</f>
        <v>1830</v>
      </c>
      <c r="AQ58" s="63">
        <f>COUNTIF($AP$56:$AP$67,"&gt;"&amp;$AP$58)+COUNTIF($AP$56:$AP$58,$AP$58)</f>
        <v>11</v>
      </c>
    </row>
    <row r="59" spans="2:43" x14ac:dyDescent="0.25">
      <c r="G59" s="62">
        <v>4</v>
      </c>
      <c r="H59" s="40" t="str">
        <f>IF(INDEX($AP$56:$AP$67,MATCH(4,$AQ$56:$AQ$67,0))&lt;0,"",INDEX($AO$56:$AO$67,MATCH(4,$AQ$56:$AQ$67,0)))</f>
        <v>MX-01</v>
      </c>
      <c r="I59" s="40"/>
      <c r="J59" s="41">
        <f>IF($H$59="","",INDEX($AP$56:$AP$67,MATCH(4,$AQ$56:$AQ$67,0)))</f>
        <v>3676</v>
      </c>
      <c r="K59" s="61">
        <f>IF(OR($H$59="",$J$68=0),"",$J$59/$J$68)</f>
        <v>0.0803163713430488</v>
      </c>
      <c r="L59" s="61">
        <f>IF(OR($H$59="",$J$68=0),"",SUM($J$56:$J$59)/$J$68)</f>
        <v>0.557276759378619</v>
      </c>
      <c r="AO59" s="11" t="str">
        <f>IFERROR(INDEX(tblAssets[Asset ID],4)&amp;"","")</f>
        <v>FL-01</v>
      </c>
      <c r="AP59" s="63">
        <f>IF($AO$59="",-1,SUMIFS(tblWorkOrders[Total cost],tblWorkOrders[Asset],$AO$59,tblWorkOrders[View date],"&gt;0"))</f>
        <v>10767</v>
      </c>
      <c r="AQ59" s="63">
        <f>COUNTIF($AP$56:$AP$67,"&gt;"&amp;$AP$59)+COUNTIF($AP$56:$AP$59,$AP$59)</f>
        <v>1</v>
      </c>
    </row>
    <row r="60" spans="2:43" x14ac:dyDescent="0.25">
      <c r="B60" s="35" t="s">
        <v>429</v>
      </c>
      <c r="C60" s="35"/>
      <c r="D60" s="35"/>
      <c r="E60" s="35"/>
      <c r="G60" s="62">
        <v>5</v>
      </c>
      <c r="H60" s="40" t="str">
        <f>IF(INDEX($AP$56:$AP$67,MATCH(5,$AQ$56:$AQ$67,0))&lt;0,"",INDEX($AO$56:$AO$67,MATCH(5,$AQ$56:$AQ$67,0)))</f>
        <v>CH-01</v>
      </c>
      <c r="I60" s="40"/>
      <c r="J60" s="41">
        <f>IF($H$60="","",INDEX($AP$56:$AP$67,MATCH(5,$AQ$56:$AQ$67,0)))</f>
        <v>3518</v>
      </c>
      <c r="K60" s="61">
        <f>IF(OR($H$60="",$J$68=0),"",$J$60/$J$68)</f>
        <v>0.0768642530970744</v>
      </c>
      <c r="L60" s="61">
        <f>IF(OR($H$60="",$J$68=0),"",SUM($J$56:$J$60)/$J$68)</f>
        <v>0.634141012475693</v>
      </c>
      <c r="AO60" s="11" t="str">
        <f>IFERROR(INDEX(tblAssets[Asset ID],5)&amp;"","")</f>
        <v>CP-01</v>
      </c>
      <c r="AP60" s="63">
        <f>IF($AO$60="",-1,SUMIFS(tblWorkOrders[Total cost],tblWorkOrders[Asset],$AO$60,tblWorkOrders[View date],"&gt;0"))</f>
        <v>3159</v>
      </c>
      <c r="AQ60" s="63">
        <f>COUNTIF($AP$56:$AP$67,"&gt;"&amp;$AP$60)+COUNTIF($AP$56:$AP$60,$AP$60)</f>
        <v>7</v>
      </c>
    </row>
    <row r="61" spans="2:43" ht="20" customHeight="1" x14ac:dyDescent="0.25">
      <c r="B61" s="58" t="s">
        <v>167</v>
      </c>
      <c r="C61" s="36" t="s">
        <v>430</v>
      </c>
      <c r="D61" s="36" t="s">
        <v>418</v>
      </c>
      <c r="E61" s="36" t="s">
        <v>431</v>
      </c>
      <c r="G61" s="62">
        <v>6</v>
      </c>
      <c r="H61" s="40" t="str">
        <f>IF(INDEX($AP$56:$AP$67,MATCH(6,$AQ$56:$AQ$67,0))&lt;0,"",INDEX($AO$56:$AO$67,MATCH(6,$AQ$56:$AQ$67,0)))</f>
        <v>FL-02</v>
      </c>
      <c r="I61" s="40"/>
      <c r="J61" s="41">
        <f>IF($H$61="","",INDEX($AP$56:$AP$67,MATCH(6,$AQ$56:$AQ$67,0)))</f>
        <v>3509</v>
      </c>
      <c r="K61" s="61">
        <f>IF(OR($H$61="",$J$68=0),"",$J$61/$J$68)</f>
        <v>0.0766676134501519</v>
      </c>
      <c r="L61" s="61">
        <f>IF(OR($H$61="",$J$68=0),"",SUM($J$56:$J$61)/$J$68)</f>
        <v>0.710808625925845</v>
      </c>
      <c r="AO61" s="11" t="str">
        <f>IFERROR(INDEX(tblAssets[Asset ID],6)&amp;"","")</f>
        <v>LB-01</v>
      </c>
      <c r="AP61" s="63">
        <f>IF($AO$61="",-1,SUMIFS(tblWorkOrders[Total cost],tblWorkOrders[Asset],$AO$61,tblWorkOrders[View date],"&gt;0"))</f>
        <v>2342</v>
      </c>
      <c r="AQ61" s="63">
        <f>COUNTIF($AP$56:$AP$67,"&gt;"&amp;$AP$61)+COUNTIF($AP$56:$AP$61,$AP$61)</f>
        <v>10</v>
      </c>
    </row>
    <row r="62" spans="2:43" x14ac:dyDescent="0.25">
      <c r="B62" s="60" t="str">
        <f>IFERROR(INDEX(tblTechnicians[Technician],1)&amp;"","")</f>
        <v>Rivera</v>
      </c>
      <c r="C62" s="41">
        <f>IF($B$62="","",SUMIFS(tblWorkOrders[Open],tblWorkOrders[Assigned to],$B$62))</f>
        <v>4</v>
      </c>
      <c r="D62" s="43">
        <f>IF($B$62="","",SUMIFS(tblWorkOrders[Remaining (h)],tblWorkOrders[Assigned to],$B$62))</f>
        <v>35</v>
      </c>
      <c r="E62" s="43">
        <f>IF($B$62="","",SUMIFS(tblWorkOrders[Actual (h)],tblWorkOrders[Assigned to],$B$62,tblWorkOrders[View date],"&gt;0"))</f>
        <v>220.5</v>
      </c>
      <c r="G62" s="62">
        <v>7</v>
      </c>
      <c r="H62" s="40" t="str">
        <f>IF(INDEX($AP$56:$AP$67,MATCH(7,$AQ$56:$AQ$67,0))&lt;0,"",INDEX($AO$56:$AO$67,MATCH(7,$AQ$56:$AQ$67,0)))</f>
        <v>CP-01</v>
      </c>
      <c r="I62" s="40"/>
      <c r="J62" s="41">
        <f>IF($H$62="","",INDEX($AP$56:$AP$67,MATCH(7,$AQ$56:$AQ$67,0)))</f>
        <v>3159</v>
      </c>
      <c r="K62" s="61">
        <f>IF(OR($H$62="",$J$68=0),"",$J$62/$J$68)</f>
        <v>0.0690205160698289</v>
      </c>
      <c r="L62" s="61">
        <f>IF(OR($H$62="",$J$68=0),"",SUM($J$56:$J$62)/$J$68)</f>
        <v>0.779829141995674</v>
      </c>
      <c r="AO62" s="11" t="str">
        <f>IFERROR(INDEX(tblAssets[Asset ID],7)&amp;"","")</f>
        <v>FL-02</v>
      </c>
      <c r="AP62" s="63">
        <f>IF($AO$62="",-1,SUMIFS(tblWorkOrders[Total cost],tblWorkOrders[Asset],$AO$62,tblWorkOrders[View date],"&gt;0"))</f>
        <v>3509</v>
      </c>
      <c r="AQ62" s="63">
        <f>COUNTIF($AP$56:$AP$67,"&gt;"&amp;$AP$62)+COUNTIF($AP$56:$AP$62,$AP$62)</f>
        <v>6</v>
      </c>
    </row>
    <row r="63" spans="2:43" x14ac:dyDescent="0.25">
      <c r="B63" s="60" t="str">
        <f>IFERROR(INDEX(tblTechnicians[Technician],2)&amp;"","")</f>
        <v>Okafor</v>
      </c>
      <c r="C63" s="41">
        <f>IF($B$63="","",SUMIFS(tblWorkOrders[Open],tblWorkOrders[Assigned to],$B$63))</f>
        <v>10</v>
      </c>
      <c r="D63" s="43">
        <f>IF($B$63="","",SUMIFS(tblWorkOrders[Remaining (h)],tblWorkOrders[Assigned to],$B$63))</f>
        <v>59</v>
      </c>
      <c r="E63" s="43">
        <f>IF($B$63="","",SUMIFS(tblWorkOrders[Actual (h)],tblWorkOrders[Assigned to],$B$63,tblWorkOrders[View date],"&gt;0"))</f>
        <v>136</v>
      </c>
      <c r="G63" s="62">
        <v>8</v>
      </c>
      <c r="H63" s="40" t="str">
        <f>IF(INDEX($AP$56:$AP$67,MATCH(8,$AQ$56:$AQ$67,0))&lt;0,"",INDEX($AO$56:$AO$67,MATCH(8,$AQ$56:$AQ$67,0)))</f>
        <v>PL-01</v>
      </c>
      <c r="I63" s="40"/>
      <c r="J63" s="41">
        <f>IF($H$63="","",INDEX($AP$56:$AP$67,MATCH(8,$AQ$56:$AQ$67,0)))</f>
        <v>2898</v>
      </c>
      <c r="K63" s="61">
        <f>IF(OR($H$63="",$J$68=0),"",$J$63/$J$68)</f>
        <v>0.0633179663090738</v>
      </c>
      <c r="L63" s="61">
        <f>IF(OR($H$63="",$J$68=0),"",SUM($J$56:$J$63)/$J$68)</f>
        <v>0.843147108304748</v>
      </c>
      <c r="AO63" s="11" t="str">
        <f>IFERROR(INDEX(tblAssets[Asset ID],8)&amp;"","")</f>
        <v>CS-02</v>
      </c>
      <c r="AP63" s="63">
        <f>IF($AO$63="",-1,SUMIFS(tblWorkOrders[Total cost],tblWorkOrders[Asset],$AO$63,tblWorkOrders[View date],"&gt;0"))</f>
        <v>6074</v>
      </c>
      <c r="AQ63" s="63">
        <f>COUNTIF($AP$56:$AP$67,"&gt;"&amp;$AP$63)+COUNTIF($AP$56:$AP$63,$AP$63)</f>
        <v>2</v>
      </c>
    </row>
    <row r="64" spans="2:43" x14ac:dyDescent="0.25">
      <c r="B64" s="60" t="str">
        <f>IFERROR(INDEX(tblTechnicians[Technician],3)&amp;"","")</f>
        <v>Lindqvist</v>
      </c>
      <c r="C64" s="41">
        <f>IF($B$64="","",SUMIFS(tblWorkOrders[Open],tblWorkOrders[Assigned to],$B$64))</f>
        <v>5</v>
      </c>
      <c r="D64" s="43">
        <f>IF($B$64="","",SUMIFS(tblWorkOrders[Remaining (h)],tblWorkOrders[Assigned to],$B$64))</f>
        <v>44</v>
      </c>
      <c r="E64" s="43">
        <f>IF($B$64="","",SUMIFS(tblWorkOrders[Actual (h)],tblWorkOrders[Assigned to],$B$64,tblWorkOrders[View date],"&gt;0"))</f>
        <v>131</v>
      </c>
      <c r="G64" s="62">
        <v>9</v>
      </c>
      <c r="H64" s="40" t="str">
        <f>IF(INDEX($AP$56:$AP$67,MATCH(9,$AQ$56:$AQ$67,0))&lt;0,"",INDEX($AO$56:$AO$67,MATCH(9,$AQ$56:$AQ$67,0)))</f>
        <v>BL-01</v>
      </c>
      <c r="I64" s="40"/>
      <c r="J64" s="41">
        <f>IF($H$64="","",INDEX($AP$56:$AP$67,MATCH(9,$AQ$56:$AQ$67,0)))</f>
        <v>2387</v>
      </c>
      <c r="K64" s="61">
        <f>IF(OR($H$64="",$J$68=0),"",$J$64/$J$68)</f>
        <v>0.0521532041338024</v>
      </c>
      <c r="L64" s="61">
        <f>IF(OR($H$64="",$J$68=0),"",SUM($J$56:$J$64)/$J$68)</f>
        <v>0.89530031243855</v>
      </c>
      <c r="AO64" s="11" t="str">
        <f>IFERROR(INDEX(tblAssets[Asset ID],9)&amp;"","")</f>
        <v>PL-01</v>
      </c>
      <c r="AP64" s="63">
        <f>IF($AO$64="",-1,SUMIFS(tblWorkOrders[Total cost],tblWorkOrders[Asset],$AO$64,tblWorkOrders[View date],"&gt;0"))</f>
        <v>2898</v>
      </c>
      <c r="AQ64" s="63">
        <f>COUNTIF($AP$56:$AP$67,"&gt;"&amp;$AP$64)+COUNTIF($AP$56:$AP$64,$AP$64)</f>
        <v>8</v>
      </c>
    </row>
    <row r="65" spans="2:43" x14ac:dyDescent="0.25">
      <c r="B65" s="60" t="str">
        <f>IFERROR(INDEX(tblTechnicians[Technician],4)&amp;"","")</f>
        <v>Mehta</v>
      </c>
      <c r="C65" s="41">
        <f>IF($B$65="","",SUMIFS(tblWorkOrders[Open],tblWorkOrders[Assigned to],$B$65))</f>
        <v>5</v>
      </c>
      <c r="D65" s="43">
        <f>IF($B$65="","",SUMIFS(tblWorkOrders[Remaining (h)],tblWorkOrders[Assigned to],$B$65))</f>
        <v>46.5</v>
      </c>
      <c r="E65" s="43">
        <f>IF($B$65="","",SUMIFS(tblWorkOrders[Actual (h)],tblWorkOrders[Assigned to],$B$65,tblWorkOrders[View date],"&gt;0"))</f>
        <v>156</v>
      </c>
      <c r="G65" s="62">
        <v>10</v>
      </c>
      <c r="H65" s="40" t="str">
        <f>IF(INDEX($AP$56:$AP$67,MATCH(10,$AQ$56:$AQ$67,0))&lt;0,"",INDEX($AO$56:$AO$67,MATCH(10,$AQ$56:$AQ$67,0)))</f>
        <v>LB-01</v>
      </c>
      <c r="I65" s="40"/>
      <c r="J65" s="41">
        <f>IF($H$65="","",INDEX($AP$56:$AP$67,MATCH(10,$AQ$56:$AQ$67,0)))</f>
        <v>2342</v>
      </c>
      <c r="K65" s="61">
        <f>IF(OR($H$65="",$J$68=0),"",$J$65/$J$68)</f>
        <v>0.0511700058991894</v>
      </c>
      <c r="L65" s="61">
        <f>IF(OR($H$65="",$J$68=0),"",SUM($J$56:$J$65)/$J$68)</f>
        <v>0.94647031833774</v>
      </c>
      <c r="AO65" s="11" t="str">
        <f>IFERROR(INDEX(tblAssets[Asset ID],10)&amp;"","")</f>
        <v>AC-01</v>
      </c>
      <c r="AP65" s="63">
        <f>IF($AO$65="",-1,SUMIFS(tblWorkOrders[Total cost],tblWorkOrders[Asset],$AO$65,tblWorkOrders[View date],"&gt;0"))</f>
        <v>4989</v>
      </c>
      <c r="AQ65" s="63">
        <f>COUNTIF($AP$56:$AP$67,"&gt;"&amp;$AP$65)+COUNTIF($AP$56:$AP$65,$AP$65)</f>
        <v>3</v>
      </c>
    </row>
    <row r="66" spans="2:43" x14ac:dyDescent="0.25">
      <c r="B66" s="60" t="str">
        <f>IFERROR(INDEX(tblTechnicians[Technician],5)&amp;"","")</f>
        <v>Contractor</v>
      </c>
      <c r="C66" s="41">
        <f>IF($B$66="","",SUMIFS(tblWorkOrders[Open],tblWorkOrders[Assigned to],$B$66))</f>
        <v>1</v>
      </c>
      <c r="D66" s="43">
        <f>IF($B$66="","",SUMIFS(tblWorkOrders[Remaining (h)],tblWorkOrders[Assigned to],$B$66))</f>
        <v>40</v>
      </c>
      <c r="E66" s="43">
        <f>IF($B$66="","",SUMIFS(tblWorkOrders[Actual (h)],tblWorkOrders[Assigned to],$B$66,tblWorkOrders[View date],"&gt;0"))</f>
        <v>2</v>
      </c>
      <c r="G66" s="62">
        <v>11</v>
      </c>
      <c r="H66" s="40" t="str">
        <f>IF(INDEX($AP$56:$AP$67,MATCH(11,$AQ$56:$AQ$67,0))&lt;0,"",INDEX($AO$56:$AO$67,MATCH(11,$AQ$56:$AQ$67,0)))</f>
        <v>PS-01</v>
      </c>
      <c r="I66" s="40"/>
      <c r="J66" s="41">
        <f>IF($H$66="","",INDEX($AP$56:$AP$67,MATCH(11,$AQ$56:$AQ$67,0)))</f>
        <v>1830</v>
      </c>
      <c r="K66" s="61">
        <f>IF(OR($H$66="",$J$68=0),"",$J$66/$J$68)</f>
        <v>0.0399833948742599</v>
      </c>
      <c r="L66" s="61">
        <f>IF(OR($H$66="",$J$68=0),"",SUM($J$56:$J$66)/$J$68)</f>
        <v>0.986453713211999</v>
      </c>
      <c r="AO66" s="11" t="str">
        <f>IFERROR(INDEX(tblAssets[Asset ID],11)&amp;"","")</f>
        <v>BL-01</v>
      </c>
      <c r="AP66" s="63">
        <f>IF($AO$66="",-1,SUMIFS(tblWorkOrders[Total cost],tblWorkOrders[Asset],$AO$66,tblWorkOrders[View date],"&gt;0"))</f>
        <v>2387</v>
      </c>
      <c r="AQ66" s="63">
        <f>COUNTIF($AP$56:$AP$67,"&gt;"&amp;$AP$66)+COUNTIF($AP$56:$AP$66,$AP$66)</f>
        <v>9</v>
      </c>
    </row>
    <row r="67" spans="2:43" x14ac:dyDescent="0.25">
      <c r="G67" s="62">
        <v>12</v>
      </c>
      <c r="H67" s="40" t="str">
        <f>IF(INDEX($AP$56:$AP$67,MATCH(12,$AQ$56:$AQ$67,0))&lt;0,"",INDEX($AO$56:$AO$67,MATCH(12,$AQ$56:$AQ$67,0)))</f>
        <v>MX-02</v>
      </c>
      <c r="I67" s="40"/>
      <c r="J67" s="41">
        <f>IF($H$67="","",INDEX($AP$56:$AP$67,MATCH(12,$AQ$56:$AQ$67,0)))</f>
        <v>620</v>
      </c>
      <c r="K67" s="61">
        <f>IF(OR($H$67="",$J$68=0),"",$J$67/$J$68)</f>
        <v>0.0135462867880006</v>
      </c>
      <c r="L67" s="61">
        <f>IF(OR($H$67="",$J$68=0),"",SUM($J$56:$J$67)/$J$68)</f>
        <v>1</v>
      </c>
      <c r="AO67" s="11" t="str">
        <f>IFERROR(INDEX(tblAssets[Asset ID],12)&amp;"","")</f>
        <v>CH-01</v>
      </c>
      <c r="AP67" s="63">
        <f>IF($AO$67="",-1,SUMIFS(tblWorkOrders[Total cost],tblWorkOrders[Asset],$AO$67,tblWorkOrders[View date],"&gt;0"))</f>
        <v>3518</v>
      </c>
      <c r="AQ67" s="63">
        <f>COUNTIF($AP$56:$AP$67,"&gt;"&amp;$AP$67)+COUNTIF($AP$56:$AP$67,$AP$67)</f>
        <v>5</v>
      </c>
    </row>
    <row r="68" spans="2:43" x14ac:dyDescent="0.25">
      <c r="G68" s="64"/>
      <c r="H68" s="64" t="s">
        <v>432</v>
      </c>
      <c r="I68" s="64"/>
      <c r="J68" s="65">
        <f>SUMIF($AP$56:$AP$67,"&gt;0")</f>
        <v>45769</v>
      </c>
      <c r="K68" s="64"/>
      <c r="L68" s="64"/>
    </row>
    <row r="69" spans="2:43" ht="8" customHeight="1" x14ac:dyDescent="0.25"/>
    <row r="70" spans="2:43" x14ac:dyDescent="0.25">
      <c r="B70" s="21" t="s">
        <v>433</v>
      </c>
      <c r="C70" s="21"/>
      <c r="D70" s="21"/>
      <c r="E70" s="21"/>
      <c r="F70" s="21"/>
      <c r="G70" s="21"/>
      <c r="H70" s="21"/>
      <c r="I70" s="21"/>
      <c r="J70" s="21"/>
      <c r="K70" s="21"/>
      <c r="L70" s="21"/>
    </row>
    <row r="71" spans="2:43" x14ac:dyDescent="0.25">
      <c r="B71" s="66">
        <f>IF(OR(COUNTA(tblAssets[Asset ID])&gt;12,COUNTA(tblPriorities[Priority])&gt;4,COUNTA(tblTechnicians[Technician])&gt;5),"Setup lists are longer than the Dashboard blocks: some assets, priorities or technicians are not shown.","")</f>
        <v/>
      </c>
      <c r="C71" s="66"/>
      <c r="D71" s="66"/>
      <c r="E71" s="66"/>
      <c r="F71" s="66"/>
      <c r="G71" s="66"/>
      <c r="H71" s="66"/>
      <c r="I71" s="66"/>
      <c r="J71" s="66"/>
      <c r="K71" s="66"/>
      <c r="L71" s="66"/>
    </row>
  </sheetData>
  <sheetProtection sheet="1" formatColumns="0" formatRows="0"/>
  <mergeCells count="60">
    <mergeCell ref="A1:L1"/>
    <mergeCell ref="B2:J2"/>
    <mergeCell ref="K2:L2"/>
    <mergeCell ref="C4:D4"/>
    <mergeCell ref="G4:H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H35"/>
    <mergeCell ref="B46:I46"/>
    <mergeCell ref="B53:F53"/>
    <mergeCell ref="G53:L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B60:E60"/>
    <mergeCell ref="B70:L70"/>
    <mergeCell ref="B71:L71"/>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56:J67">
    <cfRule type="dataBar" priority="61">
      <dataBar>
        <cfvo type="num" val="0"/>
        <cfvo type="max"/>
        <color rgb="FFA8BDF0"/>
      </dataBar>
      <extLst>
        <ext xmlns:x14="http://schemas.microsoft.com/office/spreadsheetml/2009/9/main" uri="{B025F937-C7B1-47D3-B67F-A62EFF666E3E}">
          <x14:id>{DA7ABA51-AAAA-BBBB-0004-000000000001}</x14:id>
        </ext>
      </extLst>
    </cfRule>
  </conditionalFormatting>
  <dataValidations count="2">
    <dataValidation type="date" allowBlank="1" showInputMessage="1" showErrorMessage="1" errorTitle="Check this entry" error="Enter a date between 01 Jan 2000 and 31 Dec 2100." promptTitle="Raised from" prompt="First date raised to include in the period figures. Leave blank to start at the first order.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Raised to" prompt="Last date raised to include in the period figures. Leave blank to include every order. Enter a date between 01 Jan 2000 and 31 Dec 2100." sqref="G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Maintenance Work Order Log&amp;R&amp;8&amp;A</oddHeader>
    <oddFooter>&amp;L&amp;8mfgcalcs.com - free manufacturing templates&amp;R&amp;8Page &amp;P of &amp;N</oddFooter>
  </headerFooter>
  <rowBreaks count="2" manualBreakCount="2">
    <brk id="28" max="16383" man="1"/>
    <brk id="52"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J56:J67</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434</v>
      </c>
      <c r="C4" s="8"/>
      <c r="D4" s="8"/>
    </row>
    <row r="5" spans="1:4" ht="5" customHeight="1"/>
    <row r="6" spans="1:4" ht="69" customHeight="1">
      <c r="B6" s="10" t="s">
        <v>435</v>
      </c>
      <c r="C6" s="10"/>
      <c r="D6" s="10"/>
    </row>
    <row r="8" spans="1:4" ht="21" customHeight="1">
      <c r="B8" s="8" t="s">
        <v>436</v>
      </c>
      <c r="C8" s="8"/>
      <c r="D8" s="8"/>
    </row>
    <row r="9" spans="1:4" ht="5" customHeight="1"/>
    <row r="10" spans="1:4" ht="20" customHeight="1">
      <c r="B10" s="58" t="s">
        <v>437</v>
      </c>
      <c r="C10" s="58" t="s">
        <v>438</v>
      </c>
      <c r="D10" s="36" t="s">
        <v>439</v>
      </c>
    </row>
    <row r="11" spans="1:4" ht="17.2" customHeight="1">
      <c r="B11" s="67" t="s">
        <v>175</v>
      </c>
      <c r="C11" s="68" t="s">
        <v>440</v>
      </c>
      <c r="D11" s="69" t="s">
        <v>441</v>
      </c>
    </row>
    <row r="12" spans="1:4" ht="30.4" customHeight="1">
      <c r="B12" s="67" t="s">
        <v>176</v>
      </c>
      <c r="C12" s="68" t="s">
        <v>442</v>
      </c>
      <c r="D12" s="69" t="s">
        <v>443</v>
      </c>
    </row>
    <row r="13" spans="1:4" ht="30.4" customHeight="1">
      <c r="B13" s="67" t="s">
        <v>444</v>
      </c>
      <c r="C13" s="68" t="s">
        <v>445</v>
      </c>
      <c r="D13" s="69" t="s">
        <v>92</v>
      </c>
    </row>
    <row r="14" spans="1:4" ht="30.4" customHeight="1">
      <c r="B14" s="67" t="s">
        <v>446</v>
      </c>
      <c r="C14" s="68" t="s">
        <v>447</v>
      </c>
      <c r="D14" s="69" t="s">
        <v>448</v>
      </c>
    </row>
    <row r="15" spans="1:4" ht="17.2" customHeight="1">
      <c r="B15" s="67" t="s">
        <v>179</v>
      </c>
      <c r="C15" s="68" t="s">
        <v>449</v>
      </c>
      <c r="D15" s="69" t="s">
        <v>450</v>
      </c>
    </row>
    <row r="16" spans="1:4" ht="17.2" customHeight="1">
      <c r="B16" s="67" t="s">
        <v>180</v>
      </c>
      <c r="C16" s="68" t="s">
        <v>451</v>
      </c>
      <c r="D16" s="69" t="s">
        <v>450</v>
      </c>
    </row>
    <row r="17" spans="2:4" ht="30.4" customHeight="1">
      <c r="B17" s="67" t="s">
        <v>181</v>
      </c>
      <c r="C17" s="68" t="s">
        <v>452</v>
      </c>
      <c r="D17" s="69" t="s">
        <v>453</v>
      </c>
    </row>
    <row r="18" spans="2:4" ht="17.2" customHeight="1">
      <c r="B18" s="67" t="s">
        <v>182</v>
      </c>
      <c r="C18" s="68" t="s">
        <v>454</v>
      </c>
      <c r="D18" s="69" t="s">
        <v>453</v>
      </c>
    </row>
    <row r="19" spans="2:4" ht="17.2" customHeight="1">
      <c r="B19" s="67" t="s">
        <v>455</v>
      </c>
      <c r="C19" s="68" t="s">
        <v>456</v>
      </c>
      <c r="D19" s="69" t="s">
        <v>448</v>
      </c>
    </row>
    <row r="20" spans="2:4" ht="17.2" customHeight="1">
      <c r="B20" s="67" t="s">
        <v>457</v>
      </c>
      <c r="C20" s="68" t="s">
        <v>458</v>
      </c>
      <c r="D20" s="69" t="s">
        <v>83</v>
      </c>
    </row>
    <row r="21" spans="2:4" ht="30.4" customHeight="1">
      <c r="B21" s="67" t="s">
        <v>459</v>
      </c>
      <c r="C21" s="68" t="s">
        <v>460</v>
      </c>
      <c r="D21" s="69" t="s">
        <v>461</v>
      </c>
    </row>
    <row r="22" spans="2:4" ht="43.6" customHeight="1">
      <c r="B22" s="67" t="s">
        <v>462</v>
      </c>
      <c r="C22" s="68" t="s">
        <v>463</v>
      </c>
      <c r="D22" s="69" t="s">
        <v>428</v>
      </c>
    </row>
    <row r="23" spans="2:4" ht="30.4" customHeight="1">
      <c r="B23" s="67" t="s">
        <v>407</v>
      </c>
      <c r="C23" s="68" t="s">
        <v>464</v>
      </c>
      <c r="D23" s="69" t="s">
        <v>428</v>
      </c>
    </row>
    <row r="24" spans="2:4" ht="30.4" customHeight="1">
      <c r="B24" s="67" t="s">
        <v>465</v>
      </c>
      <c r="C24" s="68" t="s">
        <v>466</v>
      </c>
      <c r="D24" s="69" t="s">
        <v>428</v>
      </c>
    </row>
    <row r="25" spans="2:4" ht="30.4" customHeight="1">
      <c r="B25" s="67" t="s">
        <v>409</v>
      </c>
      <c r="C25" s="68" t="s">
        <v>467</v>
      </c>
      <c r="D25" s="69" t="s">
        <v>468</v>
      </c>
    </row>
    <row r="26" spans="2:4" ht="30.4" customHeight="1">
      <c r="B26" s="67" t="s">
        <v>469</v>
      </c>
      <c r="C26" s="68" t="s">
        <v>470</v>
      </c>
      <c r="D26" s="69" t="s">
        <v>92</v>
      </c>
    </row>
    <row r="27" spans="2:4" ht="43.6" customHeight="1">
      <c r="B27" s="67" t="s">
        <v>471</v>
      </c>
      <c r="C27" s="68" t="s">
        <v>472</v>
      </c>
      <c r="D27" s="69" t="s">
        <v>473</v>
      </c>
    </row>
    <row r="29" spans="2:4" ht="21" customHeight="1">
      <c r="B29" s="8" t="s">
        <v>474</v>
      </c>
      <c r="C29" s="8"/>
      <c r="D29" s="8"/>
    </row>
    <row r="30" spans="2:4" ht="5" customHeight="1"/>
    <row r="31" spans="2:4" ht="29.4" customHeight="1">
      <c r="B31" s="26" t="s">
        <v>55</v>
      </c>
      <c r="C31" s="10" t="s">
        <v>475</v>
      </c>
      <c r="D31" s="10"/>
    </row>
    <row r="32" spans="2:4" ht="29.4" customHeight="1">
      <c r="B32" s="26" t="s">
        <v>55</v>
      </c>
      <c r="C32" s="10" t="s">
        <v>476</v>
      </c>
      <c r="D32" s="10"/>
    </row>
    <row r="33" spans="2:4" ht="16.2" customHeight="1">
      <c r="B33" s="26" t="s">
        <v>55</v>
      </c>
      <c r="C33" s="10" t="s">
        <v>477</v>
      </c>
      <c r="D33" s="10"/>
    </row>
    <row r="34" spans="2:4" ht="29.4" customHeight="1">
      <c r="B34" s="26" t="s">
        <v>55</v>
      </c>
      <c r="C34" s="10" t="s">
        <v>478</v>
      </c>
      <c r="D34" s="10"/>
    </row>
    <row r="36" spans="2:4" ht="21" customHeight="1">
      <c r="B36" s="8" t="s">
        <v>479</v>
      </c>
      <c r="C36" s="8"/>
      <c r="D36" s="8"/>
    </row>
    <row r="37" spans="2:4" ht="5" customHeight="1"/>
    <row r="38" spans="2:4" ht="29.4" customHeight="1">
      <c r="B38" s="26" t="s">
        <v>55</v>
      </c>
      <c r="C38" s="10" t="s">
        <v>480</v>
      </c>
      <c r="D38" s="10"/>
    </row>
    <row r="39" spans="2:4" ht="29.4" customHeight="1">
      <c r="B39" s="26" t="s">
        <v>55</v>
      </c>
      <c r="C39" s="10" t="s">
        <v>481</v>
      </c>
      <c r="D39" s="10"/>
    </row>
    <row r="40" spans="2:4" ht="29.4" customHeight="1">
      <c r="B40" s="26" t="s">
        <v>55</v>
      </c>
      <c r="C40" s="10" t="s">
        <v>482</v>
      </c>
      <c r="D40" s="10"/>
    </row>
    <row r="41" spans="2:4" ht="42.6" customHeight="1">
      <c r="B41" s="26" t="s">
        <v>55</v>
      </c>
      <c r="C41" s="10" t="s">
        <v>483</v>
      </c>
      <c r="D41" s="10"/>
    </row>
    <row r="43" spans="2:4" ht="21" customHeight="1">
      <c r="B43" s="8" t="s">
        <v>484</v>
      </c>
      <c r="C43" s="8"/>
      <c r="D43" s="8"/>
    </row>
    <row r="44" spans="2:4" ht="5" customHeight="1"/>
    <row r="45" spans="2:4" ht="69" customHeight="1">
      <c r="B45" s="10" t="s">
        <v>485</v>
      </c>
      <c r="C45" s="10"/>
      <c r="D45" s="10"/>
    </row>
    <row r="46" spans="2:4">
      <c r="B46" s="24" t="s">
        <v>486</v>
      </c>
      <c r="C46" s="24"/>
      <c r="D46" s="24"/>
    </row>
    <row r="48" spans="2:4" ht="21" customHeight="1">
      <c r="B48" s="8" t="s">
        <v>42</v>
      </c>
      <c r="C48" s="8"/>
      <c r="D48" s="8"/>
    </row>
    <row r="49" spans="2:4" ht="5" customHeight="1"/>
    <row r="50" spans="2:4" ht="42.6" customHeight="1">
      <c r="B50" s="10" t="s">
        <v>487</v>
      </c>
      <c r="C50" s="10"/>
      <c r="D50" s="10"/>
    </row>
    <row r="52" spans="2:4" ht="21" customHeight="1">
      <c r="B52" s="8" t="s">
        <v>488</v>
      </c>
      <c r="C52" s="8"/>
      <c r="D52" s="8"/>
    </row>
    <row r="53" spans="2:4" ht="5" customHeight="1"/>
    <row r="54" spans="2:4" ht="29.4" customHeight="1">
      <c r="B54" s="26" t="s">
        <v>55</v>
      </c>
      <c r="C54" s="10" t="s">
        <v>489</v>
      </c>
      <c r="D54" s="10"/>
    </row>
    <row r="55" spans="2:4" ht="29.4" customHeight="1">
      <c r="B55" s="26" t="s">
        <v>55</v>
      </c>
      <c r="C55" s="10" t="s">
        <v>490</v>
      </c>
      <c r="D55" s="10"/>
    </row>
    <row r="56" spans="2:4" ht="29.4" customHeight="1">
      <c r="B56" s="26" t="s">
        <v>55</v>
      </c>
      <c r="C56" s="10" t="s">
        <v>491</v>
      </c>
      <c r="D56" s="10"/>
    </row>
    <row r="57" spans="2:4">
      <c r="B57" s="21" t="s">
        <v>492</v>
      </c>
      <c r="C57" s="21"/>
      <c r="D57" s="21"/>
    </row>
    <row r="59" spans="2:4" ht="21" customHeight="1">
      <c r="B59" s="8" t="s">
        <v>493</v>
      </c>
      <c r="C59" s="8"/>
      <c r="D59" s="8"/>
    </row>
    <row r="60" spans="2:4" ht="5" customHeight="1"/>
    <row r="61" spans="2:4">
      <c r="B61" s="58" t="s">
        <v>50</v>
      </c>
      <c r="C61" s="58" t="s">
        <v>494</v>
      </c>
      <c r="D61" s="36" t="s">
        <v>495</v>
      </c>
    </row>
    <row r="62" spans="2:4" ht="16.2" customHeight="1">
      <c r="B62" s="70" t="s">
        <v>496</v>
      </c>
      <c r="C62" s="71" t="s">
        <v>497</v>
      </c>
      <c r="D62" s="72" t="s">
        <v>498</v>
      </c>
    </row>
    <row r="64" spans="2:4">
      <c r="B64" s="21" t="s">
        <v>61</v>
      </c>
      <c r="C64" s="21"/>
      <c r="D64" s="21"/>
    </row>
  </sheetData>
  <sheetProtection sheet="1" formatColumns="0" formatRows="0"/>
  <mergeCells count="27">
    <mergeCell ref="A1:D1"/>
    <mergeCell ref="B2:C2"/>
    <mergeCell ref="B4:D4"/>
    <mergeCell ref="B6:D6"/>
    <mergeCell ref="B8:D8"/>
    <mergeCell ref="B29:D29"/>
    <mergeCell ref="C31:D31"/>
    <mergeCell ref="C32:D32"/>
    <mergeCell ref="C33:D33"/>
    <mergeCell ref="C34:D34"/>
    <mergeCell ref="B36:D36"/>
    <mergeCell ref="C38:D38"/>
    <mergeCell ref="C39:D39"/>
    <mergeCell ref="C40:D40"/>
    <mergeCell ref="C41:D41"/>
    <mergeCell ref="B43:D43"/>
    <mergeCell ref="B45:D45"/>
    <mergeCell ref="B46:D46"/>
    <mergeCell ref="B48:D48"/>
    <mergeCell ref="B50:D50"/>
    <mergeCell ref="B52:D52"/>
    <mergeCell ref="C54:D54"/>
    <mergeCell ref="C55:D55"/>
    <mergeCell ref="C56:D56"/>
    <mergeCell ref="B57:D57"/>
    <mergeCell ref="B59:D59"/>
    <mergeCell ref="B64:D64"/>
  </mergeCells>
  <hyperlinks>
    <hyperlink ref="D2" r:id="rId1" tooltip="Free manufacturing calculators and templates"/>
    <hyperlink ref="B46" r:id="rId2"/>
  </hyperlinks>
  <printOptions horizontalCentered="1"/>
  <pageMargins left="0.4" right="0.4" top="0.7" bottom="0.65" header="0.3" footer="0.3"/>
  <pageSetup fitToHeight="0" orientation="portrait"/>
  <headerFooter>
    <oddHeader>&amp;L&amp;8MFG Calcs - Maintenance Work Order Log&amp;R&amp;8&amp;A</oddHeader>
    <oddFooter>&amp;L&amp;8mfgcalcs.com - free manufacturing templates&amp;R&amp;8Page &amp;P of &amp;N</oddFooter>
  </headerFooter>
  <rowBreaks count="2" manualBreakCount="2">
    <brk id="26" max="16383" man="1"/>
    <brk id="5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B57"/>
  <sheetViews>
    <sheetView showGridLines="0" workbookViewId="0"/>
  </sheetViews>
  <sheetFormatPr defaultRowHeight="15"/>
  <cols>
    <col min="1" max="1" width="2.7109375" customWidth="1"/>
    <col min="2" max="19" width="12.7109375" customWidth="1"/>
    <col min="20" max="20" width="7.28515625" customWidth="1"/>
    <col min="21" max="21" width="8.28515625" customWidth="1"/>
    <col min="22" max="23" width="10.28515625" customWidth="1"/>
    <col min="24" max="25" width="10.7109375" customWidth="1"/>
    <col min="26" max="26" width="8.28515625" customWidth="1"/>
    <col min="27" max="27" width="12.28515625" customWidth="1"/>
    <col min="28" max="28" width="24.7109375" customWidth="1"/>
  </cols>
  <sheetData>
    <row r="1" spans="1:28"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21" customHeight="1">
      <c r="B2" s="2" t="s">
        <v>28</v>
      </c>
      <c r="C2" s="2"/>
      <c r="D2" s="2"/>
      <c r="E2" s="2"/>
      <c r="F2" s="2"/>
      <c r="G2" s="2"/>
      <c r="H2" s="2"/>
      <c r="I2" s="2"/>
      <c r="J2" s="2"/>
      <c r="K2" s="2"/>
      <c r="L2" s="2"/>
      <c r="M2" s="2"/>
      <c r="N2" s="2"/>
      <c r="O2" s="2"/>
      <c r="P2" s="2"/>
      <c r="Q2" s="2"/>
      <c r="R2" s="2"/>
      <c r="S2" s="2"/>
      <c r="T2" s="2"/>
      <c r="U2" s="2"/>
      <c r="V2" s="2"/>
      <c r="W2" s="2"/>
      <c r="X2" s="2"/>
      <c r="Y2" s="2"/>
      <c r="Z2" s="2"/>
      <c r="AA2" s="2"/>
      <c r="AB2" s="3" t="s">
        <v>2</v>
      </c>
    </row>
    <row r="3" spans="1:28" ht="6" customHeight="1"/>
    <row r="4" spans="1:28" ht="30" customHeight="1">
      <c r="B4" s="73" t="s">
        <v>499</v>
      </c>
      <c r="C4" s="73"/>
      <c r="D4" s="22" t="str">
        <f>IF(COUNTIF($K$11:$K$31,"PASS")=21,"PASS","FAIL")</f>
        <v>PASS</v>
      </c>
      <c r="E4" s="22"/>
      <c r="F4" s="23" t="str">
        <f>COUNTIF($K$11:$K$31,"PASS")&amp;" of 21 checks pass"</f>
        <v>21 of 21 checks pass</v>
      </c>
      <c r="G4" s="23"/>
      <c r="H4" s="23"/>
      <c r="I4" s="23"/>
      <c r="J4" s="23"/>
    </row>
    <row r="6" spans="1:28" ht="29.4" customHeight="1">
      <c r="B6" s="10" t="s">
        <v>500</v>
      </c>
      <c r="C6" s="10"/>
      <c r="D6" s="10"/>
      <c r="E6" s="10"/>
      <c r="F6" s="10"/>
      <c r="G6" s="10"/>
      <c r="H6" s="10"/>
      <c r="I6" s="10"/>
      <c r="J6" s="10"/>
      <c r="K6" s="10"/>
      <c r="L6" s="10"/>
    </row>
    <row r="8" spans="1:28" ht="21" customHeight="1">
      <c r="B8" s="8" t="s">
        <v>501</v>
      </c>
      <c r="C8" s="8"/>
      <c r="D8" s="8"/>
      <c r="E8" s="8"/>
      <c r="F8" s="8"/>
      <c r="G8" s="8"/>
      <c r="H8" s="8"/>
      <c r="I8" s="8"/>
      <c r="J8" s="8"/>
      <c r="K8" s="8"/>
      <c r="L8" s="8"/>
    </row>
    <row r="9" spans="1:28" ht="5" customHeight="1"/>
    <row r="10" spans="1:28" ht="30" customHeight="1">
      <c r="B10" s="36" t="s">
        <v>502</v>
      </c>
      <c r="C10" s="58" t="s">
        <v>184</v>
      </c>
      <c r="D10" s="58"/>
      <c r="E10" s="58"/>
      <c r="F10" s="58"/>
      <c r="G10" s="36" t="s">
        <v>503</v>
      </c>
      <c r="H10" s="36" t="s">
        <v>504</v>
      </c>
      <c r="I10" s="36" t="s">
        <v>505</v>
      </c>
      <c r="J10" s="36" t="s">
        <v>506</v>
      </c>
      <c r="K10" s="36" t="s">
        <v>507</v>
      </c>
    </row>
    <row r="11" spans="1:28" ht="16.2" customHeight="1">
      <c r="B11" s="62">
        <v>1</v>
      </c>
      <c r="C11" s="71" t="s">
        <v>508</v>
      </c>
      <c r="D11" s="71"/>
      <c r="E11" s="71"/>
      <c r="F11" s="71"/>
      <c r="G11" s="74">
        <v>46086</v>
      </c>
      <c r="H11" s="42">
        <f>$S$51</f>
        <v>46086</v>
      </c>
      <c r="I11" s="75">
        <f>IF(AND(ISNUMBER($G$11),ISNUMBER($H$11)),ABS($H$11-$G$11),"")</f>
        <v>0</v>
      </c>
      <c r="J11" s="76">
        <v>1E-09</v>
      </c>
      <c r="K11" s="45" t="str">
        <f>IF(AND(ISNUMBER($G$11),ISNUMBER($H$11)),IF(ABS($H$11-$G$11)&lt;=$J$11,"PASS","FAIL"),"FAIL")</f>
        <v>PASS</v>
      </c>
    </row>
    <row r="12" spans="1:28" ht="16.2" customHeight="1">
      <c r="B12" s="62">
        <v>2</v>
      </c>
      <c r="C12" s="71" t="s">
        <v>509</v>
      </c>
      <c r="D12" s="71"/>
      <c r="E12" s="71"/>
      <c r="F12" s="71"/>
      <c r="G12" s="77">
        <v>2</v>
      </c>
      <c r="H12" s="41">
        <f>$U$51</f>
        <v>2</v>
      </c>
      <c r="I12" s="75">
        <f>IF(AND(ISNUMBER($G$12),ISNUMBER($H$12)),ABS($H$12-$G$12),"")</f>
        <v>0</v>
      </c>
      <c r="J12" s="76">
        <v>1E-09</v>
      </c>
      <c r="K12" s="45" t="str">
        <f>IF(AND(ISNUMBER($G$12),ISNUMBER($H$12)),IF(ABS($H$12-$G$12)&lt;=$J$12,"PASS","FAIL"),"FAIL")</f>
        <v>PASS</v>
      </c>
    </row>
    <row r="13" spans="1:28" ht="16.2" customHeight="1">
      <c r="B13" s="62">
        <v>3</v>
      </c>
      <c r="C13" s="71" t="s">
        <v>510</v>
      </c>
      <c r="D13" s="71"/>
      <c r="E13" s="71"/>
      <c r="F13" s="71"/>
      <c r="G13" s="78">
        <v>175</v>
      </c>
      <c r="H13" s="44">
        <f>$W$51</f>
        <v>175</v>
      </c>
      <c r="I13" s="75">
        <f>IF(AND(ISNUMBER($G$13),ISNUMBER($H$13)),ABS($H$13-$G$13),"")</f>
        <v>0</v>
      </c>
      <c r="J13" s="76">
        <v>1E-09</v>
      </c>
      <c r="K13" s="45" t="str">
        <f>IF(AND(ISNUMBER($G$13),ISNUMBER($H$13)),IF(ABS($H$13-$G$13)&lt;=$J$13,"PASS","FAIL"),"FAIL")</f>
        <v>PASS</v>
      </c>
    </row>
    <row r="14" spans="1:28" ht="16.2" customHeight="1">
      <c r="B14" s="62">
        <v>4</v>
      </c>
      <c r="C14" s="71" t="s">
        <v>511</v>
      </c>
      <c r="D14" s="71"/>
      <c r="E14" s="71"/>
      <c r="F14" s="71"/>
      <c r="G14" s="78">
        <v>295</v>
      </c>
      <c r="H14" s="44">
        <f>$X$51</f>
        <v>295</v>
      </c>
      <c r="I14" s="75">
        <f>IF(AND(ISNUMBER($G$14),ISNUMBER($H$14)),ABS($H$14-$G$14),"")</f>
        <v>0</v>
      </c>
      <c r="J14" s="76">
        <v>1E-09</v>
      </c>
      <c r="K14" s="45" t="str">
        <f>IF(AND(ISNUMBER($G$14),ISNUMBER($H$14)),IF(ABS($H$14-$G$14)&lt;=$J$14,"PASS","FAIL"),"FAIL")</f>
        <v>PASS</v>
      </c>
    </row>
    <row r="15" spans="1:28" ht="16.2" customHeight="1">
      <c r="B15" s="62">
        <v>5</v>
      </c>
      <c r="C15" s="71" t="s">
        <v>512</v>
      </c>
      <c r="D15" s="71"/>
      <c r="E15" s="71"/>
      <c r="F15" s="71"/>
      <c r="G15" s="70" t="s">
        <v>513</v>
      </c>
      <c r="H15" s="40" t="str">
        <f>$Z$51</f>
        <v>Yes</v>
      </c>
      <c r="I15" s="40"/>
      <c r="J15" s="72" t="s">
        <v>514</v>
      </c>
      <c r="K15" s="45" t="str">
        <f>IF($H$15&amp;""=$G$15&amp;"","PASS","FAIL")</f>
        <v>PASS</v>
      </c>
    </row>
    <row r="16" spans="1:28" ht="16.2" customHeight="1">
      <c r="B16" s="62">
        <v>6</v>
      </c>
      <c r="C16" s="71" t="s">
        <v>515</v>
      </c>
      <c r="D16" s="71"/>
      <c r="E16" s="71"/>
      <c r="F16" s="71"/>
      <c r="G16" s="70" t="s">
        <v>516</v>
      </c>
      <c r="H16" s="40" t="str">
        <f>$Z$52</f>
        <v>No</v>
      </c>
      <c r="I16" s="40"/>
      <c r="J16" s="72" t="s">
        <v>514</v>
      </c>
      <c r="K16" s="45" t="str">
        <f>IF($H$16&amp;""=$G$16&amp;"","PASS","FAIL")</f>
        <v>PASS</v>
      </c>
    </row>
    <row r="17" spans="2:11" ht="16.2" customHeight="1">
      <c r="B17" s="62">
        <v>7</v>
      </c>
      <c r="C17" s="71" t="s">
        <v>517</v>
      </c>
      <c r="D17" s="71"/>
      <c r="E17" s="71"/>
      <c r="F17" s="71"/>
      <c r="G17" s="78">
        <v>550</v>
      </c>
      <c r="H17" s="44">
        <f>$X$52</f>
        <v>550</v>
      </c>
      <c r="I17" s="75">
        <f>IF(AND(ISNUMBER($G$17),ISNUMBER($H$17)),ABS($H$17-$G$17),"")</f>
        <v>0</v>
      </c>
      <c r="J17" s="76">
        <v>1E-09</v>
      </c>
      <c r="K17" s="45" t="str">
        <f>IF(AND(ISNUMBER($G$17),ISNUMBER($H$17)),IF(ABS($H$17-$G$17)&lt;=$J$17,"PASS","FAIL"),"FAIL")</f>
        <v>PASS</v>
      </c>
    </row>
    <row r="18" spans="2:11" ht="16.2" customHeight="1">
      <c r="B18" s="62">
        <v>8</v>
      </c>
      <c r="C18" s="71" t="s">
        <v>518</v>
      </c>
      <c r="D18" s="71"/>
      <c r="E18" s="71"/>
      <c r="F18" s="71"/>
      <c r="G18" s="77">
        <v>21</v>
      </c>
      <c r="H18" s="41">
        <f>$U$53</f>
        <v>21</v>
      </c>
      <c r="I18" s="75">
        <f>IF(AND(ISNUMBER($G$18),ISNUMBER($H$18)),ABS($H$18-$G$18),"")</f>
        <v>0</v>
      </c>
      <c r="J18" s="76">
        <v>1E-09</v>
      </c>
      <c r="K18" s="45" t="str">
        <f>IF(AND(ISNUMBER($G$18),ISNUMBER($H$18)),IF(ABS($H$18-$G$18)&lt;=$J$18,"PASS","FAIL"),"FAIL")</f>
        <v>PASS</v>
      </c>
    </row>
    <row r="19" spans="2:11" ht="16.2" customHeight="1">
      <c r="B19" s="62">
        <v>9</v>
      </c>
      <c r="C19" s="71" t="s">
        <v>519</v>
      </c>
      <c r="D19" s="71"/>
      <c r="E19" s="71"/>
      <c r="F19" s="71"/>
      <c r="G19" s="79">
        <v>4</v>
      </c>
      <c r="H19" s="43">
        <f>$V$53</f>
        <v>4</v>
      </c>
      <c r="I19" s="75">
        <f>IF(AND(ISNUMBER($G$19),ISNUMBER($H$19)),ABS($H$19-$G$19),"")</f>
        <v>0</v>
      </c>
      <c r="J19" s="76">
        <v>1E-09</v>
      </c>
      <c r="K19" s="45" t="str">
        <f>IF(AND(ISNUMBER($G$19),ISNUMBER($H$19)),IF(ABS($H$19-$G$19)&lt;=$J$19,"PASS","FAIL"),"FAIL")</f>
        <v>PASS</v>
      </c>
    </row>
    <row r="20" spans="2:11" ht="16.2" customHeight="1">
      <c r="B20" s="62">
        <v>10</v>
      </c>
      <c r="C20" s="71" t="s">
        <v>520</v>
      </c>
      <c r="D20" s="71"/>
      <c r="E20" s="71"/>
      <c r="F20" s="71"/>
      <c r="G20" s="70" t="s">
        <v>421</v>
      </c>
      <c r="H20" s="40" t="str">
        <f>$Y$53</f>
        <v>Overdue</v>
      </c>
      <c r="I20" s="40"/>
      <c r="J20" s="72" t="s">
        <v>514</v>
      </c>
      <c r="K20" s="45" t="str">
        <f>IF($H$20&amp;""=$G$20&amp;"","PASS","FAIL")</f>
        <v>PASS</v>
      </c>
    </row>
    <row r="21" spans="2:11" ht="16.2" customHeight="1">
      <c r="B21" s="62">
        <v>11</v>
      </c>
      <c r="C21" s="71" t="s">
        <v>521</v>
      </c>
      <c r="D21" s="71"/>
      <c r="E21" s="71"/>
      <c r="F21" s="71"/>
      <c r="G21" s="70" t="s">
        <v>522</v>
      </c>
      <c r="H21" s="40" t="str">
        <f>$Y$54</f>
        <v>Due soon</v>
      </c>
      <c r="I21" s="40"/>
      <c r="J21" s="72" t="s">
        <v>514</v>
      </c>
      <c r="K21" s="45" t="str">
        <f>IF($H$21&amp;""=$G$21&amp;"","PASS","FAIL")</f>
        <v>PASS</v>
      </c>
    </row>
    <row r="22" spans="2:11" ht="16.2" customHeight="1">
      <c r="B22" s="62">
        <v>12</v>
      </c>
      <c r="C22" s="71" t="s">
        <v>523</v>
      </c>
      <c r="D22" s="71"/>
      <c r="E22" s="71"/>
      <c r="F22" s="71"/>
      <c r="G22" s="79">
        <v>0</v>
      </c>
      <c r="H22" s="43">
        <f>$V$55</f>
        <v>0</v>
      </c>
      <c r="I22" s="75">
        <f>IF(AND(ISNUMBER($G$22),ISNUMBER($H$22)),ABS($H$22-$G$22),"")</f>
        <v>0</v>
      </c>
      <c r="J22" s="76">
        <v>1E-09</v>
      </c>
      <c r="K22" s="45" t="str">
        <f>IF(AND(ISNUMBER($G$22),ISNUMBER($H$22)),IF(ABS($H$22-$G$22)&lt;=$J$22,"PASS","FAIL"),"FAIL")</f>
        <v>PASS</v>
      </c>
    </row>
    <row r="23" spans="2:11" ht="16.2" customHeight="1">
      <c r="B23" s="62">
        <v>13</v>
      </c>
      <c r="C23" s="71" t="s">
        <v>524</v>
      </c>
      <c r="D23" s="71"/>
      <c r="E23" s="71"/>
      <c r="F23" s="71"/>
      <c r="G23" s="70" t="s">
        <v>525</v>
      </c>
      <c r="H23" s="40" t="str">
        <f>$Y$55</f>
        <v>OK</v>
      </c>
      <c r="I23" s="40"/>
      <c r="J23" s="72" t="s">
        <v>514</v>
      </c>
      <c r="K23" s="45" t="str">
        <f>IF($H$23&amp;""=$G$23&amp;"","PASS","FAIL")</f>
        <v>PASS</v>
      </c>
    </row>
    <row r="24" spans="2:11" ht="16.2" customHeight="1">
      <c r="B24" s="62">
        <v>14</v>
      </c>
      <c r="C24" s="71" t="s">
        <v>526</v>
      </c>
      <c r="D24" s="71"/>
      <c r="E24" s="71"/>
      <c r="F24" s="71"/>
      <c r="G24" s="77">
        <v>0</v>
      </c>
      <c r="H24" s="41">
        <f>$T$56</f>
        <v>0</v>
      </c>
      <c r="I24" s="75">
        <f>IF(AND(ISNUMBER($G$24),ISNUMBER($H$24)),ABS($H$24-$G$24),"")</f>
        <v>0</v>
      </c>
      <c r="J24" s="76">
        <v>1E-09</v>
      </c>
      <c r="K24" s="45" t="str">
        <f>IF(AND(ISNUMBER($G$24),ISNUMBER($H$24)),IF(ABS($H$24-$G$24)&lt;=$J$24,"PASS","FAIL"),"FAIL")</f>
        <v>PASS</v>
      </c>
    </row>
    <row r="25" spans="2:11" ht="16.2" customHeight="1">
      <c r="B25" s="62">
        <v>15</v>
      </c>
      <c r="C25" s="71" t="s">
        <v>527</v>
      </c>
      <c r="D25" s="71"/>
      <c r="E25" s="71"/>
      <c r="F25" s="71"/>
      <c r="G25" s="70" t="s">
        <v>528</v>
      </c>
      <c r="H25" s="40" t="str">
        <f>$AB$57</f>
        <v>Completed before raised</v>
      </c>
      <c r="I25" s="40"/>
      <c r="J25" s="72" t="s">
        <v>514</v>
      </c>
      <c r="K25" s="45" t="str">
        <f>IF($H$25&amp;""=$G$25&amp;"","PASS","FAIL")</f>
        <v>PASS</v>
      </c>
    </row>
    <row r="26" spans="2:11" ht="16.2" customHeight="1">
      <c r="B26" s="62">
        <v>16</v>
      </c>
      <c r="C26" s="71" t="s">
        <v>529</v>
      </c>
      <c r="D26" s="71"/>
      <c r="E26" s="71"/>
      <c r="F26" s="71"/>
      <c r="G26" s="79">
        <v>12</v>
      </c>
      <c r="H26" s="43">
        <f>SUM(tblVerifyWorkOrders[Remaining (h)])</f>
        <v>12</v>
      </c>
      <c r="I26" s="75">
        <f>IF(AND(ISNUMBER($G$26),ISNUMBER($H$26)),ABS($H$26-$G$26),"")</f>
        <v>0</v>
      </c>
      <c r="J26" s="76">
        <v>1E-09</v>
      </c>
      <c r="K26" s="45" t="str">
        <f>IF(AND(ISNUMBER($G$26),ISNUMBER($H$26)),IF(ABS($H$26-$G$26)&lt;=$J$26,"PASS","FAIL"),"FAIL")</f>
        <v>PASS</v>
      </c>
    </row>
    <row r="27" spans="2:11" ht="16.2" customHeight="1">
      <c r="B27" s="62">
        <v>17</v>
      </c>
      <c r="C27" s="71" t="s">
        <v>530</v>
      </c>
      <c r="D27" s="71"/>
      <c r="E27" s="71"/>
      <c r="F27" s="71"/>
      <c r="G27" s="80">
        <v>0.05</v>
      </c>
      <c r="H27" s="81">
        <f>IF(($E$46)=0,"",(SUM(tblVerifyWorkOrders[Remaining (h)]))/($E$46))</f>
        <v>0.05</v>
      </c>
      <c r="I27" s="75">
        <f>IF(AND(ISNUMBER($G$27),ISNUMBER($H$27)),ABS($H$27-$G$27),"")</f>
        <v>0</v>
      </c>
      <c r="J27" s="76">
        <v>1E-09</v>
      </c>
      <c r="K27" s="45" t="str">
        <f>IF(AND(ISNUMBER($G$27),ISNUMBER($H$27)),IF(ABS($H$27-$G$27)&lt;=$J$27,"PASS","FAIL"),"FAIL")</f>
        <v>PASS</v>
      </c>
    </row>
    <row r="28" spans="2:11" ht="16.2" customHeight="1">
      <c r="B28" s="62">
        <v>18</v>
      </c>
      <c r="C28" s="71" t="s">
        <v>531</v>
      </c>
      <c r="D28" s="71"/>
      <c r="E28" s="71"/>
      <c r="F28" s="71"/>
      <c r="G28" s="82">
        <v>0.1666666666666667</v>
      </c>
      <c r="H28" s="61">
        <f>IF((COUNTIFS(tblVerifyWorkOrders[View date],"&gt;0",tblVerifyWorkOrders[Status],"&lt;&gt;Cancelled"))=0,"",(COUNTIFS(tblVerifyWorkOrders[Category],"Emergency",tblVerifyWorkOrders[View date],"&gt;0",tblVerifyWorkOrders[Status],"&lt;&gt;Cancelled"))/(COUNTIFS(tblVerifyWorkOrders[View date],"&gt;0",tblVerifyWorkOrders[Status],"&lt;&gt;Cancelled")))</f>
        <v>0.166666666666667</v>
      </c>
      <c r="I28" s="75">
        <f>IF(AND(ISNUMBER($G$28),ISNUMBER($H$28)),ABS($H$28-$G$28),"")</f>
        <v>0</v>
      </c>
      <c r="J28" s="76">
        <v>1E-09</v>
      </c>
      <c r="K28" s="45" t="str">
        <f>IF(AND(ISNUMBER($G$28),ISNUMBER($H$28)),IF(ABS($H$28-$G$28)&lt;=$J$28,"PASS","FAIL"),"FAIL")</f>
        <v>PASS</v>
      </c>
    </row>
    <row r="29" spans="2:11" ht="16.2" customHeight="1">
      <c r="B29" s="62">
        <v>19</v>
      </c>
      <c r="C29" s="71" t="s">
        <v>532</v>
      </c>
      <c r="D29" s="71"/>
      <c r="E29" s="71"/>
      <c r="F29" s="71"/>
      <c r="G29" s="82">
        <v>0.6666666666666666</v>
      </c>
      <c r="H29" s="61">
        <f>IF((COUNTIFS(tblVerifyWorkOrders[Status],"Complete",tblVerifyWorkOrders[View date],"&gt;0"))=0,"",(COUNTIFS(tblVerifyWorkOrders[On time],"Yes",tblVerifyWorkOrders[View date],"&gt;0"))/(COUNTIFS(tblVerifyWorkOrders[Status],"Complete",tblVerifyWorkOrders[View date],"&gt;0")))</f>
        <v>0.666666666666667</v>
      </c>
      <c r="I29" s="75">
        <f>IF(AND(ISNUMBER($G$29),ISNUMBER($H$29)),ABS($H$29-$G$29),"")</f>
        <v>0</v>
      </c>
      <c r="J29" s="76">
        <v>1E-09</v>
      </c>
      <c r="K29" s="45" t="str">
        <f>IF(AND(ISNUMBER($G$29),ISNUMBER($H$29)),IF(ABS($H$29-$G$29)&lt;=$J$29,"PASS","FAIL"),"FAIL")</f>
        <v>PASS</v>
      </c>
    </row>
    <row r="30" spans="2:11" ht="16.2" customHeight="1">
      <c r="B30" s="62">
        <v>20</v>
      </c>
      <c r="C30" s="71" t="s">
        <v>533</v>
      </c>
      <c r="D30" s="71"/>
      <c r="E30" s="71"/>
      <c r="F30" s="71"/>
      <c r="G30" s="82">
        <v>0.6511627906976745</v>
      </c>
      <c r="H30" s="61">
        <f>IF((SUMIFS(tblVerifyWorkOrders[Actual (h)],tblVerifyWorkOrders[View date],"&gt;0"))=0,"",(SUMIFS(tblVerifyWorkOrders[Actual (h)],tblVerifyWorkOrders[Category],"Planned",tblVerifyWorkOrders[View date],"&gt;0"))/(SUMIFS(tblVerifyWorkOrders[Actual (h)],tblVerifyWorkOrders[View date],"&gt;0")))</f>
        <v>0.651162790697675</v>
      </c>
      <c r="I30" s="75">
        <f>IF(AND(ISNUMBER($G$30),ISNUMBER($H$30)),ABS($H$30-$G$30),"")</f>
        <v>0</v>
      </c>
      <c r="J30" s="76">
        <v>1E-09</v>
      </c>
      <c r="K30" s="45" t="str">
        <f>IF(AND(ISNUMBER($G$30),ISNUMBER($H$30)),IF(ABS($H$30-$G$30)&lt;=$J$30,"PASS","FAIL"),"FAIL")</f>
        <v>PASS</v>
      </c>
    </row>
    <row r="31" spans="2:11" ht="16.2" customHeight="1">
      <c r="B31" s="62">
        <v>21</v>
      </c>
      <c r="C31" s="71" t="s">
        <v>534</v>
      </c>
      <c r="D31" s="71"/>
      <c r="E31" s="71"/>
      <c r="F31" s="71"/>
      <c r="G31" s="77">
        <v>1</v>
      </c>
      <c r="H31" s="41">
        <f>COUNTIFS(tblVerifyWorkOrders[Due status],"Overdue")</f>
        <v>1</v>
      </c>
      <c r="I31" s="75">
        <f>IF(AND(ISNUMBER($G$31),ISNUMBER($H$31)),ABS($H$31-$G$31),"")</f>
        <v>0</v>
      </c>
      <c r="J31" s="76">
        <v>1E-09</v>
      </c>
      <c r="K31" s="45" t="str">
        <f>IF(AND(ISNUMBER($G$31),ISNUMBER($H$31)),IF(ABS($H$31-$G$31)&lt;=$J$31,"PASS","FAIL"),"FAIL")</f>
        <v>PASS</v>
      </c>
    </row>
    <row r="33" spans="2:12" ht="21" customHeight="1">
      <c r="B33" s="8" t="s">
        <v>535</v>
      </c>
      <c r="C33" s="8"/>
      <c r="D33" s="8"/>
      <c r="E33" s="8"/>
      <c r="F33" s="8"/>
      <c r="G33" s="8"/>
      <c r="H33" s="8"/>
      <c r="I33" s="8"/>
      <c r="J33" s="8"/>
      <c r="K33" s="8"/>
      <c r="L33" s="8"/>
    </row>
    <row r="34" spans="2:12" ht="5" customHeight="1"/>
    <row r="35" spans="2:12">
      <c r="B35" s="21" t="s">
        <v>536</v>
      </c>
      <c r="C35" s="21"/>
      <c r="D35" s="21"/>
      <c r="E35" s="21"/>
      <c r="F35" s="21"/>
      <c r="G35" s="21"/>
      <c r="H35" s="21"/>
      <c r="I35" s="21"/>
      <c r="J35" s="21"/>
      <c r="K35" s="21"/>
      <c r="L35" s="21"/>
    </row>
    <row r="36" spans="2:12">
      <c r="B36" s="35" t="s">
        <v>537</v>
      </c>
      <c r="C36" s="35"/>
      <c r="D36" s="35"/>
      <c r="E36" s="35"/>
      <c r="F36" s="35"/>
    </row>
    <row r="37" spans="2:12">
      <c r="B37" s="27" t="s">
        <v>538</v>
      </c>
      <c r="C37" s="27"/>
      <c r="D37" s="27"/>
      <c r="E37" s="74">
        <v>46094</v>
      </c>
      <c r="F37" s="7"/>
    </row>
    <row r="38" spans="2:12">
      <c r="B38" s="27" t="s">
        <v>80</v>
      </c>
      <c r="C38" s="27"/>
      <c r="D38" s="27"/>
      <c r="E38" s="78">
        <v>50</v>
      </c>
      <c r="F38" s="7"/>
    </row>
    <row r="39" spans="2:12">
      <c r="B39" s="27" t="s">
        <v>539</v>
      </c>
      <c r="C39" s="27"/>
      <c r="D39" s="27"/>
      <c r="E39" s="77">
        <v>3</v>
      </c>
      <c r="F39" s="7"/>
    </row>
    <row r="40" spans="2:12">
      <c r="B40" s="27" t="s">
        <v>540</v>
      </c>
      <c r="C40" s="27"/>
      <c r="D40" s="27"/>
      <c r="E40" s="77">
        <v>0</v>
      </c>
      <c r="F40" s="7"/>
    </row>
    <row r="41" spans="2:12">
      <c r="B41" s="27" t="s">
        <v>541</v>
      </c>
      <c r="C41" s="27"/>
      <c r="D41" s="27"/>
      <c r="E41" s="77">
        <v>2958465</v>
      </c>
      <c r="F41" s="7"/>
    </row>
    <row r="43" spans="2:12">
      <c r="B43" s="35" t="s">
        <v>542</v>
      </c>
      <c r="C43" s="35"/>
      <c r="D43" s="35"/>
      <c r="E43" s="35"/>
      <c r="F43" s="35"/>
      <c r="G43" s="35"/>
      <c r="H43" s="35"/>
      <c r="I43" s="35"/>
      <c r="J43" s="35"/>
      <c r="K43" s="35"/>
      <c r="L43" s="35"/>
    </row>
    <row r="44" spans="2:12">
      <c r="B44" s="27" t="s">
        <v>82</v>
      </c>
      <c r="C44" s="27"/>
      <c r="D44" s="27"/>
      <c r="E44" s="79">
        <v>320</v>
      </c>
      <c r="F44" s="7" t="s">
        <v>83</v>
      </c>
    </row>
    <row r="45" spans="2:12">
      <c r="B45" s="27" t="s">
        <v>84</v>
      </c>
      <c r="C45" s="27"/>
      <c r="D45" s="27"/>
      <c r="E45" s="79">
        <v>80</v>
      </c>
      <c r="F45" s="7" t="s">
        <v>83</v>
      </c>
    </row>
    <row r="46" spans="2:12">
      <c r="B46" s="17" t="s">
        <v>85</v>
      </c>
      <c r="C46" s="17"/>
      <c r="D46" s="17"/>
      <c r="E46" s="32">
        <f>$E$44-$E$45</f>
        <v>240</v>
      </c>
      <c r="F46" s="7" t="s">
        <v>83</v>
      </c>
    </row>
    <row r="48" spans="2:12">
      <c r="B48" s="35" t="s">
        <v>543</v>
      </c>
      <c r="C48" s="35"/>
      <c r="D48" s="35"/>
      <c r="E48" s="35"/>
      <c r="F48" s="35"/>
      <c r="G48" s="35"/>
      <c r="H48" s="35"/>
      <c r="I48" s="35"/>
      <c r="J48" s="35"/>
      <c r="K48" s="35"/>
      <c r="L48" s="35"/>
    </row>
    <row r="49" spans="2:28" ht="14" customHeight="1">
      <c r="B49" s="38"/>
      <c r="C49" s="38"/>
      <c r="D49" s="38"/>
      <c r="E49" s="38"/>
      <c r="F49" s="38"/>
      <c r="G49" s="38"/>
      <c r="H49" s="38"/>
      <c r="I49" s="38"/>
      <c r="J49" s="38"/>
      <c r="K49" s="38"/>
      <c r="L49" s="38"/>
      <c r="M49" s="38" t="str">
        <f>Currency</f>
        <v>USD</v>
      </c>
      <c r="N49" s="38" t="str">
        <f>Currency</f>
        <v>USD</v>
      </c>
      <c r="O49" s="38"/>
      <c r="P49" s="38"/>
      <c r="Q49" s="38"/>
      <c r="R49" s="38"/>
      <c r="S49" s="38"/>
      <c r="T49" s="38"/>
      <c r="U49" s="38"/>
      <c r="V49" s="38"/>
      <c r="W49" s="38" t="str">
        <f>Currency</f>
        <v>USD</v>
      </c>
      <c r="X49" s="38" t="str">
        <f>Currency</f>
        <v>USD</v>
      </c>
      <c r="Y49" s="38"/>
      <c r="Z49" s="38"/>
      <c r="AA49" s="38"/>
      <c r="AB49" s="38"/>
    </row>
    <row r="50" spans="2:28" ht="32" customHeight="1">
      <c r="B50" s="36" t="s">
        <v>164</v>
      </c>
      <c r="C50" s="36" t="s">
        <v>165</v>
      </c>
      <c r="D50" s="36" t="s">
        <v>64</v>
      </c>
      <c r="E50" s="36" t="s">
        <v>166</v>
      </c>
      <c r="F50" s="36" t="s">
        <v>65</v>
      </c>
      <c r="G50" s="36" t="s">
        <v>68</v>
      </c>
      <c r="H50" s="36" t="s">
        <v>167</v>
      </c>
      <c r="I50" s="36" t="s">
        <v>168</v>
      </c>
      <c r="J50" s="36" t="s">
        <v>169</v>
      </c>
      <c r="K50" s="36" t="s">
        <v>170</v>
      </c>
      <c r="L50" s="36" t="s">
        <v>171</v>
      </c>
      <c r="M50" s="36" t="s">
        <v>172</v>
      </c>
      <c r="N50" s="36" t="s">
        <v>173</v>
      </c>
      <c r="O50" s="36" t="s">
        <v>174</v>
      </c>
      <c r="P50" s="36" t="s">
        <v>63</v>
      </c>
      <c r="Q50" s="36" t="s">
        <v>66</v>
      </c>
      <c r="R50" s="36" t="s">
        <v>69</v>
      </c>
      <c r="S50" s="36" t="s">
        <v>175</v>
      </c>
      <c r="T50" s="36" t="s">
        <v>176</v>
      </c>
      <c r="U50" s="36" t="s">
        <v>177</v>
      </c>
      <c r="V50" s="36" t="s">
        <v>178</v>
      </c>
      <c r="W50" s="36" t="s">
        <v>179</v>
      </c>
      <c r="X50" s="36" t="s">
        <v>180</v>
      </c>
      <c r="Y50" s="36" t="s">
        <v>181</v>
      </c>
      <c r="Z50" s="36" t="s">
        <v>182</v>
      </c>
      <c r="AA50" s="36" t="s">
        <v>183</v>
      </c>
      <c r="AB50" s="36" t="s">
        <v>184</v>
      </c>
    </row>
    <row r="51" spans="2:28">
      <c r="B51" s="70" t="s">
        <v>544</v>
      </c>
      <c r="C51" s="74">
        <v>46083</v>
      </c>
      <c r="D51" s="70" t="s">
        <v>545</v>
      </c>
      <c r="E51" s="70" t="s">
        <v>407</v>
      </c>
      <c r="F51" s="70" t="s">
        <v>130</v>
      </c>
      <c r="G51" s="70" t="s">
        <v>145</v>
      </c>
      <c r="H51" s="70" t="s">
        <v>546</v>
      </c>
      <c r="I51" s="70" t="s">
        <v>200</v>
      </c>
      <c r="J51" s="74">
        <v>46085</v>
      </c>
      <c r="K51" s="79">
        <v>4</v>
      </c>
      <c r="L51" s="79">
        <v>3.5</v>
      </c>
      <c r="M51" s="78">
        <v>120</v>
      </c>
      <c r="N51" s="78">
        <v>0</v>
      </c>
      <c r="O51" s="79">
        <v>0</v>
      </c>
      <c r="P51" s="70" t="s">
        <v>105</v>
      </c>
      <c r="Q51" s="70" t="s">
        <v>131</v>
      </c>
      <c r="R51" s="77">
        <v>3</v>
      </c>
      <c r="S51" s="42">
        <f>IF(tblVerifyWorkOrders[[#This Row],[WO no.]]="","",IF(tblVerifyWorkOrders[[#This Row],[Target (days)]]="","",tblVerifyWorkOrders[[#This Row],[Date raised]]+tblVerifyWorkOrders[[#This Row],[Target (days)]]))</f>
        <v>46086</v>
      </c>
      <c r="T51" s="41">
        <f>IF(tblVerifyWorkOrders[[#This Row],[WO no.]]="","",IF(OR(tblVerifyWorkOrders[[#This Row],[Status]]="Complete",tblVerifyWorkOrders[[#This Row],[Status]]="Cancelled"),0,1))</f>
        <v>0</v>
      </c>
      <c r="U51"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2</v>
      </c>
      <c r="V51" s="43">
        <f>IF(tblVerifyWorkOrders[[#This Row],[WO no.]]="","",IF(tblVerifyWorkOrders[[#This Row],[Open]]=1,MAX(0,tblVerifyWorkOrders[[#This Row],[Estimated (h)]]-tblVerifyWorkOrders[[#This Row],[Actual (h)]]),0))</f>
        <v>0</v>
      </c>
      <c r="W51" s="44">
        <f>IF(tblVerifyWorkOrders[[#This Row],[WO no.]]="","",tblVerifyWorkOrders[[#This Row],[Actual (h)]]*$E$38)</f>
        <v>175</v>
      </c>
      <c r="X51" s="44">
        <f>IF(tblVerifyWorkOrders[[#This Row],[WO no.]]="","",tblVerifyWorkOrders[[#This Row],[Labour cost]]+tblVerifyWorkOrders[[#This Row],[Parts cost]]+tblVerifyWorkOrders[[#This Row],[Contractor cost]])</f>
        <v>295</v>
      </c>
      <c r="Y51" s="45" t="str">
        <f>IF(tblVerifyWorkOrders[[#This Row],[WO no.]]="","",IF(tblVerifyWorkOrders[[#This Row],[Status]]="Cancelled","",IF(tblVerifyWorkOrders[[#This Row],[Open]]=0,"Complete",IF(tblVerifyWorkOrders[[#This Row],[Due date]]="","",IF($E$37&gt;tblVerifyWorkOrders[[#This Row],[Due date]],"Overdue",IF(tblVerifyWorkOrders[[#This Row],[Due date]]-$E$37&lt;=$E$39,"Due soon","OK"))))))</f>
        <v>Complete</v>
      </c>
      <c r="Z51" s="45" t="str">
        <f>IF(tblVerifyWorkOrders[[#This Row],[WO no.]]="","",IF(OR(tblVerifyWorkOrders[[#This Row],[Status]]&lt;&gt;"Complete",tblVerifyWorkOrders[[#This Row],[Date completed]]="",tblVerifyWorkOrders[[#This Row],[Due date]]=""),"",IF(tblVerifyWorkOrders[[#This Row],[Date completed]]&lt;=tblVerifyWorkOrders[[#This Row],[Due date]],"Yes","No")))</f>
        <v>Yes</v>
      </c>
      <c r="AA51" s="42">
        <f>IF(tblVerifyWorkOrders[[#This Row],[WO no.]]="","",IF(AND(tblVerifyWorkOrders[[#This Row],[Date raised]]&gt;=$E$40,tblVerifyWorkOrders[[#This Row],[Date raised]]&lt;=$E$41),tblVerifyWorkOrders[[#This Row],[Date raised]],""))</f>
        <v>46083</v>
      </c>
      <c r="AB51"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2" spans="2:28">
      <c r="B52" s="70" t="s">
        <v>547</v>
      </c>
      <c r="C52" s="74">
        <v>46083</v>
      </c>
      <c r="D52" s="70" t="s">
        <v>545</v>
      </c>
      <c r="E52" s="70" t="s">
        <v>548</v>
      </c>
      <c r="F52" s="70" t="s">
        <v>127</v>
      </c>
      <c r="G52" s="70" t="s">
        <v>143</v>
      </c>
      <c r="H52" s="70" t="s">
        <v>546</v>
      </c>
      <c r="I52" s="70" t="s">
        <v>200</v>
      </c>
      <c r="J52" s="74">
        <v>46085</v>
      </c>
      <c r="K52" s="79">
        <v>2</v>
      </c>
      <c r="L52" s="79">
        <v>3</v>
      </c>
      <c r="M52" s="78">
        <v>0</v>
      </c>
      <c r="N52" s="78">
        <v>400</v>
      </c>
      <c r="O52" s="79">
        <v>2.5</v>
      </c>
      <c r="P52" s="70" t="s">
        <v>105</v>
      </c>
      <c r="Q52" s="70" t="s">
        <v>128</v>
      </c>
      <c r="R52" s="77">
        <v>1</v>
      </c>
      <c r="S52" s="42">
        <f>IF(tblVerifyWorkOrders[[#This Row],[WO no.]]="","",IF(tblVerifyWorkOrders[[#This Row],[Target (days)]]="","",tblVerifyWorkOrders[[#This Row],[Date raised]]+tblVerifyWorkOrders[[#This Row],[Target (days)]]))</f>
        <v>46084</v>
      </c>
      <c r="T52" s="41">
        <f>IF(tblVerifyWorkOrders[[#This Row],[WO no.]]="","",IF(OR(tblVerifyWorkOrders[[#This Row],[Status]]="Complete",tblVerifyWorkOrders[[#This Row],[Status]]="Cancelled"),0,1))</f>
        <v>0</v>
      </c>
      <c r="U52"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2</v>
      </c>
      <c r="V52" s="43">
        <f>IF(tblVerifyWorkOrders[[#This Row],[WO no.]]="","",IF(tblVerifyWorkOrders[[#This Row],[Open]]=1,MAX(0,tblVerifyWorkOrders[[#This Row],[Estimated (h)]]-tblVerifyWorkOrders[[#This Row],[Actual (h)]]),0))</f>
        <v>0</v>
      </c>
      <c r="W52" s="44">
        <f>IF(tblVerifyWorkOrders[[#This Row],[WO no.]]="","",tblVerifyWorkOrders[[#This Row],[Actual (h)]]*$E$38)</f>
        <v>150</v>
      </c>
      <c r="X52" s="44">
        <f>IF(tblVerifyWorkOrders[[#This Row],[WO no.]]="","",tblVerifyWorkOrders[[#This Row],[Labour cost]]+tblVerifyWorkOrders[[#This Row],[Parts cost]]+tblVerifyWorkOrders[[#This Row],[Contractor cost]])</f>
        <v>550</v>
      </c>
      <c r="Y52" s="45" t="str">
        <f>IF(tblVerifyWorkOrders[[#This Row],[WO no.]]="","",IF(tblVerifyWorkOrders[[#This Row],[Status]]="Cancelled","",IF(tblVerifyWorkOrders[[#This Row],[Open]]=0,"Complete",IF(tblVerifyWorkOrders[[#This Row],[Due date]]="","",IF($E$37&gt;tblVerifyWorkOrders[[#This Row],[Due date]],"Overdue",IF(tblVerifyWorkOrders[[#This Row],[Due date]]-$E$37&lt;=$E$39,"Due soon","OK"))))))</f>
        <v>Complete</v>
      </c>
      <c r="Z52" s="45" t="str">
        <f>IF(tblVerifyWorkOrders[[#This Row],[WO no.]]="","",IF(OR(tblVerifyWorkOrders[[#This Row],[Status]]&lt;&gt;"Complete",tblVerifyWorkOrders[[#This Row],[Date completed]]="",tblVerifyWorkOrders[[#This Row],[Due date]]=""),"",IF(tblVerifyWorkOrders[[#This Row],[Date completed]]&lt;=tblVerifyWorkOrders[[#This Row],[Due date]],"Yes","No")))</f>
        <v>No</v>
      </c>
      <c r="AA52" s="42">
        <f>IF(tblVerifyWorkOrders[[#This Row],[WO no.]]="","",IF(AND(tblVerifyWorkOrders[[#This Row],[Date raised]]&gt;=$E$40,tblVerifyWorkOrders[[#This Row],[Date raised]]&lt;=$E$41),tblVerifyWorkOrders[[#This Row],[Date raised]],""))</f>
        <v>46083</v>
      </c>
      <c r="AB52"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3" spans="2:28">
      <c r="B53" s="70" t="s">
        <v>549</v>
      </c>
      <c r="C53" s="74">
        <v>46073</v>
      </c>
      <c r="D53" s="70" t="s">
        <v>550</v>
      </c>
      <c r="E53" s="70" t="s">
        <v>551</v>
      </c>
      <c r="F53" s="70" t="s">
        <v>133</v>
      </c>
      <c r="G53" s="70" t="s">
        <v>147</v>
      </c>
      <c r="H53" s="70" t="s">
        <v>546</v>
      </c>
      <c r="I53" s="70" t="s">
        <v>195</v>
      </c>
      <c r="J53" s="74"/>
      <c r="K53" s="79">
        <v>6</v>
      </c>
      <c r="L53" s="79">
        <v>2</v>
      </c>
      <c r="M53" s="78">
        <v>0</v>
      </c>
      <c r="N53" s="78">
        <v>0</v>
      </c>
      <c r="O53" s="79">
        <v>0</v>
      </c>
      <c r="P53" s="70" t="s">
        <v>105</v>
      </c>
      <c r="Q53" s="70" t="s">
        <v>134</v>
      </c>
      <c r="R53" s="77">
        <v>14</v>
      </c>
      <c r="S53" s="42">
        <f>IF(tblVerifyWorkOrders[[#This Row],[WO no.]]="","",IF(tblVerifyWorkOrders[[#This Row],[Target (days)]]="","",tblVerifyWorkOrders[[#This Row],[Date raised]]+tblVerifyWorkOrders[[#This Row],[Target (days)]]))</f>
        <v>46087</v>
      </c>
      <c r="T53" s="41">
        <f>IF(tblVerifyWorkOrders[[#This Row],[WO no.]]="","",IF(OR(tblVerifyWorkOrders[[#This Row],[Status]]="Complete",tblVerifyWorkOrders[[#This Row],[Status]]="Cancelled"),0,1))</f>
        <v>1</v>
      </c>
      <c r="U53"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21</v>
      </c>
      <c r="V53" s="43">
        <f>IF(tblVerifyWorkOrders[[#This Row],[WO no.]]="","",IF(tblVerifyWorkOrders[[#This Row],[Open]]=1,MAX(0,tblVerifyWorkOrders[[#This Row],[Estimated (h)]]-tblVerifyWorkOrders[[#This Row],[Actual (h)]]),0))</f>
        <v>4</v>
      </c>
      <c r="W53" s="44">
        <f>IF(tblVerifyWorkOrders[[#This Row],[WO no.]]="","",tblVerifyWorkOrders[[#This Row],[Actual (h)]]*$E$38)</f>
        <v>100</v>
      </c>
      <c r="X53" s="44">
        <f>IF(tblVerifyWorkOrders[[#This Row],[WO no.]]="","",tblVerifyWorkOrders[[#This Row],[Labour cost]]+tblVerifyWorkOrders[[#This Row],[Parts cost]]+tblVerifyWorkOrders[[#This Row],[Contractor cost]])</f>
        <v>100</v>
      </c>
      <c r="Y53" s="45" t="str">
        <f>IF(tblVerifyWorkOrders[[#This Row],[WO no.]]="","",IF(tblVerifyWorkOrders[[#This Row],[Status]]="Cancelled","",IF(tblVerifyWorkOrders[[#This Row],[Open]]=0,"Complete",IF(tblVerifyWorkOrders[[#This Row],[Due date]]="","",IF($E$37&gt;tblVerifyWorkOrders[[#This Row],[Due date]],"Overdue",IF(tblVerifyWorkOrders[[#This Row],[Due date]]-$E$37&lt;=$E$39,"Due soon","OK"))))))</f>
        <v>Overdue</v>
      </c>
      <c r="Z53" s="45">
        <f>IF(tblVerifyWorkOrders[[#This Row],[WO no.]]="","",IF(OR(tblVerifyWorkOrders[[#This Row],[Status]]&lt;&gt;"Complete",tblVerifyWorkOrders[[#This Row],[Date completed]]="",tblVerifyWorkOrders[[#This Row],[Due date]]=""),"",IF(tblVerifyWorkOrders[[#This Row],[Date completed]]&lt;=tblVerifyWorkOrders[[#This Row],[Due date]],"Yes","No")))</f>
        <v/>
      </c>
      <c r="AA53" s="42">
        <f>IF(tblVerifyWorkOrders[[#This Row],[WO no.]]="","",IF(AND(tblVerifyWorkOrders[[#This Row],[Date raised]]&gt;=$E$40,tblVerifyWorkOrders[[#This Row],[Date raised]]&lt;=$E$41),tblVerifyWorkOrders[[#This Row],[Date raised]],""))</f>
        <v>46073</v>
      </c>
      <c r="AB53"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4" spans="2:28">
      <c r="B54" s="70" t="s">
        <v>552</v>
      </c>
      <c r="C54" s="74">
        <v>46083</v>
      </c>
      <c r="D54" s="70" t="s">
        <v>550</v>
      </c>
      <c r="E54" s="70" t="s">
        <v>553</v>
      </c>
      <c r="F54" s="70" t="s">
        <v>130</v>
      </c>
      <c r="G54" s="70" t="s">
        <v>147</v>
      </c>
      <c r="H54" s="70" t="s">
        <v>546</v>
      </c>
      <c r="I54" s="70" t="s">
        <v>188</v>
      </c>
      <c r="J54" s="74"/>
      <c r="K54" s="79">
        <v>8</v>
      </c>
      <c r="L54" s="79">
        <v>0</v>
      </c>
      <c r="M54" s="78">
        <v>0</v>
      </c>
      <c r="N54" s="78">
        <v>0</v>
      </c>
      <c r="O54" s="79">
        <v>0</v>
      </c>
      <c r="P54" s="70" t="s">
        <v>105</v>
      </c>
      <c r="Q54" s="70" t="s">
        <v>131</v>
      </c>
      <c r="R54" s="77">
        <v>14</v>
      </c>
      <c r="S54" s="42">
        <f>IF(tblVerifyWorkOrders[[#This Row],[WO no.]]="","",IF(tblVerifyWorkOrders[[#This Row],[Target (days)]]="","",tblVerifyWorkOrders[[#This Row],[Date raised]]+tblVerifyWorkOrders[[#This Row],[Target (days)]]))</f>
        <v>46097</v>
      </c>
      <c r="T54" s="41">
        <f>IF(tblVerifyWorkOrders[[#This Row],[WO no.]]="","",IF(OR(tblVerifyWorkOrders[[#This Row],[Status]]="Complete",tblVerifyWorkOrders[[#This Row],[Status]]="Cancelled"),0,1))</f>
        <v>1</v>
      </c>
      <c r="U54"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11</v>
      </c>
      <c r="V54" s="43">
        <f>IF(tblVerifyWorkOrders[[#This Row],[WO no.]]="","",IF(tblVerifyWorkOrders[[#This Row],[Open]]=1,MAX(0,tblVerifyWorkOrders[[#This Row],[Estimated (h)]]-tblVerifyWorkOrders[[#This Row],[Actual (h)]]),0))</f>
        <v>8</v>
      </c>
      <c r="W54" s="44">
        <f>IF(tblVerifyWorkOrders[[#This Row],[WO no.]]="","",tblVerifyWorkOrders[[#This Row],[Actual (h)]]*$E$38)</f>
        <v>0</v>
      </c>
      <c r="X54" s="44">
        <f>IF(tblVerifyWorkOrders[[#This Row],[WO no.]]="","",tblVerifyWorkOrders[[#This Row],[Labour cost]]+tblVerifyWorkOrders[[#This Row],[Parts cost]]+tblVerifyWorkOrders[[#This Row],[Contractor cost]])</f>
        <v>0</v>
      </c>
      <c r="Y54" s="45" t="str">
        <f>IF(tblVerifyWorkOrders[[#This Row],[WO no.]]="","",IF(tblVerifyWorkOrders[[#This Row],[Status]]="Cancelled","",IF(tblVerifyWorkOrders[[#This Row],[Open]]=0,"Complete",IF(tblVerifyWorkOrders[[#This Row],[Due date]]="","",IF($E$37&gt;tblVerifyWorkOrders[[#This Row],[Due date]],"Overdue",IF(tblVerifyWorkOrders[[#This Row],[Due date]]-$E$37&lt;=$E$39,"Due soon","OK"))))))</f>
        <v>Due soon</v>
      </c>
      <c r="Z54" s="45">
        <f>IF(tblVerifyWorkOrders[[#This Row],[WO no.]]="","",IF(OR(tblVerifyWorkOrders[[#This Row],[Status]]&lt;&gt;"Complete",tblVerifyWorkOrders[[#This Row],[Date completed]]="",tblVerifyWorkOrders[[#This Row],[Due date]]=""),"",IF(tblVerifyWorkOrders[[#This Row],[Date completed]]&lt;=tblVerifyWorkOrders[[#This Row],[Due date]],"Yes","No")))</f>
        <v/>
      </c>
      <c r="AA54" s="42">
        <f>IF(tblVerifyWorkOrders[[#This Row],[WO no.]]="","",IF(AND(tblVerifyWorkOrders[[#This Row],[Date raised]]&gt;=$E$40,tblVerifyWorkOrders[[#This Row],[Date raised]]&lt;=$E$41),tblVerifyWorkOrders[[#This Row],[Date raised]],""))</f>
        <v>46083</v>
      </c>
      <c r="AB54"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5" spans="2:28">
      <c r="B55" s="70" t="s">
        <v>554</v>
      </c>
      <c r="C55" s="74">
        <v>46093</v>
      </c>
      <c r="D55" s="70" t="s">
        <v>555</v>
      </c>
      <c r="E55" s="70" t="s">
        <v>556</v>
      </c>
      <c r="F55" s="70" t="s">
        <v>138</v>
      </c>
      <c r="G55" s="70" t="s">
        <v>149</v>
      </c>
      <c r="H55" s="70" t="s">
        <v>546</v>
      </c>
      <c r="I55" s="70" t="s">
        <v>176</v>
      </c>
      <c r="J55" s="74"/>
      <c r="K55" s="79">
        <v>10</v>
      </c>
      <c r="L55" s="79">
        <v>12</v>
      </c>
      <c r="M55" s="78">
        <v>0</v>
      </c>
      <c r="N55" s="78">
        <v>0</v>
      </c>
      <c r="O55" s="79">
        <v>0</v>
      </c>
      <c r="P55" s="70" t="s">
        <v>105</v>
      </c>
      <c r="Q55" s="70" t="s">
        <v>134</v>
      </c>
      <c r="R55" s="77">
        <v>30</v>
      </c>
      <c r="S55" s="42">
        <f>IF(tblVerifyWorkOrders[[#This Row],[WO no.]]="","",IF(tblVerifyWorkOrders[[#This Row],[Target (days)]]="","",tblVerifyWorkOrders[[#This Row],[Date raised]]+tblVerifyWorkOrders[[#This Row],[Target (days)]]))</f>
        <v>46123</v>
      </c>
      <c r="T55" s="41">
        <f>IF(tblVerifyWorkOrders[[#This Row],[WO no.]]="","",IF(OR(tblVerifyWorkOrders[[#This Row],[Status]]="Complete",tblVerifyWorkOrders[[#This Row],[Status]]="Cancelled"),0,1))</f>
        <v>1</v>
      </c>
      <c r="U55"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1</v>
      </c>
      <c r="V55" s="43">
        <f>IF(tblVerifyWorkOrders[[#This Row],[WO no.]]="","",IF(tblVerifyWorkOrders[[#This Row],[Open]]=1,MAX(0,tblVerifyWorkOrders[[#This Row],[Estimated (h)]]-tblVerifyWorkOrders[[#This Row],[Actual (h)]]),0))</f>
        <v>0</v>
      </c>
      <c r="W55" s="44">
        <f>IF(tblVerifyWorkOrders[[#This Row],[WO no.]]="","",tblVerifyWorkOrders[[#This Row],[Actual (h)]]*$E$38)</f>
        <v>600</v>
      </c>
      <c r="X55" s="44">
        <f>IF(tblVerifyWorkOrders[[#This Row],[WO no.]]="","",tblVerifyWorkOrders[[#This Row],[Labour cost]]+tblVerifyWorkOrders[[#This Row],[Parts cost]]+tblVerifyWorkOrders[[#This Row],[Contractor cost]])</f>
        <v>600</v>
      </c>
      <c r="Y55" s="45" t="str">
        <f>IF(tblVerifyWorkOrders[[#This Row],[WO no.]]="","",IF(tblVerifyWorkOrders[[#This Row],[Status]]="Cancelled","",IF(tblVerifyWorkOrders[[#This Row],[Open]]=0,"Complete",IF(tblVerifyWorkOrders[[#This Row],[Due date]]="","",IF($E$37&gt;tblVerifyWorkOrders[[#This Row],[Due date]],"Overdue",IF(tblVerifyWorkOrders[[#This Row],[Due date]]-$E$37&lt;=$E$39,"Due soon","OK"))))))</f>
        <v>OK</v>
      </c>
      <c r="Z55" s="45">
        <f>IF(tblVerifyWorkOrders[[#This Row],[WO no.]]="","",IF(OR(tblVerifyWorkOrders[[#This Row],[Status]]&lt;&gt;"Complete",tblVerifyWorkOrders[[#This Row],[Date completed]]="",tblVerifyWorkOrders[[#This Row],[Due date]]=""),"",IF(tblVerifyWorkOrders[[#This Row],[Date completed]]&lt;=tblVerifyWorkOrders[[#This Row],[Due date]],"Yes","No")))</f>
        <v/>
      </c>
      <c r="AA55" s="42">
        <f>IF(tblVerifyWorkOrders[[#This Row],[WO no.]]="","",IF(AND(tblVerifyWorkOrders[[#This Row],[Date raised]]&gt;=$E$40,tblVerifyWorkOrders[[#This Row],[Date raised]]&lt;=$E$41),tblVerifyWorkOrders[[#This Row],[Date raised]],""))</f>
        <v>46093</v>
      </c>
      <c r="AB55"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6" spans="2:28">
      <c r="B56" s="70" t="s">
        <v>557</v>
      </c>
      <c r="C56" s="74">
        <v>46084</v>
      </c>
      <c r="D56" s="70" t="s">
        <v>555</v>
      </c>
      <c r="E56" s="70" t="s">
        <v>279</v>
      </c>
      <c r="F56" s="70" t="s">
        <v>130</v>
      </c>
      <c r="G56" s="70" t="s">
        <v>145</v>
      </c>
      <c r="H56" s="70" t="s">
        <v>546</v>
      </c>
      <c r="I56" s="70" t="s">
        <v>279</v>
      </c>
      <c r="J56" s="74"/>
      <c r="K56" s="79">
        <v>2</v>
      </c>
      <c r="L56" s="79">
        <v>0</v>
      </c>
      <c r="M56" s="78">
        <v>0</v>
      </c>
      <c r="N56" s="78">
        <v>0</v>
      </c>
      <c r="O56" s="79">
        <v>0</v>
      </c>
      <c r="P56" s="70" t="s">
        <v>105</v>
      </c>
      <c r="Q56" s="70" t="s">
        <v>131</v>
      </c>
      <c r="R56" s="77">
        <v>3</v>
      </c>
      <c r="S56" s="42">
        <f>IF(tblVerifyWorkOrders[[#This Row],[WO no.]]="","",IF(tblVerifyWorkOrders[[#This Row],[Target (days)]]="","",tblVerifyWorkOrders[[#This Row],[Date raised]]+tblVerifyWorkOrders[[#This Row],[Target (days)]]))</f>
        <v>46087</v>
      </c>
      <c r="T56" s="41">
        <f>IF(tblVerifyWorkOrders[[#This Row],[WO no.]]="","",IF(OR(tblVerifyWorkOrders[[#This Row],[Status]]="Complete",tblVerifyWorkOrders[[#This Row],[Status]]="Cancelled"),0,1))</f>
        <v>0</v>
      </c>
      <c r="U56"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
      </c>
      <c r="V56" s="43">
        <f>IF(tblVerifyWorkOrders[[#This Row],[WO no.]]="","",IF(tblVerifyWorkOrders[[#This Row],[Open]]=1,MAX(0,tblVerifyWorkOrders[[#This Row],[Estimated (h)]]-tblVerifyWorkOrders[[#This Row],[Actual (h)]]),0))</f>
        <v>0</v>
      </c>
      <c r="W56" s="44">
        <f>IF(tblVerifyWorkOrders[[#This Row],[WO no.]]="","",tblVerifyWorkOrders[[#This Row],[Actual (h)]]*$E$38)</f>
        <v>0</v>
      </c>
      <c r="X56" s="44">
        <f>IF(tblVerifyWorkOrders[[#This Row],[WO no.]]="","",tblVerifyWorkOrders[[#This Row],[Labour cost]]+tblVerifyWorkOrders[[#This Row],[Parts cost]]+tblVerifyWorkOrders[[#This Row],[Contractor cost]])</f>
        <v>0</v>
      </c>
      <c r="Y56" s="45">
        <f>IF(tblVerifyWorkOrders[[#This Row],[WO no.]]="","",IF(tblVerifyWorkOrders[[#This Row],[Status]]="Cancelled","",IF(tblVerifyWorkOrders[[#This Row],[Open]]=0,"Complete",IF(tblVerifyWorkOrders[[#This Row],[Due date]]="","",IF($E$37&gt;tblVerifyWorkOrders[[#This Row],[Due date]],"Overdue",IF(tblVerifyWorkOrders[[#This Row],[Due date]]-$E$37&lt;=$E$39,"Due soon","OK"))))))</f>
        <v/>
      </c>
      <c r="Z56" s="45">
        <f>IF(tblVerifyWorkOrders[[#This Row],[WO no.]]="","",IF(OR(tblVerifyWorkOrders[[#This Row],[Status]]&lt;&gt;"Complete",tblVerifyWorkOrders[[#This Row],[Date completed]]="",tblVerifyWorkOrders[[#This Row],[Due date]]=""),"",IF(tblVerifyWorkOrders[[#This Row],[Date completed]]&lt;=tblVerifyWorkOrders[[#This Row],[Due date]],"Yes","No")))</f>
        <v/>
      </c>
      <c r="AA56" s="42">
        <f>IF(tblVerifyWorkOrders[[#This Row],[WO no.]]="","",IF(AND(tblVerifyWorkOrders[[#This Row],[Date raised]]&gt;=$E$40,tblVerifyWorkOrders[[#This Row],[Date raised]]&lt;=$E$41),tblVerifyWorkOrders[[#This Row],[Date raised]],""))</f>
        <v>46084</v>
      </c>
      <c r="AB56"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OK</v>
      </c>
    </row>
    <row r="57" spans="2:28">
      <c r="B57" s="70" t="s">
        <v>558</v>
      </c>
      <c r="C57" s="74">
        <v>46091</v>
      </c>
      <c r="D57" s="70" t="s">
        <v>545</v>
      </c>
      <c r="E57" s="70" t="s">
        <v>559</v>
      </c>
      <c r="F57" s="70" t="s">
        <v>130</v>
      </c>
      <c r="G57" s="70" t="s">
        <v>147</v>
      </c>
      <c r="H57" s="70" t="s">
        <v>546</v>
      </c>
      <c r="I57" s="70" t="s">
        <v>200</v>
      </c>
      <c r="J57" s="74">
        <v>46090</v>
      </c>
      <c r="K57" s="79">
        <v>1</v>
      </c>
      <c r="L57" s="79">
        <v>1</v>
      </c>
      <c r="M57" s="78">
        <v>0</v>
      </c>
      <c r="N57" s="78">
        <v>0</v>
      </c>
      <c r="O57" s="79">
        <v>0</v>
      </c>
      <c r="P57" s="70" t="s">
        <v>105</v>
      </c>
      <c r="Q57" s="70" t="s">
        <v>131</v>
      </c>
      <c r="R57" s="77">
        <v>14</v>
      </c>
      <c r="S57" s="42">
        <f>IF(tblVerifyWorkOrders[[#This Row],[WO no.]]="","",IF(tblVerifyWorkOrders[[#This Row],[Target (days)]]="","",tblVerifyWorkOrders[[#This Row],[Date raised]]+tblVerifyWorkOrders[[#This Row],[Target (days)]]))</f>
        <v>46105</v>
      </c>
      <c r="T57" s="41">
        <f>IF(tblVerifyWorkOrders[[#This Row],[WO no.]]="","",IF(OR(tblVerifyWorkOrders[[#This Row],[Status]]="Complete",tblVerifyWorkOrders[[#This Row],[Status]]="Cancelled"),0,1))</f>
        <v>0</v>
      </c>
      <c r="U57" s="41">
        <f>IF(tblVerifyWorkOrders[[#This Row],[WO no.]]="","",IF(tblVerifyWorkOrders[[#This Row],[Status]]="Cancelled","",IF(tblVerifyWorkOrders[[#This Row],[Open]]=1,$E$37-tblVerifyWorkOrders[[#This Row],[Date raised]],IF(tblVerifyWorkOrders[[#This Row],[Date completed]]="","",tblVerifyWorkOrders[[#This Row],[Date completed]]-tblVerifyWorkOrders[[#This Row],[Date raised]]))))</f>
        <v>-1</v>
      </c>
      <c r="V57" s="43">
        <f>IF(tblVerifyWorkOrders[[#This Row],[WO no.]]="","",IF(tblVerifyWorkOrders[[#This Row],[Open]]=1,MAX(0,tblVerifyWorkOrders[[#This Row],[Estimated (h)]]-tblVerifyWorkOrders[[#This Row],[Actual (h)]]),0))</f>
        <v>0</v>
      </c>
      <c r="W57" s="44">
        <f>IF(tblVerifyWorkOrders[[#This Row],[WO no.]]="","",tblVerifyWorkOrders[[#This Row],[Actual (h)]]*$E$38)</f>
        <v>50</v>
      </c>
      <c r="X57" s="44">
        <f>IF(tblVerifyWorkOrders[[#This Row],[WO no.]]="","",tblVerifyWorkOrders[[#This Row],[Labour cost]]+tblVerifyWorkOrders[[#This Row],[Parts cost]]+tblVerifyWorkOrders[[#This Row],[Contractor cost]])</f>
        <v>50</v>
      </c>
      <c r="Y57" s="45" t="str">
        <f>IF(tblVerifyWorkOrders[[#This Row],[WO no.]]="","",IF(tblVerifyWorkOrders[[#This Row],[Status]]="Cancelled","",IF(tblVerifyWorkOrders[[#This Row],[Open]]=0,"Complete",IF(tblVerifyWorkOrders[[#This Row],[Due date]]="","",IF($E$37&gt;tblVerifyWorkOrders[[#This Row],[Due date]],"Overdue",IF(tblVerifyWorkOrders[[#This Row],[Due date]]-$E$37&lt;=$E$39,"Due soon","OK"))))))</f>
        <v>Complete</v>
      </c>
      <c r="Z57" s="45" t="str">
        <f>IF(tblVerifyWorkOrders[[#This Row],[WO no.]]="","",IF(OR(tblVerifyWorkOrders[[#This Row],[Status]]&lt;&gt;"Complete",tblVerifyWorkOrders[[#This Row],[Date completed]]="",tblVerifyWorkOrders[[#This Row],[Due date]]=""),"",IF(tblVerifyWorkOrders[[#This Row],[Date completed]]&lt;=tblVerifyWorkOrders[[#This Row],[Due date]],"Yes","No")))</f>
        <v>Yes</v>
      </c>
      <c r="AA57" s="42">
        <f>IF(tblVerifyWorkOrders[[#This Row],[WO no.]]="","",IF(AND(tblVerifyWorkOrders[[#This Row],[Date raised]]&gt;=$E$40,tblVerifyWorkOrders[[#This Row],[Date raised]]&lt;=$E$41),tblVerifyWorkOrders[[#This Row],[Date raised]],""))</f>
        <v>46091</v>
      </c>
      <c r="AB57" s="46" t="str">
        <f>IF(tblVerifyWorkOrders[[#This Row],[WO no.]]="","",IF(tblVerifyWorkOrders[[#This Row],[Date raised]]="","Missing date raised",IF(tblVerifyWorkOrders[[#This Row],[Asset]]="","Missing asset",IF(tblVerifyWorkOrders[[#This Row],[Status]]="","Missing status",IF(tblVerifyWorkOrders[[#This Row],[Area]]="","Asset not on Setup list",IF(tblVerifyWorkOrders[[#This Row],[Category]]="","Work type not on Setup list",IF(tblVerifyWorkOrders[[#This Row],[Target (days)]]="","Priority not on Setup list",IF(OR(AND(tblVerifyWorkOrders[[#This Row],[Status]]="Complete",tblVerifyWorkOrders[[#This Row],[Date completed]]=""),AND(tblVerifyWorkOrders[[#This Row],[Status]]&lt;&gt;"Complete",tblVerifyWorkOrders[[#This Row],[Date completed]]&lt;&gt;"")),"Status and completion date disagree",IF(AND(tblVerifyWorkOrders[[#This Row],[Date completed]]&lt;&gt;"",tblVerifyWorkOrders[[#This Row],[Date completed]]&lt;tblVerifyWorkOrders[[#This Row],[Date raised]]),"Completed before raised",IF(OR(tblVerifyWorkOrders[[#This Row],[Date raised]]&gt;$E$37,AND(tblVerifyWorkOrders[[#This Row],[Date completed]]&lt;&gt;"",tblVerifyWorkOrders[[#This Row],[Date completed]]&gt;$E$37)),"Date after the status date",IF(COUNTIF(tblVerifyWorkOrders[WO no.],tblVerifyWorkOrders[[#This Row],[WO no.]])&gt;1,"Duplicate WO no.","OK")))))))))))</f>
        <v>Completed before raised</v>
      </c>
    </row>
  </sheetData>
  <sheetProtection sheet="1" formatColumns="0" formatRows="0"/>
  <mergeCells count="42">
    <mergeCell ref="A1:AB1"/>
    <mergeCell ref="B2:AA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B40:D40"/>
    <mergeCell ref="B41:D41"/>
    <mergeCell ref="B43:L43"/>
    <mergeCell ref="B44:D44"/>
    <mergeCell ref="B45:D45"/>
    <mergeCell ref="B46:D46"/>
    <mergeCell ref="B48:L48"/>
  </mergeCells>
  <conditionalFormatting sqref="AB51:AB57">
    <cfRule type="expression" dxfId="3" priority="41">
      <formula>$AB51="OK"</formula>
    </cfRule>
    <cfRule type="expression" dxfId="1" priority="42">
      <formula>AND($AB51&lt;&gt;"",$AB51&lt;&gt;"OK")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B2" r:id="rId1" tooltip="Free manufacturing calculators and templates"/>
  </hyperlinks>
  <printOptions horizontalCentered="1"/>
  <pageMargins left="0.4" right="0.4" top="0.7" bottom="0.65" header="0.3" footer="0.3"/>
  <pageSetup fitToHeight="0" orientation="landscape"/>
  <headerFooter>
    <oddHeader>&amp;L&amp;8MFG Calcs - Maintenance Work Order Log&amp;R&amp;8&amp;A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31</vt:i4>
      </vt:variant>
    </vt:vector>
  </HeadingPairs>
  <TitlesOfParts>
    <vt:vector size="37" baseType="lpstr">
      <vt:lpstr>Start Here</vt:lpstr>
      <vt:lpstr>Setup</vt:lpstr>
      <vt:lpstr>Work Orders</vt:lpstr>
      <vt:lpstr>Dashboard</vt:lpstr>
      <vt:lpstr>Method</vt:lpstr>
      <vt:lpstr>Verify</vt:lpstr>
      <vt:lpstr>AsOf</vt:lpstr>
      <vt:lpstr>CrewHours</vt:lpstr>
      <vt:lpstr>Currency</vt:lpstr>
      <vt:lpstr>DashFrom</vt:lpstr>
      <vt:lpstr>DashTo</vt:lpstr>
      <vt:lpstr>DueSoonDays</vt:lpstr>
      <vt:lpstr>KpiBacklogH</vt:lpstr>
      <vt:lpstr>KpiCost</vt:lpstr>
      <vt:lpstr>KpiEmerg</vt:lpstr>
      <vt:lpstr>KpiOnTime</vt:lpstr>
      <vt:lpstr>KpiOpen</vt:lpstr>
      <vt:lpstr>KpiOverdue</vt:lpstr>
      <vt:lpstr>KpiPlanned</vt:lpstr>
      <vt:lpstr>KpiWeeks</vt:lpstr>
      <vt:lpstr>LabourRate</vt:lpstr>
      <vt:lpstr>MaxEmergency</vt:lpstr>
      <vt:lpstr>NetCrewHours</vt:lpstr>
      <vt:lpstr>OtherHours</vt:lpstr>
      <vt:lpstr>PlantName</vt:lpstr>
      <vt:lpstr>Dashboard!Print_Area</vt:lpstr>
      <vt:lpstr>Method!Print_Area</vt:lpstr>
      <vt:lpstr>Setup!Print_Area</vt:lpstr>
      <vt:lpstr>'Start Here'!Print_Area</vt:lpstr>
      <vt:lpstr>Verify!Print_Area</vt:lpstr>
      <vt:lpstr>'Work Orders'!Print_Area</vt:lpstr>
      <vt:lpstr>Method!Print_Titles</vt:lpstr>
      <vt:lpstr>'Work Orders'!Print_Titles</vt:lpstr>
      <vt:lpstr>SelfCheck</vt:lpstr>
      <vt:lpstr>SelfCheckSummary</vt:lpstr>
      <vt:lpstr>TargetOnTime</vt:lpstr>
      <vt:lpstr>TargetWeeks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Maintenance Work Order Log - free Excel template from MFG Calcs</dc:title>
  <dc:subject>Log every maintenance work order and see the open backlog in crew-weeks, overdue jobs, emergency work and where the hours and money go.</dc:subject>
  <dc:creator>MFG Calcs</dc:creator>
  <cp:keywords>maintenance work order, work order log, maintenance backlog, backlog weeks, emergency work, CMMS, planned maintenance, maintenance KPI</cp:keywords>
  <dc:description>https://www.mfgcalcs.com/templates/maintenance-work-orders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maintenance-work-orders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https://www.mfgcalcs.com/templates/maintenance-work-orders</vt:lpwstr>
  </property>
  <property fmtid="{D5CDD505-2E9C-101B-9397-08002B2CF9AE}" pid="7" name="Template sheet roles">
    <vt:lpwstr>Start Here=start;Setup=setup;Work Orders=work;Dashboard=dashboard;Method=method;Verify=verify</vt:lpwstr>
  </property>
</Properties>
</file>