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Make vs Buy" sheetId="3" r:id="rId3"/>
    <sheet name="Dashboard" sheetId="4" r:id="rId4"/>
    <sheet name="Method" sheetId="5" r:id="rId5"/>
    <sheet name="Verify" sheetId="6" r:id="rId6"/>
  </sheets>
  <definedNames>
    <definedName name="AllBuy">'Make vs Buy'!$C$56</definedName>
    <definedName name="AllMake">'Make vs Buy'!$C$57</definedName>
    <definedName name="AvailHours">Setup!$C$9</definedName>
    <definedName name="Blended">'Make vs Buy'!$C$59</definedName>
    <definedName name="BoughtUnits">'Make vs Buy'!$C$52</definedName>
    <definedName name="BreakEven">'Make vs Buy'!$C$60</definedName>
    <definedName name="BuyFixed">'Make vs Buy'!$C$47</definedName>
    <definedName name="BuyPrice">'Make vs Buy'!$C$46</definedName>
    <definedName name="BuyScore">'Make vs Buy'!$C$92</definedName>
    <definedName name="CoName">Setup!$C$6</definedName>
    <definedName name="Currency">Setup!$C$7</definedName>
    <definedName name="Demand">'Make vs Buy'!$C$9</definedName>
    <definedName name="Horizon">Setup!$C$8</definedName>
    <definedName name="HoursPerUnit">'Make vs Buy'!$C$11</definedName>
    <definedName name="KpiAbsorbed">Dashboard!$B$37</definedName>
    <definedName name="KpiBreakEven">Dashboard!$G$7</definedName>
    <definedName name="KpiBuyScore">Dashboard!$J$37</definedName>
    <definedName name="KpiMakeScore">Dashboard!$G$37</definedName>
    <definedName name="KpiMakeVar">Dashboard!$D$37</definedName>
    <definedName name="KpiSaving">Dashboard!$B$7</definedName>
    <definedName name="KpiUtil">Dashboard!$J$7</definedName>
    <definedName name="KpiVerdict">Dashboard!$D$7</definedName>
    <definedName name="MadeUnits">'Make vs Buy'!$C$51</definedName>
    <definedName name="MakeAbsorbed">'Make vs Buy'!$C$30</definedName>
    <definedName name="MakeFixed">'Make vs Buy'!$C$29</definedName>
    <definedName name="MakeScore">'Make vs Buy'!$C$91</definedName>
    <definedName name="MakeVar">'Make vs Buy'!$C$28</definedName>
    <definedName name="NearAt">Setup!$C$10</definedName>
    <definedName name="PartName">'Make vs Buy'!$C$8</definedName>
    <definedName name="PlanBuy">'Make vs Buy'!$C$54</definedName>
    <definedName name="PlanCapacity">'Make vs Buy'!$C$63</definedName>
    <definedName name="PlanCost">'Make vs Buy'!$C$55</definedName>
    <definedName name="PlanHours">'Make vs Buy'!$C$61</definedName>
    <definedName name="PlanMake">'Make vs Buy'!$C$53</definedName>
    <definedName name="PlanShare">'Make vs Buy'!$C$10</definedName>
    <definedName name="PlanUtil">'Make vs Buy'!$C$62</definedName>
    <definedName name="_xlnm.Print_Area" localSheetId="3">Dashboard!$A$1:$L$77</definedName>
    <definedName name="_xlnm.Print_Area" localSheetId="2">'Make vs Buy'!$A$1:$H$95</definedName>
    <definedName name="_xlnm.Print_Area" localSheetId="4">Method!$A$1:$D$59</definedName>
    <definedName name="_xlnm.Print_Area" localSheetId="1">Setup!$A$1:$E$12</definedName>
    <definedName name="_xlnm.Print_Area" localSheetId="0">'Start Here'!$A$1:$F$56</definedName>
    <definedName name="_xlnm.Print_Area" localSheetId="5">Verify!$A$1:$L$102</definedName>
    <definedName name="_xlnm.Print_Titles" localSheetId="4">Method!$1:$2</definedName>
    <definedName name="Saving">'Make vs Buy'!$C$58</definedName>
    <definedName name="SelfCheck">Verify!$D$4</definedName>
    <definedName name="SelfCheckSummary">Verify!$F$4</definedName>
    <definedName name="Verdict">'Make vs Buy'!$C$64</definedName>
    <definedName name="VolStep">MAX(1,CEILING(MAX(Demand,IF(ISNUMBER(BreakEven),BreakEven,0))*1.5/10,10))</definedName>
    <definedName name="WeightCheck">'Make vs Buy'!$C$93</definedName>
    <definedName name="WeightSum">'Make vs Buy'!$C$90</definedName>
  </definedNames>
  <calcPr calcId="124519" fullCalcOnLoad="1"/>
</workbook>
</file>

<file path=xl/sharedStrings.xml><?xml version="1.0" encoding="utf-8"?>
<sst xmlns="http://schemas.openxmlformats.org/spreadsheetml/2006/main" count="564" uniqueCount="323">
  <si>
    <t>Make vs Buy Analysis</t>
  </si>
  <si>
    <t>Read this first: what the workbook does and how to use it.</t>
  </si>
  <si>
    <t>mfgcalcs.com</t>
  </si>
  <si>
    <t>Compare the avoidable cost of making a part with the delivered cost of buying it, for all-make, all-buy or a split, with break-even and capacity.</t>
  </si>
  <si>
    <t>For: Plant and operations managers, cost and manufacturing engineers, buyers and owners deciding whether to make, buy or split a part.</t>
  </si>
  <si>
    <t>Version 1.0.0  ·  updated 15 October 2026</t>
  </si>
  <si>
    <t>Quick start</t>
  </si>
  <si>
    <t>1.</t>
  </si>
  <si>
    <t>On Setup, type your company, currency, decision horizon and the hours the make resource has available.</t>
  </si>
  <si>
    <t>2.</t>
  </si>
  <si>
    <t>On Make vs Buy, enter the part, annual demand, your internal share and the hours per unit to make it.</t>
  </si>
  <si>
    <t>3.</t>
  </si>
  <si>
    <t>List the make costs (per unit, per year or one-off) and mark each Avoidable Yes or No; list the buy costs the same way.</t>
  </si>
  <si>
    <t>4.</t>
  </si>
  <si>
    <t>Read the plan results, break-even volume and capacity check, compare the scenarios, and score the strategic factors.</t>
  </si>
  <si>
    <t>5.</t>
  </si>
  <si>
    <t>Open the Dashboard for the decision on one page.</t>
  </si>
  <si>
    <t>What is in this workbook</t>
  </si>
  <si>
    <t>Start Here</t>
  </si>
  <si>
    <t>Setup</t>
  </si>
  <si>
    <t>Your company, currency, decision horizon and the capacity of the make resource.</t>
  </si>
  <si>
    <t>Make vs Buy</t>
  </si>
  <si>
    <t>The part, the cost to make and to buy, your plan, scenarios by internal share and strategic factors.</t>
  </si>
  <si>
    <t>Dashboard</t>
  </si>
  <si>
    <t>The make-or-buy decision for the part on one page: costs, break-even, capacity and strategic factors.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</si>
  <si>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</si>
  <si>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</si>
  <si>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</si>
  <si>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</si>
  <si>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</si>
  <si>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</si>
  <si>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</si>
  <si>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</si>
  <si>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</si>
  <si>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</si>
  <si>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</si>
  <si>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</si>
  <si>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</si>
  <si>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</si>
  <si>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</si>
  <si>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</si>
  <si>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</si>
  <si>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</si>
  <si>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</si>
  <si>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</si>
  <si>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Make vs Buy Cost Calculator on mfgcalcs.com</t>
  </si>
  <si>
    <t>Latest version</t>
  </si>
  <si>
    <t>mfgcalcs.com/templates/make-vs-buy-analysis</t>
  </si>
  <si>
    <t>More free templates</t>
  </si>
  <si>
    <t>mfgcalcs.com/templates</t>
  </si>
  <si>
    <t>Version</t>
  </si>
  <si>
    <t>1.0.0 (updated 15 October 2026)</t>
  </si>
  <si>
    <t>About the example data</t>
  </si>
  <si>
    <t>Every number already in this workbook is example data for Thornbury Hydraulics, a fictional business invented for this template, so the dashboard and charts show something meaningful on day one. It decides whether to keep machining a rod-end bracket (18,000 a year) or buy it from a supplier. All costs, prices and hours are invented for the example. To start with your own data, overwrite the yellow cells.</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</si>
  <si>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</si>
  <si>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</si>
  <si>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</si>
  <si>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</si>
  <si>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</si>
  <si>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</si>
  <si>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</si>
  <si>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</si>
  <si>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Company and decision settings</t>
  </si>
  <si>
    <t>Company or plant</t>
  </si>
  <si>
    <t>Thornbury Hydraulics (example)</t>
  </si>
  <si>
    <t>Currency label</t>
  </si>
  <si>
    <t>GBP</t>
  </si>
  <si>
    <t>Decision horizon (one-off costs spread over)</t>
  </si>
  <si>
    <t>years</t>
  </si>
  <si>
    <t>Hours available on the make resource</t>
  </si>
  <si>
    <t>h/year</t>
  </si>
  <si>
    <t>Near capacity from</t>
  </si>
  <si>
    <t>Only avoidable costs decide a make-or-buy: the costs that stop if you stop making. Allocated overhead that stays (rent, management, shared services) is marked Avoidable = No on the Make vs Buy sheet and shown only as the full absorbed cost, for comparison with what a cost report would say.</t>
  </si>
  <si>
    <t>Item</t>
  </si>
  <si>
    <t>Basis</t>
  </si>
  <si>
    <t>Amount</t>
  </si>
  <si>
    <t>Avoidable</t>
  </si>
  <si>
    <t>Per unit at demand</t>
  </si>
  <si>
    <t>Check</t>
  </si>
  <si>
    <t>Notes</t>
  </si>
  <si>
    <t>Paid to</t>
  </si>
  <si>
    <t>Factor</t>
  </si>
  <si>
    <t>Weight</t>
  </si>
  <si>
    <t>Make score</t>
  </si>
  <si>
    <t>Buy score</t>
  </si>
  <si>
    <t>Weighted make</t>
  </si>
  <si>
    <t>Weighted buy</t>
  </si>
  <si>
    <t>Example for Thornbury Hydraulics (fictional). Overwrite the yellow cells with your part; edit, add or delete the example table rows. Blue cells calculate.</t>
  </si>
  <si>
    <t>Part, volume and capacity</t>
  </si>
  <si>
    <t>Part</t>
  </si>
  <si>
    <t>Rod-end bracket RB-50 (example)</t>
  </si>
  <si>
    <t>Annual demand</t>
  </si>
  <si>
    <t>good units/yr</t>
  </si>
  <si>
    <t>Internal share in your plan</t>
  </si>
  <si>
    <t>Hours to make one good unit</t>
  </si>
  <si>
    <t>h/unit</t>
  </si>
  <si>
    <t>Cost to make (mark what stops if you stop making)</t>
  </si>
  <si>
    <t>To add a line: right-click a row of the table &gt; Insert &gt; Table Rows Above, so the formulas and checks come with it.</t>
  </si>
  <si>
    <t>Steel bar, cut blank</t>
  </si>
  <si>
    <t>Per unit</t>
  </si>
  <si>
    <t>Yes</t>
  </si>
  <si>
    <t>Example price; use your supplier's quote</t>
  </si>
  <si>
    <t>Machining labour</t>
  </si>
  <si>
    <t>Operators move to other work</t>
  </si>
  <si>
    <t>Variable overhead (power, coolant)</t>
  </si>
  <si>
    <t/>
  </si>
  <si>
    <t>Tooling consumables</t>
  </si>
  <si>
    <t>Inserts and drills</t>
  </si>
  <si>
    <t>Allocated factory overhead</t>
  </si>
  <si>
    <t>No</t>
  </si>
  <si>
    <t>Rent, management: stays if you buy</t>
  </si>
  <si>
    <t>Setter and inspector share</t>
  </si>
  <si>
    <t>Per year</t>
  </si>
  <si>
    <t>Half a post, redeployed if bought</t>
  </si>
  <si>
    <t>Machine lease</t>
  </si>
  <si>
    <t>Lease can be ended</t>
  </si>
  <si>
    <t>CMM program and fixture refresh</t>
  </si>
  <si>
    <t>One-off</t>
  </si>
  <si>
    <t>Needed only if you keep making</t>
  </si>
  <si>
    <t>Make totals</t>
  </si>
  <si>
    <t>Avoidable make cost per unit</t>
  </si>
  <si>
    <t>Avoidable make fixed cost per year</t>
  </si>
  <si>
    <t>Absorbed cost, all lines</t>
  </si>
  <si>
    <t>Cost to buy (delivered to your line)</t>
  </si>
  <si>
    <t>To add a line: right-click a row of the table &gt; Insert &gt; Table Rows Above.</t>
  </si>
  <si>
    <t>Supplier price</t>
  </si>
  <si>
    <t>Supplier</t>
  </si>
  <si>
    <t>Example quote, ex-works</t>
  </si>
  <si>
    <t>Inbound freight</t>
  </si>
  <si>
    <t>Carrier</t>
  </si>
  <si>
    <t>Incoming inspection</t>
  </si>
  <si>
    <t>In-house</t>
  </si>
  <si>
    <t>Sampling at goods-in</t>
  </si>
  <si>
    <t>Packaging and handling</t>
  </si>
  <si>
    <t>Supplier management</t>
  </si>
  <si>
    <t>Visits, scorecard, audits</t>
  </si>
  <si>
    <t>PPAP and first article</t>
  </si>
  <si>
    <t>Tooling paid to the supplier</t>
  </si>
  <si>
    <t>Fixtures for the supplier's machine</t>
  </si>
  <si>
    <t>Buy totals</t>
  </si>
  <si>
    <t>Delivered buy cost per unit</t>
  </si>
  <si>
    <t>Buy fixed cost per year</t>
  </si>
  <si>
    <t>Your plan</t>
  </si>
  <si>
    <t>Units made</t>
  </si>
  <si>
    <t>units/yr</t>
  </si>
  <si>
    <t>Units bought</t>
  </si>
  <si>
    <t>Make cost</t>
  </si>
  <si>
    <t>Buy cost</t>
  </si>
  <si>
    <t>Total cost of your plan</t>
  </si>
  <si>
    <t>Cost to buy all</t>
  </si>
  <si>
    <t>Cost to make all</t>
  </si>
  <si>
    <t>Saving of your plan against buying all</t>
  </si>
  <si>
    <t>Cost per good unit, your plan</t>
  </si>
  <si>
    <t>Break-even volume, make all = buy all</t>
  </si>
  <si>
    <t>Hours your plan needs</t>
  </si>
  <si>
    <t>h/yr</t>
  </si>
  <si>
    <t>Share of available hours</t>
  </si>
  <si>
    <t>%</t>
  </si>
  <si>
    <t>Capacity check</t>
  </si>
  <si>
    <t>Cheapest of make all, buy all and your plan</t>
  </si>
  <si>
    <t>Scenarios by internal share (type up to five shares)</t>
  </si>
  <si>
    <t>Internal share</t>
  </si>
  <si>
    <t>Unit</t>
  </si>
  <si>
    <t>Total cost</t>
  </si>
  <si>
    <t>Cost per good unit</t>
  </si>
  <si>
    <t>Saving against buying all</t>
  </si>
  <si>
    <t>Hours needed</t>
  </si>
  <si>
    <t>Strategic factors (weights add to 100%; score each option 1 = poor to 5 = strong)</t>
  </si>
  <si>
    <t>Quality control</t>
  </si>
  <si>
    <t>In-house CMM; supplier PPM unknown</t>
  </si>
  <si>
    <t>Lead time and flexibility</t>
  </si>
  <si>
    <t>Make: 2 days; buy: 3 weeks</t>
  </si>
  <si>
    <t>Capacity for growth</t>
  </si>
  <si>
    <t>Cell is near full</t>
  </si>
  <si>
    <t>Know-how and IP</t>
  </si>
  <si>
    <t>Supply risk</t>
  </si>
  <si>
    <t>Single qualified supplier</t>
  </si>
  <si>
    <t>Cash and capital</t>
  </si>
  <si>
    <t>Lease renewal due</t>
  </si>
  <si>
    <t>Weights add to</t>
  </si>
  <si>
    <t>Weighted score: make</t>
  </si>
  <si>
    <t>of 5</t>
  </si>
  <si>
    <t>Weighted score: buy</t>
  </si>
  <si>
    <t>Scores are judgements; they do not change the cost results above. Use them to record why a cheaper option may still be the wrong one (quality, lead time, know-how, supply risk), and agree the weights before you score.</t>
  </si>
  <si>
    <t>LOWEST ANNUAL COST</t>
  </si>
  <si>
    <t>BREAK-EVEN VOLUME (UNITS/YR)</t>
  </si>
  <si>
    <t>CAPACITY USED BY YOUR PLAN</t>
  </si>
  <si>
    <t>Positive = your plan costs less</t>
  </si>
  <si>
    <t>Make all, your plan and buy all</t>
  </si>
  <si>
    <t>Option</t>
  </si>
  <si>
    <t>Per good unit</t>
  </si>
  <si>
    <t>Hours used</t>
  </si>
  <si>
    <t>Capacity</t>
  </si>
  <si>
    <t>% of avail.</t>
  </si>
  <si>
    <t>Make all</t>
  </si>
  <si>
    <t>Buy all</t>
  </si>
  <si>
    <t>WEIGHTED FACTOR SCORE: MAKE</t>
  </si>
  <si>
    <t>WEIGHTED FACTOR SCORE: BUY</t>
  </si>
  <si>
    <t>All lines: not the decision cost</t>
  </si>
  <si>
    <t>Make all, fixed costs spread over demand</t>
  </si>
  <si>
    <t>Out of 5, from the strategic factors</t>
  </si>
  <si>
    <t>Strategic factors</t>
  </si>
  <si>
    <t>1-5</t>
  </si>
  <si>
    <t>Chart data: make all and buy all cost by annual volume</t>
  </si>
  <si>
    <t>Annual volume (units)</t>
  </si>
  <si>
    <t>Chart data: scenario labels</t>
  </si>
  <si>
    <t>Chart label</t>
  </si>
  <si>
    <t>Five internal-share scenarios and six strategic factors are charted; add factors below the table on Make vs Buy and they count in the weighted scores, but only the first six appear in the factor chart.</t>
  </si>
  <si>
    <t>What this workbook calculates</t>
  </si>
  <si>
    <t>A make-or-buy decision compares the costs that change with the decision. The cost to make counts only avoidable costs: material, labour, variable overhead and the fixed costs that stop if you stop making (a dedicated lease, a redeployed post, tooling you would not renew). Allocated overhead that stays either way is excluded from the decision and shown only as the full absorbed cost. The cost to buy is the delivered cost: price, freight, inspection and handling per unit, plus the fixed cost of managing the supplier and one-off qualification and tooling, spread over the decision horizon.</t>
  </si>
  <si>
    <t>Calculations</t>
  </si>
  <si>
    <t>Quantity</t>
  </si>
  <si>
    <t>How it is calculated</t>
  </si>
  <si>
    <t>Units</t>
  </si>
  <si>
    <t>Per unit lines as typed; per year lines / demand; one-off lines / horizon / demand.</t>
  </si>
  <si>
    <t>currency/unit</t>
  </si>
  <si>
    <t>Sum of Make lines with Basis Per unit and Avoidable Yes.</t>
  </si>
  <si>
    <t>Avoidable make fixed cost</t>
  </si>
  <si>
    <t>Avoidable Per year lines + avoidable One-off lines / decision horizon.</t>
  </si>
  <si>
    <t>currency/yr</t>
  </si>
  <si>
    <t>Full absorbed cost per unit</t>
  </si>
  <si>
    <t>Sum of every Make line per unit at demand, avoidable or not: what a full-cost report shows. For comparison only.</t>
  </si>
  <si>
    <t>Delivered buy cost and buy fixed cost</t>
  </si>
  <si>
    <t>Sum of Buy lines Per unit; Per year lines + One-off lines / horizon.</t>
  </si>
  <si>
    <t>currency/unit, currency/yr</t>
  </si>
  <si>
    <t>Units made and bought</t>
  </si>
  <si>
    <t>Made = demand x internal share; bought = demand - made.</t>
  </si>
  <si>
    <t>Make cost and buy cost</t>
  </si>
  <si>
    <t>Made x avoidable make cost per unit + make fixed cost, only when units are made; bought x delivered buy cost + buy fixed cost, only when units are bought.</t>
  </si>
  <si>
    <t>Total cost, cost to buy all and saving</t>
  </si>
  <si>
    <t>Total = make cost + buy cost. Buy all = demand x delivered cost + buy fixed cost. Saving = buy all - total.</t>
  </si>
  <si>
    <t>Total cost / demand (blended across make and buy).</t>
  </si>
  <si>
    <t>Break-even volume</t>
  </si>
  <si>
    <t>(Make fixed - buy fixed) / (delivered buy cost - avoidable make cost per unit), when buying costs more per unit. Above it, making all costs less than buying all.</t>
  </si>
  <si>
    <t>Hours = units made x hours per unit; share = hours / available hours on Setup. Under capacity below the near-capacity share, Near capacity up to 100%, Over capacity above.</t>
  </si>
  <si>
    <t>h/yr, %</t>
  </si>
  <si>
    <t>Weighted factor scores</t>
  </si>
  <si>
    <t>Sum of weight x score / sum of weights, for make and for buy, on the 1-5 scale.</t>
  </si>
  <si>
    <t>Assumptions</t>
  </si>
  <si>
    <t>Costs per unit stay the same at every volume (no volume discounts or learning curve) and money is not discounted; for a long horizon with large one-off costs, see the Capex NPV template.</t>
  </si>
  <si>
    <t>Avoidable means the cost really stops: redeployed labour that is not cut, or a lease that cannot be ended, is not avoidable.</t>
  </si>
  <si>
    <t>Bought and made parts are equivalent in quality and fit; any difference belongs in the cost lines (inspection, scrap) or the factors.</t>
  </si>
  <si>
    <t>Capacity freed by buying has no other use unless you add its value to the make cost as an opportunity cost line.</t>
  </si>
  <si>
    <t>Limitations</t>
  </si>
  <si>
    <t>One part at a time; shared machines, setups and overhead between parts are not modelled.</t>
  </si>
  <si>
    <t>Strategic factor scores are judgements and do not enter the cost results.</t>
  </si>
  <si>
    <t>Taxes, duties and exchange rates are not calculated; put duty and freight in the buy cost lines (the Landed Cost and Tariff template works them out).</t>
  </si>
  <si>
    <t>Five scenarios and six factors are charted; more factors count in the scores but not the chart.</t>
  </si>
  <si>
    <t>Agreement with the live calculator</t>
  </si>
  <si>
    <t>For a plan with one internal share, this workbook and the live Make vs Buy Cost calculator use the same model: made units = demand x share, bought units = demand - made; make cost = made x avoidable unit cost + make fixed cost, only when made &gt; 0; buy cost = bought x delivered price + buy fixed cost, only when bought &gt; 0; mixed cost = make + buy; savings against all-buy = all-buy cost - mixed cost; blended cost = mixed / demand. The workbook builds the four cost inputs from itemised tables, adds the scenarios, break-even, capacity and factors. The build checks the reference implementation against the calculator's engine for its own example (25,000 units, 14.50 avoidable make cost, 18.00 delivered buy price, 85% made, 60,000 make fixed, 5,000 buy fixed: mixed cost 440,625, savings 14,375) and for the example plan.</t>
  </si>
  <si>
    <t>Open the Make vs Buy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</si>
  <si>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</si>
  <si>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</si>
  <si>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Relevant costing for make-or-buy decisions as taught in management accounting texts, e.g. Horngren, Datar and Rajan, Cost Accounting: A Managerial Emphasis (decision making and relevant information chapter).</t>
  </si>
  <si>
    <t>CIMA Official Terminology: relevant cost, avoidable cost and opportunity cost, by definition.</t>
  </si>
  <si>
    <t>MFG Calcs Make vs Buy Cost calculator: the plan model for one internal share.</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</si>
  <si>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</si>
  <si>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</si>
  <si>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</si>
  <si>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</si>
  <si>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</si>
  <si>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</si>
  <si>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</si>
  <si>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</si>
  <si>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</si>
  <si>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</si>
  <si>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</si>
  <si>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</si>
  <si>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</si>
  <si>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</si>
  <si>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</si>
  <si>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</si>
  <si>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Make: avoidable cost per unit</t>
  </si>
  <si>
    <t>Make: avoidable fixed cost per year</t>
  </si>
  <si>
    <t>Buy: delivered cost per unit</t>
  </si>
  <si>
    <t>Buy: fixed cost per year</t>
  </si>
  <si>
    <t>Make table row 7: Check reports a basis not in the list</t>
  </si>
  <si>
    <t>Basis not in the list</t>
  </si>
  <si>
    <t>exact</t>
  </si>
  <si>
    <t>Plan: make cost</t>
  </si>
  <si>
    <t>Plan: buy cost</t>
  </si>
  <si>
    <t>Plan: total (mixed) cost</t>
  </si>
  <si>
    <t>Plan: cost to buy all</t>
  </si>
  <si>
    <t>Plan: saving against buying all</t>
  </si>
  <si>
    <t>Plan: blended cost per unit</t>
  </si>
  <si>
    <t>Capacity: hours (21,250 x 0.5)</t>
  </si>
  <si>
    <t>Capacity check at 53% of 20,000 h</t>
  </si>
  <si>
    <t>Under capacity</t>
  </si>
  <si>
    <t>Scenario 0% made: total cost</t>
  </si>
  <si>
    <t>Scenario 50% made: total cost</t>
  </si>
  <si>
    <t>Scenario 85% made: total cost</t>
  </si>
  <si>
    <t>Scenario 100% made: total cost</t>
  </si>
  <si>
    <t>Scenario 0% made (buy all): saving is zero</t>
  </si>
  <si>
    <t>Scenario 100% made: capacity check at 62.5%</t>
  </si>
  <si>
    <t>Fixed test inputs</t>
  </si>
  <si>
    <t>White cells are fixed test inputs; blue cells are the workbook's formulas evaluated on them.</t>
  </si>
  <si>
    <t>Parameters</t>
  </si>
  <si>
    <t>Decision horizon (years)</t>
  </si>
  <si>
    <t>Hours available</t>
  </si>
  <si>
    <t>Test table: MakeCosts</t>
  </si>
  <si>
    <t>Material</t>
  </si>
  <si>
    <t>Labour</t>
  </si>
  <si>
    <t>Variable overhead</t>
  </si>
  <si>
    <t>Allocated overhead</t>
  </si>
  <si>
    <t>Excluded</t>
  </si>
  <si>
    <t>Dedicated staff</t>
  </si>
  <si>
    <t>Fixture</t>
  </si>
  <si>
    <t>15,000 a year over 3 years</t>
  </si>
  <si>
    <t>Bad basis</t>
  </si>
  <si>
    <t>Weekly</t>
  </si>
  <si>
    <t>Check column case</t>
  </si>
  <si>
    <t>Test table: BuyCosts</t>
  </si>
  <si>
    <t>Price</t>
  </si>
  <si>
    <t>Freight</t>
  </si>
  <si>
    <t>Inspection</t>
  </si>
  <si>
    <t>Qualification</t>
  </si>
  <si>
    <t>3,000 a year</t>
  </si>
  <si>
    <t>Test part (the live calculator's example)</t>
  </si>
  <si>
    <t>Calculator example</t>
  </si>
  <si>
    <t>Test make totals (same formulas, over the test make table)</t>
  </si>
  <si>
    <t>Test buy totals</t>
  </si>
  <si>
    <t>Test plan results</t>
  </si>
  <si>
    <t>Test scenarios (same formulas as Make vs Buy)</t>
  </si>
</sst>
</file>

<file path=xl/styles.xml><?xml version="1.0" encoding="utf-8"?>
<styleSheet xmlns="http://schemas.openxmlformats.org/spreadsheetml/2006/main">
  <numFmts count="8">
    <numFmt numFmtId="164" formatCode="#,##0.0"/>
    <numFmt numFmtId="165" formatCode="#,##0"/>
    <numFmt numFmtId="166" formatCode="0%"/>
    <numFmt numFmtId="167" formatCode="#,##0.000"/>
    <numFmt numFmtId="168" formatCode="#,##0.00"/>
    <numFmt numFmtId="169" formatCode="0.0%"/>
    <numFmt numFmtId="170" formatCode="&quot;Limit &quot;0.0%"/>
    <numFmt numFmtId="171"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i/>
      <sz val="9"/>
      <color rgb="FF6B7280"/>
      <name val="Calibri"/>
      <family val="2"/>
      <scheme val="minor"/>
    </font>
    <font>
      <b/>
      <sz val="10"/>
      <color rgb="FFFFFFFF"/>
      <name val="Calibri"/>
      <family val="2"/>
      <scheme val="minor"/>
    </font>
    <font>
      <sz val="9"/>
      <color rgb="FF1B2430"/>
      <name val="Calibri"/>
      <family val="2"/>
      <scheme val="minor"/>
    </font>
    <font>
      <b/>
      <sz val="10"/>
      <color rgb="FF14386C"/>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C7D4EE"/>
      </left>
      <right style="thin">
        <color rgb="FFC7D4EE"/>
      </right>
      <top style="medium">
        <color rgb="FF14386C"/>
      </top>
      <bottom style="thin">
        <color rgb="FFC7D4EE"/>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167" fontId="10" fillId="3" borderId="2" xfId="0" applyNumberFormat="1" applyFont="1" applyFill="1" applyBorder="1" applyAlignment="1" applyProtection="1">
      <alignment vertical="center"/>
      <protection locked="0"/>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168"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0" fontId="20" fillId="4" borderId="3" xfId="0" applyFont="1" applyFill="1" applyBorder="1" applyAlignment="1">
      <alignment vertical="center"/>
    </xf>
    <xf numFmtId="0" fontId="21" fillId="0" borderId="0" xfId="0" applyFont="1" applyAlignment="1">
      <alignment vertical="center"/>
    </xf>
    <xf numFmtId="168" fontId="9" fillId="4" borderId="3" xfId="0" applyNumberFormat="1" applyFont="1" applyFill="1" applyBorder="1" applyAlignment="1">
      <alignment vertical="center"/>
    </xf>
    <xf numFmtId="165" fontId="9"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9" fillId="4" borderId="3" xfId="0" applyFont="1" applyFill="1" applyBorder="1" applyAlignment="1">
      <alignment vertical="center"/>
    </xf>
    <xf numFmtId="0" fontId="19" fillId="2" borderId="5" xfId="0" applyFont="1" applyFill="1" applyBorder="1" applyAlignment="1">
      <alignment horizontal="left" vertical="center" wrapText="1"/>
    </xf>
    <xf numFmtId="166" fontId="10" fillId="3" borderId="2" xfId="0" applyNumberFormat="1" applyFont="1" applyFill="1" applyBorder="1" applyAlignment="1" applyProtection="1">
      <alignment horizontal="center" vertical="center"/>
      <protection locked="0"/>
    </xf>
    <xf numFmtId="165" fontId="9" fillId="4" borderId="6" xfId="0" applyNumberFormat="1"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10" fillId="4" borderId="3" xfId="0" applyFont="1" applyFill="1" applyBorder="1" applyAlignment="1">
      <alignment vertical="center"/>
    </xf>
    <xf numFmtId="0" fontId="18" fillId="0" borderId="0" xfId="0" applyFont="1" applyAlignment="1">
      <alignment vertical="center"/>
    </xf>
    <xf numFmtId="0" fontId="22" fillId="9" borderId="7" xfId="0" applyFont="1" applyFill="1" applyBorder="1" applyAlignment="1">
      <alignment vertical="center" wrapText="1"/>
    </xf>
    <xf numFmtId="165" fontId="4" fillId="9" borderId="8" xfId="0" applyNumberFormat="1" applyFont="1" applyFill="1" applyBorder="1" applyAlignment="1">
      <alignment horizontal="left" vertical="center"/>
    </xf>
    <xf numFmtId="0" fontId="23" fillId="9" borderId="8" xfId="0" applyFont="1" applyFill="1" applyBorder="1" applyAlignment="1">
      <alignment horizontal="left" vertical="center"/>
    </xf>
    <xf numFmtId="169" fontId="4" fillId="9" borderId="8" xfId="0" applyNumberFormat="1" applyFont="1" applyFill="1" applyBorder="1" applyAlignment="1">
      <alignment horizontal="left" vertical="center"/>
    </xf>
    <xf numFmtId="0" fontId="24" fillId="9" borderId="8" xfId="0" applyFont="1" applyFill="1" applyBorder="1" applyAlignment="1">
      <alignment vertical="center"/>
    </xf>
    <xf numFmtId="170" fontId="24" fillId="9" borderId="8" xfId="0" applyNumberFormat="1" applyFont="1" applyFill="1" applyBorder="1" applyAlignment="1">
      <alignment horizontal="left" vertical="center"/>
    </xf>
    <xf numFmtId="0" fontId="22" fillId="9" borderId="9" xfId="0" applyFont="1" applyFill="1" applyBorder="1" applyAlignment="1">
      <alignment vertical="center"/>
    </xf>
    <xf numFmtId="0" fontId="9" fillId="0" borderId="10" xfId="0" applyFont="1" applyBorder="1" applyAlignment="1">
      <alignment vertical="center"/>
    </xf>
    <xf numFmtId="168" fontId="4" fillId="9" borderId="8" xfId="0" applyNumberFormat="1" applyFont="1" applyFill="1" applyBorder="1" applyAlignment="1">
      <alignment horizontal="left" vertical="center"/>
    </xf>
    <xf numFmtId="165" fontId="9" fillId="0" borderId="10" xfId="0" applyNumberFormat="1" applyFont="1" applyBorder="1" applyAlignment="1">
      <alignment vertical="center"/>
    </xf>
    <xf numFmtId="166" fontId="9" fillId="0" borderId="10" xfId="0" applyNumberFormat="1" applyFont="1" applyBorder="1" applyAlignment="1">
      <alignment vertical="center"/>
    </xf>
    <xf numFmtId="0" fontId="9" fillId="0" borderId="10" xfId="0" applyFont="1" applyBorder="1" applyAlignment="1">
      <alignment vertical="top" wrapText="1"/>
    </xf>
    <xf numFmtId="0" fontId="10" fillId="0" borderId="10" xfId="0" applyFont="1" applyBorder="1" applyAlignment="1">
      <alignment vertical="top" wrapText="1"/>
    </xf>
    <xf numFmtId="0" fontId="10" fillId="0" borderId="10" xfId="0" applyFont="1" applyBorder="1" applyAlignment="1">
      <alignment horizontal="center" vertical="top"/>
    </xf>
    <xf numFmtId="0" fontId="10" fillId="0" borderId="10" xfId="0" applyFont="1" applyBorder="1" applyAlignment="1">
      <alignment vertical="center"/>
    </xf>
    <xf numFmtId="0" fontId="10" fillId="0" borderId="10" xfId="0" applyFont="1" applyBorder="1" applyAlignment="1">
      <alignment vertical="center" wrapText="1"/>
    </xf>
    <xf numFmtId="0" fontId="10" fillId="0" borderId="10" xfId="0" applyFont="1" applyBorder="1" applyAlignment="1">
      <alignment horizontal="center" vertical="center"/>
    </xf>
    <xf numFmtId="0" fontId="8" fillId="0" borderId="0" xfId="0" applyFont="1" applyAlignment="1">
      <alignment vertical="center"/>
    </xf>
    <xf numFmtId="165" fontId="9" fillId="0" borderId="10" xfId="0" applyNumberFormat="1" applyFont="1" applyBorder="1" applyAlignment="1">
      <alignment horizontal="center" vertical="center"/>
    </xf>
    <xf numFmtId="168" fontId="10" fillId="0" borderId="10" xfId="0" applyNumberFormat="1" applyFont="1" applyBorder="1" applyAlignment="1">
      <alignment vertical="center"/>
    </xf>
    <xf numFmtId="171" fontId="10" fillId="4" borderId="3" xfId="0" applyNumberFormat="1" applyFont="1" applyFill="1" applyBorder="1" applyAlignment="1">
      <alignment vertical="center"/>
    </xf>
    <xf numFmtId="171" fontId="10" fillId="0" borderId="10" xfId="0" applyNumberFormat="1" applyFont="1" applyBorder="1" applyAlignment="1">
      <alignment vertical="center"/>
    </xf>
    <xf numFmtId="165" fontId="10" fillId="0" borderId="10" xfId="0" applyNumberFormat="1" applyFont="1" applyBorder="1" applyAlignment="1">
      <alignment vertical="center"/>
    </xf>
    <xf numFmtId="164" fontId="10" fillId="0" borderId="10" xfId="0" applyNumberFormat="1" applyFont="1" applyBorder="1" applyAlignment="1">
      <alignment vertical="center"/>
    </xf>
    <xf numFmtId="166" fontId="10" fillId="0" borderId="10" xfId="0" applyNumberFormat="1" applyFont="1" applyBorder="1" applyAlignment="1">
      <alignment vertical="center"/>
    </xf>
    <xf numFmtId="167" fontId="10" fillId="0" borderId="10"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Annual cost by internal share</a:t>
            </a:r>
          </a:p>
        </c:rich>
      </c:tx>
      <c:layout/>
    </c:title>
    <c:plotArea>
      <c:layout/>
      <c:barChart>
        <c:barDir val="col"/>
        <c:grouping val="stacked"/>
        <c:ser>
          <c:idx val="0"/>
          <c:order val="0"/>
          <c:tx>
            <c:v>Make cost</c:v>
          </c:tx>
          <c:spPr>
            <a:solidFill>
              <a:srgbClr val="3B64D8"/>
            </a:solidFill>
            <a:ln w="9525">
              <a:solidFill>
                <a:srgbClr val="FFFFFF"/>
              </a:solidFill>
            </a:ln>
          </c:spPr>
          <c:cat>
            <c:strRef>
              <c:f>Dashboard!$C$71:$C$75</c:f>
              <c:strCache>
                <c:ptCount val="5"/>
                <c:pt idx="0">
                  <c:v>0% made</c:v>
                </c:pt>
                <c:pt idx="1">
                  <c:v>25% made</c:v>
                </c:pt>
                <c:pt idx="2">
                  <c:v>50% made</c:v>
                </c:pt>
                <c:pt idx="3">
                  <c:v>90% made</c:v>
                </c:pt>
                <c:pt idx="4">
                  <c:v>100% made</c:v>
                </c:pt>
              </c:strCache>
            </c:strRef>
          </c:cat>
          <c:val>
            <c:numRef>
              <c:f>'Make vs Buy'!$D$71:$H$71</c:f>
              <c:numCache>
                <c:formatCode>General</c:formatCode>
                <c:ptCount val="5"/>
                <c:pt idx="0">
                  <c:v>0</c:v>
                </c:pt>
                <c:pt idx="1">
                  <c:v>57175</c:v>
                </c:pt>
                <c:pt idx="2">
                  <c:v>89350</c:v>
                </c:pt>
                <c:pt idx="3">
                  <c:v>140830</c:v>
                </c:pt>
                <c:pt idx="4">
                  <c:v>153700</c:v>
                </c:pt>
              </c:numCache>
            </c:numRef>
          </c:val>
        </c:ser>
        <c:ser>
          <c:idx val="1"/>
          <c:order val="1"/>
          <c:tx>
            <c:v>Buy cost</c:v>
          </c:tx>
          <c:spPr>
            <a:solidFill>
              <a:srgbClr val="E8702A"/>
            </a:solidFill>
            <a:ln w="9525">
              <a:solidFill>
                <a:srgbClr val="FFFFFF"/>
              </a:solidFill>
            </a:ln>
          </c:spPr>
          <c:cat>
            <c:strRef>
              <c:f>Dashboard!$C$71:$C$75</c:f>
              <c:strCache>
                <c:ptCount val="5"/>
                <c:pt idx="0">
                  <c:v>0% made</c:v>
                </c:pt>
                <c:pt idx="1">
                  <c:v>25% made</c:v>
                </c:pt>
                <c:pt idx="2">
                  <c:v>50% made</c:v>
                </c:pt>
                <c:pt idx="3">
                  <c:v>90% made</c:v>
                </c:pt>
                <c:pt idx="4">
                  <c:v>100% made</c:v>
                </c:pt>
              </c:strCache>
            </c:strRef>
          </c:cat>
          <c:val>
            <c:numRef>
              <c:f>'Make vs Buy'!$D$72:$H$72</c:f>
              <c:numCache>
                <c:formatCode>General</c:formatCode>
                <c:ptCount val="5"/>
                <c:pt idx="0">
                  <c:v>165640</c:v>
                </c:pt>
                <c:pt idx="1">
                  <c:v>125680</c:v>
                </c:pt>
                <c:pt idx="2">
                  <c:v>85720</c:v>
                </c:pt>
                <c:pt idx="3">
                  <c:v>21784</c:v>
                </c:pt>
                <c:pt idx="4">
                  <c:v>0</c:v>
                </c:pt>
              </c:numCache>
            </c:numRef>
          </c:val>
        </c:ser>
        <c:gapWidth val="60"/>
        <c:overlap val="100"/>
        <c:axId val="50010001"/>
        <c:axId val="50010002"/>
      </c:bar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Make all vs buy all, by annual volume</a:t>
            </a:r>
          </a:p>
        </c:rich>
      </c:tx>
      <c:layout/>
    </c:title>
    <c:plotArea>
      <c:layout/>
      <c:lineChart>
        <c:grouping val="standard"/>
        <c:ser>
          <c:idx val="0"/>
          <c:order val="0"/>
          <c:tx>
            <c:v>Make all</c:v>
          </c:tx>
          <c:spPr>
            <a:ln w="28575">
              <a:solidFill>
                <a:srgbClr val="3B64D8"/>
              </a:solidFill>
            </a:ln>
          </c:spPr>
          <c:marker>
            <c:symbol val="circle"/>
            <c:size val="5"/>
            <c:spPr>
              <a:solidFill>
                <a:srgbClr val="3B64D8"/>
              </a:solidFill>
              <a:ln>
                <a:solidFill>
                  <a:srgbClr val="3B64D8"/>
                </a:solidFill>
              </a:ln>
            </c:spPr>
          </c:marker>
          <c:cat>
            <c:numRef>
              <c:f>Dashboard!$B$58:$B$68</c:f>
              <c:numCache>
                <c:formatCode>General</c:formatCode>
                <c:ptCount val="11"/>
                <c:pt idx="0">
                  <c:v>0</c:v>
                </c:pt>
                <c:pt idx="1">
                  <c:v>2700</c:v>
                </c:pt>
                <c:pt idx="2">
                  <c:v>5400</c:v>
                </c:pt>
                <c:pt idx="3">
                  <c:v>8100</c:v>
                </c:pt>
                <c:pt idx="4">
                  <c:v>10800</c:v>
                </c:pt>
                <c:pt idx="5">
                  <c:v>13500</c:v>
                </c:pt>
                <c:pt idx="6">
                  <c:v>16200</c:v>
                </c:pt>
                <c:pt idx="7">
                  <c:v>18900</c:v>
                </c:pt>
                <c:pt idx="8">
                  <c:v>21600</c:v>
                </c:pt>
                <c:pt idx="9">
                  <c:v>24300</c:v>
                </c:pt>
                <c:pt idx="10">
                  <c:v>27000</c:v>
                </c:pt>
              </c:numCache>
            </c:numRef>
          </c:cat>
          <c:val>
            <c:numRef>
              <c:f>Dashboard!$C$58:$C$68</c:f>
              <c:numCache>
                <c:formatCode>General</c:formatCode>
                <c:ptCount val="11"/>
                <c:pt idx="0">
                  <c:v>0</c:v>
                </c:pt>
                <c:pt idx="1">
                  <c:v>44305</c:v>
                </c:pt>
                <c:pt idx="2">
                  <c:v>63610</c:v>
                </c:pt>
                <c:pt idx="3">
                  <c:v>82915</c:v>
                </c:pt>
                <c:pt idx="4">
                  <c:v>102220</c:v>
                </c:pt>
                <c:pt idx="5">
                  <c:v>121525</c:v>
                </c:pt>
                <c:pt idx="6">
                  <c:v>140830</c:v>
                </c:pt>
                <c:pt idx="7">
                  <c:v>160135</c:v>
                </c:pt>
                <c:pt idx="8">
                  <c:v>179440</c:v>
                </c:pt>
                <c:pt idx="9">
                  <c:v>198745</c:v>
                </c:pt>
                <c:pt idx="10">
                  <c:v>218050</c:v>
                </c:pt>
              </c:numCache>
            </c:numRef>
          </c:val>
        </c:ser>
        <c:ser>
          <c:idx val="1"/>
          <c:order val="1"/>
          <c:tx>
            <c:v>Buy all</c:v>
          </c:tx>
          <c:spPr>
            <a:ln w="28575">
              <a:solidFill>
                <a:srgbClr val="E8702A"/>
              </a:solidFill>
            </a:ln>
          </c:spPr>
          <c:marker>
            <c:symbol val="circle"/>
            <c:size val="5"/>
            <c:spPr>
              <a:solidFill>
                <a:srgbClr val="E8702A"/>
              </a:solidFill>
              <a:ln>
                <a:solidFill>
                  <a:srgbClr val="E8702A"/>
                </a:solidFill>
              </a:ln>
            </c:spPr>
          </c:marker>
          <c:cat>
            <c:numRef>
              <c:f>Dashboard!$B$58:$B$68</c:f>
              <c:numCache>
                <c:formatCode>General</c:formatCode>
                <c:ptCount val="11"/>
                <c:pt idx="0">
                  <c:v>0</c:v>
                </c:pt>
                <c:pt idx="1">
                  <c:v>2700</c:v>
                </c:pt>
                <c:pt idx="2">
                  <c:v>5400</c:v>
                </c:pt>
                <c:pt idx="3">
                  <c:v>8100</c:v>
                </c:pt>
                <c:pt idx="4">
                  <c:v>10800</c:v>
                </c:pt>
                <c:pt idx="5">
                  <c:v>13500</c:v>
                </c:pt>
                <c:pt idx="6">
                  <c:v>16200</c:v>
                </c:pt>
                <c:pt idx="7">
                  <c:v>18900</c:v>
                </c:pt>
                <c:pt idx="8">
                  <c:v>21600</c:v>
                </c:pt>
                <c:pt idx="9">
                  <c:v>24300</c:v>
                </c:pt>
                <c:pt idx="10">
                  <c:v>27000</c:v>
                </c:pt>
              </c:numCache>
            </c:numRef>
          </c:cat>
          <c:val>
            <c:numRef>
              <c:f>Dashboard!$D$58:$D$68</c:f>
              <c:numCache>
                <c:formatCode>General</c:formatCode>
                <c:ptCount val="11"/>
                <c:pt idx="0">
                  <c:v>0</c:v>
                </c:pt>
                <c:pt idx="1">
                  <c:v>29776</c:v>
                </c:pt>
                <c:pt idx="2">
                  <c:v>53752</c:v>
                </c:pt>
                <c:pt idx="3">
                  <c:v>77728</c:v>
                </c:pt>
                <c:pt idx="4">
                  <c:v>101704</c:v>
                </c:pt>
                <c:pt idx="5">
                  <c:v>125680</c:v>
                </c:pt>
                <c:pt idx="6">
                  <c:v>149656</c:v>
                </c:pt>
                <c:pt idx="7">
                  <c:v>173632</c:v>
                </c:pt>
                <c:pt idx="8">
                  <c:v>197608</c:v>
                </c:pt>
                <c:pt idx="9">
                  <c:v>221584</c:v>
                </c:pt>
                <c:pt idx="10">
                  <c:v>245560</c:v>
                </c:pt>
              </c:numCache>
            </c:numRef>
          </c:val>
        </c:ser>
        <c:marker val="1"/>
        <c:axId val="50020001"/>
        <c:axId val="50020002"/>
      </c:lineChart>
      <c:catAx>
        <c:axId val="50020001"/>
        <c:scaling>
          <c:orientation val="minMax"/>
        </c:scaling>
        <c:axPos val="b"/>
        <c:title>
          <c:tx>
            <c:rich>
              <a:bodyPr/>
              <a:lstStyle/>
              <a:p>
                <a:pPr>
                  <a:defRPr sz="900" b="0" baseline="0">
                    <a:solidFill>
                      <a:srgbClr val="4A5361"/>
                    </a:solidFill>
                    <a:latin typeface="Calibri"/>
                  </a:defRPr>
                </a:pPr>
                <a:r>
                  <a:rPr lang="en-US" sz="900" b="0" baseline="0">
                    <a:solidFill>
                      <a:srgbClr val="4A5361"/>
                    </a:solidFill>
                    <a:latin typeface="Calibri"/>
                  </a:rPr>
                  <a:t>Annual volume (units)</a:t>
                </a:r>
              </a:p>
            </c:rich>
          </c:tx>
          <c:layout/>
        </c:title>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Strategic factor scores</a:t>
            </a:r>
          </a:p>
        </c:rich>
      </c:tx>
      <c:layout/>
    </c:title>
    <c:plotArea>
      <c:layout/>
      <c:barChart>
        <c:barDir val="bar"/>
        <c:grouping val="clustered"/>
        <c:ser>
          <c:idx val="0"/>
          <c:order val="0"/>
          <c:tx>
            <c:v>Make</c:v>
          </c:tx>
          <c:spPr>
            <a:solidFill>
              <a:srgbClr val="3B64D8"/>
            </a:solidFill>
            <a:ln w="9525">
              <a:solidFill>
                <a:srgbClr val="FFFFFF"/>
              </a:solidFill>
            </a:ln>
          </c:spPr>
          <c:cat>
            <c:strRef>
              <c:f>Dashboard!$B$45:$B$50</c:f>
              <c:strCache>
                <c:ptCount val="6"/>
                <c:pt idx="0">
                  <c:v>Quality control</c:v>
                </c:pt>
                <c:pt idx="1">
                  <c:v>Lead time and flexibility</c:v>
                </c:pt>
                <c:pt idx="2">
                  <c:v>Capacity for growth</c:v>
                </c:pt>
                <c:pt idx="3">
                  <c:v>Know-how and IP</c:v>
                </c:pt>
                <c:pt idx="4">
                  <c:v>Supply risk</c:v>
                </c:pt>
                <c:pt idx="5">
                  <c:v>Cash and capital</c:v>
                </c:pt>
              </c:strCache>
            </c:strRef>
          </c:cat>
          <c:val>
            <c:numRef>
              <c:f>Dashboard!$C$45:$C$50</c:f>
              <c:numCache>
                <c:formatCode>General</c:formatCode>
                <c:ptCount val="6"/>
                <c:pt idx="0">
                  <c:v>4</c:v>
                </c:pt>
                <c:pt idx="1">
                  <c:v>5</c:v>
                </c:pt>
                <c:pt idx="2">
                  <c:v>2</c:v>
                </c:pt>
                <c:pt idx="3">
                  <c:v>4</c:v>
                </c:pt>
                <c:pt idx="4">
                  <c:v>4</c:v>
                </c:pt>
                <c:pt idx="5">
                  <c:v>3</c:v>
                </c:pt>
              </c:numCache>
            </c:numRef>
          </c:val>
        </c:ser>
        <c:ser>
          <c:idx val="1"/>
          <c:order val="1"/>
          <c:tx>
            <c:v>Buy</c:v>
          </c:tx>
          <c:spPr>
            <a:solidFill>
              <a:srgbClr val="E8702A"/>
            </a:solidFill>
            <a:ln w="9525">
              <a:solidFill>
                <a:srgbClr val="FFFFFF"/>
              </a:solidFill>
            </a:ln>
          </c:spPr>
          <c:cat>
            <c:strRef>
              <c:f>Dashboard!$B$45:$B$50</c:f>
              <c:strCache>
                <c:ptCount val="6"/>
                <c:pt idx="0">
                  <c:v>Quality control</c:v>
                </c:pt>
                <c:pt idx="1">
                  <c:v>Lead time and flexibility</c:v>
                </c:pt>
                <c:pt idx="2">
                  <c:v>Capacity for growth</c:v>
                </c:pt>
                <c:pt idx="3">
                  <c:v>Know-how and IP</c:v>
                </c:pt>
                <c:pt idx="4">
                  <c:v>Supply risk</c:v>
                </c:pt>
                <c:pt idx="5">
                  <c:v>Cash and capital</c:v>
                </c:pt>
              </c:strCache>
            </c:strRef>
          </c:cat>
          <c:val>
            <c:numRef>
              <c:f>Dashboard!$D$45:$D$50</c:f>
              <c:numCache>
                <c:formatCode>General</c:formatCode>
                <c:ptCount val="6"/>
                <c:pt idx="0">
                  <c:v>3</c:v>
                </c:pt>
                <c:pt idx="1">
                  <c:v>3</c:v>
                </c:pt>
                <c:pt idx="2">
                  <c:v>5</c:v>
                </c:pt>
                <c:pt idx="3">
                  <c:v>2</c:v>
                </c:pt>
                <c:pt idx="4">
                  <c:v>3</c:v>
                </c:pt>
                <c:pt idx="5">
                  <c:v>4</c:v>
                </c:pt>
              </c:numCache>
            </c:numRef>
          </c:val>
        </c:ser>
        <c:gapWidth val="60"/>
        <c:overlap val="-10"/>
        <c:axId val="50030001"/>
        <c:axId val="50030002"/>
      </c:barChart>
      <c:catAx>
        <c:axId val="5003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ax val="5"/>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Stacked column chart of the annual make cost and buy cost at each internal share scenario; the shortest column is the cheapest spli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Line chart of the annual cost of making all and of buying all against annual volume; the lines cross at the break-even volum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38100</xdr:colOff>
      <xdr:row>41</xdr:row>
      <xdr:rowOff>38100</xdr:rowOff>
    </xdr:from>
    <xdr:to>
      <xdr:col>11</xdr:col>
      <xdr:colOff>676275</xdr:colOff>
      <xdr:row>52</xdr:row>
      <xdr:rowOff>171450</xdr:rowOff>
    </xdr:to>
    <xdr:graphicFrame macro="">
      <xdr:nvGraphicFramePr>
        <xdr:cNvPr id="4" name="Chart 3" descr="Clustered bar chart of the make score and the buy score, 1 to 5, for each strategic facto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MakeCosts" displayName="tblMakeCosts" ref="B17:H25" totalsRowShown="0">
  <autoFilter ref="B17:H25"/>
  <tableColumns count="7">
    <tableColumn id="1" name="Item"/>
    <tableColumn id="2" name="Basis"/>
    <tableColumn id="3" name="Amount"/>
    <tableColumn id="4" name="Avoidable"/>
    <tableColumn id="5" name="Per unit at demand">
      <calculatedColumnFormula>IF(tblMakeCosts[[#This Row],[Item]]="","",IF(tblMakeCosts[[#This Row],[Basis]]="Per unit",tblMakeCosts[[#This Row],[Amount]],IF(Demand&gt;0,IF(tblMakeCosts[[#This Row],[Basis]]="Per year",tblMakeCosts[[#This Row],[Amount]],tblMakeCosts[[#This Row],[Amount]]/Horizon)/Demand,"")))</calculatedColumnFormula>
    </tableColumn>
    <tableColumn id="6" name="Check">
      <calculatedColumnFormula>IF(tblMakeCosts[[#This Row],[Item]]="","",IF(tblMakeCosts[[#This Row],[Basis]]="","Missing basis",IF(tblMakeCosts[[#This Row],[Amount]]="","Missing amount",IF(tblMakeCosts[[#This Row],[Avoidable]]="","Missing avoidable",IF(AND(tblMakeCosts[[#This Row],[Basis]]&lt;&gt;"Per unit",tblMakeCosts[[#This Row],[Basis]]&lt;&gt;"Per year",tblMakeCosts[[#This Row],[Basis]]&lt;&gt;"One-off"),"Basis not in the list","OK")))))</calculatedColumnFormula>
    </tableColumn>
    <tableColumn id="7" name="Notes"/>
  </tableColumns>
  <tableStyleInfo name="TableStyleLight1" showFirstColumn="0" showLastColumn="0" showRowStripes="0" showColumnStripes="0"/>
</table>
</file>

<file path=xl/tables/table2.xml><?xml version="1.0" encoding="utf-8"?>
<table xmlns="http://schemas.openxmlformats.org/spreadsheetml/2006/main" id="2" name="tblBuyCosts" displayName="tblBuyCosts" ref="B36:H43" totalsRowShown="0">
  <autoFilter ref="B36:H43"/>
  <tableColumns count="7">
    <tableColumn id="1" name="Item"/>
    <tableColumn id="2" name="Basis"/>
    <tableColumn id="3" name="Amount"/>
    <tableColumn id="4" name="Paid to"/>
    <tableColumn id="5" name="Per unit at demand">
      <calculatedColumnFormula>IF(tblBuyCosts[[#This Row],[Item]]="","",IF(tblBuyCosts[[#This Row],[Basis]]="Per unit",tblBuyCosts[[#This Row],[Amount]],IF(Demand&gt;0,IF(tblBuyCosts[[#This Row],[Basis]]="Per year",tblBuyCosts[[#This Row],[Amount]],tblBuyCosts[[#This Row],[Amount]]/Horizon)/Demand,"")))</calculatedColumnFormula>
    </tableColumn>
    <tableColumn id="6" name="Check">
      <calculatedColumnFormula>IF(tblBuyCosts[[#This Row],[Item]]="","",IF(tblBuyCosts[[#This Row],[Basis]]="","Missing basis",IF(tblBuyCosts[[#This Row],[Amount]]="","Missing amount",IF(AND(tblBuyCosts[[#This Row],[Basis]]&lt;&gt;"Per unit",tblBuyCosts[[#This Row],[Basis]]&lt;&gt;"Per year",tblBuyCosts[[#This Row],[Basis]]&lt;&gt;"One-off"),"Basis not in the list","OK"))))</calculatedColumnFormula>
    </tableColumn>
    <tableColumn id="7" name="Notes"/>
  </tableColumns>
  <tableStyleInfo name="TableStyleLight1" showFirstColumn="0" showLastColumn="0" showRowStripes="0" showColumnStripes="0"/>
</table>
</file>

<file path=xl/tables/table3.xml><?xml version="1.0" encoding="utf-8"?>
<table xmlns="http://schemas.openxmlformats.org/spreadsheetml/2006/main" id="3" name="tblFactors" displayName="tblFactors" ref="B82:H88" totalsRowShown="0">
  <autoFilter ref="B82:H88"/>
  <tableColumns count="7">
    <tableColumn id="1" name="Factor"/>
    <tableColumn id="2" name="Weight"/>
    <tableColumn id="3" name="Make score"/>
    <tableColumn id="4" name="Buy score"/>
    <tableColumn id="5" name="Weighted make">
      <calculatedColumnFormula>IF(tblFactors[[#This Row],[Factor]]="","",tblFactors[[#This Row],[Weight]]*tblFactors[[#This Row],[Make score]])</calculatedColumnFormula>
    </tableColumn>
    <tableColumn id="6" name="Weighted buy">
      <calculatedColumnFormula>IF(tblFactors[[#This Row],[Factor]]="","",tblFactors[[#This Row],[Weight]]*tblFactors[[#This Row],[Buy score]])</calculatedColumnFormula>
    </tableColumn>
    <tableColumn id="7" name="Notes"/>
  </tableColumns>
  <tableStyleInfo name="TableStyleLight1" showFirstColumn="0" showLastColumn="0" showRowStripes="0" showColumnStripes="0"/>
</table>
</file>

<file path=xl/tables/table4.xml><?xml version="1.0" encoding="utf-8"?>
<table xmlns="http://schemas.openxmlformats.org/spreadsheetml/2006/main" id="4" name="tblVerifyMakeCosts" displayName="tblVerifyMakeCosts" ref="B42:H49" totalsRowShown="0">
  <tableColumns count="7">
    <tableColumn id="1" name="Item"/>
    <tableColumn id="2" name="Basis"/>
    <tableColumn id="3" name="Amount"/>
    <tableColumn id="4" name="Avoidable"/>
    <tableColumn id="5" name="Per unit at demand">
      <calculatedColumnFormula>IF(tblVerifyMakeCosts[[#This Row],[Item]]="","",IF(tblVerifyMakeCosts[[#This Row],[Basis]]="Per unit",tblVerifyMakeCosts[[#This Row],[Amount]],IF($E$62&gt;0,IF(tblVerifyMakeCosts[[#This Row],[Basis]]="Per year",tblVerifyMakeCosts[[#This Row],[Amount]],tblVerifyMakeCosts[[#This Row],[Amount]]/$E$36)/$E$62,"")))</calculatedColumnFormula>
    </tableColumn>
    <tableColumn id="6" name="Check">
      <calculatedColumnFormula>IF(tblVerifyMakeCosts[[#This Row],[Item]]="","",IF(tblVerifyMakeCosts[[#This Row],[Basis]]="","Missing basis",IF(tblVerifyMakeCosts[[#This Row],[Amount]]="","Missing amount",IF(tblVerifyMakeCosts[[#This Row],[Avoidable]]="","Missing avoidable",IF(AND(tblVerifyMakeCosts[[#This Row],[Basis]]&lt;&gt;"Per unit",tblVerifyMakeCosts[[#This Row],[Basis]]&lt;&gt;"Per year",tblVerifyMakeCosts[[#This Row],[Basis]]&lt;&gt;"One-off"),"Basis not in the list","OK")))))</calculatedColumnFormula>
    </tableColumn>
    <tableColumn id="7" name="Notes"/>
  </tableColumns>
  <tableStyleInfo name="TableStyleLight1" showFirstColumn="0" showLastColumn="0" showRowStripes="0" showColumnStripes="0"/>
</table>
</file>

<file path=xl/tables/table5.xml><?xml version="1.0" encoding="utf-8"?>
<table xmlns="http://schemas.openxmlformats.org/spreadsheetml/2006/main" id="5" name="tblVerifyBuyCosts" displayName="tblVerifyBuyCosts" ref="B53:H58" totalsRowShown="0">
  <tableColumns count="7">
    <tableColumn id="1" name="Item"/>
    <tableColumn id="2" name="Basis"/>
    <tableColumn id="3" name="Amount"/>
    <tableColumn id="4" name="Paid to"/>
    <tableColumn id="5" name="Per unit at demand">
      <calculatedColumnFormula>IF(tblVerifyBuyCosts[[#This Row],[Item]]="","",IF(tblVerifyBuyCosts[[#This Row],[Basis]]="Per unit",tblVerifyBuyCosts[[#This Row],[Amount]],IF($E$62&gt;0,IF(tblVerifyBuyCosts[[#This Row],[Basis]]="Per year",tblVerifyBuyCosts[[#This Row],[Amount]],tblVerifyBuyCosts[[#This Row],[Amount]]/$E$36)/$E$62,"")))</calculatedColumnFormula>
    </tableColumn>
    <tableColumn id="6" name="Check">
      <calculatedColumnFormula>IF(tblVerifyBuyCosts[[#This Row],[Item]]="","",IF(tblVerifyBuyCosts[[#This Row],[Basis]]="","Missing basis",IF(tblVerifyBuyCosts[[#This Row],[Amount]]="","Missing amount",IF(AND(tblVerifyBuyCosts[[#This Row],[Basis]]&lt;&gt;"Per unit",tblVerifyBuyCosts[[#This Row],[Basis]]&lt;&gt;"Per year",tblVerifyBuyCosts[[#This Row],[Basis]]&lt;&gt;"One-off"),"Basis not in the list","OK"))))</calculatedColumnFormula>
    </tableColumn>
    <tableColumn id="7"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ke-vs-buy-analysis" TargetMode="External"/><Relationship Id="rId2" Type="http://schemas.openxmlformats.org/officeDocument/2006/relationships/hyperlink" Target="https://www.mfgcalcs.com/calculators/make-buy-outsourcing-network-design/make-vs-buy-cost?utm_source=mfgcalcs-template&amp;utm_medium=xlsx&amp;utm_campaign=make-vs-buy-analysis" TargetMode="External"/><Relationship Id="rId3" Type="http://schemas.openxmlformats.org/officeDocument/2006/relationships/hyperlink" Target="https://www.mfgcalcs.com/templates/make-vs-buy-analysis?utm_source=mfgcalcs-template&amp;utm_medium=xlsx&amp;utm_campaign=make-vs-buy-analysis" TargetMode="External"/><Relationship Id="rId4" Type="http://schemas.openxmlformats.org/officeDocument/2006/relationships/hyperlink" Target="https://www.mfgcalcs.com/templates?utm_source=mfgcalcs-template&amp;utm_medium=xlsx&amp;utm_campaign=make-vs-buy-analysis"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ke-vs-buy-analysi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ke-vs-buy-analysis"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ke-vs-buy-analysis"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ke-vs-buy-analysis" TargetMode="External"/><Relationship Id="rId2" Type="http://schemas.openxmlformats.org/officeDocument/2006/relationships/hyperlink" Target="https://www.mfgcalcs.com/calculators/make-buy-outsourcing-network-design/make-vs-buy-cost?utm_source=mfgcalcs-template&amp;utm_medium=xlsx&amp;utm_campaign=make-vs-buy-analysi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make-vs-buy-analysis" TargetMode="External"/><Relationship Id="rId2" Type="http://schemas.openxmlformats.org/officeDocument/2006/relationships/table" Target="../tables/table4.xml"/><Relationship Id="rId3"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20 of 20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61.8"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Make vs Buy'!A1" tooltip="Go to Make vs Buy" display="Make vs Buy"/>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Make vs Buy Analysis&amp;R&amp;8&amp;A</oddHeader>
    <oddFooter>&amp;L&amp;8mfgcalcs.com - free manufacturing templates&amp;R&amp;8Page &amp;P of &amp;N</oddFooter>
  </headerFooter>
  <rowBreaks count="1" manualBreakCount="1">
    <brk id="34"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12"/>
  <sheetViews>
    <sheetView showGridLines="0" workbookViewId="0"/>
  </sheetViews>
  <sheetFormatPr defaultRowHeight="15"/>
  <cols>
    <col min="1" max="1" width="2.7109375" customWidth="1"/>
    <col min="2" max="2" width="34.7109375" customWidth="1"/>
    <col min="3" max="4" width="16.7109375" customWidth="1"/>
    <col min="5" max="5" width="40.7109375" customWidth="1"/>
  </cols>
  <sheetData>
    <row r="1" spans="1:5" ht="30" customHeight="1">
      <c r="A1" s="1" t="s">
        <v>0</v>
      </c>
      <c r="B1" s="1"/>
      <c r="C1" s="1"/>
      <c r="D1" s="1"/>
      <c r="E1" s="1"/>
    </row>
    <row r="2" spans="1:5" ht="21" customHeight="1">
      <c r="B2" s="2" t="s">
        <v>20</v>
      </c>
      <c r="C2" s="2"/>
      <c r="D2" s="2"/>
      <c r="E2" s="3" t="s">
        <v>2</v>
      </c>
    </row>
    <row r="3" spans="1:5" ht="6" customHeight="1"/>
    <row r="4" spans="1:5" ht="21" customHeight="1">
      <c r="B4" s="8" t="s">
        <v>62</v>
      </c>
      <c r="C4" s="8"/>
      <c r="D4" s="8"/>
      <c r="E4" s="8"/>
    </row>
    <row r="5" spans="1:5" ht="5" customHeight="1"/>
    <row r="6" spans="1:5">
      <c r="B6" s="27" t="s">
        <v>63</v>
      </c>
      <c r="C6" s="28" t="s">
        <v>64</v>
      </c>
      <c r="D6" s="28"/>
    </row>
    <row r="7" spans="1:5">
      <c r="B7" s="27" t="s">
        <v>65</v>
      </c>
      <c r="C7" s="28" t="s">
        <v>66</v>
      </c>
      <c r="D7" s="28"/>
    </row>
    <row r="8" spans="1:5">
      <c r="B8" s="27" t="s">
        <v>67</v>
      </c>
      <c r="C8" s="29">
        <v>3</v>
      </c>
      <c r="D8" s="7" t="s">
        <v>68</v>
      </c>
    </row>
    <row r="9" spans="1:5">
      <c r="B9" s="27" t="s">
        <v>69</v>
      </c>
      <c r="C9" s="30">
        <v>2000</v>
      </c>
      <c r="D9" s="7" t="s">
        <v>70</v>
      </c>
    </row>
    <row r="10" spans="1:5">
      <c r="B10" s="27" t="s">
        <v>71</v>
      </c>
      <c r="C10" s="31">
        <v>0.9</v>
      </c>
      <c r="D10" s="7"/>
    </row>
    <row r="12" spans="1:5" ht="48.6" customHeight="1">
      <c r="B12" s="25" t="s">
        <v>72</v>
      </c>
      <c r="C12" s="25"/>
      <c r="D12" s="25"/>
      <c r="E12" s="25"/>
    </row>
  </sheetData>
  <mergeCells count="6">
    <mergeCell ref="A1:E1"/>
    <mergeCell ref="B2:D2"/>
    <mergeCell ref="B4:E4"/>
    <mergeCell ref="C6:D6"/>
    <mergeCell ref="C7:D7"/>
    <mergeCell ref="B12:E12"/>
  </mergeCells>
  <dataValidations count="5">
    <dataValidation type="textLength" allowBlank="1" showInputMessage="1" showErrorMessage="1" errorTitle="Check this entry" error="Text up to 80 characters." promptTitle="Company or plant" prompt="Text up to 80 characters." sqref="C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7">
      <formula1>0</formula1>
      <formula2>12</formula2>
    </dataValidation>
    <dataValidation type="decimal" allowBlank="1" showInputMessage="1" showErrorMessage="1" errorTitle="Check this entry" error="Enter a number from 0.1 to 50." promptTitle="Decision horizon (one-off cos..." prompt="One-off costs (tooling, qualification, programming) are divided by this to give a cost per year. Enter a number from 0.1 to 50." sqref="C8">
      <formula1>0.1</formula1>
      <formula2>50</formula2>
    </dataValidation>
    <dataValidation type="decimal" allowBlank="1" showInputMessage="1" showErrorMessage="1" errorTitle="Check this entry" error="Enter a number from 0 to 10,000,000." promptTitle="Hours available on the make r..." prompt="Hours per year the machine or cell can give this part after its other work. Enter a number from 0 to 10,000,000." sqref="C9">
      <formula1>0</formula1>
      <formula2>10000000.0</formula2>
    </dataValidation>
    <dataValidation type="decimal" allowBlank="1" showInputMessage="1" showErrorMessage="1" errorTitle="Check this entry" error="Enter a percentage from 1% to 100% (type 85% or 0.85)." promptTitle="Near capacity from" prompt="Utilisation of the available hours at which the plan shows Near capacity; above 100% is Over capacity. Enter a percentage from 1% to 100% (type 85% or 0.85)." sqref="C10">
      <formula1>0.01</formula1>
      <formula2>1</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Make vs Buy Analysis&amp;R&amp;8&amp;A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sheetPr>
    <tabColor rgb="FF3B64D8"/>
    <pageSetUpPr fitToPage="1"/>
  </sheetPr>
  <dimension ref="A1:H95"/>
  <sheetViews>
    <sheetView showGridLines="0" workbookViewId="0"/>
  </sheetViews>
  <sheetFormatPr defaultRowHeight="15"/>
  <cols>
    <col min="1" max="1" width="2.7109375" customWidth="1"/>
    <col min="2" max="2" width="34.7109375" customWidth="1"/>
    <col min="3" max="3" width="13.7109375" customWidth="1"/>
    <col min="4" max="4" width="14.7109375" customWidth="1"/>
    <col min="5" max="5" width="13.7109375" customWidth="1"/>
    <col min="6" max="7" width="14.7109375" customWidth="1"/>
    <col min="8" max="8" width="30.7109375" customWidth="1"/>
  </cols>
  <sheetData>
    <row r="1" spans="1:8" ht="30" customHeight="1">
      <c r="A1" s="1" t="s">
        <v>0</v>
      </c>
      <c r="B1" s="1"/>
      <c r="C1" s="1"/>
      <c r="D1" s="1"/>
      <c r="E1" s="1"/>
      <c r="F1" s="1"/>
      <c r="G1" s="1"/>
      <c r="H1" s="1"/>
    </row>
    <row r="2" spans="1:8" ht="21" customHeight="1">
      <c r="B2" s="2" t="s">
        <v>22</v>
      </c>
      <c r="C2" s="2"/>
      <c r="D2" s="2"/>
      <c r="E2" s="2"/>
      <c r="F2" s="2"/>
      <c r="G2" s="2"/>
      <c r="H2" s="3" t="s">
        <v>2</v>
      </c>
    </row>
    <row r="3" spans="1:8" ht="6" customHeight="1"/>
    <row r="4" spans="1:8" ht="21" customHeight="1">
      <c r="B4" s="32" t="s">
        <v>87</v>
      </c>
      <c r="C4" s="32"/>
      <c r="D4" s="32"/>
      <c r="E4" s="32"/>
      <c r="F4" s="32"/>
      <c r="G4" s="32"/>
      <c r="H4" s="32"/>
    </row>
    <row r="6" spans="1:8" ht="21" customHeight="1">
      <c r="B6" s="8" t="s">
        <v>88</v>
      </c>
      <c r="C6" s="8"/>
      <c r="D6" s="8"/>
      <c r="E6" s="8"/>
      <c r="F6" s="8"/>
      <c r="G6" s="8"/>
      <c r="H6" s="8"/>
    </row>
    <row r="7" spans="1:8" ht="5" customHeight="1"/>
    <row r="8" spans="1:8">
      <c r="B8" s="27" t="s">
        <v>89</v>
      </c>
      <c r="C8" s="28" t="s">
        <v>90</v>
      </c>
      <c r="D8" s="28"/>
      <c r="E8" s="28"/>
    </row>
    <row r="9" spans="1:8">
      <c r="B9" s="27" t="s">
        <v>91</v>
      </c>
      <c r="C9" s="30">
        <v>18000</v>
      </c>
      <c r="D9" s="30"/>
      <c r="E9" s="7" t="s">
        <v>92</v>
      </c>
    </row>
    <row r="10" spans="1:8">
      <c r="B10" s="27" t="s">
        <v>93</v>
      </c>
      <c r="C10" s="31">
        <v>0.9</v>
      </c>
      <c r="D10" s="31"/>
      <c r="E10" s="7"/>
    </row>
    <row r="11" spans="1:8">
      <c r="B11" s="27" t="s">
        <v>94</v>
      </c>
      <c r="C11" s="33">
        <v>0.12</v>
      </c>
      <c r="D11" s="33"/>
      <c r="E11" s="7" t="s">
        <v>95</v>
      </c>
    </row>
    <row r="13" spans="1:8" ht="21" customHeight="1">
      <c r="B13" s="8" t="s">
        <v>96</v>
      </c>
      <c r="C13" s="8"/>
      <c r="D13" s="8"/>
      <c r="E13" s="8"/>
      <c r="F13" s="8"/>
      <c r="G13" s="8"/>
      <c r="H13" s="8"/>
    </row>
    <row r="14" spans="1:8" ht="5" customHeight="1"/>
    <row r="15" spans="1:8" ht="18" customHeight="1">
      <c r="B15" s="32" t="s">
        <v>97</v>
      </c>
      <c r="C15" s="32"/>
      <c r="D15" s="32"/>
      <c r="E15" s="32"/>
      <c r="F15" s="32"/>
      <c r="G15" s="32"/>
      <c r="H15" s="32"/>
    </row>
    <row r="16" spans="1:8" ht="14" customHeight="1">
      <c r="B16" s="34"/>
      <c r="C16" s="34"/>
      <c r="D16" s="34" t="str">
        <f>Currency</f>
        <v>GBP</v>
      </c>
      <c r="E16" s="34"/>
      <c r="F16" s="34" t="str">
        <f>Currency&amp;"/unit"</f>
        <v>GBP/unit</v>
      </c>
      <c r="G16" s="34"/>
      <c r="H16" s="34"/>
    </row>
    <row r="17" spans="2:8" ht="32" customHeight="1">
      <c r="B17" s="35" t="s">
        <v>73</v>
      </c>
      <c r="C17" s="35" t="s">
        <v>74</v>
      </c>
      <c r="D17" s="35" t="s">
        <v>75</v>
      </c>
      <c r="E17" s="35" t="s">
        <v>76</v>
      </c>
      <c r="F17" s="35" t="s">
        <v>77</v>
      </c>
      <c r="G17" s="35" t="s">
        <v>78</v>
      </c>
      <c r="H17" s="35" t="s">
        <v>79</v>
      </c>
    </row>
    <row r="18" spans="2:8">
      <c r="B18" s="36" t="s">
        <v>98</v>
      </c>
      <c r="C18" s="28" t="s">
        <v>99</v>
      </c>
      <c r="D18" s="37">
        <v>3.4</v>
      </c>
      <c r="E18" s="28" t="s">
        <v>100</v>
      </c>
      <c r="F18" s="38">
        <f>IF(tblMakeCosts[[#This Row],[Item]]="","",IF(tblMakeCosts[[#This Row],[Basis]]="Per unit",tblMakeCosts[[#This Row],[Amount]],IF(Demand&gt;0,IF(tblMakeCosts[[#This Row],[Basis]]="Per year",tblMakeCosts[[#This Row],[Amount]],tblMakeCosts[[#This Row],[Amount]]/Horizon)/Demand,"")))</f>
        <v>3.4</v>
      </c>
      <c r="G18" s="39" t="str">
        <f>IF(tblMakeCosts[[#This Row],[Item]]="","",IF(tblMakeCosts[[#This Row],[Basis]]="","Missing basis",IF(tblMakeCosts[[#This Row],[Amount]]="","Missing amount",IF(tblMakeCosts[[#This Row],[Avoidable]]="","Missing avoidable",IF(AND(tblMakeCosts[[#This Row],[Basis]]&lt;&gt;"Per unit",tblMakeCosts[[#This Row],[Basis]]&lt;&gt;"Per year",tblMakeCosts[[#This Row],[Basis]]&lt;&gt;"One-off"),"Basis not in the list","OK")))))</f>
        <v>OK</v>
      </c>
      <c r="H18" s="36" t="s">
        <v>101</v>
      </c>
    </row>
    <row r="19" spans="2:8">
      <c r="B19" s="36" t="s">
        <v>102</v>
      </c>
      <c r="C19" s="28" t="s">
        <v>99</v>
      </c>
      <c r="D19" s="37">
        <v>2.45</v>
      </c>
      <c r="E19" s="28" t="s">
        <v>100</v>
      </c>
      <c r="F19" s="38">
        <f>IF(tblMakeCosts[[#This Row],[Item]]="","",IF(tblMakeCosts[[#This Row],[Basis]]="Per unit",tblMakeCosts[[#This Row],[Amount]],IF(Demand&gt;0,IF(tblMakeCosts[[#This Row],[Basis]]="Per year",tblMakeCosts[[#This Row],[Amount]],tblMakeCosts[[#This Row],[Amount]]/Horizon)/Demand,"")))</f>
        <v>2.45</v>
      </c>
      <c r="G19" s="39" t="str">
        <f>IF(tblMakeCosts[[#This Row],[Item]]="","",IF(tblMakeCosts[[#This Row],[Basis]]="","Missing basis",IF(tblMakeCosts[[#This Row],[Amount]]="","Missing amount",IF(tblMakeCosts[[#This Row],[Avoidable]]="","Missing avoidable",IF(AND(tblMakeCosts[[#This Row],[Basis]]&lt;&gt;"Per unit",tblMakeCosts[[#This Row],[Basis]]&lt;&gt;"Per year",tblMakeCosts[[#This Row],[Basis]]&lt;&gt;"One-off"),"Basis not in the list","OK")))))</f>
        <v>OK</v>
      </c>
      <c r="H19" s="36" t="s">
        <v>103</v>
      </c>
    </row>
    <row r="20" spans="2:8">
      <c r="B20" s="36" t="s">
        <v>104</v>
      </c>
      <c r="C20" s="28" t="s">
        <v>99</v>
      </c>
      <c r="D20" s="37">
        <v>0.95</v>
      </c>
      <c r="E20" s="28" t="s">
        <v>100</v>
      </c>
      <c r="F20" s="38">
        <f>IF(tblMakeCosts[[#This Row],[Item]]="","",IF(tblMakeCosts[[#This Row],[Basis]]="Per unit",tblMakeCosts[[#This Row],[Amount]],IF(Demand&gt;0,IF(tblMakeCosts[[#This Row],[Basis]]="Per year",tblMakeCosts[[#This Row],[Amount]],tblMakeCosts[[#This Row],[Amount]]/Horizon)/Demand,"")))</f>
        <v>0.95</v>
      </c>
      <c r="G20" s="39" t="str">
        <f>IF(tblMakeCosts[[#This Row],[Item]]="","",IF(tblMakeCosts[[#This Row],[Basis]]="","Missing basis",IF(tblMakeCosts[[#This Row],[Amount]]="","Missing amount",IF(tblMakeCosts[[#This Row],[Avoidable]]="","Missing avoidable",IF(AND(tblMakeCosts[[#This Row],[Basis]]&lt;&gt;"Per unit",tblMakeCosts[[#This Row],[Basis]]&lt;&gt;"Per year",tblMakeCosts[[#This Row],[Basis]]&lt;&gt;"One-off"),"Basis not in the list","OK")))))</f>
        <v>OK</v>
      </c>
      <c r="H20" s="36" t="s">
        <v>105</v>
      </c>
    </row>
    <row r="21" spans="2:8">
      <c r="B21" s="36" t="s">
        <v>106</v>
      </c>
      <c r="C21" s="28" t="s">
        <v>99</v>
      </c>
      <c r="D21" s="37">
        <v>0.35</v>
      </c>
      <c r="E21" s="28" t="s">
        <v>100</v>
      </c>
      <c r="F21" s="38">
        <f>IF(tblMakeCosts[[#This Row],[Item]]="","",IF(tblMakeCosts[[#This Row],[Basis]]="Per unit",tblMakeCosts[[#This Row],[Amount]],IF(Demand&gt;0,IF(tblMakeCosts[[#This Row],[Basis]]="Per year",tblMakeCosts[[#This Row],[Amount]],tblMakeCosts[[#This Row],[Amount]]/Horizon)/Demand,"")))</f>
        <v>0.35</v>
      </c>
      <c r="G21" s="39" t="str">
        <f>IF(tblMakeCosts[[#This Row],[Item]]="","",IF(tblMakeCosts[[#This Row],[Basis]]="","Missing basis",IF(tblMakeCosts[[#This Row],[Amount]]="","Missing amount",IF(tblMakeCosts[[#This Row],[Avoidable]]="","Missing avoidable",IF(AND(tblMakeCosts[[#This Row],[Basis]]&lt;&gt;"Per unit",tblMakeCosts[[#This Row],[Basis]]&lt;&gt;"Per year",tblMakeCosts[[#This Row],[Basis]]&lt;&gt;"One-off"),"Basis not in the list","OK")))))</f>
        <v>OK</v>
      </c>
      <c r="H21" s="36" t="s">
        <v>107</v>
      </c>
    </row>
    <row r="22" spans="2:8">
      <c r="B22" s="36" t="s">
        <v>108</v>
      </c>
      <c r="C22" s="28" t="s">
        <v>99</v>
      </c>
      <c r="D22" s="37">
        <v>3.1</v>
      </c>
      <c r="E22" s="28" t="s">
        <v>109</v>
      </c>
      <c r="F22" s="38">
        <f>IF(tblMakeCosts[[#This Row],[Item]]="","",IF(tblMakeCosts[[#This Row],[Basis]]="Per unit",tblMakeCosts[[#This Row],[Amount]],IF(Demand&gt;0,IF(tblMakeCosts[[#This Row],[Basis]]="Per year",tblMakeCosts[[#This Row],[Amount]],tblMakeCosts[[#This Row],[Amount]]/Horizon)/Demand,"")))</f>
        <v>3.1</v>
      </c>
      <c r="G22" s="39" t="str">
        <f>IF(tblMakeCosts[[#This Row],[Item]]="","",IF(tblMakeCosts[[#This Row],[Basis]]="","Missing basis",IF(tblMakeCosts[[#This Row],[Amount]]="","Missing amount",IF(tblMakeCosts[[#This Row],[Avoidable]]="","Missing avoidable",IF(AND(tblMakeCosts[[#This Row],[Basis]]&lt;&gt;"Per unit",tblMakeCosts[[#This Row],[Basis]]&lt;&gt;"Per year",tblMakeCosts[[#This Row],[Basis]]&lt;&gt;"One-off"),"Basis not in the list","OK")))))</f>
        <v>OK</v>
      </c>
      <c r="H22" s="36" t="s">
        <v>110</v>
      </c>
    </row>
    <row r="23" spans="2:8">
      <c r="B23" s="36" t="s">
        <v>111</v>
      </c>
      <c r="C23" s="28" t="s">
        <v>112</v>
      </c>
      <c r="D23" s="37">
        <v>14000</v>
      </c>
      <c r="E23" s="28" t="s">
        <v>100</v>
      </c>
      <c r="F23" s="38">
        <f>IF(tblMakeCosts[[#This Row],[Item]]="","",IF(tblMakeCosts[[#This Row],[Basis]]="Per unit",tblMakeCosts[[#This Row],[Amount]],IF(Demand&gt;0,IF(tblMakeCosts[[#This Row],[Basis]]="Per year",tblMakeCosts[[#This Row],[Amount]],tblMakeCosts[[#This Row],[Amount]]/Horizon)/Demand,"")))</f>
        <v>0.777777777777778</v>
      </c>
      <c r="G23" s="39" t="str">
        <f>IF(tblMakeCosts[[#This Row],[Item]]="","",IF(tblMakeCosts[[#This Row],[Basis]]="","Missing basis",IF(tblMakeCosts[[#This Row],[Amount]]="","Missing amount",IF(tblMakeCosts[[#This Row],[Avoidable]]="","Missing avoidable",IF(AND(tblMakeCosts[[#This Row],[Basis]]&lt;&gt;"Per unit",tblMakeCosts[[#This Row],[Basis]]&lt;&gt;"Per year",tblMakeCosts[[#This Row],[Basis]]&lt;&gt;"One-off"),"Basis not in the list","OK")))))</f>
        <v>OK</v>
      </c>
      <c r="H23" s="36" t="s">
        <v>113</v>
      </c>
    </row>
    <row r="24" spans="2:8">
      <c r="B24" s="36" t="s">
        <v>114</v>
      </c>
      <c r="C24" s="28" t="s">
        <v>112</v>
      </c>
      <c r="D24" s="37">
        <v>9500</v>
      </c>
      <c r="E24" s="28" t="s">
        <v>100</v>
      </c>
      <c r="F24" s="38">
        <f>IF(tblMakeCosts[[#This Row],[Item]]="","",IF(tblMakeCosts[[#This Row],[Basis]]="Per unit",tblMakeCosts[[#This Row],[Amount]],IF(Demand&gt;0,IF(tblMakeCosts[[#This Row],[Basis]]="Per year",tblMakeCosts[[#This Row],[Amount]],tblMakeCosts[[#This Row],[Amount]]/Horizon)/Demand,"")))</f>
        <v>0.527777777777778</v>
      </c>
      <c r="G24" s="39" t="str">
        <f>IF(tblMakeCosts[[#This Row],[Item]]="","",IF(tblMakeCosts[[#This Row],[Basis]]="","Missing basis",IF(tblMakeCosts[[#This Row],[Amount]]="","Missing amount",IF(tblMakeCosts[[#This Row],[Avoidable]]="","Missing avoidable",IF(AND(tblMakeCosts[[#This Row],[Basis]]&lt;&gt;"Per unit",tblMakeCosts[[#This Row],[Basis]]&lt;&gt;"Per year",tblMakeCosts[[#This Row],[Basis]]&lt;&gt;"One-off"),"Basis not in the list","OK")))))</f>
        <v>OK</v>
      </c>
      <c r="H24" s="36" t="s">
        <v>115</v>
      </c>
    </row>
    <row r="25" spans="2:8">
      <c r="B25" s="36" t="s">
        <v>116</v>
      </c>
      <c r="C25" s="28" t="s">
        <v>117</v>
      </c>
      <c r="D25" s="37">
        <v>4500</v>
      </c>
      <c r="E25" s="28" t="s">
        <v>100</v>
      </c>
      <c r="F25" s="38">
        <f>IF(tblMakeCosts[[#This Row],[Item]]="","",IF(tblMakeCosts[[#This Row],[Basis]]="Per unit",tblMakeCosts[[#This Row],[Amount]],IF(Demand&gt;0,IF(tblMakeCosts[[#This Row],[Basis]]="Per year",tblMakeCosts[[#This Row],[Amount]],tblMakeCosts[[#This Row],[Amount]]/Horizon)/Demand,"")))</f>
        <v>0.0833333333333333</v>
      </c>
      <c r="G25" s="39" t="str">
        <f>IF(tblMakeCosts[[#This Row],[Item]]="","",IF(tblMakeCosts[[#This Row],[Basis]]="","Missing basis",IF(tblMakeCosts[[#This Row],[Amount]]="","Missing amount",IF(tblMakeCosts[[#This Row],[Avoidable]]="","Missing avoidable",IF(AND(tblMakeCosts[[#This Row],[Basis]]&lt;&gt;"Per unit",tblMakeCosts[[#This Row],[Basis]]&lt;&gt;"Per year",tblMakeCosts[[#This Row],[Basis]]&lt;&gt;"One-off"),"Basis not in the list","OK")))))</f>
        <v>OK</v>
      </c>
      <c r="H25" s="36" t="s">
        <v>118</v>
      </c>
    </row>
    <row r="27" spans="2:8">
      <c r="B27" s="40" t="s">
        <v>119</v>
      </c>
      <c r="C27" s="40"/>
      <c r="D27" s="40"/>
      <c r="E27" s="40"/>
    </row>
    <row r="28" spans="2:8">
      <c r="B28" s="17" t="s">
        <v>120</v>
      </c>
      <c r="C28" s="41">
        <f>SUMIFS(tblMakeCosts[Amount],tblMakeCosts[Basis],"Per unit",tblMakeCosts[Avoidable],"Yes")</f>
        <v>7.15</v>
      </c>
      <c r="D28" s="41"/>
      <c r="E28" s="7" t="str">
        <f>Currency&amp;"/unit"</f>
        <v>GBP/unit</v>
      </c>
    </row>
    <row r="29" spans="2:8">
      <c r="B29" s="17" t="s">
        <v>121</v>
      </c>
      <c r="C29" s="42">
        <f>SUMIFS(tblMakeCosts[Amount],tblMakeCosts[Basis],"Per year",tblMakeCosts[Avoidable],"Yes")+SUMIFS(tblMakeCosts[Amount],tblMakeCosts[Basis],"One-off",tblMakeCosts[Avoidable],"Yes")/Horizon</f>
        <v>25000</v>
      </c>
      <c r="D29" s="42"/>
      <c r="E29" s="7" t="str">
        <f>Currency&amp;"/yr"</f>
        <v>GBP/yr</v>
      </c>
    </row>
    <row r="30" spans="2:8">
      <c r="B30" s="27" t="s">
        <v>122</v>
      </c>
      <c r="C30" s="38">
        <f>SUM(tblMakeCosts[Per unit at demand])</f>
        <v>11.6388888888889</v>
      </c>
      <c r="D30" s="38"/>
      <c r="E30" s="7" t="str">
        <f>Currency&amp;"/unit"</f>
        <v>GBP/unit</v>
      </c>
    </row>
    <row r="32" spans="2:8" ht="21" customHeight="1">
      <c r="B32" s="8" t="s">
        <v>123</v>
      </c>
      <c r="C32" s="8"/>
      <c r="D32" s="8"/>
      <c r="E32" s="8"/>
      <c r="F32" s="8"/>
      <c r="G32" s="8"/>
      <c r="H32" s="8"/>
    </row>
    <row r="33" spans="2:8" ht="5" customHeight="1"/>
    <row r="34" spans="2:8" ht="18" customHeight="1">
      <c r="B34" s="32" t="s">
        <v>124</v>
      </c>
      <c r="C34" s="32"/>
      <c r="D34" s="32"/>
      <c r="E34" s="32"/>
      <c r="F34" s="32"/>
      <c r="G34" s="32"/>
      <c r="H34" s="32"/>
    </row>
    <row r="35" spans="2:8" ht="14" customHeight="1">
      <c r="B35" s="34"/>
      <c r="C35" s="34"/>
      <c r="D35" s="34" t="str">
        <f>Currency</f>
        <v>GBP</v>
      </c>
      <c r="E35" s="34"/>
      <c r="F35" s="34" t="str">
        <f>Currency&amp;"/unit"</f>
        <v>GBP/unit</v>
      </c>
      <c r="G35" s="34"/>
      <c r="H35" s="34"/>
    </row>
    <row r="36" spans="2:8" ht="32" customHeight="1">
      <c r="B36" s="35" t="s">
        <v>73</v>
      </c>
      <c r="C36" s="35" t="s">
        <v>74</v>
      </c>
      <c r="D36" s="35" t="s">
        <v>75</v>
      </c>
      <c r="E36" s="35" t="s">
        <v>80</v>
      </c>
      <c r="F36" s="35" t="s">
        <v>77</v>
      </c>
      <c r="G36" s="35" t="s">
        <v>78</v>
      </c>
      <c r="H36" s="35" t="s">
        <v>79</v>
      </c>
    </row>
    <row r="37" spans="2:8">
      <c r="B37" s="36" t="s">
        <v>125</v>
      </c>
      <c r="C37" s="28" t="s">
        <v>99</v>
      </c>
      <c r="D37" s="37">
        <v>8.4</v>
      </c>
      <c r="E37" s="28" t="s">
        <v>126</v>
      </c>
      <c r="F37" s="38">
        <f>IF(tblBuyCosts[[#This Row],[Item]]="","",IF(tblBuyCosts[[#This Row],[Basis]]="Per unit",tblBuyCosts[[#This Row],[Amount]],IF(Demand&gt;0,IF(tblBuyCosts[[#This Row],[Basis]]="Per year",tblBuyCosts[[#This Row],[Amount]],tblBuyCosts[[#This Row],[Amount]]/Horizon)/Demand,"")))</f>
        <v>8.4</v>
      </c>
      <c r="G37" s="39" t="str">
        <f>IF(tblBuyCosts[[#This Row],[Item]]="","",IF(tblBuyCosts[[#This Row],[Basis]]="","Missing basis",IF(tblBuyCosts[[#This Row],[Amount]]="","Missing amount",IF(AND(tblBuyCosts[[#This Row],[Basis]]&lt;&gt;"Per unit",tblBuyCosts[[#This Row],[Basis]]&lt;&gt;"Per year",tblBuyCosts[[#This Row],[Basis]]&lt;&gt;"One-off"),"Basis not in the list","OK"))))</f>
        <v>OK</v>
      </c>
      <c r="H37" s="36" t="s">
        <v>127</v>
      </c>
    </row>
    <row r="38" spans="2:8">
      <c r="B38" s="36" t="s">
        <v>128</v>
      </c>
      <c r="C38" s="28" t="s">
        <v>99</v>
      </c>
      <c r="D38" s="37">
        <v>0.32</v>
      </c>
      <c r="E38" s="28" t="s">
        <v>129</v>
      </c>
      <c r="F38" s="38">
        <f>IF(tblBuyCosts[[#This Row],[Item]]="","",IF(tblBuyCosts[[#This Row],[Basis]]="Per unit",tblBuyCosts[[#This Row],[Amount]],IF(Demand&gt;0,IF(tblBuyCosts[[#This Row],[Basis]]="Per year",tblBuyCosts[[#This Row],[Amount]],tblBuyCosts[[#This Row],[Amount]]/Horizon)/Demand,"")))</f>
        <v>0.32</v>
      </c>
      <c r="G38" s="39" t="str">
        <f>IF(tblBuyCosts[[#This Row],[Item]]="","",IF(tblBuyCosts[[#This Row],[Basis]]="","Missing basis",IF(tblBuyCosts[[#This Row],[Amount]]="","Missing amount",IF(AND(tblBuyCosts[[#This Row],[Basis]]&lt;&gt;"Per unit",tblBuyCosts[[#This Row],[Basis]]&lt;&gt;"Per year",tblBuyCosts[[#This Row],[Basis]]&lt;&gt;"One-off"),"Basis not in the list","OK"))))</f>
        <v>OK</v>
      </c>
      <c r="H38" s="36" t="s">
        <v>105</v>
      </c>
    </row>
    <row r="39" spans="2:8">
      <c r="B39" s="36" t="s">
        <v>130</v>
      </c>
      <c r="C39" s="28" t="s">
        <v>99</v>
      </c>
      <c r="D39" s="37">
        <v>0.1</v>
      </c>
      <c r="E39" s="28" t="s">
        <v>131</v>
      </c>
      <c r="F39" s="38">
        <f>IF(tblBuyCosts[[#This Row],[Item]]="","",IF(tblBuyCosts[[#This Row],[Basis]]="Per unit",tblBuyCosts[[#This Row],[Amount]],IF(Demand&gt;0,IF(tblBuyCosts[[#This Row],[Basis]]="Per year",tblBuyCosts[[#This Row],[Amount]],tblBuyCosts[[#This Row],[Amount]]/Horizon)/Demand,"")))</f>
        <v>0.1</v>
      </c>
      <c r="G39" s="39" t="str">
        <f>IF(tblBuyCosts[[#This Row],[Item]]="","",IF(tblBuyCosts[[#This Row],[Basis]]="","Missing basis",IF(tblBuyCosts[[#This Row],[Amount]]="","Missing amount",IF(AND(tblBuyCosts[[#This Row],[Basis]]&lt;&gt;"Per unit",tblBuyCosts[[#This Row],[Basis]]&lt;&gt;"Per year",tblBuyCosts[[#This Row],[Basis]]&lt;&gt;"One-off"),"Basis not in the list","OK"))))</f>
        <v>OK</v>
      </c>
      <c r="H39" s="36" t="s">
        <v>132</v>
      </c>
    </row>
    <row r="40" spans="2:8">
      <c r="B40" s="36" t="s">
        <v>133</v>
      </c>
      <c r="C40" s="28" t="s">
        <v>99</v>
      </c>
      <c r="D40" s="37">
        <v>0.06</v>
      </c>
      <c r="E40" s="28" t="s">
        <v>126</v>
      </c>
      <c r="F40" s="38">
        <f>IF(tblBuyCosts[[#This Row],[Item]]="","",IF(tblBuyCosts[[#This Row],[Basis]]="Per unit",tblBuyCosts[[#This Row],[Amount]],IF(Demand&gt;0,IF(tblBuyCosts[[#This Row],[Basis]]="Per year",tblBuyCosts[[#This Row],[Amount]],tblBuyCosts[[#This Row],[Amount]]/Horizon)/Demand,"")))</f>
        <v>0.06</v>
      </c>
      <c r="G40" s="39" t="str">
        <f>IF(tblBuyCosts[[#This Row],[Item]]="","",IF(tblBuyCosts[[#This Row],[Basis]]="","Missing basis",IF(tblBuyCosts[[#This Row],[Amount]]="","Missing amount",IF(AND(tblBuyCosts[[#This Row],[Basis]]&lt;&gt;"Per unit",tblBuyCosts[[#This Row],[Basis]]&lt;&gt;"Per year",tblBuyCosts[[#This Row],[Basis]]&lt;&gt;"One-off"),"Basis not in the list","OK"))))</f>
        <v>OK</v>
      </c>
      <c r="H40" s="36" t="s">
        <v>105</v>
      </c>
    </row>
    <row r="41" spans="2:8">
      <c r="B41" s="36" t="s">
        <v>134</v>
      </c>
      <c r="C41" s="28" t="s">
        <v>112</v>
      </c>
      <c r="D41" s="37">
        <v>3000</v>
      </c>
      <c r="E41" s="28" t="s">
        <v>131</v>
      </c>
      <c r="F41" s="38">
        <f>IF(tblBuyCosts[[#This Row],[Item]]="","",IF(tblBuyCosts[[#This Row],[Basis]]="Per unit",tblBuyCosts[[#This Row],[Amount]],IF(Demand&gt;0,IF(tblBuyCosts[[#This Row],[Basis]]="Per year",tblBuyCosts[[#This Row],[Amount]],tblBuyCosts[[#This Row],[Amount]]/Horizon)/Demand,"")))</f>
        <v>0.166666666666667</v>
      </c>
      <c r="G41" s="39" t="str">
        <f>IF(tblBuyCosts[[#This Row],[Item]]="","",IF(tblBuyCosts[[#This Row],[Basis]]="","Missing basis",IF(tblBuyCosts[[#This Row],[Amount]]="","Missing amount",IF(AND(tblBuyCosts[[#This Row],[Basis]]&lt;&gt;"Per unit",tblBuyCosts[[#This Row],[Basis]]&lt;&gt;"Per year",tblBuyCosts[[#This Row],[Basis]]&lt;&gt;"One-off"),"Basis not in the list","OK"))))</f>
        <v>OK</v>
      </c>
      <c r="H41" s="36" t="s">
        <v>135</v>
      </c>
    </row>
    <row r="42" spans="2:8">
      <c r="B42" s="36" t="s">
        <v>136</v>
      </c>
      <c r="C42" s="28" t="s">
        <v>117</v>
      </c>
      <c r="D42" s="37">
        <v>2400</v>
      </c>
      <c r="E42" s="28" t="s">
        <v>126</v>
      </c>
      <c r="F42" s="38">
        <f>IF(tblBuyCosts[[#This Row],[Item]]="","",IF(tblBuyCosts[[#This Row],[Basis]]="Per unit",tblBuyCosts[[#This Row],[Amount]],IF(Demand&gt;0,IF(tblBuyCosts[[#This Row],[Basis]]="Per year",tblBuyCosts[[#This Row],[Amount]],tblBuyCosts[[#This Row],[Amount]]/Horizon)/Demand,"")))</f>
        <v>0.0444444444444444</v>
      </c>
      <c r="G42" s="39" t="str">
        <f>IF(tblBuyCosts[[#This Row],[Item]]="","",IF(tblBuyCosts[[#This Row],[Basis]]="","Missing basis",IF(tblBuyCosts[[#This Row],[Amount]]="","Missing amount",IF(AND(tblBuyCosts[[#This Row],[Basis]]&lt;&gt;"Per unit",tblBuyCosts[[#This Row],[Basis]]&lt;&gt;"Per year",tblBuyCosts[[#This Row],[Basis]]&lt;&gt;"One-off"),"Basis not in the list","OK"))))</f>
        <v>OK</v>
      </c>
      <c r="H42" s="36" t="s">
        <v>105</v>
      </c>
    </row>
    <row r="43" spans="2:8">
      <c r="B43" s="36" t="s">
        <v>137</v>
      </c>
      <c r="C43" s="28" t="s">
        <v>117</v>
      </c>
      <c r="D43" s="37">
        <v>6000</v>
      </c>
      <c r="E43" s="28" t="s">
        <v>126</v>
      </c>
      <c r="F43" s="38">
        <f>IF(tblBuyCosts[[#This Row],[Item]]="","",IF(tblBuyCosts[[#This Row],[Basis]]="Per unit",tblBuyCosts[[#This Row],[Amount]],IF(Demand&gt;0,IF(tblBuyCosts[[#This Row],[Basis]]="Per year",tblBuyCosts[[#This Row],[Amount]],tblBuyCosts[[#This Row],[Amount]]/Horizon)/Demand,"")))</f>
        <v>0.111111111111111</v>
      </c>
      <c r="G43" s="39" t="str">
        <f>IF(tblBuyCosts[[#This Row],[Item]]="","",IF(tblBuyCosts[[#This Row],[Basis]]="","Missing basis",IF(tblBuyCosts[[#This Row],[Amount]]="","Missing amount",IF(AND(tblBuyCosts[[#This Row],[Basis]]&lt;&gt;"Per unit",tblBuyCosts[[#This Row],[Basis]]&lt;&gt;"Per year",tblBuyCosts[[#This Row],[Basis]]&lt;&gt;"One-off"),"Basis not in the list","OK"))))</f>
        <v>OK</v>
      </c>
      <c r="H43" s="36" t="s">
        <v>138</v>
      </c>
    </row>
    <row r="45" spans="2:8">
      <c r="B45" s="40" t="s">
        <v>139</v>
      </c>
      <c r="C45" s="40"/>
      <c r="D45" s="40"/>
      <c r="E45" s="40"/>
    </row>
    <row r="46" spans="2:8">
      <c r="B46" s="17" t="s">
        <v>140</v>
      </c>
      <c r="C46" s="41">
        <f>SUMIFS(tblBuyCosts[Amount],tblBuyCosts[Basis],"Per unit")</f>
        <v>8.88</v>
      </c>
      <c r="D46" s="41"/>
      <c r="E46" s="7" t="str">
        <f>Currency&amp;"/unit"</f>
        <v>GBP/unit</v>
      </c>
    </row>
    <row r="47" spans="2:8">
      <c r="B47" s="17" t="s">
        <v>141</v>
      </c>
      <c r="C47" s="42">
        <f>SUMIFS(tblBuyCosts[Amount],tblBuyCosts[Basis],"Per year")+SUMIFS(tblBuyCosts[Amount],tblBuyCosts[Basis],"One-off")/Horizon</f>
        <v>5800</v>
      </c>
      <c r="D47" s="42"/>
      <c r="E47" s="7" t="str">
        <f>Currency&amp;"/yr"</f>
        <v>GBP/yr</v>
      </c>
    </row>
    <row r="49" spans="2:8" ht="21" customHeight="1">
      <c r="B49" s="8" t="s">
        <v>142</v>
      </c>
      <c r="C49" s="8"/>
      <c r="D49" s="8"/>
      <c r="E49" s="8"/>
      <c r="F49" s="8"/>
      <c r="G49" s="8"/>
      <c r="H49" s="8"/>
    </row>
    <row r="50" spans="2:8" ht="5" customHeight="1"/>
    <row r="51" spans="2:8">
      <c r="B51" s="27" t="s">
        <v>143</v>
      </c>
      <c r="C51" s="43">
        <f>Demand*PlanShare</f>
        <v>16200</v>
      </c>
      <c r="D51" s="43"/>
      <c r="E51" s="7" t="s">
        <v>144</v>
      </c>
    </row>
    <row r="52" spans="2:8">
      <c r="B52" s="27" t="s">
        <v>145</v>
      </c>
      <c r="C52" s="43">
        <f>Demand-MadeUnits</f>
        <v>1800</v>
      </c>
      <c r="D52" s="43"/>
      <c r="E52" s="7" t="s">
        <v>144</v>
      </c>
    </row>
    <row r="53" spans="2:8">
      <c r="B53" s="27" t="s">
        <v>146</v>
      </c>
      <c r="C53" s="43">
        <f>IF(MadeUnits&gt;0,MadeUnits*MakeVar+MakeFixed,0)</f>
        <v>140830</v>
      </c>
      <c r="D53" s="43"/>
      <c r="E53" s="7" t="str">
        <f>Currency&amp;"/yr"</f>
        <v>GBP/yr</v>
      </c>
    </row>
    <row r="54" spans="2:8">
      <c r="B54" s="27" t="s">
        <v>147</v>
      </c>
      <c r="C54" s="43">
        <f>IF(BoughtUnits&gt;0,BoughtUnits*BuyPrice+BuyFixed,0)</f>
        <v>21784</v>
      </c>
      <c r="D54" s="43"/>
      <c r="E54" s="7" t="str">
        <f>Currency&amp;"/yr"</f>
        <v>GBP/yr</v>
      </c>
    </row>
    <row r="55" spans="2:8">
      <c r="B55" s="17" t="s">
        <v>148</v>
      </c>
      <c r="C55" s="42">
        <f>PlanMake+PlanBuy</f>
        <v>162614</v>
      </c>
      <c r="D55" s="42"/>
      <c r="E55" s="7" t="str">
        <f>Currency&amp;"/yr"</f>
        <v>GBP/yr</v>
      </c>
    </row>
    <row r="56" spans="2:8">
      <c r="B56" s="27" t="s">
        <v>149</v>
      </c>
      <c r="C56" s="43">
        <f>IF(Demand&gt;0,Demand*BuyPrice+BuyFixed,0)</f>
        <v>165640</v>
      </c>
      <c r="D56" s="43"/>
      <c r="E56" s="7" t="str">
        <f>Currency&amp;"/yr"</f>
        <v>GBP/yr</v>
      </c>
    </row>
    <row r="57" spans="2:8">
      <c r="B57" s="27" t="s">
        <v>150</v>
      </c>
      <c r="C57" s="43">
        <f>IF(Demand&gt;0,Demand*MakeVar+MakeFixed,0)</f>
        <v>153700</v>
      </c>
      <c r="D57" s="43"/>
      <c r="E57" s="7" t="str">
        <f>Currency&amp;"/yr"</f>
        <v>GBP/yr</v>
      </c>
    </row>
    <row r="58" spans="2:8">
      <c r="B58" s="17" t="s">
        <v>151</v>
      </c>
      <c r="C58" s="42">
        <f>AllBuy-PlanCost</f>
        <v>3026</v>
      </c>
      <c r="D58" s="42"/>
      <c r="E58" s="7" t="str">
        <f>Currency&amp;"/yr"</f>
        <v>GBP/yr</v>
      </c>
    </row>
    <row r="59" spans="2:8">
      <c r="B59" s="27" t="s">
        <v>152</v>
      </c>
      <c r="C59" s="38">
        <f>IF(Demand&gt;0,PlanCost/Demand,"")</f>
        <v>9.03411111111111</v>
      </c>
      <c r="D59" s="38"/>
      <c r="E59" s="7" t="str">
        <f>Currency&amp;"/unit"</f>
        <v>GBP/unit</v>
      </c>
    </row>
    <row r="60" spans="2:8">
      <c r="B60" s="27" t="s">
        <v>153</v>
      </c>
      <c r="C60" s="43">
        <f>IF(BuyPrice&gt;MakeVar,(MakeFixed-BuyFixed)/(BuyPrice-MakeVar),"")</f>
        <v>11098.2658959538</v>
      </c>
      <c r="D60" s="43"/>
      <c r="E60" s="7" t="s">
        <v>144</v>
      </c>
    </row>
    <row r="61" spans="2:8">
      <c r="B61" s="27" t="s">
        <v>154</v>
      </c>
      <c r="C61" s="43">
        <f>MadeUnits*HoursPerUnit</f>
        <v>1944</v>
      </c>
      <c r="D61" s="43"/>
      <c r="E61" s="7" t="s">
        <v>155</v>
      </c>
    </row>
    <row r="62" spans="2:8">
      <c r="B62" s="27" t="s">
        <v>156</v>
      </c>
      <c r="C62" s="44">
        <f>IF(AvailHours&gt;0,PlanHours/AvailHours,"")</f>
        <v>0.972</v>
      </c>
      <c r="D62" s="44"/>
      <c r="E62" s="7" t="s">
        <v>157</v>
      </c>
    </row>
    <row r="63" spans="2:8">
      <c r="B63" s="17" t="s">
        <v>158</v>
      </c>
      <c r="C63" s="45" t="str">
        <f>IF(PlanUtil="",IF(PlanHours&gt;0,"Over capacity",""),IF(PlanUtil&gt;1,"Over capacity",IF(PlanUtil&gt;=NearAt,"Near capacity","Under capacity")))</f>
        <v>Near capacity</v>
      </c>
      <c r="D63" s="45"/>
      <c r="E63" s="45"/>
    </row>
    <row r="64" spans="2:8">
      <c r="B64" s="17" t="s">
        <v>159</v>
      </c>
      <c r="C64" s="45" t="str">
        <f>IF(Demand&lt;=0,"",IF(AND(AllMake&lt;=AllBuy,AllMake&lt;=PlanCost),"Make all"&amp;IF(Demand*HoursPerUnit&gt;AvailHours," (over capacity)",""),IF(AllBuy&lt;=PlanCost,"Buy all","Your plan")))</f>
        <v>Make all (over capacity)</v>
      </c>
      <c r="D64" s="45"/>
      <c r="E64" s="45"/>
    </row>
    <row r="66" spans="2:8" ht="21" customHeight="1">
      <c r="B66" s="8" t="s">
        <v>160</v>
      </c>
      <c r="C66" s="8"/>
      <c r="D66" s="8"/>
      <c r="E66" s="8"/>
      <c r="F66" s="8"/>
      <c r="G66" s="8"/>
      <c r="H66" s="8"/>
    </row>
    <row r="67" spans="2:8" ht="5" customHeight="1"/>
    <row r="68" spans="2:8">
      <c r="B68" s="46" t="s">
        <v>161</v>
      </c>
      <c r="C68" s="35" t="s">
        <v>162</v>
      </c>
      <c r="D68" s="47">
        <v>0</v>
      </c>
      <c r="E68" s="47">
        <v>0.25</v>
      </c>
      <c r="F68" s="47">
        <v>0.5</v>
      </c>
      <c r="G68" s="47">
        <v>0.9</v>
      </c>
      <c r="H68" s="47">
        <v>1</v>
      </c>
    </row>
    <row r="69" spans="2:8">
      <c r="B69" s="27" t="s">
        <v>143</v>
      </c>
      <c r="C69" s="7" t="s">
        <v>144</v>
      </c>
      <c r="D69" s="43">
        <f>Demand*$D$68</f>
        <v>0</v>
      </c>
      <c r="E69" s="43">
        <f>Demand*$E$68</f>
        <v>4500</v>
      </c>
      <c r="F69" s="43">
        <f>Demand*$F$68</f>
        <v>9000</v>
      </c>
      <c r="G69" s="43">
        <f>Demand*$G$68</f>
        <v>16200</v>
      </c>
      <c r="H69" s="43">
        <f>Demand*$H$68</f>
        <v>18000</v>
      </c>
    </row>
    <row r="70" spans="2:8">
      <c r="B70" s="27" t="s">
        <v>145</v>
      </c>
      <c r="C70" s="7" t="s">
        <v>144</v>
      </c>
      <c r="D70" s="43">
        <f>Demand-$D$69</f>
        <v>18000</v>
      </c>
      <c r="E70" s="43">
        <f>Demand-$E$69</f>
        <v>13500</v>
      </c>
      <c r="F70" s="43">
        <f>Demand-$F$69</f>
        <v>9000</v>
      </c>
      <c r="G70" s="43">
        <f>Demand-$G$69</f>
        <v>1800</v>
      </c>
      <c r="H70" s="43">
        <f>Demand-$H$69</f>
        <v>0</v>
      </c>
    </row>
    <row r="71" spans="2:8">
      <c r="B71" s="27" t="s">
        <v>146</v>
      </c>
      <c r="C71" s="7" t="str">
        <f>Currency&amp;"/yr"</f>
        <v>GBP/yr</v>
      </c>
      <c r="D71" s="43">
        <f>IF($D$69&gt;0,$D$69*MakeVar+MakeFixed,0)</f>
        <v>0</v>
      </c>
      <c r="E71" s="43">
        <f>IF($E$69&gt;0,$E$69*MakeVar+MakeFixed,0)</f>
        <v>57175</v>
      </c>
      <c r="F71" s="43">
        <f>IF($F$69&gt;0,$F$69*MakeVar+MakeFixed,0)</f>
        <v>89350</v>
      </c>
      <c r="G71" s="43">
        <f>IF($G$69&gt;0,$G$69*MakeVar+MakeFixed,0)</f>
        <v>140830</v>
      </c>
      <c r="H71" s="43">
        <f>IF($H$69&gt;0,$H$69*MakeVar+MakeFixed,0)</f>
        <v>153700</v>
      </c>
    </row>
    <row r="72" spans="2:8">
      <c r="B72" s="27" t="s">
        <v>147</v>
      </c>
      <c r="C72" s="7" t="str">
        <f>Currency&amp;"/yr"</f>
        <v>GBP/yr</v>
      </c>
      <c r="D72" s="43">
        <f>IF($D$70&gt;0,$D$70*BuyPrice+BuyFixed,0)</f>
        <v>165640</v>
      </c>
      <c r="E72" s="43">
        <f>IF($E$70&gt;0,$E$70*BuyPrice+BuyFixed,0)</f>
        <v>125680</v>
      </c>
      <c r="F72" s="43">
        <f>IF($F$70&gt;0,$F$70*BuyPrice+BuyFixed,0)</f>
        <v>85720</v>
      </c>
      <c r="G72" s="43">
        <f>IF($G$70&gt;0,$G$70*BuyPrice+BuyFixed,0)</f>
        <v>21784</v>
      </c>
      <c r="H72" s="43">
        <f>IF($H$70&gt;0,$H$70*BuyPrice+BuyFixed,0)</f>
        <v>0</v>
      </c>
    </row>
    <row r="73" spans="2:8">
      <c r="B73" s="17" t="s">
        <v>163</v>
      </c>
      <c r="C73" s="7" t="str">
        <f>Currency&amp;"/yr"</f>
        <v>GBP/yr</v>
      </c>
      <c r="D73" s="48">
        <f>$D$71+$D$72</f>
        <v>165640</v>
      </c>
      <c r="E73" s="48">
        <f>$E$71+$E$72</f>
        <v>182855</v>
      </c>
      <c r="F73" s="48">
        <f>$F$71+$F$72</f>
        <v>175070</v>
      </c>
      <c r="G73" s="48">
        <f>$G$71+$G$72</f>
        <v>162614</v>
      </c>
      <c r="H73" s="48">
        <f>$H$71+$H$72</f>
        <v>153700</v>
      </c>
    </row>
    <row r="74" spans="2:8">
      <c r="B74" s="27" t="s">
        <v>164</v>
      </c>
      <c r="C74" s="7" t="str">
        <f>Currency&amp;"/unit"</f>
        <v>GBP/unit</v>
      </c>
      <c r="D74" s="38">
        <f>IF(Demand&gt;0,$D$73/Demand,"")</f>
        <v>9.20222222222222</v>
      </c>
      <c r="E74" s="38">
        <f>IF(Demand&gt;0,$E$73/Demand,"")</f>
        <v>10.1586111111111</v>
      </c>
      <c r="F74" s="38">
        <f>IF(Demand&gt;0,$F$73/Demand,"")</f>
        <v>9.72611111111111</v>
      </c>
      <c r="G74" s="38">
        <f>IF(Demand&gt;0,$G$73/Demand,"")</f>
        <v>9.03411111111111</v>
      </c>
      <c r="H74" s="38">
        <f>IF(Demand&gt;0,$H$73/Demand,"")</f>
        <v>8.53888888888889</v>
      </c>
    </row>
    <row r="75" spans="2:8">
      <c r="B75" s="27" t="s">
        <v>165</v>
      </c>
      <c r="C75" s="7" t="str">
        <f>Currency&amp;"/yr"</f>
        <v>GBP/yr</v>
      </c>
      <c r="D75" s="42">
        <f>IF(Demand&gt;0,Demand*BuyPrice+BuyFixed,0)-$D$73</f>
        <v>0</v>
      </c>
      <c r="E75" s="42">
        <f>IF(Demand&gt;0,Demand*BuyPrice+BuyFixed,0)-$E$73</f>
        <v>-17215</v>
      </c>
      <c r="F75" s="42">
        <f>IF(Demand&gt;0,Demand*BuyPrice+BuyFixed,0)-$F$73</f>
        <v>-9430</v>
      </c>
      <c r="G75" s="42">
        <f>IF(Demand&gt;0,Demand*BuyPrice+BuyFixed,0)-$G$73</f>
        <v>3026</v>
      </c>
      <c r="H75" s="42">
        <f>IF(Demand&gt;0,Demand*BuyPrice+BuyFixed,0)-$H$73</f>
        <v>11940</v>
      </c>
    </row>
    <row r="76" spans="2:8">
      <c r="B76" s="27" t="s">
        <v>166</v>
      </c>
      <c r="C76" s="7" t="s">
        <v>155</v>
      </c>
      <c r="D76" s="43">
        <f>$D$69*HoursPerUnit</f>
        <v>0</v>
      </c>
      <c r="E76" s="43">
        <f>$E$69*HoursPerUnit</f>
        <v>540</v>
      </c>
      <c r="F76" s="43">
        <f>$F$69*HoursPerUnit</f>
        <v>1080</v>
      </c>
      <c r="G76" s="43">
        <f>$G$69*HoursPerUnit</f>
        <v>1944</v>
      </c>
      <c r="H76" s="43">
        <f>$H$69*HoursPerUnit</f>
        <v>2160</v>
      </c>
    </row>
    <row r="77" spans="2:8">
      <c r="B77" s="27" t="s">
        <v>156</v>
      </c>
      <c r="C77" s="7" t="s">
        <v>157</v>
      </c>
      <c r="D77" s="49">
        <f>IF(AvailHours&gt;0,$D$76/AvailHours,"")</f>
        <v>0</v>
      </c>
      <c r="E77" s="49">
        <f>IF(AvailHours&gt;0,$E$76/AvailHours,"")</f>
        <v>0.27</v>
      </c>
      <c r="F77" s="49">
        <f>IF(AvailHours&gt;0,$F$76/AvailHours,"")</f>
        <v>0.54</v>
      </c>
      <c r="G77" s="49">
        <f>IF(AvailHours&gt;0,$G$76/AvailHours,"")</f>
        <v>0.972</v>
      </c>
      <c r="H77" s="49">
        <f>IF(AvailHours&gt;0,$H$76/AvailHours,"")</f>
        <v>1.08</v>
      </c>
    </row>
    <row r="78" spans="2:8">
      <c r="B78" s="27" t="s">
        <v>158</v>
      </c>
      <c r="C78" s="7"/>
      <c r="D78" s="50" t="str">
        <f>IF($D$77="",IF($D$76&gt;0,"Over capacity",""),IF($D$77&gt;1,"Over capacity",IF($D$77&gt;=NearAt,"Near capacity","Under capacity")))</f>
        <v>Under capacity</v>
      </c>
      <c r="E78" s="50" t="str">
        <f>IF($E$77="",IF($E$76&gt;0,"Over capacity",""),IF($E$77&gt;1,"Over capacity",IF($E$77&gt;=NearAt,"Near capacity","Under capacity")))</f>
        <v>Under capacity</v>
      </c>
      <c r="F78" s="50" t="str">
        <f>IF($F$77="",IF($F$76&gt;0,"Over capacity",""),IF($F$77&gt;1,"Over capacity",IF($F$77&gt;=NearAt,"Near capacity","Under capacity")))</f>
        <v>Under capacity</v>
      </c>
      <c r="G78" s="50" t="str">
        <f>IF($G$77="",IF($G$76&gt;0,"Over capacity",""),IF($G$77&gt;1,"Over capacity",IF($G$77&gt;=NearAt,"Near capacity","Under capacity")))</f>
        <v>Near capacity</v>
      </c>
      <c r="H78" s="50" t="str">
        <f>IF($H$77="",IF($H$76&gt;0,"Over capacity",""),IF($H$77&gt;1,"Over capacity",IF($H$77&gt;=NearAt,"Near capacity","Under capacity")))</f>
        <v>Over capacity</v>
      </c>
    </row>
    <row r="80" spans="2:8" ht="21" customHeight="1">
      <c r="B80" s="8" t="s">
        <v>167</v>
      </c>
      <c r="C80" s="8"/>
      <c r="D80" s="8"/>
      <c r="E80" s="8"/>
      <c r="F80" s="8"/>
      <c r="G80" s="8"/>
      <c r="H80" s="8"/>
    </row>
    <row r="81" spans="2:8" ht="5" customHeight="1"/>
    <row r="82" spans="2:8" ht="20" customHeight="1">
      <c r="B82" s="35" t="s">
        <v>81</v>
      </c>
      <c r="C82" s="35" t="s">
        <v>82</v>
      </c>
      <c r="D82" s="35" t="s">
        <v>83</v>
      </c>
      <c r="E82" s="35" t="s">
        <v>84</v>
      </c>
      <c r="F82" s="35" t="s">
        <v>85</v>
      </c>
      <c r="G82" s="35" t="s">
        <v>86</v>
      </c>
      <c r="H82" s="35" t="s">
        <v>79</v>
      </c>
    </row>
    <row r="83" spans="2:8">
      <c r="B83" s="36" t="s">
        <v>168</v>
      </c>
      <c r="C83" s="31">
        <v>0.25</v>
      </c>
      <c r="D83" s="30">
        <v>4</v>
      </c>
      <c r="E83" s="30">
        <v>3</v>
      </c>
      <c r="F83" s="38">
        <f>IF(tblFactors[[#This Row],[Factor]]="","",tblFactors[[#This Row],[Weight]]*tblFactors[[#This Row],[Make score]])</f>
        <v>1</v>
      </c>
      <c r="G83" s="38">
        <f>IF(tblFactors[[#This Row],[Factor]]="","",tblFactors[[#This Row],[Weight]]*tblFactors[[#This Row],[Buy score]])</f>
        <v>0.75</v>
      </c>
      <c r="H83" s="36" t="s">
        <v>169</v>
      </c>
    </row>
    <row r="84" spans="2:8">
      <c r="B84" s="36" t="s">
        <v>170</v>
      </c>
      <c r="C84" s="31">
        <v>0.2</v>
      </c>
      <c r="D84" s="30">
        <v>5</v>
      </c>
      <c r="E84" s="30">
        <v>3</v>
      </c>
      <c r="F84" s="38">
        <f>IF(tblFactors[[#This Row],[Factor]]="","",tblFactors[[#This Row],[Weight]]*tblFactors[[#This Row],[Make score]])</f>
        <v>1</v>
      </c>
      <c r="G84" s="38">
        <f>IF(tblFactors[[#This Row],[Factor]]="","",tblFactors[[#This Row],[Weight]]*tblFactors[[#This Row],[Buy score]])</f>
        <v>0.6</v>
      </c>
      <c r="H84" s="36" t="s">
        <v>171</v>
      </c>
    </row>
    <row r="85" spans="2:8">
      <c r="B85" s="36" t="s">
        <v>172</v>
      </c>
      <c r="C85" s="31">
        <v>0.2</v>
      </c>
      <c r="D85" s="30">
        <v>2</v>
      </c>
      <c r="E85" s="30">
        <v>5</v>
      </c>
      <c r="F85" s="38">
        <f>IF(tblFactors[[#This Row],[Factor]]="","",tblFactors[[#This Row],[Weight]]*tblFactors[[#This Row],[Make score]])</f>
        <v>0.4</v>
      </c>
      <c r="G85" s="38">
        <f>IF(tblFactors[[#This Row],[Factor]]="","",tblFactors[[#This Row],[Weight]]*tblFactors[[#This Row],[Buy score]])</f>
        <v>1</v>
      </c>
      <c r="H85" s="36" t="s">
        <v>173</v>
      </c>
    </row>
    <row r="86" spans="2:8">
      <c r="B86" s="36" t="s">
        <v>174</v>
      </c>
      <c r="C86" s="31">
        <v>0.15</v>
      </c>
      <c r="D86" s="30">
        <v>4</v>
      </c>
      <c r="E86" s="30">
        <v>2</v>
      </c>
      <c r="F86" s="38">
        <f>IF(tblFactors[[#This Row],[Factor]]="","",tblFactors[[#This Row],[Weight]]*tblFactors[[#This Row],[Make score]])</f>
        <v>0.6</v>
      </c>
      <c r="G86" s="38">
        <f>IF(tblFactors[[#This Row],[Factor]]="","",tblFactors[[#This Row],[Weight]]*tblFactors[[#This Row],[Buy score]])</f>
        <v>0.3</v>
      </c>
      <c r="H86" s="36" t="s">
        <v>105</v>
      </c>
    </row>
    <row r="87" spans="2:8">
      <c r="B87" s="36" t="s">
        <v>175</v>
      </c>
      <c r="C87" s="31">
        <v>0.1</v>
      </c>
      <c r="D87" s="30">
        <v>4</v>
      </c>
      <c r="E87" s="30">
        <v>3</v>
      </c>
      <c r="F87" s="38">
        <f>IF(tblFactors[[#This Row],[Factor]]="","",tblFactors[[#This Row],[Weight]]*tblFactors[[#This Row],[Make score]])</f>
        <v>0.4</v>
      </c>
      <c r="G87" s="38">
        <f>IF(tblFactors[[#This Row],[Factor]]="","",tblFactors[[#This Row],[Weight]]*tblFactors[[#This Row],[Buy score]])</f>
        <v>0.3</v>
      </c>
      <c r="H87" s="36" t="s">
        <v>176</v>
      </c>
    </row>
    <row r="88" spans="2:8">
      <c r="B88" s="36" t="s">
        <v>177</v>
      </c>
      <c r="C88" s="31">
        <v>0.1</v>
      </c>
      <c r="D88" s="30">
        <v>3</v>
      </c>
      <c r="E88" s="30">
        <v>4</v>
      </c>
      <c r="F88" s="38">
        <f>IF(tblFactors[[#This Row],[Factor]]="","",tblFactors[[#This Row],[Weight]]*tblFactors[[#This Row],[Make score]])</f>
        <v>0.3</v>
      </c>
      <c r="G88" s="38">
        <f>IF(tblFactors[[#This Row],[Factor]]="","",tblFactors[[#This Row],[Weight]]*tblFactors[[#This Row],[Buy score]])</f>
        <v>0.4</v>
      </c>
      <c r="H88" s="36" t="s">
        <v>178</v>
      </c>
    </row>
    <row r="90" spans="2:8">
      <c r="B90" s="27" t="s">
        <v>179</v>
      </c>
      <c r="C90" s="49">
        <f>SUM(tblFactors[Weight])</f>
        <v>1</v>
      </c>
      <c r="D90" s="49"/>
      <c r="E90" s="7" t="s">
        <v>157</v>
      </c>
    </row>
    <row r="91" spans="2:8">
      <c r="B91" s="17" t="s">
        <v>180</v>
      </c>
      <c r="C91" s="41">
        <f>IF(WeightSum&gt;0,SUM(tblFactors[Weighted make])/WeightSum,"")</f>
        <v>3.7</v>
      </c>
      <c r="D91" s="41"/>
      <c r="E91" s="7" t="s">
        <v>181</v>
      </c>
    </row>
    <row r="92" spans="2:8">
      <c r="B92" s="17" t="s">
        <v>182</v>
      </c>
      <c r="C92" s="41">
        <f>IF(WeightSum&gt;0,SUM(tblFactors[Weighted buy])/WeightSum,"")</f>
        <v>3.35</v>
      </c>
      <c r="D92" s="41"/>
      <c r="E92" s="7" t="s">
        <v>181</v>
      </c>
    </row>
    <row r="93" spans="2:8">
      <c r="B93" s="27" t="s">
        <v>78</v>
      </c>
      <c r="C93" s="51" t="str">
        <f>IF(ABS(WeightSum-1)&gt;0.0001,"Weights do not add to 100%","OK")</f>
        <v>OK</v>
      </c>
      <c r="D93" s="51"/>
      <c r="E93" s="51"/>
    </row>
    <row r="95" spans="2:8" ht="26.76" customHeight="1">
      <c r="B95" s="21" t="s">
        <v>183</v>
      </c>
      <c r="C95" s="21"/>
      <c r="D95" s="21"/>
      <c r="E95" s="21"/>
      <c r="F95" s="21"/>
      <c r="G95" s="21"/>
      <c r="H95" s="21"/>
    </row>
  </sheetData>
  <mergeCells count="41">
    <mergeCell ref="A1:H1"/>
    <mergeCell ref="B2:G2"/>
    <mergeCell ref="B4:H4"/>
    <mergeCell ref="B6:H6"/>
    <mergeCell ref="C8:E8"/>
    <mergeCell ref="C9:D9"/>
    <mergeCell ref="C10:D10"/>
    <mergeCell ref="C11:D11"/>
    <mergeCell ref="B13:H13"/>
    <mergeCell ref="B15:H15"/>
    <mergeCell ref="B27:E27"/>
    <mergeCell ref="C28:D28"/>
    <mergeCell ref="C29:D29"/>
    <mergeCell ref="C30:D30"/>
    <mergeCell ref="B32:H32"/>
    <mergeCell ref="B34:H34"/>
    <mergeCell ref="B45:E45"/>
    <mergeCell ref="C46:D46"/>
    <mergeCell ref="C47:D47"/>
    <mergeCell ref="B49:H49"/>
    <mergeCell ref="C51:D51"/>
    <mergeCell ref="C52:D52"/>
    <mergeCell ref="C53:D53"/>
    <mergeCell ref="C54:D54"/>
    <mergeCell ref="C55:D55"/>
    <mergeCell ref="C56:D56"/>
    <mergeCell ref="C57:D57"/>
    <mergeCell ref="C58:D58"/>
    <mergeCell ref="C59:D59"/>
    <mergeCell ref="C60:D60"/>
    <mergeCell ref="C61:D61"/>
    <mergeCell ref="C62:D62"/>
    <mergeCell ref="C63:E63"/>
    <mergeCell ref="C64:E64"/>
    <mergeCell ref="B66:H66"/>
    <mergeCell ref="B80:H80"/>
    <mergeCell ref="C90:D90"/>
    <mergeCell ref="C91:D91"/>
    <mergeCell ref="C92:D92"/>
    <mergeCell ref="C93:E93"/>
    <mergeCell ref="B95:H95"/>
  </mergeCells>
  <conditionalFormatting sqref="C63">
    <cfRule type="cellIs" dxfId="0" priority="5" operator="equal">
      <formula>"On target"</formula>
    </cfRule>
    <cfRule type="cellIs" dxfId="0" priority="6" operator="equal">
      <formula>"PASS"</formula>
    </cfRule>
    <cfRule type="cellIs" dxfId="0" priority="7" operator="equal">
      <formula>"OK"</formula>
    </cfRule>
    <cfRule type="cellIs" dxfId="0" priority="8" operator="equal">
      <formula>"Within limits"</formula>
    </cfRule>
    <cfRule type="cellIs" dxfId="0" priority="9" operator="equal">
      <formula>"Under capacity"</formula>
    </cfRule>
    <cfRule type="cellIs" dxfId="0" priority="10" operator="equal">
      <formula>"Complete"</formula>
    </cfRule>
    <cfRule type="cellIs" dxfId="0" priority="11" operator="equal">
      <formula>"Yes"</formula>
    </cfRule>
    <cfRule type="cellIs" dxfId="1" priority="12" operator="equal">
      <formula>"Near target"</formula>
    </cfRule>
    <cfRule type="cellIs" dxfId="1" priority="13" operator="equal">
      <formula>"Check"</formula>
    </cfRule>
    <cfRule type="cellIs" dxfId="1" priority="14" operator="equal">
      <formula>"Due soon"</formula>
    </cfRule>
    <cfRule type="cellIs" dxfId="1" priority="15" operator="equal">
      <formula>"Near capacity"</formula>
    </cfRule>
    <cfRule type="cellIs" dxfId="1" priority="16" operator="equal">
      <formula>"In progress"</formula>
    </cfRule>
    <cfRule type="cellIs" dxfId="1" priority="17" operator="equal">
      <formula>"Partial"</formula>
    </cfRule>
    <cfRule type="cellIs" dxfId="2" priority="18" operator="equal">
      <formula>"Below target"</formula>
    </cfRule>
    <cfRule type="cellIs" dxfId="2" priority="19" operator="equal">
      <formula>"Above target"</formula>
    </cfRule>
    <cfRule type="cellIs" dxfId="2" priority="20" operator="equal">
      <formula>"FAIL"</formula>
    </cfRule>
    <cfRule type="cellIs" dxfId="2" priority="21" operator="equal">
      <formula>"Over capacity"</formula>
    </cfRule>
    <cfRule type="cellIs" dxfId="2" priority="22" operator="equal">
      <formula>"Overdue"</formula>
    </cfRule>
    <cfRule type="cellIs" dxfId="2" priority="23" operator="equal">
      <formula>"Out of limits"</formula>
    </cfRule>
    <cfRule type="cellIs" dxfId="2" priority="24" operator="equal">
      <formula>"No"</formula>
    </cfRule>
  </conditionalFormatting>
  <conditionalFormatting sqref="C93">
    <cfRule type="expression" dxfId="3" priority="45">
      <formula>$C93="OK"</formula>
    </cfRule>
    <cfRule type="expression" dxfId="1" priority="46">
      <formula>AND($C93&lt;&gt;"",$C93&lt;&gt;"OK")</formula>
    </cfRule>
  </conditionalFormatting>
  <conditionalFormatting sqref="D78:H78">
    <cfRule type="cellIs" dxfId="0" priority="25" operator="equal">
      <formula>"On target"</formula>
    </cfRule>
    <cfRule type="cellIs" dxfId="0" priority="26" operator="equal">
      <formula>"PASS"</formula>
    </cfRule>
    <cfRule type="cellIs" dxfId="0" priority="27" operator="equal">
      <formula>"OK"</formula>
    </cfRule>
    <cfRule type="cellIs" dxfId="0" priority="28" operator="equal">
      <formula>"Within limits"</formula>
    </cfRule>
    <cfRule type="cellIs" dxfId="0" priority="29" operator="equal">
      <formula>"Under capacity"</formula>
    </cfRule>
    <cfRule type="cellIs" dxfId="0" priority="30" operator="equal">
      <formula>"Complete"</formula>
    </cfRule>
    <cfRule type="cellIs" dxfId="0" priority="31" operator="equal">
      <formula>"Yes"</formula>
    </cfRule>
    <cfRule type="cellIs" dxfId="1" priority="32" operator="equal">
      <formula>"Near target"</formula>
    </cfRule>
    <cfRule type="cellIs" dxfId="1" priority="33" operator="equal">
      <formula>"Check"</formula>
    </cfRule>
    <cfRule type="cellIs" dxfId="1" priority="34" operator="equal">
      <formula>"Due soon"</formula>
    </cfRule>
    <cfRule type="cellIs" dxfId="1" priority="35" operator="equal">
      <formula>"Near capacity"</formula>
    </cfRule>
    <cfRule type="cellIs" dxfId="1" priority="36" operator="equal">
      <formula>"In progress"</formula>
    </cfRule>
    <cfRule type="cellIs" dxfId="1" priority="37" operator="equal">
      <formula>"Partial"</formula>
    </cfRule>
    <cfRule type="cellIs" dxfId="2" priority="38" operator="equal">
      <formula>"Below target"</formula>
    </cfRule>
    <cfRule type="cellIs" dxfId="2" priority="39" operator="equal">
      <formula>"Above target"</formula>
    </cfRule>
    <cfRule type="cellIs" dxfId="2" priority="40" operator="equal">
      <formula>"FAIL"</formula>
    </cfRule>
    <cfRule type="cellIs" dxfId="2" priority="41" operator="equal">
      <formula>"Over capacity"</formula>
    </cfRule>
    <cfRule type="cellIs" dxfId="2" priority="42" operator="equal">
      <formula>"Overdue"</formula>
    </cfRule>
    <cfRule type="cellIs" dxfId="2" priority="43" operator="equal">
      <formula>"Out of limits"</formula>
    </cfRule>
    <cfRule type="cellIs" dxfId="2" priority="44" operator="equal">
      <formula>"No"</formula>
    </cfRule>
  </conditionalFormatting>
  <conditionalFormatting sqref="G18:G26">
    <cfRule type="expression" dxfId="3" priority="1">
      <formula>$G18="OK"</formula>
    </cfRule>
    <cfRule type="expression" dxfId="1" priority="2">
      <formula>AND($G18&lt;&gt;"",$G18&lt;&gt;"OK")</formula>
    </cfRule>
  </conditionalFormatting>
  <conditionalFormatting sqref="G37:G44">
    <cfRule type="expression" dxfId="3" priority="3">
      <formula>$G37="OK"</formula>
    </cfRule>
    <cfRule type="expression" dxfId="1" priority="4">
      <formula>AND($G37&lt;&gt;"",$G37&lt;&gt;"OK")</formula>
    </cfRule>
  </conditionalFormatting>
  <dataValidations count="24">
    <dataValidation type="textLength" allowBlank="1" showInputMessage="1" showErrorMessage="1" errorTitle="Check this entry" error="Text up to 80 characters." promptTitle="Part" prompt="Text up to 80 characters." sqref="C8">
      <formula1>0</formula1>
      <formula2>80</formula2>
    </dataValidation>
    <dataValidation type="decimal" allowBlank="1" showInputMessage="1" showErrorMessage="1" errorTitle="Check this entry" error="Enter a number of at least 0." promptTitle="Annual demand" prompt="Enter a number of at least 0." sqref="C9">
      <formula1>0</formula1>
      <formula2>10000000000.0</formula2>
    </dataValidation>
    <dataValidation type="decimal" allowBlank="1" showInputMessage="1" showErrorMessage="1" errorTitle="Check this entry" error="Enter a percentage from 0% to 100% (type 85% or 0.85)." promptTitle="Internal share in your plan" prompt="Share of demand you plan to make; the rest is bought. 100% = make all, 0% = buy all. Enter a percentage from 0% to 100% (type 85% or 0.85)." sqref="C10">
      <formula1>0</formula1>
      <formula2>1</formula2>
    </dataValidation>
    <dataValidation type="decimal" allowBlank="1" showInputMessage="1" showErrorMessage="1" errorTitle="Check this entry" error="Enter a number from 0 to 10,000." promptTitle="Hours to make one good unit" prompt="Hours on the make resource per good unit, setups included. Enter a number from 0 to 10,000." sqref="C11">
      <formula1>0</formula1>
      <formula2>10000.0</formula2>
    </dataValidation>
    <dataValidation type="textLength" allowBlank="1" showInputMessage="1" showErrorMessage="1" errorTitle="Check this entry" error="Text up to 80 characters." promptTitle="Item" prompt="Text up to 80 characters." sqref="B18:B26">
      <formula1>0</formula1>
      <formula2>80</formula2>
    </dataValidation>
    <dataValidation type="list" allowBlank="1" showInputMessage="1" showErrorMessage="1" errorTitle="Check this entry" error="Pick one of: Per unit, Per year, One-off." promptTitle="Basis" prompt="Per unit: paid for every unit made. Per year: a fixed cost each year. One-off: paid once, spread over the decision horizon. Pick one of: Per unit, Per year, One-off." sqref="C18:C26">
      <formula1>"Per unit,Per year,One-off"</formula1>
    </dataValidation>
    <dataValidation type="decimal" allowBlank="1" showInputMessage="1" showErrorMessage="1" errorTitle="Check this entry" error="Enter a number of at least 0." promptTitle="Amount" prompt="Per unit, per year or one-off, as the Basis says. Enter a number of at least 0." sqref="D18:D26">
      <formula1>0</formula1>
      <formula2>10000000000.0</formula2>
    </dataValidation>
    <dataValidation type="list" allowBlank="1" showInputMessage="1" showErrorMessage="1" errorTitle="Check this entry" error="Pick one of: Yes, No." promptTitle="Avoidable" prompt="Yes when this cost stops if you buy the part instead. Allocated overhead that stays is No. Pick one of: Yes, No." sqref="E18:E26">
      <formula1>"Yes,No"</formula1>
    </dataValidation>
    <dataValidation type="textLength" allowBlank="1" showInputMessage="1" showErrorMessage="1" errorTitle="Check this entry" error="Text up to 160 characters." promptTitle="Notes" prompt="Text up to 160 characters." sqref="H18:H26">
      <formula1>0</formula1>
      <formula2>160</formula2>
    </dataValidation>
    <dataValidation type="textLength" allowBlank="1" showInputMessage="1" showErrorMessage="1" errorTitle="Check this entry" error="Text up to 80 characters." promptTitle="Item" prompt="Text up to 80 characters." sqref="B37:B44">
      <formula1>0</formula1>
      <formula2>80</formula2>
    </dataValidation>
    <dataValidation type="list" allowBlank="1" showInputMessage="1" showErrorMessage="1" errorTitle="Check this entry" error="Pick one of: Per unit, Per year, One-off." promptTitle="Basis" prompt="Per unit: paid for every unit bought. Per year: a fixed cost each year. One-off: paid once, spread over the decision horizon. Pick one of: Per unit, Per year, One-off." sqref="C37:C44">
      <formula1>"Per unit,Per year,One-off"</formula1>
    </dataValidation>
    <dataValidation type="decimal" allowBlank="1" showInputMessage="1" showErrorMessage="1" errorTitle="Check this entry" error="Enter a number of at least 0." promptTitle="Amount" prompt="Enter a number of at least 0." sqref="D37:D44">
      <formula1>0</formula1>
      <formula2>10000000000.0</formula2>
    </dataValidation>
    <dataValidation type="textLength" allowBlank="1" showInputMessage="1" showErrorMessage="1" errorTitle="Check this entry" error="Text up to 60 characters." promptTitle="Paid to" prompt="Supplier, carrier or service the cost is paid to. Text up to 60 characters." sqref="E37:E44">
      <formula1>0</formula1>
      <formula2>60</formula2>
    </dataValidation>
    <dataValidation type="textLength" allowBlank="1" showInputMessage="1" showErrorMessage="1" errorTitle="Check this entry" error="Text up to 160 characters." promptTitle="Notes" prompt="Text up to 160 characters." sqref="H37:H44">
      <formula1>0</formula1>
      <formula2>160</formula2>
    </dataValidation>
    <dataValidation type="decimal" allowBlank="1" showInputMessage="1" showErrorMessage="1" errorTitle="Check this entry" error="Enter a percentage from 0% to 100% (type 85% or 0.85)." promptTitle="Internal share" prompt="Share of demand made in-house for this scenario. Enter a percentage from 0% to 100% (type 85% or 0.85)." sqref="D68">
      <formula1>0</formula1>
      <formula2>1</formula2>
    </dataValidation>
    <dataValidation type="decimal" allowBlank="1" showInputMessage="1" showErrorMessage="1" errorTitle="Check this entry" error="Enter a percentage from 0% to 100% (type 85% or 0.85)." promptTitle="Internal share" prompt="Share of demand made in-house for this scenario. Enter a percentage from 0% to 100% (type 85% or 0.85)." sqref="E68">
      <formula1>0</formula1>
      <formula2>1</formula2>
    </dataValidation>
    <dataValidation type="decimal" allowBlank="1" showInputMessage="1" showErrorMessage="1" errorTitle="Check this entry" error="Enter a percentage from 0% to 100% (type 85% or 0.85)." promptTitle="Internal share" prompt="Share of demand made in-house for this scenario. Enter a percentage from 0% to 100% (type 85% or 0.85)." sqref="F68">
      <formula1>0</formula1>
      <formula2>1</formula2>
    </dataValidation>
    <dataValidation type="decimal" allowBlank="1" showInputMessage="1" showErrorMessage="1" errorTitle="Check this entry" error="Enter a percentage from 0% to 100% (type 85% or 0.85)." promptTitle="Internal share" prompt="Share of demand made in-house for this scenario. Enter a percentage from 0% to 100% (type 85% or 0.85)." sqref="G68">
      <formula1>0</formula1>
      <formula2>1</formula2>
    </dataValidation>
    <dataValidation type="decimal" allowBlank="1" showInputMessage="1" showErrorMessage="1" errorTitle="Check this entry" error="Enter a percentage from 0% to 100% (type 85% or 0.85)." promptTitle="Internal share" prompt="Share of demand made in-house for this scenario. Enter a percentage from 0% to 100% (type 85% or 0.85)." sqref="H68">
      <formula1>0</formula1>
      <formula2>1</formula2>
    </dataValidation>
    <dataValidation type="textLength" allowBlank="1" showInputMessage="1" showErrorMessage="1" errorTitle="Check this entry" error="Text up to 80 characters." promptTitle="Factor" prompt="Text up to 80 characters." sqref="B83:B89">
      <formula1>0</formula1>
      <formula2>80</formula2>
    </dataValidation>
    <dataValidation type="decimal" allowBlank="1" showInputMessage="1" showErrorMessage="1" errorTitle="Check this entry" error="Enter a percentage from 0% to 100% (type 85% or 0.85)." promptTitle="Weight" prompt="How much this factor matters to the decision. Weights should add to 100%. Enter a percentage from 0% to 100% (type 85% or 0.85)." sqref="C83:C89">
      <formula1>0</formula1>
      <formula2>1</formula2>
    </dataValidation>
    <dataValidation type="whole" allowBlank="1" showInputMessage="1" showErrorMessage="1" errorTitle="Check this entry" error="Enter a whole number from 1 to 5." promptTitle="Make score" prompt="1 = poor to 5 = strong, if you make the part. Enter a whole number from 1 to 5." sqref="D83:D89">
      <formula1>1</formula1>
      <formula2>5</formula2>
    </dataValidation>
    <dataValidation type="whole" allowBlank="1" showInputMessage="1" showErrorMessage="1" errorTitle="Check this entry" error="Enter a whole number from 1 to 5." promptTitle="Buy score" prompt="1 = poor to 5 = strong, if you buy the part. Enter a whole number from 1 to 5." sqref="E83:E89">
      <formula1>1</formula1>
      <formula2>5</formula2>
    </dataValidation>
    <dataValidation type="textLength" allowBlank="1" showInputMessage="1" showErrorMessage="1" errorTitle="Check this entry" error="Text up to 160 characters." promptTitle="Notes" prompt="Text up to 160 characters." sqref="H83:H89">
      <formula1>0</formula1>
      <formula2>160</formula2>
    </dataValidation>
  </dataValidations>
  <hyperlinks>
    <hyperlink ref="H2" r:id="rId1" tooltip="Free manufacturing calculators and templates"/>
  </hyperlinks>
  <pageMargins left="0.4" right="0.4" top="0.7" bottom="0.65" header="0.3" footer="0.3"/>
  <pageSetup fitToHeight="0" orientation="landscape"/>
  <headerFooter>
    <oddHeader>&amp;L&amp;8MFG Calcs - Make vs Buy Analysis&amp;R&amp;8&amp;A</oddHeader>
    <oddFooter>&amp;L&amp;8mfgcalcs.com - free manufacturing templates&amp;R&amp;8Page &amp;P of &amp;N</oddFooter>
  </headerFooter>
  <rowBreaks count="3" manualBreakCount="3">
    <brk id="26" max="16383" man="1"/>
    <brk id="48" max="16383" man="1"/>
    <brk id="79" max="16383" man="1"/>
  </rowBreaks>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77"/>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24</v>
      </c>
      <c r="C2" s="2"/>
      <c r="D2" s="2"/>
      <c r="E2" s="2"/>
      <c r="F2" s="2"/>
      <c r="G2" s="2"/>
      <c r="H2" s="2"/>
      <c r="I2" s="2"/>
      <c r="J2" s="2"/>
      <c r="K2" s="3" t="s">
        <v>2</v>
      </c>
      <c r="L2" s="3"/>
    </row>
    <row r="3" spans="1:12" ht="6" customHeight="1"/>
    <row r="4" spans="1:12">
      <c r="B4" s="52" t="str">
        <f>PartName&amp;": "&amp;TEXT(Demand,"#,##0")&amp;" good units a year; your plan makes "&amp;TEXT(PlanShare,"0%")&amp;" in-house. Money in "&amp;Currency&amp;"."</f>
        <v>Rod-end bracket RB-50 (example): 18,000 good units a year; your plan makes 90% in-house. Money in GBP.</v>
      </c>
      <c r="C4" s="52"/>
      <c r="D4" s="52"/>
      <c r="E4" s="52"/>
      <c r="F4" s="52"/>
      <c r="G4" s="52"/>
      <c r="H4" s="52"/>
      <c r="I4" s="52"/>
      <c r="J4" s="52"/>
      <c r="K4" s="52"/>
      <c r="L4" s="52"/>
    </row>
    <row r="6" spans="1:12" ht="18" customHeight="1">
      <c r="B6" s="53" t="str">
        <f>"PLAN SAVING AGAINST BUYING ALL ("&amp;Currency&amp;"/YR)"</f>
        <v>PLAN SAVING AGAINST BUYING ALL (GBP/YR)</v>
      </c>
      <c r="C6" s="53"/>
      <c r="D6" s="53" t="s">
        <v>184</v>
      </c>
      <c r="E6" s="53"/>
      <c r="F6" s="53"/>
      <c r="G6" s="53" t="s">
        <v>185</v>
      </c>
      <c r="H6" s="53"/>
      <c r="I6" s="53"/>
      <c r="J6" s="53" t="s">
        <v>186</v>
      </c>
      <c r="K6" s="53"/>
      <c r="L6" s="53"/>
    </row>
    <row r="7" spans="1:12" ht="21" customHeight="1">
      <c r="B7" s="54">
        <f>Saving</f>
        <v>3026</v>
      </c>
      <c r="C7" s="54"/>
      <c r="D7" s="55" t="str">
        <f>Verdict</f>
        <v>Make all (over capacity)</v>
      </c>
      <c r="E7" s="55"/>
      <c r="F7" s="55"/>
      <c r="G7" s="54">
        <f>IF(BreakEven="","None",BreakEven)</f>
        <v>11098.2658959538</v>
      </c>
      <c r="H7" s="54"/>
      <c r="I7" s="54"/>
      <c r="J7" s="56">
        <f>PlanUtil</f>
        <v>0.972</v>
      </c>
      <c r="K7" s="56"/>
      <c r="L7" s="56"/>
    </row>
    <row r="8" spans="1:12" ht="21" customHeight="1">
      <c r="B8" s="54"/>
      <c r="C8" s="54"/>
      <c r="D8" s="55"/>
      <c r="E8" s="55"/>
      <c r="F8" s="55"/>
      <c r="G8" s="54"/>
      <c r="H8" s="54"/>
      <c r="I8" s="54"/>
      <c r="J8" s="56"/>
      <c r="K8" s="56"/>
      <c r="L8" s="56"/>
    </row>
    <row r="9" spans="1:12">
      <c r="B9" s="57" t="s">
        <v>187</v>
      </c>
      <c r="C9" s="57"/>
      <c r="D9" s="57" t="str">
        <f>"Make all "&amp;TEXT(AllMake,"#,##0")&amp;", buy all "&amp;TEXT(AllBuy,"#,##0")</f>
        <v>Make all 153,700, buy all 165,640</v>
      </c>
      <c r="E9" s="57"/>
      <c r="F9" s="57"/>
      <c r="G9" s="57" t="str">
        <f>"Make all is cheaper above it; demand "&amp;TEXT(Demand,"#,##0")</f>
        <v>Make all is cheaper above it; demand 18,000</v>
      </c>
      <c r="H9" s="57"/>
      <c r="I9" s="57"/>
      <c r="J9" s="58">
        <f>1</f>
        <v>1</v>
      </c>
      <c r="K9" s="58"/>
      <c r="L9" s="58"/>
    </row>
    <row r="10" spans="1:12" ht="18" customHeight="1">
      <c r="B10" s="59"/>
      <c r="C10" s="59"/>
      <c r="D10" s="59"/>
      <c r="E10" s="59"/>
      <c r="F10" s="59"/>
      <c r="G10" s="59"/>
      <c r="H10" s="59"/>
      <c r="I10" s="59"/>
      <c r="J10" s="59" t="str">
        <f>IF(NOT(ISNUMBER(KpiUtil)),"No data",IF(KpiUtil&lt;=(NearAt),"Under capacity",IF(KpiUtil&lt;=(1),"Near capacity","Over capacity")))</f>
        <v>Near capacity</v>
      </c>
      <c r="K10" s="59"/>
      <c r="L10" s="59"/>
    </row>
    <row r="29" spans="2:12">
      <c r="B29" s="40" t="s">
        <v>188</v>
      </c>
      <c r="C29" s="40"/>
      <c r="D29" s="40"/>
      <c r="E29" s="40"/>
      <c r="F29" s="40"/>
      <c r="G29" s="40"/>
      <c r="H29" s="40"/>
      <c r="I29" s="40"/>
      <c r="J29" s="40"/>
      <c r="K29" s="40"/>
      <c r="L29" s="40"/>
    </row>
    <row r="30" spans="2:12" ht="32" customHeight="1">
      <c r="B30" s="46" t="s">
        <v>189</v>
      </c>
      <c r="C30" s="35" t="s">
        <v>161</v>
      </c>
      <c r="D30" s="35" t="s">
        <v>143</v>
      </c>
      <c r="E30" s="35" t="s">
        <v>145</v>
      </c>
      <c r="F30" s="35" t="s">
        <v>146</v>
      </c>
      <c r="G30" s="35" t="s">
        <v>147</v>
      </c>
      <c r="H30" s="35" t="s">
        <v>163</v>
      </c>
      <c r="I30" s="35" t="s">
        <v>190</v>
      </c>
      <c r="J30" s="35" t="s">
        <v>191</v>
      </c>
      <c r="K30" s="35" t="s">
        <v>192</v>
      </c>
      <c r="L30" s="35"/>
    </row>
    <row r="31" spans="2:12" ht="14" customHeight="1">
      <c r="B31" s="34"/>
      <c r="C31" s="34" t="s">
        <v>157</v>
      </c>
      <c r="D31" s="34" t="s">
        <v>144</v>
      </c>
      <c r="E31" s="34" t="s">
        <v>144</v>
      </c>
      <c r="F31" s="34" t="str">
        <f>Currency&amp;"/yr"</f>
        <v>GBP/yr</v>
      </c>
      <c r="G31" s="34" t="str">
        <f>Currency&amp;"/yr"</f>
        <v>GBP/yr</v>
      </c>
      <c r="H31" s="34" t="str">
        <f>Currency&amp;"/yr"</f>
        <v>GBP/yr</v>
      </c>
      <c r="I31" s="34" t="str">
        <f>Currency&amp;"/unit"</f>
        <v>GBP/unit</v>
      </c>
      <c r="J31" s="34" t="s">
        <v>193</v>
      </c>
      <c r="K31" s="34"/>
      <c r="L31" s="34"/>
    </row>
    <row r="32" spans="2:12">
      <c r="B32" s="60" t="s">
        <v>194</v>
      </c>
      <c r="C32" s="49">
        <f>CHOOSE(1,1,PlanShare,0)</f>
        <v>1</v>
      </c>
      <c r="D32" s="43">
        <f>Demand*$C$32</f>
        <v>18000</v>
      </c>
      <c r="E32" s="43">
        <f>Demand-$D$32</f>
        <v>0</v>
      </c>
      <c r="F32" s="43">
        <f>IF($D$32&gt;0,$D$32*MakeVar+MakeFixed,0)</f>
        <v>153700</v>
      </c>
      <c r="G32" s="43">
        <f>IF($E$32&gt;0,$E$32*BuyPrice+BuyFixed,0)</f>
        <v>0</v>
      </c>
      <c r="H32" s="42">
        <f>$F$32+$G$32</f>
        <v>153700</v>
      </c>
      <c r="I32" s="38">
        <f>IF(Demand&gt;0,$H$32/Demand,"")</f>
        <v>8.53888888888889</v>
      </c>
      <c r="J32" s="49">
        <f>IF(AvailHours&gt;0,$D$32*HoursPerUnit/AvailHours,"")</f>
        <v>1.08</v>
      </c>
      <c r="K32" s="50" t="str">
        <f>IF($J$32="","",IF($J$32&gt;1,"Over capacity",IF($J$32&gt;=NearAt,"Near capacity","Under capacity")))</f>
        <v>Over capacity</v>
      </c>
      <c r="L32" s="50"/>
    </row>
    <row r="33" spans="2:12">
      <c r="B33" s="60" t="s">
        <v>142</v>
      </c>
      <c r="C33" s="49">
        <f>CHOOSE(2,1,PlanShare,0)</f>
        <v>0.9</v>
      </c>
      <c r="D33" s="43">
        <f>Demand*$C$33</f>
        <v>16200</v>
      </c>
      <c r="E33" s="43">
        <f>Demand-$D$33</f>
        <v>1800</v>
      </c>
      <c r="F33" s="43">
        <f>IF($D$33&gt;0,$D$33*MakeVar+MakeFixed,0)</f>
        <v>140830</v>
      </c>
      <c r="G33" s="43">
        <f>IF($E$33&gt;0,$E$33*BuyPrice+BuyFixed,0)</f>
        <v>21784</v>
      </c>
      <c r="H33" s="42">
        <f>$F$33+$G$33</f>
        <v>162614</v>
      </c>
      <c r="I33" s="38">
        <f>IF(Demand&gt;0,$H$33/Demand,"")</f>
        <v>9.03411111111111</v>
      </c>
      <c r="J33" s="49">
        <f>IF(AvailHours&gt;0,$D$33*HoursPerUnit/AvailHours,"")</f>
        <v>0.972</v>
      </c>
      <c r="K33" s="50" t="str">
        <f>IF($J$33="","",IF($J$33&gt;1,"Over capacity",IF($J$33&gt;=NearAt,"Near capacity","Under capacity")))</f>
        <v>Near capacity</v>
      </c>
      <c r="L33" s="50"/>
    </row>
    <row r="34" spans="2:12">
      <c r="B34" s="60" t="s">
        <v>195</v>
      </c>
      <c r="C34" s="49">
        <f>CHOOSE(3,1,PlanShare,0)</f>
        <v>0</v>
      </c>
      <c r="D34" s="43">
        <f>Demand*$C$34</f>
        <v>0</v>
      </c>
      <c r="E34" s="43">
        <f>Demand-$D$34</f>
        <v>18000</v>
      </c>
      <c r="F34" s="43">
        <f>IF($D$34&gt;0,$D$34*MakeVar+MakeFixed,0)</f>
        <v>0</v>
      </c>
      <c r="G34" s="43">
        <f>IF($E$34&gt;0,$E$34*BuyPrice+BuyFixed,0)</f>
        <v>165640</v>
      </c>
      <c r="H34" s="42">
        <f>$F$34+$G$34</f>
        <v>165640</v>
      </c>
      <c r="I34" s="38">
        <f>IF(Demand&gt;0,$H$34/Demand,"")</f>
        <v>9.20222222222222</v>
      </c>
      <c r="J34" s="49">
        <f>IF(AvailHours&gt;0,$D$34*HoursPerUnit/AvailHours,"")</f>
        <v>0</v>
      </c>
      <c r="K34" s="50" t="str">
        <f>IF($J$34="","",IF($J$34&gt;1,"Over capacity",IF($J$34&gt;=NearAt,"Near capacity","Under capacity")))</f>
        <v>Under capacity</v>
      </c>
      <c r="L34" s="50"/>
    </row>
    <row r="36" spans="2:12" ht="18" customHeight="1">
      <c r="B36" s="53" t="str">
        <f>"FULL ABSORBED MAKE COST ("&amp;Currency&amp;"/UNIT)"</f>
        <v>FULL ABSORBED MAKE COST (GBP/UNIT)</v>
      </c>
      <c r="C36" s="53"/>
      <c r="D36" s="53" t="str">
        <f>"AVOIDABLE MAKE COST ("&amp;Currency&amp;"/UNIT)"</f>
        <v>AVOIDABLE MAKE COST (GBP/UNIT)</v>
      </c>
      <c r="E36" s="53"/>
      <c r="F36" s="53"/>
      <c r="G36" s="53" t="s">
        <v>196</v>
      </c>
      <c r="H36" s="53"/>
      <c r="I36" s="53"/>
      <c r="J36" s="53" t="s">
        <v>197</v>
      </c>
      <c r="K36" s="53"/>
      <c r="L36" s="53"/>
    </row>
    <row r="37" spans="2:12" ht="21" customHeight="1">
      <c r="B37" s="61">
        <f>MakeAbsorbed</f>
        <v>11.6388888888889</v>
      </c>
      <c r="C37" s="61"/>
      <c r="D37" s="61">
        <f>IF(Demand&gt;0,MakeVar+MakeFixed/Demand,"")</f>
        <v>8.53888888888889</v>
      </c>
      <c r="E37" s="61"/>
      <c r="F37" s="61"/>
      <c r="G37" s="61">
        <f>MakeScore</f>
        <v>3.7</v>
      </c>
      <c r="H37" s="61"/>
      <c r="I37" s="61"/>
      <c r="J37" s="61">
        <f>BuyScore</f>
        <v>3.35</v>
      </c>
      <c r="K37" s="61"/>
      <c r="L37" s="61"/>
    </row>
    <row r="38" spans="2:12" ht="21" customHeight="1">
      <c r="B38" s="61"/>
      <c r="C38" s="61"/>
      <c r="D38" s="61"/>
      <c r="E38" s="61"/>
      <c r="F38" s="61"/>
      <c r="G38" s="61"/>
      <c r="H38" s="61"/>
      <c r="I38" s="61"/>
      <c r="J38" s="61"/>
      <c r="K38" s="61"/>
      <c r="L38" s="61"/>
    </row>
    <row r="39" spans="2:12">
      <c r="B39" s="57" t="s">
        <v>198</v>
      </c>
      <c r="C39" s="57"/>
      <c r="D39" s="57" t="s">
        <v>199</v>
      </c>
      <c r="E39" s="57"/>
      <c r="F39" s="57"/>
      <c r="G39" s="57" t="s">
        <v>200</v>
      </c>
      <c r="H39" s="57"/>
      <c r="I39" s="57"/>
      <c r="J39" s="57" t="s">
        <v>200</v>
      </c>
      <c r="K39" s="57"/>
      <c r="L39" s="57"/>
    </row>
    <row r="40" spans="2:12" ht="18" customHeight="1">
      <c r="B40" s="59"/>
      <c r="C40" s="59"/>
      <c r="D40" s="59"/>
      <c r="E40" s="59"/>
      <c r="F40" s="59"/>
      <c r="G40" s="59"/>
      <c r="H40" s="59"/>
      <c r="I40" s="59"/>
      <c r="J40" s="59"/>
      <c r="K40" s="59"/>
      <c r="L40" s="59"/>
    </row>
    <row r="42" spans="2:12">
      <c r="B42" s="40" t="s">
        <v>201</v>
      </c>
      <c r="C42" s="40"/>
      <c r="D42" s="40"/>
      <c r="E42" s="40"/>
    </row>
    <row r="43" spans="2:12" ht="20" customHeight="1">
      <c r="B43" s="46" t="s">
        <v>81</v>
      </c>
      <c r="C43" s="35" t="s">
        <v>83</v>
      </c>
      <c r="D43" s="35" t="s">
        <v>84</v>
      </c>
      <c r="E43" s="35" t="s">
        <v>82</v>
      </c>
    </row>
    <row r="44" spans="2:12" ht="14" customHeight="1">
      <c r="B44" s="34"/>
      <c r="C44" s="34" t="s">
        <v>202</v>
      </c>
      <c r="D44" s="34" t="s">
        <v>202</v>
      </c>
      <c r="E44" s="34" t="s">
        <v>157</v>
      </c>
    </row>
    <row r="45" spans="2:12">
      <c r="B45" s="60" t="str">
        <f>IFERROR(INDEX(tblFactors[Factor],1)&amp;"","")</f>
        <v>Quality control</v>
      </c>
      <c r="C45" s="43">
        <f>IFERROR(INDEX(tblFactors[Make score],1)+0,"")</f>
        <v>4</v>
      </c>
      <c r="D45" s="43">
        <f>IFERROR(INDEX(tblFactors[Buy score],1)+0,"")</f>
        <v>3</v>
      </c>
      <c r="E45" s="49">
        <f>IFERROR(INDEX(tblFactors[Weight],1)+0,"")</f>
        <v>0.25</v>
      </c>
    </row>
    <row r="46" spans="2:12">
      <c r="B46" s="60" t="str">
        <f>IFERROR(INDEX(tblFactors[Factor],2)&amp;"","")</f>
        <v>Lead time and flexibility</v>
      </c>
      <c r="C46" s="43">
        <f>IFERROR(INDEX(tblFactors[Make score],2)+0,"")</f>
        <v>5</v>
      </c>
      <c r="D46" s="43">
        <f>IFERROR(INDEX(tblFactors[Buy score],2)+0,"")</f>
        <v>3</v>
      </c>
      <c r="E46" s="49">
        <f>IFERROR(INDEX(tblFactors[Weight],2)+0,"")</f>
        <v>0.2</v>
      </c>
    </row>
    <row r="47" spans="2:12">
      <c r="B47" s="60" t="str">
        <f>IFERROR(INDEX(tblFactors[Factor],3)&amp;"","")</f>
        <v>Capacity for growth</v>
      </c>
      <c r="C47" s="43">
        <f>IFERROR(INDEX(tblFactors[Make score],3)+0,"")</f>
        <v>2</v>
      </c>
      <c r="D47" s="43">
        <f>IFERROR(INDEX(tblFactors[Buy score],3)+0,"")</f>
        <v>5</v>
      </c>
      <c r="E47" s="49">
        <f>IFERROR(INDEX(tblFactors[Weight],3)+0,"")</f>
        <v>0.2</v>
      </c>
    </row>
    <row r="48" spans="2:12">
      <c r="B48" s="60" t="str">
        <f>IFERROR(INDEX(tblFactors[Factor],4)&amp;"","")</f>
        <v>Know-how and IP</v>
      </c>
      <c r="C48" s="43">
        <f>IFERROR(INDEX(tblFactors[Make score],4)+0,"")</f>
        <v>4</v>
      </c>
      <c r="D48" s="43">
        <f>IFERROR(INDEX(tblFactors[Buy score],4)+0,"")</f>
        <v>2</v>
      </c>
      <c r="E48" s="49">
        <f>IFERROR(INDEX(tblFactors[Weight],4)+0,"")</f>
        <v>0.15</v>
      </c>
    </row>
    <row r="49" spans="2:5">
      <c r="B49" s="60" t="str">
        <f>IFERROR(INDEX(tblFactors[Factor],5)&amp;"","")</f>
        <v>Supply risk</v>
      </c>
      <c r="C49" s="43">
        <f>IFERROR(INDEX(tblFactors[Make score],5)+0,"")</f>
        <v>4</v>
      </c>
      <c r="D49" s="43">
        <f>IFERROR(INDEX(tblFactors[Buy score],5)+0,"")</f>
        <v>3</v>
      </c>
      <c r="E49" s="49">
        <f>IFERROR(INDEX(tblFactors[Weight],5)+0,"")</f>
        <v>0.1</v>
      </c>
    </row>
    <row r="50" spans="2:5">
      <c r="B50" s="60" t="str">
        <f>IFERROR(INDEX(tblFactors[Factor],6)&amp;"","")</f>
        <v>Cash and capital</v>
      </c>
      <c r="C50" s="43">
        <f>IFERROR(INDEX(tblFactors[Make score],6)+0,"")</f>
        <v>3</v>
      </c>
      <c r="D50" s="43">
        <f>IFERROR(INDEX(tblFactors[Buy score],6)+0,"")</f>
        <v>4</v>
      </c>
      <c r="E50" s="49">
        <f>IFERROR(INDEX(tblFactors[Weight],6)+0,"")</f>
        <v>0.1</v>
      </c>
    </row>
    <row r="55" spans="2:5">
      <c r="B55" s="40" t="s">
        <v>203</v>
      </c>
      <c r="C55" s="40"/>
      <c r="D55" s="40"/>
    </row>
    <row r="56" spans="2:5" ht="20" customHeight="1">
      <c r="B56" s="46" t="s">
        <v>204</v>
      </c>
      <c r="C56" s="35" t="s">
        <v>194</v>
      </c>
      <c r="D56" s="35" t="s">
        <v>195</v>
      </c>
    </row>
    <row r="57" spans="2:5" ht="14" customHeight="1">
      <c r="B57" s="34"/>
      <c r="C57" s="34" t="str">
        <f>Currency&amp;"/yr"</f>
        <v>GBP/yr</v>
      </c>
      <c r="D57" s="34" t="str">
        <f>Currency&amp;"/yr"</f>
        <v>GBP/yr</v>
      </c>
    </row>
    <row r="58" spans="2:5">
      <c r="B58" s="62">
        <v>0</v>
      </c>
      <c r="C58" s="43">
        <f>$B$58*MakeVar+IF($B$58&gt;0,MakeFixed,0)</f>
        <v>0</v>
      </c>
      <c r="D58" s="43">
        <f>$B$58*BuyPrice+IF($B$58&gt;0,BuyFixed,0)</f>
        <v>0</v>
      </c>
    </row>
    <row r="59" spans="2:5">
      <c r="B59" s="62">
        <f>$B$58+VolStep</f>
        <v>2700</v>
      </c>
      <c r="C59" s="43">
        <f>$B$59*MakeVar+IF($B$59&gt;0,MakeFixed,0)</f>
        <v>44305</v>
      </c>
      <c r="D59" s="43">
        <f>$B$59*BuyPrice+IF($B$59&gt;0,BuyFixed,0)</f>
        <v>29776</v>
      </c>
    </row>
    <row r="60" spans="2:5">
      <c r="B60" s="62">
        <f>$B$59+VolStep</f>
        <v>5400</v>
      </c>
      <c r="C60" s="43">
        <f>$B$60*MakeVar+IF($B$60&gt;0,MakeFixed,0)</f>
        <v>63610</v>
      </c>
      <c r="D60" s="43">
        <f>$B$60*BuyPrice+IF($B$60&gt;0,BuyFixed,0)</f>
        <v>53752</v>
      </c>
    </row>
    <row r="61" spans="2:5">
      <c r="B61" s="62">
        <f>$B$60+VolStep</f>
        <v>8100</v>
      </c>
      <c r="C61" s="43">
        <f>$B$61*MakeVar+IF($B$61&gt;0,MakeFixed,0)</f>
        <v>82915</v>
      </c>
      <c r="D61" s="43">
        <f>$B$61*BuyPrice+IF($B$61&gt;0,BuyFixed,0)</f>
        <v>77728</v>
      </c>
    </row>
    <row r="62" spans="2:5">
      <c r="B62" s="62">
        <f>$B$61+VolStep</f>
        <v>10800</v>
      </c>
      <c r="C62" s="43">
        <f>$B$62*MakeVar+IF($B$62&gt;0,MakeFixed,0)</f>
        <v>102220</v>
      </c>
      <c r="D62" s="43">
        <f>$B$62*BuyPrice+IF($B$62&gt;0,BuyFixed,0)</f>
        <v>101704</v>
      </c>
    </row>
    <row r="63" spans="2:5">
      <c r="B63" s="62">
        <f>$B$62+VolStep</f>
        <v>13500</v>
      </c>
      <c r="C63" s="43">
        <f>$B$63*MakeVar+IF($B$63&gt;0,MakeFixed,0)</f>
        <v>121525</v>
      </c>
      <c r="D63" s="43">
        <f>$B$63*BuyPrice+IF($B$63&gt;0,BuyFixed,0)</f>
        <v>125680</v>
      </c>
    </row>
    <row r="64" spans="2:5">
      <c r="B64" s="62">
        <f>$B$63+VolStep</f>
        <v>16200</v>
      </c>
      <c r="C64" s="43">
        <f>$B$64*MakeVar+IF($B$64&gt;0,MakeFixed,0)</f>
        <v>140830</v>
      </c>
      <c r="D64" s="43">
        <f>$B$64*BuyPrice+IF($B$64&gt;0,BuyFixed,0)</f>
        <v>149656</v>
      </c>
    </row>
    <row r="65" spans="2:12">
      <c r="B65" s="62">
        <f>$B$64+VolStep</f>
        <v>18900</v>
      </c>
      <c r="C65" s="43">
        <f>$B$65*MakeVar+IF($B$65&gt;0,MakeFixed,0)</f>
        <v>160135</v>
      </c>
      <c r="D65" s="43">
        <f>$B$65*BuyPrice+IF($B$65&gt;0,BuyFixed,0)</f>
        <v>173632</v>
      </c>
    </row>
    <row r="66" spans="2:12">
      <c r="B66" s="62">
        <f>$B$65+VolStep</f>
        <v>21600</v>
      </c>
      <c r="C66" s="43">
        <f>$B$66*MakeVar+IF($B$66&gt;0,MakeFixed,0)</f>
        <v>179440</v>
      </c>
      <c r="D66" s="43">
        <f>$B$66*BuyPrice+IF($B$66&gt;0,BuyFixed,0)</f>
        <v>197608</v>
      </c>
    </row>
    <row r="67" spans="2:12">
      <c r="B67" s="62">
        <f>$B$66+VolStep</f>
        <v>24300</v>
      </c>
      <c r="C67" s="43">
        <f>$B$67*MakeVar+IF($B$67&gt;0,MakeFixed,0)</f>
        <v>198745</v>
      </c>
      <c r="D67" s="43">
        <f>$B$67*BuyPrice+IF($B$67&gt;0,BuyFixed,0)</f>
        <v>221584</v>
      </c>
    </row>
    <row r="68" spans="2:12">
      <c r="B68" s="62">
        <f>$B$67+VolStep</f>
        <v>27000</v>
      </c>
      <c r="C68" s="43">
        <f>$B$68*MakeVar+IF($B$68&gt;0,MakeFixed,0)</f>
        <v>218050</v>
      </c>
      <c r="D68" s="43">
        <f>$B$68*BuyPrice+IF($B$68&gt;0,BuyFixed,0)</f>
        <v>245560</v>
      </c>
    </row>
    <row r="70" spans="2:12" ht="20" customHeight="1">
      <c r="B70" s="46" t="s">
        <v>205</v>
      </c>
      <c r="C70" s="35" t="s">
        <v>206</v>
      </c>
    </row>
    <row r="71" spans="2:12">
      <c r="B71" s="63">
        <f>INDEX('Make vs Buy'!$D$68:$H$68,1)</f>
        <v>0</v>
      </c>
      <c r="C71" s="51" t="str">
        <f>IF($B$71="","",TEXT($B$71,"0%")&amp;" made")</f>
        <v>0% made</v>
      </c>
    </row>
    <row r="72" spans="2:12">
      <c r="B72" s="63">
        <f>INDEX('Make vs Buy'!$D$68:$H$68,2)</f>
        <v>0.25</v>
      </c>
      <c r="C72" s="51" t="str">
        <f>IF($B$72="","",TEXT($B$72,"0%")&amp;" made")</f>
        <v>25% made</v>
      </c>
    </row>
    <row r="73" spans="2:12">
      <c r="B73" s="63">
        <f>INDEX('Make vs Buy'!$D$68:$H$68,3)</f>
        <v>0.5</v>
      </c>
      <c r="C73" s="51" t="str">
        <f>IF($B$73="","",TEXT($B$73,"0%")&amp;" made")</f>
        <v>50% made</v>
      </c>
    </row>
    <row r="74" spans="2:12">
      <c r="B74" s="63">
        <f>INDEX('Make vs Buy'!$D$68:$H$68,4)</f>
        <v>0.9</v>
      </c>
      <c r="C74" s="51" t="str">
        <f>IF($B$74="","",TEXT($B$74,"0%")&amp;" made")</f>
        <v>90% made</v>
      </c>
    </row>
    <row r="75" spans="2:12">
      <c r="B75" s="63">
        <f>INDEX('Make vs Buy'!$D$68:$H$68,5)</f>
        <v>1</v>
      </c>
      <c r="C75" s="51" t="str">
        <f>IF($B$75="","",TEXT($B$75,"0%")&amp;" made")</f>
        <v>100% made</v>
      </c>
    </row>
    <row r="76" spans="2:12" ht="8" customHeight="1"/>
    <row r="77" spans="2:12" ht="26.76" customHeight="1">
      <c r="B77" s="21" t="s">
        <v>207</v>
      </c>
      <c r="C77" s="21"/>
      <c r="D77" s="21"/>
      <c r="E77" s="21"/>
      <c r="F77" s="21"/>
      <c r="G77" s="21"/>
      <c r="H77" s="21"/>
      <c r="I77" s="21"/>
      <c r="J77" s="21"/>
      <c r="K77" s="21"/>
      <c r="L77" s="21"/>
    </row>
  </sheetData>
  <sheetProtection sheet="1" formatColumns="0" formatRows="0"/>
  <mergeCells count="45">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L29"/>
    <mergeCell ref="K30:L30"/>
    <mergeCell ref="K31:L31"/>
    <mergeCell ref="K32:L32"/>
    <mergeCell ref="K33:L33"/>
    <mergeCell ref="K34:L34"/>
    <mergeCell ref="B36:C36"/>
    <mergeCell ref="B37:C38"/>
    <mergeCell ref="B39:C39"/>
    <mergeCell ref="B40:C40"/>
    <mergeCell ref="D36:F36"/>
    <mergeCell ref="D37:F38"/>
    <mergeCell ref="D39:F39"/>
    <mergeCell ref="D40:F40"/>
    <mergeCell ref="G36:I36"/>
    <mergeCell ref="G37:I38"/>
    <mergeCell ref="G39:I39"/>
    <mergeCell ref="G40:I40"/>
    <mergeCell ref="J36:L36"/>
    <mergeCell ref="J37:L38"/>
    <mergeCell ref="J39:L39"/>
    <mergeCell ref="J40:L40"/>
    <mergeCell ref="B42:E42"/>
    <mergeCell ref="B55:D55"/>
    <mergeCell ref="B77:L77"/>
  </mergeCells>
  <conditionalFormatting sqref="J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32:K3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Make vs Buy Analysis&amp;R&amp;8&amp;A</oddHeader>
    <oddFooter>&amp;L&amp;8mfgcalcs.com - free manufacturing templates&amp;R&amp;8Page &amp;P of &amp;N</oddFooter>
  </headerFooter>
  <rowBreaks count="2" manualBreakCount="2">
    <brk id="28" max="16383" man="1"/>
    <brk id="54"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208</v>
      </c>
      <c r="C4" s="8"/>
      <c r="D4" s="8"/>
    </row>
    <row r="5" spans="1:4" ht="5" customHeight="1"/>
    <row r="6" spans="1:4" ht="69" customHeight="1">
      <c r="B6" s="10" t="s">
        <v>209</v>
      </c>
      <c r="C6" s="10"/>
      <c r="D6" s="10"/>
    </row>
    <row r="8" spans="1:4" ht="21" customHeight="1">
      <c r="B8" s="8" t="s">
        <v>210</v>
      </c>
      <c r="C8" s="8"/>
      <c r="D8" s="8"/>
    </row>
    <row r="9" spans="1:4" ht="5" customHeight="1"/>
    <row r="10" spans="1:4" ht="20" customHeight="1">
      <c r="B10" s="46" t="s">
        <v>211</v>
      </c>
      <c r="C10" s="46" t="s">
        <v>212</v>
      </c>
      <c r="D10" s="35" t="s">
        <v>213</v>
      </c>
    </row>
    <row r="11" spans="1:4" ht="30.4" customHeight="1">
      <c r="B11" s="64" t="s">
        <v>77</v>
      </c>
      <c r="C11" s="65" t="s">
        <v>214</v>
      </c>
      <c r="D11" s="66" t="s">
        <v>215</v>
      </c>
    </row>
    <row r="12" spans="1:4" ht="17.2" customHeight="1">
      <c r="B12" s="64" t="s">
        <v>120</v>
      </c>
      <c r="C12" s="65" t="s">
        <v>216</v>
      </c>
      <c r="D12" s="66" t="s">
        <v>215</v>
      </c>
    </row>
    <row r="13" spans="1:4" ht="17.2" customHeight="1">
      <c r="B13" s="64" t="s">
        <v>217</v>
      </c>
      <c r="C13" s="65" t="s">
        <v>218</v>
      </c>
      <c r="D13" s="66" t="s">
        <v>219</v>
      </c>
    </row>
    <row r="14" spans="1:4" ht="30.4" customHeight="1">
      <c r="B14" s="64" t="s">
        <v>220</v>
      </c>
      <c r="C14" s="65" t="s">
        <v>221</v>
      </c>
      <c r="D14" s="66" t="s">
        <v>215</v>
      </c>
    </row>
    <row r="15" spans="1:4" ht="30.4" customHeight="1">
      <c r="B15" s="64" t="s">
        <v>222</v>
      </c>
      <c r="C15" s="65" t="s">
        <v>223</v>
      </c>
      <c r="D15" s="66" t="s">
        <v>224</v>
      </c>
    </row>
    <row r="16" spans="1:4" ht="17.2" customHeight="1">
      <c r="B16" s="64" t="s">
        <v>225</v>
      </c>
      <c r="C16" s="65" t="s">
        <v>226</v>
      </c>
      <c r="D16" s="66" t="s">
        <v>144</v>
      </c>
    </row>
    <row r="17" spans="2:4" ht="30.4" customHeight="1">
      <c r="B17" s="64" t="s">
        <v>227</v>
      </c>
      <c r="C17" s="65" t="s">
        <v>228</v>
      </c>
      <c r="D17" s="66" t="s">
        <v>219</v>
      </c>
    </row>
    <row r="18" spans="2:4" ht="30.4" customHeight="1">
      <c r="B18" s="64" t="s">
        <v>229</v>
      </c>
      <c r="C18" s="65" t="s">
        <v>230</v>
      </c>
      <c r="D18" s="66" t="s">
        <v>219</v>
      </c>
    </row>
    <row r="19" spans="2:4" ht="17.2" customHeight="1">
      <c r="B19" s="64" t="s">
        <v>164</v>
      </c>
      <c r="C19" s="65" t="s">
        <v>231</v>
      </c>
      <c r="D19" s="66" t="s">
        <v>215</v>
      </c>
    </row>
    <row r="20" spans="2:4" ht="30.4" customHeight="1">
      <c r="B20" s="64" t="s">
        <v>232</v>
      </c>
      <c r="C20" s="65" t="s">
        <v>233</v>
      </c>
      <c r="D20" s="66" t="s">
        <v>144</v>
      </c>
    </row>
    <row r="21" spans="2:4" ht="43.6" customHeight="1">
      <c r="B21" s="64" t="s">
        <v>158</v>
      </c>
      <c r="C21" s="65" t="s">
        <v>234</v>
      </c>
      <c r="D21" s="66" t="s">
        <v>235</v>
      </c>
    </row>
    <row r="22" spans="2:4" ht="17.2" customHeight="1">
      <c r="B22" s="64" t="s">
        <v>236</v>
      </c>
      <c r="C22" s="65" t="s">
        <v>237</v>
      </c>
      <c r="D22" s="66" t="s">
        <v>181</v>
      </c>
    </row>
    <row r="24" spans="2:4" ht="21" customHeight="1">
      <c r="B24" s="8" t="s">
        <v>238</v>
      </c>
      <c r="C24" s="8"/>
      <c r="D24" s="8"/>
    </row>
    <row r="25" spans="2:4" ht="5" customHeight="1"/>
    <row r="26" spans="2:4" ht="29.4" customHeight="1">
      <c r="B26" s="26" t="s">
        <v>55</v>
      </c>
      <c r="C26" s="10" t="s">
        <v>239</v>
      </c>
      <c r="D26" s="10"/>
    </row>
    <row r="27" spans="2:4" ht="29.4" customHeight="1">
      <c r="B27" s="26" t="s">
        <v>55</v>
      </c>
      <c r="C27" s="10" t="s">
        <v>240</v>
      </c>
      <c r="D27" s="10"/>
    </row>
    <row r="28" spans="2:4" ht="29.4" customHeight="1">
      <c r="B28" s="26" t="s">
        <v>55</v>
      </c>
      <c r="C28" s="10" t="s">
        <v>241</v>
      </c>
      <c r="D28" s="10"/>
    </row>
    <row r="29" spans="2:4" ht="29.4" customHeight="1">
      <c r="B29" s="26" t="s">
        <v>55</v>
      </c>
      <c r="C29" s="10" t="s">
        <v>242</v>
      </c>
      <c r="D29" s="10"/>
    </row>
    <row r="31" spans="2:4" ht="21" customHeight="1">
      <c r="B31" s="8" t="s">
        <v>243</v>
      </c>
      <c r="C31" s="8"/>
      <c r="D31" s="8"/>
    </row>
    <row r="32" spans="2:4" ht="5" customHeight="1"/>
    <row r="33" spans="2:4" ht="16.2" customHeight="1">
      <c r="B33" s="26" t="s">
        <v>55</v>
      </c>
      <c r="C33" s="10" t="s">
        <v>244</v>
      </c>
      <c r="D33" s="10"/>
    </row>
    <row r="34" spans="2:4" ht="16.2" customHeight="1">
      <c r="B34" s="26" t="s">
        <v>55</v>
      </c>
      <c r="C34" s="10" t="s">
        <v>245</v>
      </c>
      <c r="D34" s="10"/>
    </row>
    <row r="35" spans="2:4" ht="29.4" customHeight="1">
      <c r="B35" s="26" t="s">
        <v>55</v>
      </c>
      <c r="C35" s="10" t="s">
        <v>246</v>
      </c>
      <c r="D35" s="10"/>
    </row>
    <row r="36" spans="2:4" ht="16.2" customHeight="1">
      <c r="B36" s="26" t="s">
        <v>55</v>
      </c>
      <c r="C36" s="10" t="s">
        <v>247</v>
      </c>
      <c r="D36" s="10"/>
    </row>
    <row r="38" spans="2:4" ht="21" customHeight="1">
      <c r="B38" s="8" t="s">
        <v>248</v>
      </c>
      <c r="C38" s="8"/>
      <c r="D38" s="8"/>
    </row>
    <row r="39" spans="2:4" ht="5" customHeight="1"/>
    <row r="40" spans="2:4" ht="95.4" customHeight="1">
      <c r="B40" s="10" t="s">
        <v>249</v>
      </c>
      <c r="C40" s="10"/>
      <c r="D40" s="10"/>
    </row>
    <row r="41" spans="2:4">
      <c r="B41" s="24" t="s">
        <v>250</v>
      </c>
      <c r="C41" s="24"/>
      <c r="D41" s="24"/>
    </row>
    <row r="43" spans="2:4" ht="21" customHeight="1">
      <c r="B43" s="8" t="s">
        <v>42</v>
      </c>
      <c r="C43" s="8"/>
      <c r="D43" s="8"/>
    </row>
    <row r="44" spans="2:4" ht="5" customHeight="1"/>
    <row r="45" spans="2:4" ht="42.6" customHeight="1">
      <c r="B45" s="10" t="s">
        <v>251</v>
      </c>
      <c r="C45" s="10"/>
      <c r="D45" s="10"/>
    </row>
    <row r="47" spans="2:4" ht="21" customHeight="1">
      <c r="B47" s="8" t="s">
        <v>252</v>
      </c>
      <c r="C47" s="8"/>
      <c r="D47" s="8"/>
    </row>
    <row r="48" spans="2:4" ht="5" customHeight="1"/>
    <row r="49" spans="2:4" ht="42.6" customHeight="1">
      <c r="B49" s="26" t="s">
        <v>55</v>
      </c>
      <c r="C49" s="10" t="s">
        <v>253</v>
      </c>
      <c r="D49" s="10"/>
    </row>
    <row r="50" spans="2:4" ht="16.2" customHeight="1">
      <c r="B50" s="26" t="s">
        <v>55</v>
      </c>
      <c r="C50" s="10" t="s">
        <v>254</v>
      </c>
      <c r="D50" s="10"/>
    </row>
    <row r="51" spans="2:4" ht="16.2" customHeight="1">
      <c r="B51" s="26" t="s">
        <v>55</v>
      </c>
      <c r="C51" s="10" t="s">
        <v>255</v>
      </c>
      <c r="D51" s="10"/>
    </row>
    <row r="52" spans="2:4">
      <c r="B52" s="21" t="s">
        <v>256</v>
      </c>
      <c r="C52" s="21"/>
      <c r="D52" s="21"/>
    </row>
    <row r="54" spans="2:4" ht="21" customHeight="1">
      <c r="B54" s="8" t="s">
        <v>257</v>
      </c>
      <c r="C54" s="8"/>
      <c r="D54" s="8"/>
    </row>
    <row r="55" spans="2:4" ht="5" customHeight="1"/>
    <row r="56" spans="2:4">
      <c r="B56" s="46" t="s">
        <v>50</v>
      </c>
      <c r="C56" s="46" t="s">
        <v>258</v>
      </c>
      <c r="D56" s="35" t="s">
        <v>259</v>
      </c>
    </row>
    <row r="57" spans="2:4" ht="16.2" customHeight="1">
      <c r="B57" s="67" t="s">
        <v>260</v>
      </c>
      <c r="C57" s="68" t="s">
        <v>261</v>
      </c>
      <c r="D57" s="69" t="s">
        <v>262</v>
      </c>
    </row>
    <row r="59" spans="2:4">
      <c r="B59" s="21" t="s">
        <v>61</v>
      </c>
      <c r="C59" s="21"/>
      <c r="D59" s="21"/>
    </row>
  </sheetData>
  <sheetProtection sheet="1" formatColumns="0" formatRows="0"/>
  <mergeCells count="27">
    <mergeCell ref="A1:D1"/>
    <mergeCell ref="B2:C2"/>
    <mergeCell ref="B4:D4"/>
    <mergeCell ref="B6:D6"/>
    <mergeCell ref="B8:D8"/>
    <mergeCell ref="B24:D24"/>
    <mergeCell ref="C26:D26"/>
    <mergeCell ref="C27:D27"/>
    <mergeCell ref="C28:D28"/>
    <mergeCell ref="C29:D29"/>
    <mergeCell ref="B31:D31"/>
    <mergeCell ref="C33:D33"/>
    <mergeCell ref="C34:D34"/>
    <mergeCell ref="C35:D35"/>
    <mergeCell ref="C36:D36"/>
    <mergeCell ref="B38:D38"/>
    <mergeCell ref="B40:D40"/>
    <mergeCell ref="B41:D41"/>
    <mergeCell ref="B43:D43"/>
    <mergeCell ref="B45:D45"/>
    <mergeCell ref="B47:D47"/>
    <mergeCell ref="C49:D49"/>
    <mergeCell ref="C50:D50"/>
    <mergeCell ref="C51:D51"/>
    <mergeCell ref="B52:D52"/>
    <mergeCell ref="B54:D54"/>
    <mergeCell ref="B59:D59"/>
  </mergeCells>
  <hyperlinks>
    <hyperlink ref="D2" r:id="rId1" tooltip="Free manufacturing calculators and templates"/>
    <hyperlink ref="B41" r:id="rId2"/>
  </hyperlinks>
  <printOptions horizontalCentered="1"/>
  <pageMargins left="0.4" right="0.4" top="0.7" bottom="0.65" header="0.3" footer="0.3"/>
  <pageSetup fitToHeight="0" orientation="portrait"/>
  <headerFooter>
    <oddHeader>&amp;L&amp;8MFG Calcs - Make vs Buy Analysis&amp;R&amp;8&amp;A</oddHeader>
    <oddFooter>&amp;L&amp;8mfgcalcs.com - free manufacturing templates&amp;R&amp;8Page &amp;P of &amp;N</oddFooter>
  </headerFooter>
  <rowBreaks count="2" manualBreakCount="2">
    <brk id="23" max="16383" man="1"/>
    <brk id="53"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L102"/>
  <sheetViews>
    <sheetView showGridLines="0" workbookViewId="0"/>
  </sheetViews>
  <sheetFormatPr defaultRowHeight="15"/>
  <cols>
    <col min="1" max="1" width="2.7109375" customWidth="1"/>
    <col min="2" max="19" width="12.7109375" customWidth="1"/>
  </cols>
  <sheetData>
    <row r="1" spans="1:12" ht="30" customHeight="1">
      <c r="A1" s="1" t="s">
        <v>0</v>
      </c>
      <c r="B1" s="1"/>
      <c r="C1" s="1"/>
      <c r="D1" s="1"/>
      <c r="E1" s="1"/>
      <c r="F1" s="1"/>
      <c r="G1" s="1"/>
      <c r="H1" s="1"/>
      <c r="I1" s="1"/>
      <c r="J1" s="1"/>
      <c r="K1" s="1"/>
      <c r="L1" s="1"/>
    </row>
    <row r="2" spans="1:12" ht="21" customHeight="1">
      <c r="B2" s="2" t="s">
        <v>28</v>
      </c>
      <c r="C2" s="2"/>
      <c r="D2" s="2"/>
      <c r="E2" s="2"/>
      <c r="F2" s="2"/>
      <c r="G2" s="2"/>
      <c r="H2" s="2"/>
      <c r="I2" s="2"/>
      <c r="J2" s="2"/>
      <c r="K2" s="2"/>
      <c r="L2" s="3" t="s">
        <v>2</v>
      </c>
    </row>
    <row r="3" spans="1:12" ht="6" customHeight="1"/>
    <row r="4" spans="1:12" ht="30" customHeight="1">
      <c r="B4" s="70" t="s">
        <v>263</v>
      </c>
      <c r="C4" s="70"/>
      <c r="D4" s="22" t="str">
        <f>IF(COUNTIF($K$11:$K$30,"PASS")=20,"PASS","FAIL")</f>
        <v>PASS</v>
      </c>
      <c r="E4" s="22"/>
      <c r="F4" s="23" t="str">
        <f>COUNTIF($K$11:$K$30,"PASS")&amp;" of 20 checks pass"</f>
        <v>20 of 20 checks pass</v>
      </c>
      <c r="G4" s="23"/>
      <c r="H4" s="23"/>
      <c r="I4" s="23"/>
      <c r="J4" s="23"/>
    </row>
    <row r="6" spans="1:12" ht="29.4" customHeight="1">
      <c r="B6" s="10" t="s">
        <v>264</v>
      </c>
      <c r="C6" s="10"/>
      <c r="D6" s="10"/>
      <c r="E6" s="10"/>
      <c r="F6" s="10"/>
      <c r="G6" s="10"/>
      <c r="H6" s="10"/>
      <c r="I6" s="10"/>
      <c r="J6" s="10"/>
      <c r="K6" s="10"/>
      <c r="L6" s="10"/>
    </row>
    <row r="8" spans="1:12" ht="21" customHeight="1">
      <c r="B8" s="8" t="s">
        <v>265</v>
      </c>
      <c r="C8" s="8"/>
      <c r="D8" s="8"/>
      <c r="E8" s="8"/>
      <c r="F8" s="8"/>
      <c r="G8" s="8"/>
      <c r="H8" s="8"/>
      <c r="I8" s="8"/>
      <c r="J8" s="8"/>
      <c r="K8" s="8"/>
      <c r="L8" s="8"/>
    </row>
    <row r="9" spans="1:12" ht="5" customHeight="1"/>
    <row r="10" spans="1:12" ht="30" customHeight="1">
      <c r="B10" s="35" t="s">
        <v>266</v>
      </c>
      <c r="C10" s="46" t="s">
        <v>78</v>
      </c>
      <c r="D10" s="46"/>
      <c r="E10" s="46"/>
      <c r="F10" s="46"/>
      <c r="G10" s="35" t="s">
        <v>267</v>
      </c>
      <c r="H10" s="35" t="s">
        <v>268</v>
      </c>
      <c r="I10" s="35" t="s">
        <v>269</v>
      </c>
      <c r="J10" s="35" t="s">
        <v>270</v>
      </c>
      <c r="K10" s="35" t="s">
        <v>271</v>
      </c>
    </row>
    <row r="11" spans="1:12" ht="16.2" customHeight="1">
      <c r="B11" s="71">
        <v>1</v>
      </c>
      <c r="C11" s="68" t="s">
        <v>272</v>
      </c>
      <c r="D11" s="68"/>
      <c r="E11" s="68"/>
      <c r="F11" s="68"/>
      <c r="G11" s="72">
        <v>14.5</v>
      </c>
      <c r="H11" s="38">
        <f>$E$67</f>
        <v>14.5</v>
      </c>
      <c r="I11" s="73">
        <f>IF(AND(ISNUMBER($G$11),ISNUMBER($H$11)),ABS($H$11-$G$11),"")</f>
        <v>0</v>
      </c>
      <c r="J11" s="74">
        <v>1E-09</v>
      </c>
      <c r="K11" s="50" t="str">
        <f>IF(AND(ISNUMBER($G$11),ISNUMBER($H$11)),IF(ABS($H$11-$G$11)&lt;=$J$11,"PASS","FAIL"),"FAIL")</f>
        <v>PASS</v>
      </c>
    </row>
    <row r="12" spans="1:12" ht="16.2" customHeight="1">
      <c r="B12" s="71">
        <v>2</v>
      </c>
      <c r="C12" s="68" t="s">
        <v>273</v>
      </c>
      <c r="D12" s="68"/>
      <c r="E12" s="68"/>
      <c r="F12" s="68"/>
      <c r="G12" s="75">
        <v>60000</v>
      </c>
      <c r="H12" s="43">
        <f>$E$68</f>
        <v>60000</v>
      </c>
      <c r="I12" s="73">
        <f>IF(AND(ISNUMBER($G$12),ISNUMBER($H$12)),ABS($H$12-$G$12),"")</f>
        <v>0</v>
      </c>
      <c r="J12" s="74">
        <v>1E-06</v>
      </c>
      <c r="K12" s="50" t="str">
        <f>IF(AND(ISNUMBER($G$12),ISNUMBER($H$12)),IF(ABS($H$12-$G$12)&lt;=$J$12,"PASS","FAIL"),"FAIL")</f>
        <v>PASS</v>
      </c>
    </row>
    <row r="13" spans="1:12" ht="16.2" customHeight="1">
      <c r="B13" s="71">
        <v>3</v>
      </c>
      <c r="C13" s="68" t="s">
        <v>274</v>
      </c>
      <c r="D13" s="68"/>
      <c r="E13" s="68"/>
      <c r="F13" s="68"/>
      <c r="G13" s="72">
        <v>18</v>
      </c>
      <c r="H13" s="38">
        <f>$E$72</f>
        <v>18</v>
      </c>
      <c r="I13" s="73">
        <f>IF(AND(ISNUMBER($G$13),ISNUMBER($H$13)),ABS($H$13-$G$13),"")</f>
        <v>0</v>
      </c>
      <c r="J13" s="74">
        <v>1E-09</v>
      </c>
      <c r="K13" s="50" t="str">
        <f>IF(AND(ISNUMBER($G$13),ISNUMBER($H$13)),IF(ABS($H$13-$G$13)&lt;=$J$13,"PASS","FAIL"),"FAIL")</f>
        <v>PASS</v>
      </c>
    </row>
    <row r="14" spans="1:12" ht="16.2" customHeight="1">
      <c r="B14" s="71">
        <v>4</v>
      </c>
      <c r="C14" s="68" t="s">
        <v>275</v>
      </c>
      <c r="D14" s="68"/>
      <c r="E14" s="68"/>
      <c r="F14" s="68"/>
      <c r="G14" s="75">
        <v>5000</v>
      </c>
      <c r="H14" s="43">
        <f>$E$73</f>
        <v>5000</v>
      </c>
      <c r="I14" s="73">
        <f>IF(AND(ISNUMBER($G$14),ISNUMBER($H$14)),ABS($H$14-$G$14),"")</f>
        <v>0</v>
      </c>
      <c r="J14" s="74">
        <v>1E-06</v>
      </c>
      <c r="K14" s="50" t="str">
        <f>IF(AND(ISNUMBER($G$14),ISNUMBER($H$14)),IF(ABS($H$14-$G$14)&lt;=$J$14,"PASS","FAIL"),"FAIL")</f>
        <v>PASS</v>
      </c>
    </row>
    <row r="15" spans="1:12" ht="16.2" customHeight="1">
      <c r="B15" s="71">
        <v>5</v>
      </c>
      <c r="C15" s="68" t="s">
        <v>276</v>
      </c>
      <c r="D15" s="68"/>
      <c r="E15" s="68"/>
      <c r="F15" s="68"/>
      <c r="G15" s="67" t="s">
        <v>277</v>
      </c>
      <c r="H15" s="51" t="str">
        <f>$G$49</f>
        <v>Basis not in the list</v>
      </c>
      <c r="I15" s="51"/>
      <c r="J15" s="69" t="s">
        <v>278</v>
      </c>
      <c r="K15" s="50" t="str">
        <f>IF($H$15&amp;""=$G$15&amp;"","PASS","FAIL")</f>
        <v>PASS</v>
      </c>
    </row>
    <row r="16" spans="1:12" ht="16.2" customHeight="1">
      <c r="B16" s="71">
        <v>6</v>
      </c>
      <c r="C16" s="68" t="s">
        <v>279</v>
      </c>
      <c r="D16" s="68"/>
      <c r="E16" s="68"/>
      <c r="F16" s="68"/>
      <c r="G16" s="75">
        <v>368125</v>
      </c>
      <c r="H16" s="43">
        <f>$E$78</f>
        <v>368125</v>
      </c>
      <c r="I16" s="73">
        <f>IF(AND(ISNUMBER($G$16),ISNUMBER($H$16)),ABS($H$16-$G$16),"")</f>
        <v>0</v>
      </c>
      <c r="J16" s="74">
        <v>1E-06</v>
      </c>
      <c r="K16" s="50" t="str">
        <f>IF(AND(ISNUMBER($G$16),ISNUMBER($H$16)),IF(ABS($H$16-$G$16)&lt;=$J$16,"PASS","FAIL"),"FAIL")</f>
        <v>PASS</v>
      </c>
    </row>
    <row r="17" spans="2:12" ht="16.2" customHeight="1">
      <c r="B17" s="71">
        <v>7</v>
      </c>
      <c r="C17" s="68" t="s">
        <v>280</v>
      </c>
      <c r="D17" s="68"/>
      <c r="E17" s="68"/>
      <c r="F17" s="68"/>
      <c r="G17" s="75">
        <v>72500</v>
      </c>
      <c r="H17" s="43">
        <f>$E$79</f>
        <v>72500</v>
      </c>
      <c r="I17" s="73">
        <f>IF(AND(ISNUMBER($G$17),ISNUMBER($H$17)),ABS($H$17-$G$17),"")</f>
        <v>0</v>
      </c>
      <c r="J17" s="74">
        <v>1E-06</v>
      </c>
      <c r="K17" s="50" t="str">
        <f>IF(AND(ISNUMBER($G$17),ISNUMBER($H$17)),IF(ABS($H$17-$G$17)&lt;=$J$17,"PASS","FAIL"),"FAIL")</f>
        <v>PASS</v>
      </c>
    </row>
    <row r="18" spans="2:12" ht="16.2" customHeight="1">
      <c r="B18" s="71">
        <v>8</v>
      </c>
      <c r="C18" s="68" t="s">
        <v>281</v>
      </c>
      <c r="D18" s="68"/>
      <c r="E18" s="68"/>
      <c r="F18" s="68"/>
      <c r="G18" s="75">
        <v>440625</v>
      </c>
      <c r="H18" s="43">
        <f>$E$80</f>
        <v>440625</v>
      </c>
      <c r="I18" s="73">
        <f>IF(AND(ISNUMBER($G$18),ISNUMBER($H$18)),ABS($H$18-$G$18),"")</f>
        <v>0</v>
      </c>
      <c r="J18" s="74">
        <v>1E-06</v>
      </c>
      <c r="K18" s="50" t="str">
        <f>IF(AND(ISNUMBER($G$18),ISNUMBER($H$18)),IF(ABS($H$18-$G$18)&lt;=$J$18,"PASS","FAIL"),"FAIL")</f>
        <v>PASS</v>
      </c>
    </row>
    <row r="19" spans="2:12" ht="16.2" customHeight="1">
      <c r="B19" s="71">
        <v>9</v>
      </c>
      <c r="C19" s="68" t="s">
        <v>282</v>
      </c>
      <c r="D19" s="68"/>
      <c r="E19" s="68"/>
      <c r="F19" s="68"/>
      <c r="G19" s="75">
        <v>455000</v>
      </c>
      <c r="H19" s="43">
        <f>$E$81</f>
        <v>455000</v>
      </c>
      <c r="I19" s="73">
        <f>IF(AND(ISNUMBER($G$19),ISNUMBER($H$19)),ABS($H$19-$G$19),"")</f>
        <v>0</v>
      </c>
      <c r="J19" s="74">
        <v>1E-06</v>
      </c>
      <c r="K19" s="50" t="str">
        <f>IF(AND(ISNUMBER($G$19),ISNUMBER($H$19)),IF(ABS($H$19-$G$19)&lt;=$J$19,"PASS","FAIL"),"FAIL")</f>
        <v>PASS</v>
      </c>
    </row>
    <row r="20" spans="2:12" ht="16.2" customHeight="1">
      <c r="B20" s="71">
        <v>10</v>
      </c>
      <c r="C20" s="68" t="s">
        <v>283</v>
      </c>
      <c r="D20" s="68"/>
      <c r="E20" s="68"/>
      <c r="F20" s="68"/>
      <c r="G20" s="75">
        <v>14375</v>
      </c>
      <c r="H20" s="43">
        <f>$E$83</f>
        <v>14375</v>
      </c>
      <c r="I20" s="73">
        <f>IF(AND(ISNUMBER($G$20),ISNUMBER($H$20)),ABS($H$20-$G$20),"")</f>
        <v>0</v>
      </c>
      <c r="J20" s="74">
        <v>1E-06</v>
      </c>
      <c r="K20" s="50" t="str">
        <f>IF(AND(ISNUMBER($G$20),ISNUMBER($H$20)),IF(ABS($H$20-$G$20)&lt;=$J$20,"PASS","FAIL"),"FAIL")</f>
        <v>PASS</v>
      </c>
    </row>
    <row r="21" spans="2:12" ht="16.2" customHeight="1">
      <c r="B21" s="71">
        <v>11</v>
      </c>
      <c r="C21" s="68" t="s">
        <v>284</v>
      </c>
      <c r="D21" s="68"/>
      <c r="E21" s="68"/>
      <c r="F21" s="68"/>
      <c r="G21" s="72">
        <v>17.625</v>
      </c>
      <c r="H21" s="38">
        <f>$E$84</f>
        <v>17.625</v>
      </c>
      <c r="I21" s="73">
        <f>IF(AND(ISNUMBER($G$21),ISNUMBER($H$21)),ABS($H$21-$G$21),"")</f>
        <v>0</v>
      </c>
      <c r="J21" s="74">
        <v>1E-09</v>
      </c>
      <c r="K21" s="50" t="str">
        <f>IF(AND(ISNUMBER($G$21),ISNUMBER($H$21)),IF(ABS($H$21-$G$21)&lt;=$J$21,"PASS","FAIL"),"FAIL")</f>
        <v>PASS</v>
      </c>
    </row>
    <row r="22" spans="2:12" ht="16.2" customHeight="1">
      <c r="B22" s="71">
        <v>12</v>
      </c>
      <c r="C22" s="68" t="s">
        <v>232</v>
      </c>
      <c r="D22" s="68"/>
      <c r="E22" s="68"/>
      <c r="F22" s="68"/>
      <c r="G22" s="75">
        <v>15714.28571428571</v>
      </c>
      <c r="H22" s="43">
        <f>$E$85</f>
        <v>15714.2857142857</v>
      </c>
      <c r="I22" s="73">
        <f>IF(AND(ISNUMBER($G$22),ISNUMBER($H$22)),ABS($H$22-$G$22),"")</f>
        <v>0</v>
      </c>
      <c r="J22" s="74">
        <v>1E-09</v>
      </c>
      <c r="K22" s="50" t="str">
        <f>IF(AND(ISNUMBER($G$22),ISNUMBER($H$22)),IF(ABS($H$22-$G$22)&lt;=$J$22,"PASS","FAIL"),"FAIL")</f>
        <v>PASS</v>
      </c>
    </row>
    <row r="23" spans="2:12" ht="16.2" customHeight="1">
      <c r="B23" s="71">
        <v>13</v>
      </c>
      <c r="C23" s="68" t="s">
        <v>285</v>
      </c>
      <c r="D23" s="68"/>
      <c r="E23" s="68"/>
      <c r="F23" s="68"/>
      <c r="G23" s="75">
        <v>10625</v>
      </c>
      <c r="H23" s="43">
        <f>$E$86</f>
        <v>10625</v>
      </c>
      <c r="I23" s="73">
        <f>IF(AND(ISNUMBER($G$23),ISNUMBER($H$23)),ABS($H$23-$G$23),"")</f>
        <v>0</v>
      </c>
      <c r="J23" s="74">
        <v>1E-09</v>
      </c>
      <c r="K23" s="50" t="str">
        <f>IF(AND(ISNUMBER($G$23),ISNUMBER($H$23)),IF(ABS($H$23-$G$23)&lt;=$J$23,"PASS","FAIL"),"FAIL")</f>
        <v>PASS</v>
      </c>
    </row>
    <row r="24" spans="2:12" ht="16.2" customHeight="1">
      <c r="B24" s="71">
        <v>14</v>
      </c>
      <c r="C24" s="68" t="s">
        <v>286</v>
      </c>
      <c r="D24" s="68"/>
      <c r="E24" s="68"/>
      <c r="F24" s="68"/>
      <c r="G24" s="67" t="s">
        <v>287</v>
      </c>
      <c r="H24" s="51" t="str">
        <f>$E$88</f>
        <v>Under capacity</v>
      </c>
      <c r="I24" s="51"/>
      <c r="J24" s="69" t="s">
        <v>278</v>
      </c>
      <c r="K24" s="50" t="str">
        <f>IF($H$24&amp;""=$G$24&amp;"","PASS","FAIL")</f>
        <v>PASS</v>
      </c>
    </row>
    <row r="25" spans="2:12" ht="16.2" customHeight="1">
      <c r="B25" s="71">
        <v>15</v>
      </c>
      <c r="C25" s="68" t="s">
        <v>288</v>
      </c>
      <c r="D25" s="68"/>
      <c r="E25" s="68"/>
      <c r="F25" s="68"/>
      <c r="G25" s="75">
        <v>455000</v>
      </c>
      <c r="H25" s="43">
        <f>$F$97</f>
        <v>455000</v>
      </c>
      <c r="I25" s="73">
        <f>IF(AND(ISNUMBER($G$25),ISNUMBER($H$25)),ABS($H$25-$G$25),"")</f>
        <v>0</v>
      </c>
      <c r="J25" s="74">
        <v>1E-06</v>
      </c>
      <c r="K25" s="50" t="str">
        <f>IF(AND(ISNUMBER($G$25),ISNUMBER($H$25)),IF(ABS($H$25-$G$25)&lt;=$J$25,"PASS","FAIL"),"FAIL")</f>
        <v>PASS</v>
      </c>
    </row>
    <row r="26" spans="2:12" ht="16.2" customHeight="1">
      <c r="B26" s="71">
        <v>16</v>
      </c>
      <c r="C26" s="68" t="s">
        <v>289</v>
      </c>
      <c r="D26" s="68"/>
      <c r="E26" s="68"/>
      <c r="F26" s="68"/>
      <c r="G26" s="75">
        <v>471250</v>
      </c>
      <c r="H26" s="43">
        <f>$G$97</f>
        <v>471250</v>
      </c>
      <c r="I26" s="73">
        <f>IF(AND(ISNUMBER($G$26),ISNUMBER($H$26)),ABS($H$26-$G$26),"")</f>
        <v>0</v>
      </c>
      <c r="J26" s="74">
        <v>1E-06</v>
      </c>
      <c r="K26" s="50" t="str">
        <f>IF(AND(ISNUMBER($G$26),ISNUMBER($H$26)),IF(ABS($H$26-$G$26)&lt;=$J$26,"PASS","FAIL"),"FAIL")</f>
        <v>PASS</v>
      </c>
    </row>
    <row r="27" spans="2:12" ht="16.2" customHeight="1">
      <c r="B27" s="71">
        <v>17</v>
      </c>
      <c r="C27" s="68" t="s">
        <v>290</v>
      </c>
      <c r="D27" s="68"/>
      <c r="E27" s="68"/>
      <c r="F27" s="68"/>
      <c r="G27" s="75">
        <v>440625</v>
      </c>
      <c r="H27" s="43">
        <f>$H$97</f>
        <v>440625</v>
      </c>
      <c r="I27" s="73">
        <f>IF(AND(ISNUMBER($G$27),ISNUMBER($H$27)),ABS($H$27-$G$27),"")</f>
        <v>0</v>
      </c>
      <c r="J27" s="74">
        <v>1E-06</v>
      </c>
      <c r="K27" s="50" t="str">
        <f>IF(AND(ISNUMBER($G$27),ISNUMBER($H$27)),IF(ABS($H$27-$G$27)&lt;=$J$27,"PASS","FAIL"),"FAIL")</f>
        <v>PASS</v>
      </c>
    </row>
    <row r="28" spans="2:12" ht="16.2" customHeight="1">
      <c r="B28" s="71">
        <v>18</v>
      </c>
      <c r="C28" s="68" t="s">
        <v>291</v>
      </c>
      <c r="D28" s="68"/>
      <c r="E28" s="68"/>
      <c r="F28" s="68"/>
      <c r="G28" s="75">
        <v>422500</v>
      </c>
      <c r="H28" s="43">
        <f>$I$97</f>
        <v>422500</v>
      </c>
      <c r="I28" s="73">
        <f>IF(AND(ISNUMBER($G$28),ISNUMBER($H$28)),ABS($H$28-$G$28),"")</f>
        <v>0</v>
      </c>
      <c r="J28" s="74">
        <v>1E-06</v>
      </c>
      <c r="K28" s="50" t="str">
        <f>IF(AND(ISNUMBER($G$28),ISNUMBER($H$28)),IF(ABS($H$28-$G$28)&lt;=$J$28,"PASS","FAIL"),"FAIL")</f>
        <v>PASS</v>
      </c>
    </row>
    <row r="29" spans="2:12" ht="16.2" customHeight="1">
      <c r="B29" s="71">
        <v>19</v>
      </c>
      <c r="C29" s="68" t="s">
        <v>292</v>
      </c>
      <c r="D29" s="68"/>
      <c r="E29" s="68"/>
      <c r="F29" s="68"/>
      <c r="G29" s="75">
        <v>0</v>
      </c>
      <c r="H29" s="43">
        <f>$F$99</f>
        <v>0</v>
      </c>
      <c r="I29" s="73">
        <f>IF(AND(ISNUMBER($G$29),ISNUMBER($H$29)),ABS($H$29-$G$29),"")</f>
        <v>0</v>
      </c>
      <c r="J29" s="74">
        <v>1E-06</v>
      </c>
      <c r="K29" s="50" t="str">
        <f>IF(AND(ISNUMBER($G$29),ISNUMBER($H$29)),IF(ABS($H$29-$G$29)&lt;=$J$29,"PASS","FAIL"),"FAIL")</f>
        <v>PASS</v>
      </c>
    </row>
    <row r="30" spans="2:12" ht="16.2" customHeight="1">
      <c r="B30" s="71">
        <v>20</v>
      </c>
      <c r="C30" s="68" t="s">
        <v>293</v>
      </c>
      <c r="D30" s="68"/>
      <c r="E30" s="68"/>
      <c r="F30" s="68"/>
      <c r="G30" s="67" t="s">
        <v>287</v>
      </c>
      <c r="H30" s="51" t="str">
        <f>$I$102</f>
        <v>Under capacity</v>
      </c>
      <c r="I30" s="51"/>
      <c r="J30" s="69" t="s">
        <v>278</v>
      </c>
      <c r="K30" s="50" t="str">
        <f>IF($H$30&amp;""=$G$30&amp;"","PASS","FAIL")</f>
        <v>PASS</v>
      </c>
    </row>
    <row r="32" spans="2:12" ht="21" customHeight="1">
      <c r="B32" s="8" t="s">
        <v>294</v>
      </c>
      <c r="C32" s="8"/>
      <c r="D32" s="8"/>
      <c r="E32" s="8"/>
      <c r="F32" s="8"/>
      <c r="G32" s="8"/>
      <c r="H32" s="8"/>
      <c r="I32" s="8"/>
      <c r="J32" s="8"/>
      <c r="K32" s="8"/>
      <c r="L32" s="8"/>
    </row>
    <row r="33" spans="2:12" ht="5" customHeight="1"/>
    <row r="34" spans="2:12">
      <c r="B34" s="21" t="s">
        <v>295</v>
      </c>
      <c r="C34" s="21"/>
      <c r="D34" s="21"/>
      <c r="E34" s="21"/>
      <c r="F34" s="21"/>
      <c r="G34" s="21"/>
      <c r="H34" s="21"/>
      <c r="I34" s="21"/>
      <c r="J34" s="21"/>
      <c r="K34" s="21"/>
      <c r="L34" s="21"/>
    </row>
    <row r="35" spans="2:12">
      <c r="B35" s="40" t="s">
        <v>296</v>
      </c>
      <c r="C35" s="40"/>
      <c r="D35" s="40"/>
      <c r="E35" s="40"/>
      <c r="F35" s="40"/>
    </row>
    <row r="36" spans="2:12">
      <c r="B36" s="27" t="s">
        <v>297</v>
      </c>
      <c r="C36" s="27"/>
      <c r="D36" s="27"/>
      <c r="E36" s="76">
        <v>3</v>
      </c>
      <c r="F36" s="7"/>
    </row>
    <row r="37" spans="2:12">
      <c r="B37" s="27" t="s">
        <v>298</v>
      </c>
      <c r="C37" s="27"/>
      <c r="D37" s="27"/>
      <c r="E37" s="75">
        <v>20000</v>
      </c>
      <c r="F37" s="7"/>
    </row>
    <row r="38" spans="2:12">
      <c r="B38" s="27" t="s">
        <v>71</v>
      </c>
      <c r="C38" s="27"/>
      <c r="D38" s="27"/>
      <c r="E38" s="77">
        <v>0.9</v>
      </c>
      <c r="F38" s="7"/>
    </row>
    <row r="40" spans="2:12">
      <c r="B40" s="40" t="s">
        <v>299</v>
      </c>
      <c r="C40" s="40"/>
      <c r="D40" s="40"/>
      <c r="E40" s="40"/>
      <c r="F40" s="40"/>
      <c r="G40" s="40"/>
      <c r="H40" s="40"/>
      <c r="I40" s="40"/>
      <c r="J40" s="40"/>
      <c r="K40" s="40"/>
      <c r="L40" s="40"/>
    </row>
    <row r="41" spans="2:12" ht="14" customHeight="1">
      <c r="B41" s="34"/>
      <c r="C41" s="34"/>
      <c r="D41" s="34" t="str">
        <f>Currency</f>
        <v>GBP</v>
      </c>
      <c r="E41" s="34"/>
      <c r="F41" s="34" t="str">
        <f>Currency&amp;"/unit"</f>
        <v>GBP/unit</v>
      </c>
      <c r="G41" s="34"/>
      <c r="H41" s="34"/>
    </row>
    <row r="42" spans="2:12" ht="32" customHeight="1">
      <c r="B42" s="35" t="s">
        <v>73</v>
      </c>
      <c r="C42" s="35" t="s">
        <v>74</v>
      </c>
      <c r="D42" s="35" t="s">
        <v>75</v>
      </c>
      <c r="E42" s="35" t="s">
        <v>76</v>
      </c>
      <c r="F42" s="35" t="s">
        <v>77</v>
      </c>
      <c r="G42" s="35" t="s">
        <v>78</v>
      </c>
      <c r="H42" s="35" t="s">
        <v>79</v>
      </c>
    </row>
    <row r="43" spans="2:12">
      <c r="B43" s="67" t="s">
        <v>300</v>
      </c>
      <c r="C43" s="67" t="s">
        <v>99</v>
      </c>
      <c r="D43" s="72">
        <v>6.2</v>
      </c>
      <c r="E43" s="67" t="s">
        <v>100</v>
      </c>
      <c r="F43" s="38">
        <f>IF(tblVerifyMakeCosts[[#This Row],[Item]]="","",IF(tblVerifyMakeCosts[[#This Row],[Basis]]="Per unit",tblVerifyMakeCosts[[#This Row],[Amount]],IF($E$62&gt;0,IF(tblVerifyMakeCosts[[#This Row],[Basis]]="Per year",tblVerifyMakeCosts[[#This Row],[Amount]],tblVerifyMakeCosts[[#This Row],[Amount]]/$E$36)/$E$62,"")))</f>
        <v>6.2</v>
      </c>
      <c r="G43" s="39" t="str">
        <f>IF(tblVerifyMakeCosts[[#This Row],[Item]]="","",IF(tblVerifyMakeCosts[[#This Row],[Basis]]="","Missing basis",IF(tblVerifyMakeCosts[[#This Row],[Amount]]="","Missing amount",IF(tblVerifyMakeCosts[[#This Row],[Avoidable]]="","Missing avoidable",IF(AND(tblVerifyMakeCosts[[#This Row],[Basis]]&lt;&gt;"Per unit",tblVerifyMakeCosts[[#This Row],[Basis]]&lt;&gt;"Per year",tblVerifyMakeCosts[[#This Row],[Basis]]&lt;&gt;"One-off"),"Basis not in the list","OK")))))</f>
        <v>OK</v>
      </c>
      <c r="H43" s="67" t="s">
        <v>105</v>
      </c>
    </row>
    <row r="44" spans="2:12">
      <c r="B44" s="67" t="s">
        <v>301</v>
      </c>
      <c r="C44" s="67" t="s">
        <v>99</v>
      </c>
      <c r="D44" s="72">
        <v>5.1</v>
      </c>
      <c r="E44" s="67" t="s">
        <v>100</v>
      </c>
      <c r="F44" s="38">
        <f>IF(tblVerifyMakeCosts[[#This Row],[Item]]="","",IF(tblVerifyMakeCosts[[#This Row],[Basis]]="Per unit",tblVerifyMakeCosts[[#This Row],[Amount]],IF($E$62&gt;0,IF(tblVerifyMakeCosts[[#This Row],[Basis]]="Per year",tblVerifyMakeCosts[[#This Row],[Amount]],tblVerifyMakeCosts[[#This Row],[Amount]]/$E$36)/$E$62,"")))</f>
        <v>5.1</v>
      </c>
      <c r="G44" s="39" t="str">
        <f>IF(tblVerifyMakeCosts[[#This Row],[Item]]="","",IF(tblVerifyMakeCosts[[#This Row],[Basis]]="","Missing basis",IF(tblVerifyMakeCosts[[#This Row],[Amount]]="","Missing amount",IF(tblVerifyMakeCosts[[#This Row],[Avoidable]]="","Missing avoidable",IF(AND(tblVerifyMakeCosts[[#This Row],[Basis]]&lt;&gt;"Per unit",tblVerifyMakeCosts[[#This Row],[Basis]]&lt;&gt;"Per year",tblVerifyMakeCosts[[#This Row],[Basis]]&lt;&gt;"One-off"),"Basis not in the list","OK")))))</f>
        <v>OK</v>
      </c>
      <c r="H44" s="67" t="s">
        <v>105</v>
      </c>
    </row>
    <row r="45" spans="2:12">
      <c r="B45" s="67" t="s">
        <v>302</v>
      </c>
      <c r="C45" s="67" t="s">
        <v>99</v>
      </c>
      <c r="D45" s="72">
        <v>3.2</v>
      </c>
      <c r="E45" s="67" t="s">
        <v>100</v>
      </c>
      <c r="F45" s="38">
        <f>IF(tblVerifyMakeCosts[[#This Row],[Item]]="","",IF(tblVerifyMakeCosts[[#This Row],[Basis]]="Per unit",tblVerifyMakeCosts[[#This Row],[Amount]],IF($E$62&gt;0,IF(tblVerifyMakeCosts[[#This Row],[Basis]]="Per year",tblVerifyMakeCosts[[#This Row],[Amount]],tblVerifyMakeCosts[[#This Row],[Amount]]/$E$36)/$E$62,"")))</f>
        <v>3.2</v>
      </c>
      <c r="G45" s="39" t="str">
        <f>IF(tblVerifyMakeCosts[[#This Row],[Item]]="","",IF(tblVerifyMakeCosts[[#This Row],[Basis]]="","Missing basis",IF(tblVerifyMakeCosts[[#This Row],[Amount]]="","Missing amount",IF(tblVerifyMakeCosts[[#This Row],[Avoidable]]="","Missing avoidable",IF(AND(tblVerifyMakeCosts[[#This Row],[Basis]]&lt;&gt;"Per unit",tblVerifyMakeCosts[[#This Row],[Basis]]&lt;&gt;"Per year",tblVerifyMakeCosts[[#This Row],[Basis]]&lt;&gt;"One-off"),"Basis not in the list","OK")))))</f>
        <v>OK</v>
      </c>
      <c r="H45" s="67" t="s">
        <v>105</v>
      </c>
    </row>
    <row r="46" spans="2:12">
      <c r="B46" s="67" t="s">
        <v>303</v>
      </c>
      <c r="C46" s="67" t="s">
        <v>99</v>
      </c>
      <c r="D46" s="72">
        <v>4</v>
      </c>
      <c r="E46" s="67" t="s">
        <v>109</v>
      </c>
      <c r="F46" s="38">
        <f>IF(tblVerifyMakeCosts[[#This Row],[Item]]="","",IF(tblVerifyMakeCosts[[#This Row],[Basis]]="Per unit",tblVerifyMakeCosts[[#This Row],[Amount]],IF($E$62&gt;0,IF(tblVerifyMakeCosts[[#This Row],[Basis]]="Per year",tblVerifyMakeCosts[[#This Row],[Amount]],tblVerifyMakeCosts[[#This Row],[Amount]]/$E$36)/$E$62,"")))</f>
        <v>4</v>
      </c>
      <c r="G46" s="39" t="str">
        <f>IF(tblVerifyMakeCosts[[#This Row],[Item]]="","",IF(tblVerifyMakeCosts[[#This Row],[Basis]]="","Missing basis",IF(tblVerifyMakeCosts[[#This Row],[Amount]]="","Missing amount",IF(tblVerifyMakeCosts[[#This Row],[Avoidable]]="","Missing avoidable",IF(AND(tblVerifyMakeCosts[[#This Row],[Basis]]&lt;&gt;"Per unit",tblVerifyMakeCosts[[#This Row],[Basis]]&lt;&gt;"Per year",tblVerifyMakeCosts[[#This Row],[Basis]]&lt;&gt;"One-off"),"Basis not in the list","OK")))))</f>
        <v>OK</v>
      </c>
      <c r="H46" s="67" t="s">
        <v>304</v>
      </c>
    </row>
    <row r="47" spans="2:12">
      <c r="B47" s="67" t="s">
        <v>305</v>
      </c>
      <c r="C47" s="67" t="s">
        <v>112</v>
      </c>
      <c r="D47" s="72">
        <v>45000</v>
      </c>
      <c r="E47" s="67" t="s">
        <v>100</v>
      </c>
      <c r="F47" s="38">
        <f>IF(tblVerifyMakeCosts[[#This Row],[Item]]="","",IF(tblVerifyMakeCosts[[#This Row],[Basis]]="Per unit",tblVerifyMakeCosts[[#This Row],[Amount]],IF($E$62&gt;0,IF(tblVerifyMakeCosts[[#This Row],[Basis]]="Per year",tblVerifyMakeCosts[[#This Row],[Amount]],tblVerifyMakeCosts[[#This Row],[Amount]]/$E$36)/$E$62,"")))</f>
        <v>1.8</v>
      </c>
      <c r="G47" s="39" t="str">
        <f>IF(tblVerifyMakeCosts[[#This Row],[Item]]="","",IF(tblVerifyMakeCosts[[#This Row],[Basis]]="","Missing basis",IF(tblVerifyMakeCosts[[#This Row],[Amount]]="","Missing amount",IF(tblVerifyMakeCosts[[#This Row],[Avoidable]]="","Missing avoidable",IF(AND(tblVerifyMakeCosts[[#This Row],[Basis]]&lt;&gt;"Per unit",tblVerifyMakeCosts[[#This Row],[Basis]]&lt;&gt;"Per year",tblVerifyMakeCosts[[#This Row],[Basis]]&lt;&gt;"One-off"),"Basis not in the list","OK")))))</f>
        <v>OK</v>
      </c>
      <c r="H47" s="67" t="s">
        <v>105</v>
      </c>
    </row>
    <row r="48" spans="2:12">
      <c r="B48" s="67" t="s">
        <v>306</v>
      </c>
      <c r="C48" s="67" t="s">
        <v>117</v>
      </c>
      <c r="D48" s="72">
        <v>45000</v>
      </c>
      <c r="E48" s="67" t="s">
        <v>100</v>
      </c>
      <c r="F48" s="38">
        <f>IF(tblVerifyMakeCosts[[#This Row],[Item]]="","",IF(tblVerifyMakeCosts[[#This Row],[Basis]]="Per unit",tblVerifyMakeCosts[[#This Row],[Amount]],IF($E$62&gt;0,IF(tblVerifyMakeCosts[[#This Row],[Basis]]="Per year",tblVerifyMakeCosts[[#This Row],[Amount]],tblVerifyMakeCosts[[#This Row],[Amount]]/$E$36)/$E$62,"")))</f>
        <v>0.6</v>
      </c>
      <c r="G48" s="39" t="str">
        <f>IF(tblVerifyMakeCosts[[#This Row],[Item]]="","",IF(tblVerifyMakeCosts[[#This Row],[Basis]]="","Missing basis",IF(tblVerifyMakeCosts[[#This Row],[Amount]]="","Missing amount",IF(tblVerifyMakeCosts[[#This Row],[Avoidable]]="","Missing avoidable",IF(AND(tblVerifyMakeCosts[[#This Row],[Basis]]&lt;&gt;"Per unit",tblVerifyMakeCosts[[#This Row],[Basis]]&lt;&gt;"Per year",tblVerifyMakeCosts[[#This Row],[Basis]]&lt;&gt;"One-off"),"Basis not in the list","OK")))))</f>
        <v>OK</v>
      </c>
      <c r="H48" s="67" t="s">
        <v>307</v>
      </c>
    </row>
    <row r="49" spans="2:12">
      <c r="B49" s="67" t="s">
        <v>308</v>
      </c>
      <c r="C49" s="67" t="s">
        <v>309</v>
      </c>
      <c r="D49" s="72">
        <v>10</v>
      </c>
      <c r="E49" s="67" t="s">
        <v>109</v>
      </c>
      <c r="F49" s="38">
        <f>IF(tblVerifyMakeCosts[[#This Row],[Item]]="","",IF(tblVerifyMakeCosts[[#This Row],[Basis]]="Per unit",tblVerifyMakeCosts[[#This Row],[Amount]],IF($E$62&gt;0,IF(tblVerifyMakeCosts[[#This Row],[Basis]]="Per year",tblVerifyMakeCosts[[#This Row],[Amount]],tblVerifyMakeCosts[[#This Row],[Amount]]/$E$36)/$E$62,"")))</f>
        <v>0.000133333333333333</v>
      </c>
      <c r="G49" s="39" t="str">
        <f>IF(tblVerifyMakeCosts[[#This Row],[Item]]="","",IF(tblVerifyMakeCosts[[#This Row],[Basis]]="","Missing basis",IF(tblVerifyMakeCosts[[#This Row],[Amount]]="","Missing amount",IF(tblVerifyMakeCosts[[#This Row],[Avoidable]]="","Missing avoidable",IF(AND(tblVerifyMakeCosts[[#This Row],[Basis]]&lt;&gt;"Per unit",tblVerifyMakeCosts[[#This Row],[Basis]]&lt;&gt;"Per year",tblVerifyMakeCosts[[#This Row],[Basis]]&lt;&gt;"One-off"),"Basis not in the list","OK")))))</f>
        <v>Basis not in the list</v>
      </c>
      <c r="H49" s="67" t="s">
        <v>310</v>
      </c>
    </row>
    <row r="51" spans="2:12">
      <c r="B51" s="40" t="s">
        <v>311</v>
      </c>
      <c r="C51" s="40"/>
      <c r="D51" s="40"/>
      <c r="E51" s="40"/>
      <c r="F51" s="40"/>
      <c r="G51" s="40"/>
      <c r="H51" s="40"/>
      <c r="I51" s="40"/>
      <c r="J51" s="40"/>
      <c r="K51" s="40"/>
      <c r="L51" s="40"/>
    </row>
    <row r="52" spans="2:12" ht="14" customHeight="1">
      <c r="B52" s="34"/>
      <c r="C52" s="34"/>
      <c r="D52" s="34" t="str">
        <f>Currency</f>
        <v>GBP</v>
      </c>
      <c r="E52" s="34"/>
      <c r="F52" s="34" t="str">
        <f>Currency&amp;"/unit"</f>
        <v>GBP/unit</v>
      </c>
      <c r="G52" s="34"/>
      <c r="H52" s="34"/>
    </row>
    <row r="53" spans="2:12" ht="32" customHeight="1">
      <c r="B53" s="35" t="s">
        <v>73</v>
      </c>
      <c r="C53" s="35" t="s">
        <v>74</v>
      </c>
      <c r="D53" s="35" t="s">
        <v>75</v>
      </c>
      <c r="E53" s="35" t="s">
        <v>80</v>
      </c>
      <c r="F53" s="35" t="s">
        <v>77</v>
      </c>
      <c r="G53" s="35" t="s">
        <v>78</v>
      </c>
      <c r="H53" s="35" t="s">
        <v>79</v>
      </c>
    </row>
    <row r="54" spans="2:12">
      <c r="B54" s="67" t="s">
        <v>312</v>
      </c>
      <c r="C54" s="67" t="s">
        <v>99</v>
      </c>
      <c r="D54" s="72">
        <v>16.9</v>
      </c>
      <c r="E54" s="67"/>
      <c r="F54" s="38">
        <f>IF(tblVerifyBuyCosts[[#This Row],[Item]]="","",IF(tblVerifyBuyCosts[[#This Row],[Basis]]="Per unit",tblVerifyBuyCosts[[#This Row],[Amount]],IF($E$62&gt;0,IF(tblVerifyBuyCosts[[#This Row],[Basis]]="Per year",tblVerifyBuyCosts[[#This Row],[Amount]],tblVerifyBuyCosts[[#This Row],[Amount]]/$E$36)/$E$62,"")))</f>
        <v>16.9</v>
      </c>
      <c r="G54" s="39" t="str">
        <f>IF(tblVerifyBuyCosts[[#This Row],[Item]]="","",IF(tblVerifyBuyCosts[[#This Row],[Basis]]="","Missing basis",IF(tblVerifyBuyCosts[[#This Row],[Amount]]="","Missing amount",IF(AND(tblVerifyBuyCosts[[#This Row],[Basis]]&lt;&gt;"Per unit",tblVerifyBuyCosts[[#This Row],[Basis]]&lt;&gt;"Per year",tblVerifyBuyCosts[[#This Row],[Basis]]&lt;&gt;"One-off"),"Basis not in the list","OK"))))</f>
        <v>OK</v>
      </c>
      <c r="H54" s="67" t="s">
        <v>105</v>
      </c>
    </row>
    <row r="55" spans="2:12">
      <c r="B55" s="67" t="s">
        <v>313</v>
      </c>
      <c r="C55" s="67" t="s">
        <v>99</v>
      </c>
      <c r="D55" s="72">
        <v>0.8</v>
      </c>
      <c r="E55" s="67"/>
      <c r="F55" s="38">
        <f>IF(tblVerifyBuyCosts[[#This Row],[Item]]="","",IF(tblVerifyBuyCosts[[#This Row],[Basis]]="Per unit",tblVerifyBuyCosts[[#This Row],[Amount]],IF($E$62&gt;0,IF(tblVerifyBuyCosts[[#This Row],[Basis]]="Per year",tblVerifyBuyCosts[[#This Row],[Amount]],tblVerifyBuyCosts[[#This Row],[Amount]]/$E$36)/$E$62,"")))</f>
        <v>0.8</v>
      </c>
      <c r="G55" s="39" t="str">
        <f>IF(tblVerifyBuyCosts[[#This Row],[Item]]="","",IF(tblVerifyBuyCosts[[#This Row],[Basis]]="","Missing basis",IF(tblVerifyBuyCosts[[#This Row],[Amount]]="","Missing amount",IF(AND(tblVerifyBuyCosts[[#This Row],[Basis]]&lt;&gt;"Per unit",tblVerifyBuyCosts[[#This Row],[Basis]]&lt;&gt;"Per year",tblVerifyBuyCosts[[#This Row],[Basis]]&lt;&gt;"One-off"),"Basis not in the list","OK"))))</f>
        <v>OK</v>
      </c>
      <c r="H55" s="67" t="s">
        <v>105</v>
      </c>
    </row>
    <row r="56" spans="2:12">
      <c r="B56" s="67" t="s">
        <v>314</v>
      </c>
      <c r="C56" s="67" t="s">
        <v>99</v>
      </c>
      <c r="D56" s="72">
        <v>0.3</v>
      </c>
      <c r="E56" s="67"/>
      <c r="F56" s="38">
        <f>IF(tblVerifyBuyCosts[[#This Row],[Item]]="","",IF(tblVerifyBuyCosts[[#This Row],[Basis]]="Per unit",tblVerifyBuyCosts[[#This Row],[Amount]],IF($E$62&gt;0,IF(tblVerifyBuyCosts[[#This Row],[Basis]]="Per year",tblVerifyBuyCosts[[#This Row],[Amount]],tblVerifyBuyCosts[[#This Row],[Amount]]/$E$36)/$E$62,"")))</f>
        <v>0.3</v>
      </c>
      <c r="G56" s="39" t="str">
        <f>IF(tblVerifyBuyCosts[[#This Row],[Item]]="","",IF(tblVerifyBuyCosts[[#This Row],[Basis]]="","Missing basis",IF(tblVerifyBuyCosts[[#This Row],[Amount]]="","Missing amount",IF(AND(tblVerifyBuyCosts[[#This Row],[Basis]]&lt;&gt;"Per unit",tblVerifyBuyCosts[[#This Row],[Basis]]&lt;&gt;"Per year",tblVerifyBuyCosts[[#This Row],[Basis]]&lt;&gt;"One-off"),"Basis not in the list","OK"))))</f>
        <v>OK</v>
      </c>
      <c r="H56" s="67" t="s">
        <v>105</v>
      </c>
    </row>
    <row r="57" spans="2:12">
      <c r="B57" s="67" t="s">
        <v>134</v>
      </c>
      <c r="C57" s="67" t="s">
        <v>112</v>
      </c>
      <c r="D57" s="72">
        <v>2000</v>
      </c>
      <c r="E57" s="67"/>
      <c r="F57" s="38">
        <f>IF(tblVerifyBuyCosts[[#This Row],[Item]]="","",IF(tblVerifyBuyCosts[[#This Row],[Basis]]="Per unit",tblVerifyBuyCosts[[#This Row],[Amount]],IF($E$62&gt;0,IF(tblVerifyBuyCosts[[#This Row],[Basis]]="Per year",tblVerifyBuyCosts[[#This Row],[Amount]],tblVerifyBuyCosts[[#This Row],[Amount]]/$E$36)/$E$62,"")))</f>
        <v>0.08</v>
      </c>
      <c r="G57" s="39" t="str">
        <f>IF(tblVerifyBuyCosts[[#This Row],[Item]]="","",IF(tblVerifyBuyCosts[[#This Row],[Basis]]="","Missing basis",IF(tblVerifyBuyCosts[[#This Row],[Amount]]="","Missing amount",IF(AND(tblVerifyBuyCosts[[#This Row],[Basis]]&lt;&gt;"Per unit",tblVerifyBuyCosts[[#This Row],[Basis]]&lt;&gt;"Per year",tblVerifyBuyCosts[[#This Row],[Basis]]&lt;&gt;"One-off"),"Basis not in the list","OK"))))</f>
        <v>OK</v>
      </c>
      <c r="H57" s="67" t="s">
        <v>105</v>
      </c>
    </row>
    <row r="58" spans="2:12">
      <c r="B58" s="67" t="s">
        <v>315</v>
      </c>
      <c r="C58" s="67" t="s">
        <v>117</v>
      </c>
      <c r="D58" s="72">
        <v>9000</v>
      </c>
      <c r="E58" s="67"/>
      <c r="F58" s="38">
        <f>IF(tblVerifyBuyCosts[[#This Row],[Item]]="","",IF(tblVerifyBuyCosts[[#This Row],[Basis]]="Per unit",tblVerifyBuyCosts[[#This Row],[Amount]],IF($E$62&gt;0,IF(tblVerifyBuyCosts[[#This Row],[Basis]]="Per year",tblVerifyBuyCosts[[#This Row],[Amount]],tblVerifyBuyCosts[[#This Row],[Amount]]/$E$36)/$E$62,"")))</f>
        <v>0.12</v>
      </c>
      <c r="G58" s="39" t="str">
        <f>IF(tblVerifyBuyCosts[[#This Row],[Item]]="","",IF(tblVerifyBuyCosts[[#This Row],[Basis]]="","Missing basis",IF(tblVerifyBuyCosts[[#This Row],[Amount]]="","Missing amount",IF(AND(tblVerifyBuyCosts[[#This Row],[Basis]]&lt;&gt;"Per unit",tblVerifyBuyCosts[[#This Row],[Basis]]&lt;&gt;"Per year",tblVerifyBuyCosts[[#This Row],[Basis]]&lt;&gt;"One-off"),"Basis not in the list","OK"))))</f>
        <v>OK</v>
      </c>
      <c r="H58" s="67" t="s">
        <v>316</v>
      </c>
    </row>
    <row r="60" spans="2:12">
      <c r="B60" s="40" t="s">
        <v>317</v>
      </c>
      <c r="C60" s="40"/>
      <c r="D60" s="40"/>
      <c r="E60" s="40"/>
      <c r="F60" s="40"/>
      <c r="G60" s="40"/>
      <c r="H60" s="40"/>
      <c r="I60" s="40"/>
      <c r="J60" s="40"/>
      <c r="K60" s="40"/>
      <c r="L60" s="40"/>
    </row>
    <row r="61" spans="2:12">
      <c r="B61" s="27" t="s">
        <v>89</v>
      </c>
      <c r="C61" s="27"/>
      <c r="D61" s="27"/>
      <c r="E61" s="67" t="s">
        <v>318</v>
      </c>
      <c r="F61" s="67"/>
    </row>
    <row r="62" spans="2:12">
      <c r="B62" s="27" t="s">
        <v>91</v>
      </c>
      <c r="C62" s="27"/>
      <c r="D62" s="27"/>
      <c r="E62" s="75">
        <v>25000</v>
      </c>
      <c r="F62" s="7" t="s">
        <v>92</v>
      </c>
    </row>
    <row r="63" spans="2:12">
      <c r="B63" s="27" t="s">
        <v>93</v>
      </c>
      <c r="C63" s="27"/>
      <c r="D63" s="27"/>
      <c r="E63" s="77">
        <v>0.85</v>
      </c>
      <c r="F63" s="7"/>
    </row>
    <row r="64" spans="2:12">
      <c r="B64" s="27" t="s">
        <v>94</v>
      </c>
      <c r="C64" s="27"/>
      <c r="D64" s="27"/>
      <c r="E64" s="78">
        <v>0.5</v>
      </c>
      <c r="F64" s="7" t="s">
        <v>95</v>
      </c>
    </row>
    <row r="66" spans="2:12">
      <c r="B66" s="40" t="s">
        <v>319</v>
      </c>
      <c r="C66" s="40"/>
      <c r="D66" s="40"/>
      <c r="E66" s="40"/>
      <c r="F66" s="40"/>
      <c r="G66" s="40"/>
      <c r="H66" s="40"/>
      <c r="I66" s="40"/>
      <c r="J66" s="40"/>
      <c r="K66" s="40"/>
      <c r="L66" s="40"/>
    </row>
    <row r="67" spans="2:12">
      <c r="B67" s="17" t="s">
        <v>120</v>
      </c>
      <c r="C67" s="17"/>
      <c r="D67" s="17"/>
      <c r="E67" s="41">
        <f>SUMIFS(tblVerifyMakeCosts[Amount],tblVerifyMakeCosts[Basis],"Per unit",tblVerifyMakeCosts[Avoidable],"Yes")</f>
        <v>14.5</v>
      </c>
      <c r="F67" s="7" t="str">
        <f>Currency&amp;"/unit"</f>
        <v>GBP/unit</v>
      </c>
    </row>
    <row r="68" spans="2:12">
      <c r="B68" s="17" t="s">
        <v>121</v>
      </c>
      <c r="C68" s="17"/>
      <c r="D68" s="17"/>
      <c r="E68" s="42">
        <f>SUMIFS(tblVerifyMakeCosts[Amount],tblVerifyMakeCosts[Basis],"Per year",tblVerifyMakeCosts[Avoidable],"Yes")+SUMIFS(tblVerifyMakeCosts[Amount],tblVerifyMakeCosts[Basis],"One-off",tblVerifyMakeCosts[Avoidable],"Yes")/$E$36</f>
        <v>60000</v>
      </c>
      <c r="F68" s="7" t="str">
        <f>Currency&amp;"/yr"</f>
        <v>GBP/yr</v>
      </c>
    </row>
    <row r="69" spans="2:12">
      <c r="B69" s="27" t="s">
        <v>122</v>
      </c>
      <c r="C69" s="27"/>
      <c r="D69" s="27"/>
      <c r="E69" s="38">
        <f>SUM(tblVerifyMakeCosts[Per unit at demand])</f>
        <v>20.9001333333333</v>
      </c>
      <c r="F69" s="7" t="str">
        <f>Currency&amp;"/unit"</f>
        <v>GBP/unit</v>
      </c>
    </row>
    <row r="71" spans="2:12">
      <c r="B71" s="40" t="s">
        <v>320</v>
      </c>
      <c r="C71" s="40"/>
      <c r="D71" s="40"/>
      <c r="E71" s="40"/>
      <c r="F71" s="40"/>
      <c r="G71" s="40"/>
      <c r="H71" s="40"/>
      <c r="I71" s="40"/>
      <c r="J71" s="40"/>
      <c r="K71" s="40"/>
      <c r="L71" s="40"/>
    </row>
    <row r="72" spans="2:12">
      <c r="B72" s="17" t="s">
        <v>140</v>
      </c>
      <c r="C72" s="17"/>
      <c r="D72" s="17"/>
      <c r="E72" s="41">
        <f>SUMIFS(tblVerifyBuyCosts[Amount],tblVerifyBuyCosts[Basis],"Per unit")</f>
        <v>18</v>
      </c>
      <c r="F72" s="7" t="str">
        <f>Currency&amp;"/unit"</f>
        <v>GBP/unit</v>
      </c>
    </row>
    <row r="73" spans="2:12">
      <c r="B73" s="17" t="s">
        <v>141</v>
      </c>
      <c r="C73" s="17"/>
      <c r="D73" s="17"/>
      <c r="E73" s="42">
        <f>SUMIFS(tblVerifyBuyCosts[Amount],tblVerifyBuyCosts[Basis],"Per year")+SUMIFS(tblVerifyBuyCosts[Amount],tblVerifyBuyCosts[Basis],"One-off")/$E$36</f>
        <v>5000</v>
      </c>
      <c r="F73" s="7" t="str">
        <f>Currency&amp;"/yr"</f>
        <v>GBP/yr</v>
      </c>
    </row>
    <row r="75" spans="2:12">
      <c r="B75" s="40" t="s">
        <v>321</v>
      </c>
      <c r="C75" s="40"/>
      <c r="D75" s="40"/>
      <c r="E75" s="40"/>
      <c r="F75" s="40"/>
      <c r="G75" s="40"/>
      <c r="H75" s="40"/>
      <c r="I75" s="40"/>
      <c r="J75" s="40"/>
      <c r="K75" s="40"/>
      <c r="L75" s="40"/>
    </row>
    <row r="76" spans="2:12">
      <c r="B76" s="27" t="s">
        <v>143</v>
      </c>
      <c r="C76" s="27"/>
      <c r="D76" s="27"/>
      <c r="E76" s="43">
        <f>$E$62*$E$63</f>
        <v>21250</v>
      </c>
      <c r="F76" s="7" t="s">
        <v>144</v>
      </c>
    </row>
    <row r="77" spans="2:12">
      <c r="B77" s="27" t="s">
        <v>145</v>
      </c>
      <c r="C77" s="27"/>
      <c r="D77" s="27"/>
      <c r="E77" s="43">
        <f>$E$62-$E$76</f>
        <v>3750</v>
      </c>
      <c r="F77" s="7" t="s">
        <v>144</v>
      </c>
    </row>
    <row r="78" spans="2:12">
      <c r="B78" s="27" t="s">
        <v>146</v>
      </c>
      <c r="C78" s="27"/>
      <c r="D78" s="27"/>
      <c r="E78" s="43">
        <f>IF($E$76&gt;0,$E$76*$E$67+$E$68,0)</f>
        <v>368125</v>
      </c>
      <c r="F78" s="7" t="str">
        <f>Currency&amp;"/yr"</f>
        <v>GBP/yr</v>
      </c>
    </row>
    <row r="79" spans="2:12">
      <c r="B79" s="27" t="s">
        <v>147</v>
      </c>
      <c r="C79" s="27"/>
      <c r="D79" s="27"/>
      <c r="E79" s="43">
        <f>IF($E$77&gt;0,$E$77*$E$72+$E$73,0)</f>
        <v>72500</v>
      </c>
      <c r="F79" s="7" t="str">
        <f>Currency&amp;"/yr"</f>
        <v>GBP/yr</v>
      </c>
    </row>
    <row r="80" spans="2:12">
      <c r="B80" s="17" t="s">
        <v>148</v>
      </c>
      <c r="C80" s="17"/>
      <c r="D80" s="17"/>
      <c r="E80" s="42">
        <f>$E$78+$E$79</f>
        <v>440625</v>
      </c>
      <c r="F80" s="7" t="str">
        <f>Currency&amp;"/yr"</f>
        <v>GBP/yr</v>
      </c>
    </row>
    <row r="81" spans="2:12">
      <c r="B81" s="27" t="s">
        <v>149</v>
      </c>
      <c r="C81" s="27"/>
      <c r="D81" s="27"/>
      <c r="E81" s="43">
        <f>IF($E$62&gt;0,$E$62*$E$72+$E$73,0)</f>
        <v>455000</v>
      </c>
      <c r="F81" s="7" t="str">
        <f>Currency&amp;"/yr"</f>
        <v>GBP/yr</v>
      </c>
    </row>
    <row r="82" spans="2:12">
      <c r="B82" s="27" t="s">
        <v>150</v>
      </c>
      <c r="C82" s="27"/>
      <c r="D82" s="27"/>
      <c r="E82" s="43">
        <f>IF($E$62&gt;0,$E$62*$E$67+$E$68,0)</f>
        <v>422500</v>
      </c>
      <c r="F82" s="7" t="str">
        <f>Currency&amp;"/yr"</f>
        <v>GBP/yr</v>
      </c>
    </row>
    <row r="83" spans="2:12">
      <c r="B83" s="17" t="s">
        <v>151</v>
      </c>
      <c r="C83" s="17"/>
      <c r="D83" s="17"/>
      <c r="E83" s="42">
        <f>$E$81-$E$80</f>
        <v>14375</v>
      </c>
      <c r="F83" s="7" t="str">
        <f>Currency&amp;"/yr"</f>
        <v>GBP/yr</v>
      </c>
    </row>
    <row r="84" spans="2:12">
      <c r="B84" s="27" t="s">
        <v>152</v>
      </c>
      <c r="C84" s="27"/>
      <c r="D84" s="27"/>
      <c r="E84" s="38">
        <f>IF($E$62&gt;0,$E$80/$E$62,"")</f>
        <v>17.625</v>
      </c>
      <c r="F84" s="7" t="str">
        <f>Currency&amp;"/unit"</f>
        <v>GBP/unit</v>
      </c>
    </row>
    <row r="85" spans="2:12">
      <c r="B85" s="27" t="s">
        <v>153</v>
      </c>
      <c r="C85" s="27"/>
      <c r="D85" s="27"/>
      <c r="E85" s="43">
        <f>IF($E$72&gt;$E$67,($E$68-$E$73)/($E$72-$E$67),"")</f>
        <v>15714.2857142857</v>
      </c>
      <c r="F85" s="7" t="s">
        <v>144</v>
      </c>
    </row>
    <row r="86" spans="2:12">
      <c r="B86" s="27" t="s">
        <v>154</v>
      </c>
      <c r="C86" s="27"/>
      <c r="D86" s="27"/>
      <c r="E86" s="43">
        <f>$E$76*$E$64</f>
        <v>10625</v>
      </c>
      <c r="F86" s="7" t="s">
        <v>155</v>
      </c>
    </row>
    <row r="87" spans="2:12">
      <c r="B87" s="27" t="s">
        <v>156</v>
      </c>
      <c r="C87" s="27"/>
      <c r="D87" s="27"/>
      <c r="E87" s="44">
        <f>IF($E$37&gt;0,$E$86/$E$37,"")</f>
        <v>0.53125</v>
      </c>
      <c r="F87" s="7" t="s">
        <v>157</v>
      </c>
    </row>
    <row r="88" spans="2:12">
      <c r="B88" s="17" t="s">
        <v>158</v>
      </c>
      <c r="C88" s="17"/>
      <c r="D88" s="17"/>
      <c r="E88" s="45" t="str">
        <f>IF($E$87="",IF($E$86&gt;0,"Over capacity",""),IF($E$87&gt;1,"Over capacity",IF($E$87&gt;=$E$38,"Near capacity","Under capacity")))</f>
        <v>Under capacity</v>
      </c>
      <c r="F88" s="45"/>
    </row>
    <row r="89" spans="2:12">
      <c r="B89" s="17" t="s">
        <v>159</v>
      </c>
      <c r="C89" s="17"/>
      <c r="D89" s="17"/>
      <c r="E89" s="45" t="str">
        <f>IF($E$62&lt;=0,"",IF(AND($E$82&lt;=$E$81,$E$82&lt;=$E$80),"Make all"&amp;IF($E$62*$E$64&gt;$E$37," (over capacity)",""),IF($E$81&lt;=$E$80,"Buy all","Your plan")))</f>
        <v>Make all</v>
      </c>
      <c r="F89" s="45"/>
    </row>
    <row r="91" spans="2:12">
      <c r="B91" s="40" t="s">
        <v>322</v>
      </c>
      <c r="C91" s="40"/>
      <c r="D91" s="40"/>
      <c r="E91" s="40"/>
      <c r="F91" s="40"/>
      <c r="G91" s="40"/>
      <c r="H91" s="40"/>
      <c r="I91" s="40"/>
      <c r="J91" s="40"/>
      <c r="K91" s="40"/>
      <c r="L91" s="40"/>
    </row>
    <row r="92" spans="2:12">
      <c r="B92" s="46" t="s">
        <v>161</v>
      </c>
      <c r="C92" s="46"/>
      <c r="D92" s="46"/>
      <c r="E92" s="35" t="s">
        <v>162</v>
      </c>
      <c r="F92" s="77">
        <v>0</v>
      </c>
      <c r="G92" s="77">
        <v>0.5</v>
      </c>
      <c r="H92" s="77">
        <v>0.85</v>
      </c>
      <c r="I92" s="77">
        <v>1</v>
      </c>
      <c r="J92" s="77">
        <v>0.25</v>
      </c>
    </row>
    <row r="93" spans="2:12">
      <c r="B93" s="27" t="s">
        <v>143</v>
      </c>
      <c r="C93" s="27"/>
      <c r="D93" s="27"/>
      <c r="E93" s="7" t="s">
        <v>144</v>
      </c>
      <c r="F93" s="43">
        <f>$E$62*$F$92</f>
        <v>0</v>
      </c>
      <c r="G93" s="43">
        <f>$E$62*$G$92</f>
        <v>12500</v>
      </c>
      <c r="H93" s="43">
        <f>$E$62*$H$92</f>
        <v>21250</v>
      </c>
      <c r="I93" s="43">
        <f>$E$62*$I$92</f>
        <v>25000</v>
      </c>
      <c r="J93" s="43">
        <f>$E$62*$J$92</f>
        <v>6250</v>
      </c>
    </row>
    <row r="94" spans="2:12">
      <c r="B94" s="27" t="s">
        <v>145</v>
      </c>
      <c r="C94" s="27"/>
      <c r="D94" s="27"/>
      <c r="E94" s="7" t="s">
        <v>144</v>
      </c>
      <c r="F94" s="43">
        <f>$E$62-$F$93</f>
        <v>25000</v>
      </c>
      <c r="G94" s="43">
        <f>$E$62-$G$93</f>
        <v>12500</v>
      </c>
      <c r="H94" s="43">
        <f>$E$62-$H$93</f>
        <v>3750</v>
      </c>
      <c r="I94" s="43">
        <f>$E$62-$I$93</f>
        <v>0</v>
      </c>
      <c r="J94" s="43">
        <f>$E$62-$J$93</f>
        <v>18750</v>
      </c>
    </row>
    <row r="95" spans="2:12">
      <c r="B95" s="27" t="s">
        <v>146</v>
      </c>
      <c r="C95" s="27"/>
      <c r="D95" s="27"/>
      <c r="E95" s="7" t="str">
        <f>Currency&amp;"/yr"</f>
        <v>GBP/yr</v>
      </c>
      <c r="F95" s="43">
        <f>IF($F$93&gt;0,$F$93*$E$67+$E$68,0)</f>
        <v>0</v>
      </c>
      <c r="G95" s="43">
        <f>IF($G$93&gt;0,$G$93*$E$67+$E$68,0)</f>
        <v>241250</v>
      </c>
      <c r="H95" s="43">
        <f>IF($H$93&gt;0,$H$93*$E$67+$E$68,0)</f>
        <v>368125</v>
      </c>
      <c r="I95" s="43">
        <f>IF($I$93&gt;0,$I$93*$E$67+$E$68,0)</f>
        <v>422500</v>
      </c>
      <c r="J95" s="43">
        <f>IF($J$93&gt;0,$J$93*$E$67+$E$68,0)</f>
        <v>150625</v>
      </c>
    </row>
    <row r="96" spans="2:12">
      <c r="B96" s="27" t="s">
        <v>147</v>
      </c>
      <c r="C96" s="27"/>
      <c r="D96" s="27"/>
      <c r="E96" s="7" t="str">
        <f>Currency&amp;"/yr"</f>
        <v>GBP/yr</v>
      </c>
      <c r="F96" s="43">
        <f>IF($F$94&gt;0,$F$94*$E$72+$E$73,0)</f>
        <v>455000</v>
      </c>
      <c r="G96" s="43">
        <f>IF($G$94&gt;0,$G$94*$E$72+$E$73,0)</f>
        <v>230000</v>
      </c>
      <c r="H96" s="43">
        <f>IF($H$94&gt;0,$H$94*$E$72+$E$73,0)</f>
        <v>72500</v>
      </c>
      <c r="I96" s="43">
        <f>IF($I$94&gt;0,$I$94*$E$72+$E$73,0)</f>
        <v>0</v>
      </c>
      <c r="J96" s="43">
        <f>IF($J$94&gt;0,$J$94*$E$72+$E$73,0)</f>
        <v>342500</v>
      </c>
    </row>
    <row r="97" spans="2:10">
      <c r="B97" s="17" t="s">
        <v>163</v>
      </c>
      <c r="C97" s="17"/>
      <c r="D97" s="17"/>
      <c r="E97" s="7" t="str">
        <f>Currency&amp;"/yr"</f>
        <v>GBP/yr</v>
      </c>
      <c r="F97" s="48">
        <f>$F$95+$F$96</f>
        <v>455000</v>
      </c>
      <c r="G97" s="48">
        <f>$G$95+$G$96</f>
        <v>471250</v>
      </c>
      <c r="H97" s="48">
        <f>$H$95+$H$96</f>
        <v>440625</v>
      </c>
      <c r="I97" s="48">
        <f>$I$95+$I$96</f>
        <v>422500</v>
      </c>
      <c r="J97" s="48">
        <f>$J$95+$J$96</f>
        <v>493125</v>
      </c>
    </row>
    <row r="98" spans="2:10">
      <c r="B98" s="27" t="s">
        <v>164</v>
      </c>
      <c r="C98" s="27"/>
      <c r="D98" s="27"/>
      <c r="E98" s="7" t="str">
        <f>Currency&amp;"/unit"</f>
        <v>GBP/unit</v>
      </c>
      <c r="F98" s="38">
        <f>IF($E$62&gt;0,$F$97/$E$62,"")</f>
        <v>18.2</v>
      </c>
      <c r="G98" s="38">
        <f>IF($E$62&gt;0,$G$97/$E$62,"")</f>
        <v>18.85</v>
      </c>
      <c r="H98" s="38">
        <f>IF($E$62&gt;0,$H$97/$E$62,"")</f>
        <v>17.625</v>
      </c>
      <c r="I98" s="38">
        <f>IF($E$62&gt;0,$I$97/$E$62,"")</f>
        <v>16.9</v>
      </c>
      <c r="J98" s="38">
        <f>IF($E$62&gt;0,$J$97/$E$62,"")</f>
        <v>19.725</v>
      </c>
    </row>
    <row r="99" spans="2:10">
      <c r="B99" s="27" t="s">
        <v>165</v>
      </c>
      <c r="C99" s="27"/>
      <c r="D99" s="27"/>
      <c r="E99" s="7" t="str">
        <f>Currency&amp;"/yr"</f>
        <v>GBP/yr</v>
      </c>
      <c r="F99" s="42">
        <f>IF($E$62&gt;0,$E$62*$E$72+$E$73,0)-$F$97</f>
        <v>0</v>
      </c>
      <c r="G99" s="42">
        <f>IF($E$62&gt;0,$E$62*$E$72+$E$73,0)-$G$97</f>
        <v>-16250</v>
      </c>
      <c r="H99" s="42">
        <f>IF($E$62&gt;0,$E$62*$E$72+$E$73,0)-$H$97</f>
        <v>14375</v>
      </c>
      <c r="I99" s="42">
        <f>IF($E$62&gt;0,$E$62*$E$72+$E$73,0)-$I$97</f>
        <v>32500</v>
      </c>
      <c r="J99" s="42">
        <f>IF($E$62&gt;0,$E$62*$E$72+$E$73,0)-$J$97</f>
        <v>-38125</v>
      </c>
    </row>
    <row r="100" spans="2:10">
      <c r="B100" s="27" t="s">
        <v>166</v>
      </c>
      <c r="C100" s="27"/>
      <c r="D100" s="27"/>
      <c r="E100" s="7" t="s">
        <v>155</v>
      </c>
      <c r="F100" s="43">
        <f>$F$93*$E$64</f>
        <v>0</v>
      </c>
      <c r="G100" s="43">
        <f>$G$93*$E$64</f>
        <v>6250</v>
      </c>
      <c r="H100" s="43">
        <f>$H$93*$E$64</f>
        <v>10625</v>
      </c>
      <c r="I100" s="43">
        <f>$I$93*$E$64</f>
        <v>12500</v>
      </c>
      <c r="J100" s="43">
        <f>$J$93*$E$64</f>
        <v>3125</v>
      </c>
    </row>
    <row r="101" spans="2:10">
      <c r="B101" s="27" t="s">
        <v>156</v>
      </c>
      <c r="C101" s="27"/>
      <c r="D101" s="27"/>
      <c r="E101" s="7" t="s">
        <v>157</v>
      </c>
      <c r="F101" s="49">
        <f>IF($E$37&gt;0,$F$100/$E$37,"")</f>
        <v>0</v>
      </c>
      <c r="G101" s="49">
        <f>IF($E$37&gt;0,$G$100/$E$37,"")</f>
        <v>0.3125</v>
      </c>
      <c r="H101" s="49">
        <f>IF($E$37&gt;0,$H$100/$E$37,"")</f>
        <v>0.53125</v>
      </c>
      <c r="I101" s="49">
        <f>IF($E$37&gt;0,$I$100/$E$37,"")</f>
        <v>0.625</v>
      </c>
      <c r="J101" s="49">
        <f>IF($E$37&gt;0,$J$100/$E$37,"")</f>
        <v>0.15625</v>
      </c>
    </row>
    <row r="102" spans="2:10">
      <c r="B102" s="27" t="s">
        <v>158</v>
      </c>
      <c r="C102" s="27"/>
      <c r="D102" s="27"/>
      <c r="E102" s="7"/>
      <c r="F102" s="50" t="str">
        <f>IF($F$101="",IF($F$100&gt;0,"Over capacity",""),IF($F$101&gt;1,"Over capacity",IF($F$101&gt;=$E$38,"Near capacity","Under capacity")))</f>
        <v>Under capacity</v>
      </c>
      <c r="G102" s="50" t="str">
        <f>IF($G$101="",IF($G$100&gt;0,"Over capacity",""),IF($G$101&gt;1,"Over capacity",IF($G$101&gt;=$E$38,"Near capacity","Under capacity")))</f>
        <v>Under capacity</v>
      </c>
      <c r="H102" s="50" t="str">
        <f>IF($H$101="",IF($H$100&gt;0,"Over capacity",""),IF($H$101&gt;1,"Over capacity",IF($H$101&gt;=$E$38,"Near capacity","Under capacity")))</f>
        <v>Under capacity</v>
      </c>
      <c r="I102" s="50" t="str">
        <f>IF($I$101="",IF($I$100&gt;0,"Over capacity",""),IF($I$101&gt;1,"Over capacity",IF($I$101&gt;=$E$38,"Near capacity","Under capacity")))</f>
        <v>Under capacity</v>
      </c>
      <c r="J102" s="50" t="str">
        <f>IF($J$101="",IF($J$100&gt;0,"Over capacity",""),IF($J$101&gt;1,"Over capacity",IF($J$101&gt;=$E$38,"Near capacity","Under capacity")))</f>
        <v>Under capacity</v>
      </c>
    </row>
  </sheetData>
  <sheetProtection sheet="1" formatColumns="0" formatRows="0"/>
  <mergeCells count="78">
    <mergeCell ref="A1:L1"/>
    <mergeCell ref="B2:K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B32:L32"/>
    <mergeCell ref="B34:L34"/>
    <mergeCell ref="B35:F35"/>
    <mergeCell ref="B36:D36"/>
    <mergeCell ref="B37:D37"/>
    <mergeCell ref="B38:D38"/>
    <mergeCell ref="B40:L40"/>
    <mergeCell ref="B51:L51"/>
    <mergeCell ref="B60:L60"/>
    <mergeCell ref="B61:D61"/>
    <mergeCell ref="E61:F61"/>
    <mergeCell ref="B62:D62"/>
    <mergeCell ref="B63:D63"/>
    <mergeCell ref="B64:D64"/>
    <mergeCell ref="B66:L66"/>
    <mergeCell ref="B67:D67"/>
    <mergeCell ref="B68:D68"/>
    <mergeCell ref="B69:D69"/>
    <mergeCell ref="B71:L71"/>
    <mergeCell ref="B72:D72"/>
    <mergeCell ref="B73:D73"/>
    <mergeCell ref="B75:L75"/>
    <mergeCell ref="B76:D76"/>
    <mergeCell ref="B77:D77"/>
    <mergeCell ref="B78:D78"/>
    <mergeCell ref="B79:D79"/>
    <mergeCell ref="B80:D80"/>
    <mergeCell ref="B81:D81"/>
    <mergeCell ref="B82:D82"/>
    <mergeCell ref="B83:D83"/>
    <mergeCell ref="B84:D84"/>
    <mergeCell ref="B85:D85"/>
    <mergeCell ref="B86:D86"/>
    <mergeCell ref="B87:D87"/>
    <mergeCell ref="B88:D88"/>
    <mergeCell ref="E88:F88"/>
    <mergeCell ref="B89:D89"/>
    <mergeCell ref="E89:F89"/>
    <mergeCell ref="B91:L91"/>
    <mergeCell ref="B92:D92"/>
    <mergeCell ref="B93:D93"/>
    <mergeCell ref="B94:D94"/>
    <mergeCell ref="B95:D95"/>
    <mergeCell ref="B96:D96"/>
    <mergeCell ref="B97:D97"/>
    <mergeCell ref="B98:D98"/>
    <mergeCell ref="B99:D99"/>
    <mergeCell ref="B100:D100"/>
    <mergeCell ref="B101:D101"/>
    <mergeCell ref="B102:D102"/>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102:J102">
    <cfRule type="cellIs" dxfId="0" priority="45" operator="equal">
      <formula>"On target"</formula>
    </cfRule>
    <cfRule type="cellIs" dxfId="0" priority="46" operator="equal">
      <formula>"PASS"</formula>
    </cfRule>
    <cfRule type="cellIs" dxfId="0" priority="47" operator="equal">
      <formula>"OK"</formula>
    </cfRule>
    <cfRule type="cellIs" dxfId="0" priority="48" operator="equal">
      <formula>"Within limits"</formula>
    </cfRule>
    <cfRule type="cellIs" dxfId="0" priority="49" operator="equal">
      <formula>"Under capacity"</formula>
    </cfRule>
    <cfRule type="cellIs" dxfId="0" priority="50" operator="equal">
      <formula>"Complete"</formula>
    </cfRule>
    <cfRule type="cellIs" dxfId="0" priority="51" operator="equal">
      <formula>"Yes"</formula>
    </cfRule>
    <cfRule type="cellIs" dxfId="1" priority="52" operator="equal">
      <formula>"Near target"</formula>
    </cfRule>
    <cfRule type="cellIs" dxfId="1" priority="53" operator="equal">
      <formula>"Check"</formula>
    </cfRule>
    <cfRule type="cellIs" dxfId="1" priority="54" operator="equal">
      <formula>"Due soon"</formula>
    </cfRule>
    <cfRule type="cellIs" dxfId="1" priority="55" operator="equal">
      <formula>"Near capacity"</formula>
    </cfRule>
    <cfRule type="cellIs" dxfId="1" priority="56" operator="equal">
      <formula>"In progress"</formula>
    </cfRule>
    <cfRule type="cellIs" dxfId="1" priority="57" operator="equal">
      <formula>"Partial"</formula>
    </cfRule>
    <cfRule type="cellIs" dxfId="2" priority="58" operator="equal">
      <formula>"Below target"</formula>
    </cfRule>
    <cfRule type="cellIs" dxfId="2" priority="59" operator="equal">
      <formula>"Above target"</formula>
    </cfRule>
    <cfRule type="cellIs" dxfId="2" priority="60" operator="equal">
      <formula>"FAIL"</formula>
    </cfRule>
    <cfRule type="cellIs" dxfId="2" priority="61" operator="equal">
      <formula>"Over capacity"</formula>
    </cfRule>
    <cfRule type="cellIs" dxfId="2" priority="62" operator="equal">
      <formula>"Overdue"</formula>
    </cfRule>
    <cfRule type="cellIs" dxfId="2" priority="63" operator="equal">
      <formula>"Out of limits"</formula>
    </cfRule>
    <cfRule type="cellIs" dxfId="2" priority="64" operator="equal">
      <formula>"No"</formula>
    </cfRule>
  </conditionalFormatting>
  <conditionalFormatting sqref="G43:G49">
    <cfRule type="expression" dxfId="3" priority="41">
      <formula>$G43="OK"</formula>
    </cfRule>
    <cfRule type="expression" dxfId="1" priority="42">
      <formula>AND($G43&lt;&gt;"",$G43&lt;&gt;"OK")</formula>
    </cfRule>
  </conditionalFormatting>
  <conditionalFormatting sqref="G54:G58">
    <cfRule type="expression" dxfId="3" priority="43">
      <formula>$G54="OK"</formula>
    </cfRule>
    <cfRule type="expression" dxfId="1" priority="44">
      <formula>AND($G54&lt;&gt;"",$G54&lt;&gt;"OK")</formula>
    </cfRule>
  </conditionalFormatting>
  <conditionalFormatting sqref="K11:K3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L2" r:id="rId1" tooltip="Free manufacturing calculators and templates"/>
  </hyperlinks>
  <printOptions horizontalCentered="1"/>
  <pageMargins left="0.4" right="0.4" top="0.7" bottom="0.65" header="0.3" footer="0.3"/>
  <pageSetup fitToHeight="0" orientation="landscape"/>
  <headerFooter>
    <oddHeader>&amp;L&amp;8MFG Calcs - Make vs Buy Analysis&amp;R&amp;8&amp;A</oddHeader>
    <oddFooter>&amp;L&amp;8mfgcalcs.com - free manufacturing templates&amp;R&amp;8Page &amp;P of &amp;N</oddFooter>
  </headerFooter>
  <rowBreaks count="3" manualBreakCount="3">
    <brk id="27" max="16383" man="1"/>
    <brk id="50" max="16383" man="1"/>
    <brk id="74"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49</vt:i4>
      </vt:variant>
    </vt:vector>
  </HeadingPairs>
  <TitlesOfParts>
    <vt:vector size="55" baseType="lpstr">
      <vt:lpstr>Start Here</vt:lpstr>
      <vt:lpstr>Setup</vt:lpstr>
      <vt:lpstr>Make vs Buy</vt:lpstr>
      <vt:lpstr>Dashboard</vt:lpstr>
      <vt:lpstr>Method</vt:lpstr>
      <vt:lpstr>Verify</vt:lpstr>
      <vt:lpstr>AllBuy</vt:lpstr>
      <vt:lpstr>AllMake</vt:lpstr>
      <vt:lpstr>AvailHours</vt:lpstr>
      <vt:lpstr>Blended</vt:lpstr>
      <vt:lpstr>BoughtUnits</vt:lpstr>
      <vt:lpstr>BreakEven</vt:lpstr>
      <vt:lpstr>BuyFixed</vt:lpstr>
      <vt:lpstr>BuyPrice</vt:lpstr>
      <vt:lpstr>BuyScore</vt:lpstr>
      <vt:lpstr>CoName</vt:lpstr>
      <vt:lpstr>Currency</vt:lpstr>
      <vt:lpstr>Demand</vt:lpstr>
      <vt:lpstr>Horizon</vt:lpstr>
      <vt:lpstr>HoursPerUnit</vt:lpstr>
      <vt:lpstr>KpiAbsorbed</vt:lpstr>
      <vt:lpstr>KpiBreakEven</vt:lpstr>
      <vt:lpstr>KpiBuyScore</vt:lpstr>
      <vt:lpstr>KpiMakeScore</vt:lpstr>
      <vt:lpstr>KpiMakeVar</vt:lpstr>
      <vt:lpstr>KpiSaving</vt:lpstr>
      <vt:lpstr>KpiUtil</vt:lpstr>
      <vt:lpstr>KpiVerdict</vt:lpstr>
      <vt:lpstr>MadeUnits</vt:lpstr>
      <vt:lpstr>MakeAbsorbed</vt:lpstr>
      <vt:lpstr>MakeFixed</vt:lpstr>
      <vt:lpstr>MakeScore</vt:lpstr>
      <vt:lpstr>MakeVar</vt:lpstr>
      <vt:lpstr>NearAt</vt:lpstr>
      <vt:lpstr>PartName</vt:lpstr>
      <vt:lpstr>PlanBuy</vt:lpstr>
      <vt:lpstr>PlanCapacity</vt:lpstr>
      <vt:lpstr>PlanCost</vt:lpstr>
      <vt:lpstr>PlanHours</vt:lpstr>
      <vt:lpstr>PlanMake</vt:lpstr>
      <vt:lpstr>PlanShare</vt:lpstr>
      <vt:lpstr>PlanUtil</vt:lpstr>
      <vt:lpstr>Dashboard!Print_Area</vt:lpstr>
      <vt:lpstr>'Make vs Buy'!Print_Area</vt:lpstr>
      <vt:lpstr>Method!Print_Area</vt:lpstr>
      <vt:lpstr>Setup!Print_Area</vt:lpstr>
      <vt:lpstr>'Start Here'!Print_Area</vt:lpstr>
      <vt:lpstr>Verify!Print_Area</vt:lpstr>
      <vt:lpstr>Method!Print_Titles</vt:lpstr>
      <vt:lpstr>Saving</vt:lpstr>
      <vt:lpstr>SelfCheck</vt:lpstr>
      <vt:lpstr>SelfCheckSummary</vt:lpstr>
      <vt:lpstr>Verdict</vt:lpstr>
      <vt:lpstr>WeightCheck</vt:lpstr>
      <vt:lpstr>WeightSum</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Make vs Buy Analysis - free Excel template from MFG Calcs</dc:title>
  <dc:subject>Compare the avoidable cost of making a part with the delivered cost of buying it, for all-make, all-buy or a split, with break-even and capacity.</dc:subject>
  <dc:creator>MFG Calcs</dc:creator>
  <cp:keywords>make vs buy, make or buy, outsourcing, insourcing, avoidable cost, break-even, relevant cost, sourcing decision</cp:keywords>
  <dc:description>https://www.mfgcalcs.com/templates/make-vs-buy-analysis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make-vs-buy-analysis</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calculator</vt:lpwstr>
  </property>
  <property fmtid="{D5CDD505-2E9C-101B-9397-08002B2CF9AE}" pid="6" name="Template URL">
    <vt:lpwstr>https://www.mfgcalcs.com/templates/make-vs-buy-analysis</vt:lpwstr>
  </property>
  <property fmtid="{D5CDD505-2E9C-101B-9397-08002B2CF9AE}" pid="7" name="Template sheet roles">
    <vt:lpwstr>Start Here=start;Setup=setup;Make vs Buy=form;Dashboard=dashboard;Method=method;Verify=verify</vt:lpwstr>
  </property>
</Properties>
</file>