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RP Lines" sheetId="3" r:id="rId3"/>
    <sheet name="Dashboard" sheetId="4" r:id="rId4"/>
    <sheet name="Method" sheetId="5" r:id="rId5"/>
    <sheet name="Verify" sheetId="6" r:id="rId6"/>
  </sheets>
  <definedNames>
    <definedName name="DashItem">Dashboard!$D$4</definedName>
    <definedName name="Items">tblItems[Item]</definedName>
    <definedName name="KpiDue">Dashboard!$E$8</definedName>
    <definedName name="KpiOrders">Dashboard!$B$8</definedName>
    <definedName name="KpiOverdue">Dashboard!$H$8</definedName>
    <definedName name="KpiOverItems">Dashboard!$L$8</definedName>
    <definedName name="PlanStart">Setup!$D$7</definedName>
    <definedName name="PlantName">Setup!$D$6</definedName>
    <definedName name="_xlnm.Print_Area" localSheetId="3">Dashboard!$A$1:$O$66</definedName>
    <definedName name="_xlnm.Print_Area" localSheetId="4">Method!$A$1:$D$57</definedName>
    <definedName name="_xlnm.Print_Area" localSheetId="2">'MRP Lines'!$A$1:$T$101</definedName>
    <definedName name="_xlnm.Print_Area" localSheetId="1">Setup!$A$1:$J$21</definedName>
    <definedName name="_xlnm.Print_Area" localSheetId="0">'Start Here'!$A$1:$F$55</definedName>
    <definedName name="_xlnm.Print_Area" localSheetId="5">Verify!$A$1:$T$62</definedName>
    <definedName name="_xlnm.Print_Titles" localSheetId="4">Method!$1:$2</definedName>
    <definedName name="_xlnm.Print_Titles" localSheetId="2">'MRP Lines'!$1:$5</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<sst xmlns="http://schemas.openxmlformats.org/spreadsheetml/2006/main" count="599" uniqueCount="239">
  <si>
    <t>MRP Planner</t>
  </si>
  <si>
    <t>Read this first: what the workbook does and how to use it.</t>
  </si>
  <si>
    <t>mfgcalcs.com</t>
  </si>
  <si>
    <t>Net weekly gross requirements against stock, open orders and safety stock, and get planned orders, release weeks and the releases that are already late.</t>
  </si>
  <si>
    <t>For: Production and material planners, buyers and small-plant owners running MRP without an ERP module, or checking one.</t>
  </si>
  <si>
    <t>Version 1.0.0  ·  updated 15 October 2026</t>
  </si>
  <si>
    <t>Quick start</t>
  </si>
  <si>
    <t>1.</t>
  </si>
  <si>
    <t>On Setup, set the plan start (a Monday), then list your items with on hand, safety stock, lead time in weeks and order multiple.</t>
  </si>
  <si>
    <t>2.</t>
  </si>
  <si>
    <t>On MRP Lines, add one row per item per week with the gross requirement and any scheduled receipt already on order.</t>
  </si>
  <si>
    <t>3.</t>
  </si>
  <si>
    <t>Read the Check column, then each row's planned receipt, release week and release status.</t>
  </si>
  <si>
    <t>4.</t>
  </si>
  <si>
    <t>Open the Dashboard: pick an item to see its MRP record, and use the release matrix as the buyer's action list.</t>
  </si>
  <si>
    <t>What is in this workbook</t>
  </si>
  <si>
    <t>Start Here</t>
  </si>
  <si>
    <t>Setup</t>
  </si>
  <si>
    <t>Plan start and the item master: on hand, safety stock, lead time and order multiple for every item.</t>
  </si>
  <si>
    <t>MRP Lines</t>
  </si>
  <si>
    <t>One row per item per week: gross requirement and scheduled receipts in; net requirement, planned orders and releases out.</t>
  </si>
  <si>
    <t>Dashboard</t>
  </si>
  <si>
    <t>The MRP record for the item you pick, planned releases by item and week, and the releases already late.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</si>
  <si>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</si>
  <si>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</si>
  <si>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</si>
  <si>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</si>
  <si>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</si>
  <si>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</si>
  <si>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</si>
  <si>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</si>
  <si>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</si>
  <si>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</si>
  <si>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</si>
  <si>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</si>
  <si>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</si>
  <si>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</si>
  <si>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</si>
  <si>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</si>
  <si>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</si>
  <si>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</si>
  <si>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</si>
  <si>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</si>
  <si>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MRP Material Requirements Calculator on mfgcalcs.com</t>
  </si>
  <si>
    <t>Latest version</t>
  </si>
  <si>
    <t>mfgcalcs.com/templates/mrp-planner</t>
  </si>
  <si>
    <t>More free templates</t>
  </si>
  <si>
    <t>mfgcalcs.com/templates</t>
  </si>
  <si>
    <t>Version</t>
  </si>
  <si>
    <t>1.0.0 (updated 15 October 2026)</t>
  </si>
  <si>
    <t>About the example data</t>
  </si>
  <si>
    <t>Every number already in this workbook is example data for Tamsin Air Systems, a fictional business invented for this template, so the dashboard and charts show something meaningful on day one. It plans eight fan components for 12 weeks from 2 November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</si>
  <si>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</si>
  <si>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</si>
  <si>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</si>
  <si>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</si>
  <si>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</si>
  <si>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</si>
  <si>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</si>
  <si>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</si>
  <si>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Item</t>
  </si>
  <si>
    <t>Description</t>
  </si>
  <si>
    <t>Unit</t>
  </si>
  <si>
    <t>Source</t>
  </si>
  <si>
    <t>On hand (units)</t>
  </si>
  <si>
    <t>Safety stock (units)</t>
  </si>
  <si>
    <t>Lead time (wk)</t>
  </si>
  <si>
    <t>Order multiple (units)</t>
  </si>
  <si>
    <t>Plan</t>
  </si>
  <si>
    <t>Company or plant</t>
  </si>
  <si>
    <t>Tamsin Air Systems (example)</t>
  </si>
  <si>
    <t>Plan starts (week 1, a Monday)</t>
  </si>
  <si>
    <t>Item master</t>
  </si>
  <si>
    <t>On hand is usable stock at the start of week 1. Safety stock is the balance MRP keeps in reserve. Lead time is whole weeks from release to receipt. Order multiple rounds every planned order up: 1 = lot-for-lot, 2000 = full coils.</t>
  </si>
  <si>
    <t>Items (example)</t>
  </si>
  <si>
    <t>MTR-075</t>
  </si>
  <si>
    <t>Motor 0.75 kW</t>
  </si>
  <si>
    <t>pcs</t>
  </si>
  <si>
    <t>Buy</t>
  </si>
  <si>
    <t>PCB-C2</t>
  </si>
  <si>
    <t>Controller board</t>
  </si>
  <si>
    <t>HSG-300</t>
  </si>
  <si>
    <t>Fan housing, welded</t>
  </si>
  <si>
    <t>Make</t>
  </si>
  <si>
    <t>BLD-5</t>
  </si>
  <si>
    <t>Blade set (5 blades)</t>
  </si>
  <si>
    <t>sets</t>
  </si>
  <si>
    <t>STL-12</t>
  </si>
  <si>
    <t>Steel sheet 1.2 mm</t>
  </si>
  <si>
    <t>kg</t>
  </si>
  <si>
    <t>FKT-12</t>
  </si>
  <si>
    <t>Fastener kit</t>
  </si>
  <si>
    <t>kits</t>
  </si>
  <si>
    <t>CAP-10</t>
  </si>
  <si>
    <t>Run capacitor 10 uF</t>
  </si>
  <si>
    <t>CTN-60</t>
  </si>
  <si>
    <t>Carton 600 mm</t>
  </si>
  <si>
    <t>Week</t>
  </si>
  <si>
    <t>Gross req. (units)</t>
  </si>
  <si>
    <t>Sched. receipts (units)</t>
  </si>
  <si>
    <t>Wk no.</t>
  </si>
  <si>
    <t>Uncovered (units)</t>
  </si>
  <si>
    <t>Cum. planned (units)</t>
  </si>
  <si>
    <t>Planned receipt (units)</t>
  </si>
  <si>
    <t>Net req. (units)</t>
  </si>
  <si>
    <t>Proj. on hand (units)</t>
  </si>
  <si>
    <t>Release week</t>
  </si>
  <si>
    <t>Planned release (units)</t>
  </si>
  <si>
    <t>Release status</t>
  </si>
  <si>
    <t>Check</t>
  </si>
  <si>
    <t>Notes</t>
  </si>
  <si>
    <t>Example data for Tamsin Air Systems (fictional): eight items x 12 weeks. Give every item a row for every week, even with 0 gross requirement. To clear: select the example rows, right-click, Delete &gt; Table Rows.</t>
  </si>
  <si>
    <t/>
  </si>
  <si>
    <t>Open PO</t>
  </si>
  <si>
    <t>Open work order</t>
  </si>
  <si>
    <t>Item for the MRP record</t>
  </si>
  <si>
    <t>PLANNED ORDERS IN THE PLAN</t>
  </si>
  <si>
    <t>RELEASES DUE THIS WEEK</t>
  </si>
  <si>
    <t>RELEASES ALREADY OVERDUE</t>
  </si>
  <si>
    <t>ITEMS WITH AN OVERDUE RELEASE</t>
  </si>
  <si>
    <t>Planned receipts over 12 weeks</t>
  </si>
  <si>
    <t>Release date in week 1</t>
  </si>
  <si>
    <t>Expedite or reschedule demand</t>
  </si>
  <si>
    <t>MRP record for the item picked above</t>
  </si>
  <si>
    <t>Week starting</t>
  </si>
  <si>
    <t>Gross requirement</t>
  </si>
  <si>
    <t>Scheduled receipts</t>
  </si>
  <si>
    <t>Projected on hand</t>
  </si>
  <si>
    <t>Net requirement</t>
  </si>
  <si>
    <t>Planned receipt</t>
  </si>
  <si>
    <t>Planned release</t>
  </si>
  <si>
    <t>Safety stock</t>
  </si>
  <si>
    <t>Items over the plan (Action: Overdue = a release date has passed; Due soon = release this week)</t>
  </si>
  <si>
    <t>Gross req. (plan)</t>
  </si>
  <si>
    <t>Planned orders</t>
  </si>
  <si>
    <t>Planned qty</t>
  </si>
  <si>
    <t>First release</t>
  </si>
  <si>
    <t>Due this week</t>
  </si>
  <si>
    <t>Overdue releases</t>
  </si>
  <si>
    <t>Overdue qty</t>
  </si>
  <si>
    <t>Action</t>
  </si>
  <si>
    <t>Planned order releases by item and week (the buyer's action list; overdue releases are not in a week, see the table above)</t>
  </si>
  <si>
    <t>Release (units)</t>
  </si>
  <si>
    <t>Total</t>
  </si>
  <si>
    <t>Chart data: number of planned orders released each week</t>
  </si>
  <si>
    <t>Orders released</t>
  </si>
  <si>
    <t>Orders to release</t>
  </si>
  <si>
    <t>The Dashboard covers 8 items and 12 weeks. If you add items on Setup, extend the item blocks (see Method); a warning appears here when the Setup list is longer than the Dashboard.</t>
  </si>
  <si>
    <t>What this workbook calculates</t>
  </si>
  <si>
    <t>Material requirements planning nets what each item will consume (gross requirements) against what is in stock and already on order (scheduled receipts), keeps the safety stock in reserve, and plans new orders to arrive in the week they are needed, released one lead time earlier. This workbook does it for one level of items whose gross requirements you supply (from your master schedule x bill of materials, plus service demand). Every quantity is in the item's own unit from Setup.</t>
  </si>
  <si>
    <t>Calculations</t>
  </si>
  <si>
    <t>Quantity</t>
  </si>
  <si>
    <t>How it is calculated</t>
  </si>
  <si>
    <t>Units</t>
  </si>
  <si>
    <t>Uncovered</t>
  </si>
  <si>
    <t>Safety stock + gross requirements to date - on hand - scheduled receipts to date (SUMIFS by item up to this week). What new orders must cover by the end of the week.</t>
  </si>
  <si>
    <t>units</t>
  </si>
  <si>
    <t>Cumulative planned receipts</t>
  </si>
  <si>
    <t>Order multiple x CEILING(largest uncovered amount up to this week / order multiple). Equals the week-by-week MRP total for lot-for-lot and order-multiple rules.</t>
  </si>
  <si>
    <t>Cumulative planned receipts to this week - those to the week before.</t>
  </si>
  <si>
    <t>MAX(0, uncovered - planned receipts before this week) = MAX(0, safety stock - (last week's projected on hand + receipts - gross)).</t>
  </si>
  <si>
    <t>On hand + receipts to date + planned receipts to date - gross to date (= safety stock - uncovered + cumulative planned). Never below safety stock once orders are placed.</t>
  </si>
  <si>
    <t>Week of a planned receipt - 7 x lead time (days). Overdue when before the plan start; Due soon in week 1.</t>
  </si>
  <si>
    <t>date</t>
  </si>
  <si>
    <t>Planned receipts due lead-time weeks after this week (SUMIFS).</t>
  </si>
  <si>
    <t>MRP record</t>
  </si>
  <si>
    <t>For the item picked on the Dashboard: SUMIFS of the MRP Lines by item and week.</t>
  </si>
  <si>
    <t>Item summary</t>
  </si>
  <si>
    <t>Per item: planned orders (count of weeks with a planned receipt), planned quantity, first release date, releases due this week and overdue (count and quantity).</t>
  </si>
  <si>
    <t>-</t>
  </si>
  <si>
    <t>Assumptions</t>
  </si>
  <si>
    <t>Gross requirements are already time-phased: a parent's planned releases x quantity per, in the week the component is consumed.</t>
  </si>
  <si>
    <t>Lead times are whole weeks; receipts arrive at the start of their week and are usable that week.</t>
  </si>
  <si>
    <t>Lot sizing is lot-for-lot (order multiple 1) or a multiple of a fixed quantity; minimum order quantities above the multiple are not modelled.</t>
  </si>
  <si>
    <t>On hand excludes stock that is allocated, on hold or rejected.</t>
  </si>
  <si>
    <t>Limitations</t>
  </si>
  <si>
    <t>One level only: planned releases of a made item are not exploded into its components automatically. Add them to those components' gross requirements.</t>
  </si>
  <si>
    <t>Overdue releases cannot be placed in a week; the projected on hand assumes they arrive on time, so an overdue release means a likely shortage. Expedite or move demand.</t>
  </si>
  <si>
    <t>No capacity check: planned orders for made items may exceed what the shop can do in that week (see the capacity planning template).</t>
  </si>
  <si>
    <t>The Dashboard has fixed blocks for 8 items and 12 weeks; longer lists need the blocks extended (a warning appears).</t>
  </si>
  <si>
    <t>Agreement with the live calculator</t>
  </si>
  <si>
    <t>The live MRP Material Requirements calculator nets one requirement: net new supply = MAX(0, gross + required ending safety stock - (on hand + receipts due + other approved supply)), with the balance before new supply and the share of gross demand covered. For one week, this workbook's net requirement is the same formula (other approved supply goes in as a scheduled receipt) and its projected balance before new orders is the calculator's balance. The workbook adds the weeks, lot sizing, lead-time offset and release status. The build checks the reference against the calculator's engine for its default example (1,250 gross, 420 on hand, 300 + 80 receipts, 100 safety stock: 550 units).</t>
  </si>
  <si>
    <t>Open the MRP Material Requirements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</si>
  <si>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</si>
  <si>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</si>
  <si>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Orlicky, J., Material Requirements Planning, McGraw-Hill, 1975 (the time-phased MRP record).</t>
  </si>
  <si>
    <t>Vollmann, Berry, Whybark and Jacobs, Manufacturing Planning and Control for Supply Chain Management (MRP chapter: netting, lot sizing, lead-time offset).</t>
  </si>
  <si>
    <t>ASCM/APICS Dictionary: gross requirement, scheduled receipt, projected available balance, planned order release, by definition.</t>
  </si>
  <si>
    <t>MFG Calcs MRP Material Requirements calculator (mrp-material-requirements): net requirement for one period.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</si>
  <si>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</si>
  <si>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</si>
  <si>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</si>
  <si>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</si>
  <si>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</si>
  <si>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</si>
  <si>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</si>
  <si>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</si>
  <si>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</si>
  <si>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</si>
  <si>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</si>
  <si>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</si>
  <si>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</si>
  <si>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</si>
  <si>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</si>
  <si>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</si>
  <si>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T-CALC week 1: net requirement (calculator example)</t>
  </si>
  <si>
    <t>T-CALC week 1: planned receipt, lot-for-lot</t>
  </si>
  <si>
    <t>T-CALC week 1: release status (lead time 0)</t>
  </si>
  <si>
    <t>Due soon</t>
  </si>
  <si>
    <t>exact</t>
  </si>
  <si>
    <t>T-LOT week 1: planned receipt (multiple 250)</t>
  </si>
  <si>
    <t>T-LOT week 2: planned receipt (multiple 250)</t>
  </si>
  <si>
    <t>T-LOT week 3: planned receipt (multiple 250)</t>
  </si>
  <si>
    <t>T-LOT week 4: planned receipt (multiple 250)</t>
  </si>
  <si>
    <t>T-LOT week 5: planned receipt (multiple 250)</t>
  </si>
  <si>
    <t>T-LOT week 6: planned receipt (multiple 250)</t>
  </si>
  <si>
    <t>T-LOT week 2: projected on hand</t>
  </si>
  <si>
    <t>T-LOT week 2: net requirement</t>
  </si>
  <si>
    <t>T-LOT week 4: projected on hand</t>
  </si>
  <si>
    <t>T-LOT week 4: net requirement</t>
  </si>
  <si>
    <t>T-LOT week 6: projected on hand</t>
  </si>
  <si>
    <t>T-LOT week 6: net requirement</t>
  </si>
  <si>
    <t>T-LOT week 4: release status (2-week lead time)</t>
  </si>
  <si>
    <t>OK</t>
  </si>
  <si>
    <t>T-LOT week 2: planned release</t>
  </si>
  <si>
    <t>Row 8: Check reports a date that is not a plan Monday</t>
  </si>
  <si>
    <t>Not a plan Monday</t>
  </si>
  <si>
    <t>MRP record: T-LOT week 4 projected on hand</t>
  </si>
  <si>
    <t>Fixed test inputs</t>
  </si>
  <si>
    <t>White cells are fixed test inputs; blue cells are the workbook's formulas evaluated on them.</t>
  </si>
  <si>
    <t>Parameters</t>
  </si>
  <si>
    <t>Plan start</t>
  </si>
  <si>
    <t>T-LOT</t>
  </si>
  <si>
    <t>Test item master</t>
  </si>
  <si>
    <t>T-CALC</t>
  </si>
  <si>
    <t>Calculator example</t>
  </si>
  <si>
    <t>Order multiple 250, lead time 2</t>
  </si>
  <si>
    <t>Test MRP lines (row 8 is dated a Thursday)</t>
  </si>
  <si>
    <t>Test MRP record (T-LOT)</t>
  </si>
</sst>
</file>

<file path=xl/styles.xml><?xml version="1.0" encoding="utf-8"?>
<styleSheet xmlns="http://schemas.openxmlformats.org/spreadsheetml/2006/main">
  <numFmts count="5">
    <numFmt numFmtId="164" formatCode="d mmm yyyy"/>
    <numFmt numFmtId="165" formatCode="#,##0"/>
    <numFmt numFmtId="166" formatCode="&quot;Limit &quot;#,##0"/>
    <numFmt numFmtId="167" formatCode="d mmm"/>
    <numFmt numFmtId="168"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6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horizontal="lef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165" fontId="10" fillId="3" borderId="2" xfId="0" applyNumberFormat="1" applyFont="1" applyFill="1" applyBorder="1" applyAlignment="1" applyProtection="1">
      <alignment vertical="center"/>
      <protection locked="0"/>
    </xf>
    <xf numFmtId="0" fontId="19" fillId="7" borderId="2" xfId="0" applyFont="1" applyFill="1" applyBorder="1" applyAlignment="1">
      <alignment vertical="center" wrapText="1"/>
    </xf>
    <xf numFmtId="164"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66"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7" fontId="9" fillId="0" borderId="9" xfId="0" applyNumberFormat="1" applyFont="1" applyBorder="1" applyAlignment="1">
      <alignment horizontal="center" vertical="center"/>
    </xf>
    <xf numFmtId="165" fontId="9" fillId="4" borderId="3" xfId="0" applyNumberFormat="1" applyFont="1" applyFill="1" applyBorder="1" applyAlignment="1">
      <alignment vertical="center"/>
    </xf>
    <xf numFmtId="165" fontId="10" fillId="0" borderId="9" xfId="0" applyNumberFormat="1" applyFont="1" applyBorder="1" applyAlignment="1">
      <alignment vertical="center"/>
    </xf>
    <xf numFmtId="0" fontId="9" fillId="0" borderId="9" xfId="0" applyFont="1" applyBorder="1" applyAlignment="1">
      <alignment vertical="center"/>
    </xf>
    <xf numFmtId="167" fontId="10" fillId="4" borderId="3" xfId="0" applyNumberFormat="1" applyFont="1" applyFill="1" applyBorder="1" applyAlignment="1">
      <alignment vertical="center"/>
    </xf>
    <xf numFmtId="167" fontId="18" fillId="2" borderId="5" xfId="0" applyNumberFormat="1" applyFont="1" applyFill="1" applyBorder="1" applyAlignment="1">
      <alignment horizontal="center" vertical="center" wrapText="1"/>
    </xf>
    <xf numFmtId="165" fontId="10" fillId="4" borderId="3" xfId="0" applyNumberFormat="1" applyFont="1" applyFill="1" applyBorder="1" applyAlignment="1">
      <alignment horizontal="center"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68" fontId="10" fillId="4" borderId="3" xfId="0" applyNumberFormat="1" applyFont="1" applyFill="1" applyBorder="1" applyAlignment="1">
      <alignment vertical="center"/>
    </xf>
    <xf numFmtId="168" fontId="10" fillId="0" borderId="9" xfId="0" applyNumberFormat="1" applyFont="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MRP record for the picked item</a:t>
            </a:r>
          </a:p>
        </c:rich>
      </c:tx>
      <c:layout/>
    </c:title>
    <c:plotArea>
      <c:layout/>
      <c:barChart>
        <c:barDir val="col"/>
        <c:grouping val="clustered"/>
        <c:ser>
          <c:idx val="0"/>
          <c:order val="0"/>
          <c:tx>
            <c:v>Gross requirement</c:v>
          </c:tx>
          <c:spPr>
            <a:solidFill>
              <a:srgbClr val="3B64D8"/>
            </a:solidFill>
            <a:ln w="9525">
              <a:solidFill>
                <a:srgbClr val="FFFFFF"/>
              </a:solidFill>
            </a:ln>
          </c:spPr>
          <c:cat>
            <c:numRef>
              <c:f>Dashboard!$C$30:$N$30</c:f>
              <c:numCache>
                <c:formatCode>General</c:formatCode>
                <c:ptCount val="12"/>
                <c:pt idx="0">
                  <c:v>46328</c:v>
                </c:pt>
                <c:pt idx="1">
                  <c:v>46335</c:v>
                </c:pt>
                <c:pt idx="2">
                  <c:v>46342</c:v>
                </c:pt>
                <c:pt idx="3">
                  <c:v>46349</c:v>
                </c:pt>
                <c:pt idx="4">
                  <c:v>46356</c:v>
                </c:pt>
                <c:pt idx="5">
                  <c:v>46363</c:v>
                </c:pt>
                <c:pt idx="6">
                  <c:v>46370</c:v>
                </c:pt>
                <c:pt idx="7">
                  <c:v>46377</c:v>
                </c:pt>
                <c:pt idx="8">
                  <c:v>46384</c:v>
                </c:pt>
                <c:pt idx="9">
                  <c:v>46391</c:v>
                </c:pt>
                <c:pt idx="10">
                  <c:v>46398</c:v>
                </c:pt>
                <c:pt idx="11">
                  <c:v>46405</c:v>
                </c:pt>
              </c:numCache>
            </c:numRef>
          </c:cat>
          <c:val>
            <c:numRef>
              <c:f>Dashboard!$C$31:$N$31</c:f>
              <c:numCache>
                <c:formatCode>General</c:formatCode>
                <c:ptCount val="12"/>
                <c:pt idx="0">
                  <c:v>305</c:v>
                </c:pt>
                <c:pt idx="1">
                  <c:v>340</c:v>
                </c:pt>
                <c:pt idx="2">
                  <c:v>305</c:v>
                </c:pt>
                <c:pt idx="3">
                  <c:v>360</c:v>
                </c:pt>
                <c:pt idx="4">
                  <c:v>375</c:v>
                </c:pt>
                <c:pt idx="5">
                  <c:v>400</c:v>
                </c:pt>
                <c:pt idx="6">
                  <c:v>415</c:v>
                </c:pt>
                <c:pt idx="7">
                  <c:v>420</c:v>
                </c:pt>
                <c:pt idx="8">
                  <c:v>390</c:v>
                </c:pt>
                <c:pt idx="9">
                  <c:v>365</c:v>
                </c:pt>
                <c:pt idx="10">
                  <c:v>360</c:v>
                </c:pt>
                <c:pt idx="11">
                  <c:v>340</c:v>
                </c:pt>
              </c:numCache>
            </c:numRef>
          </c:val>
        </c:ser>
        <c:ser>
          <c:idx val="1"/>
          <c:order val="1"/>
          <c:tx>
            <c:v>Planned receipt</c:v>
          </c:tx>
          <c:spPr>
            <a:solidFill>
              <a:srgbClr val="E8702A"/>
            </a:solidFill>
            <a:ln w="9525">
              <a:solidFill>
                <a:srgbClr val="FFFFFF"/>
              </a:solidFill>
            </a:ln>
          </c:spPr>
          <c:cat>
            <c:numRef>
              <c:f>Dashboard!$C$30:$N$30</c:f>
              <c:numCache>
                <c:formatCode>General</c:formatCode>
                <c:ptCount val="12"/>
                <c:pt idx="0">
                  <c:v>46328</c:v>
                </c:pt>
                <c:pt idx="1">
                  <c:v>46335</c:v>
                </c:pt>
                <c:pt idx="2">
                  <c:v>46342</c:v>
                </c:pt>
                <c:pt idx="3">
                  <c:v>46349</c:v>
                </c:pt>
                <c:pt idx="4">
                  <c:v>46356</c:v>
                </c:pt>
                <c:pt idx="5">
                  <c:v>46363</c:v>
                </c:pt>
                <c:pt idx="6">
                  <c:v>46370</c:v>
                </c:pt>
                <c:pt idx="7">
                  <c:v>46377</c:v>
                </c:pt>
                <c:pt idx="8">
                  <c:v>46384</c:v>
                </c:pt>
                <c:pt idx="9">
                  <c:v>46391</c:v>
                </c:pt>
                <c:pt idx="10">
                  <c:v>46398</c:v>
                </c:pt>
                <c:pt idx="11">
                  <c:v>46405</c:v>
                </c:pt>
              </c:numCache>
            </c:numRef>
          </c:cat>
          <c:val>
            <c:numRef>
              <c:f>Dashboard!$C$35:$N$35</c:f>
              <c:numCache>
                <c:formatCode>General</c:formatCode>
                <c:ptCount val="12"/>
                <c:pt idx="0">
                  <c:v>0</c:v>
                </c:pt>
                <c:pt idx="1">
                  <c:v>0</c:v>
                </c:pt>
                <c:pt idx="2">
                  <c:v>0</c:v>
                </c:pt>
                <c:pt idx="3">
                  <c:v>300</c:v>
                </c:pt>
                <c:pt idx="4">
                  <c:v>400</c:v>
                </c:pt>
                <c:pt idx="5">
                  <c:v>400</c:v>
                </c:pt>
                <c:pt idx="6">
                  <c:v>400</c:v>
                </c:pt>
                <c:pt idx="7">
                  <c:v>400</c:v>
                </c:pt>
                <c:pt idx="8">
                  <c:v>400</c:v>
                </c:pt>
                <c:pt idx="9">
                  <c:v>400</c:v>
                </c:pt>
                <c:pt idx="10">
                  <c:v>300</c:v>
                </c:pt>
                <c:pt idx="11">
                  <c:v>400</c:v>
                </c:pt>
              </c:numCache>
            </c:numRef>
          </c:val>
        </c:ser>
        <c:gapWidth val="60"/>
        <c:overlap val="-10"/>
        <c:axId val="50010001"/>
        <c:axId val="50010002"/>
      </c:barChart>
      <c:lineChart>
        <c:grouping val="standard"/>
        <c:ser>
          <c:idx val="2"/>
          <c:order val="2"/>
          <c:tx>
            <c:v>Projected on hand</c:v>
          </c:tx>
          <c:spPr>
            <a:ln w="28575">
              <a:solidFill>
                <a:srgbClr val="1BA37A"/>
              </a:solidFill>
            </a:ln>
          </c:spPr>
          <c:marker>
            <c:symbol val="circle"/>
            <c:size val="5"/>
            <c:spPr>
              <a:solidFill>
                <a:srgbClr val="1BA37A"/>
              </a:solidFill>
              <a:ln>
                <a:solidFill>
                  <a:srgbClr val="1BA37A"/>
                </a:solidFill>
              </a:ln>
            </c:spPr>
          </c:marker>
          <c:cat>
            <c:numRef>
              <c:f>Dashboard!$C$30:$N$30</c:f>
              <c:numCache>
                <c:formatCode>General</c:formatCode>
                <c:ptCount val="12"/>
                <c:pt idx="0">
                  <c:v>46328</c:v>
                </c:pt>
                <c:pt idx="1">
                  <c:v>46335</c:v>
                </c:pt>
                <c:pt idx="2">
                  <c:v>46342</c:v>
                </c:pt>
                <c:pt idx="3">
                  <c:v>46349</c:v>
                </c:pt>
                <c:pt idx="4">
                  <c:v>46356</c:v>
                </c:pt>
                <c:pt idx="5">
                  <c:v>46363</c:v>
                </c:pt>
                <c:pt idx="6">
                  <c:v>46370</c:v>
                </c:pt>
                <c:pt idx="7">
                  <c:v>46377</c:v>
                </c:pt>
                <c:pt idx="8">
                  <c:v>46384</c:v>
                </c:pt>
                <c:pt idx="9">
                  <c:v>46391</c:v>
                </c:pt>
                <c:pt idx="10">
                  <c:v>46398</c:v>
                </c:pt>
                <c:pt idx="11">
                  <c:v>46405</c:v>
                </c:pt>
              </c:numCache>
            </c:numRef>
          </c:cat>
          <c:val>
            <c:numRef>
              <c:f>Dashboard!$C$33:$N$33</c:f>
              <c:numCache>
                <c:formatCode>General</c:formatCode>
                <c:ptCount val="12"/>
                <c:pt idx="0">
                  <c:v>395</c:v>
                </c:pt>
                <c:pt idx="1">
                  <c:v>555</c:v>
                </c:pt>
                <c:pt idx="2">
                  <c:v>250</c:v>
                </c:pt>
                <c:pt idx="3">
                  <c:v>190</c:v>
                </c:pt>
                <c:pt idx="4">
                  <c:v>215</c:v>
                </c:pt>
                <c:pt idx="5">
                  <c:v>215</c:v>
                </c:pt>
                <c:pt idx="6">
                  <c:v>200</c:v>
                </c:pt>
                <c:pt idx="7">
                  <c:v>180</c:v>
                </c:pt>
                <c:pt idx="8">
                  <c:v>190</c:v>
                </c:pt>
                <c:pt idx="9">
                  <c:v>225</c:v>
                </c:pt>
                <c:pt idx="10">
                  <c:v>165</c:v>
                </c:pt>
                <c:pt idx="11">
                  <c:v>225</c:v>
                </c:pt>
              </c:numCache>
            </c:numRef>
          </c:val>
        </c:ser>
        <c:ser>
          <c:idx val="3"/>
          <c:order val="3"/>
          <c:tx>
            <c:v>Safety stock</c:v>
          </c:tx>
          <c:spPr>
            <a:ln w="19050">
              <a:solidFill>
                <a:srgbClr val="4A5361"/>
              </a:solidFill>
              <a:prstDash val="dash"/>
            </a:ln>
          </c:spPr>
          <c:marker>
            <c:symbol val="none"/>
          </c:marker>
          <c:cat>
            <c:numRef>
              <c:f>Dashboard!$C$30:$N$30</c:f>
              <c:numCache>
                <c:formatCode>General</c:formatCode>
                <c:ptCount val="12"/>
                <c:pt idx="0">
                  <c:v>46328</c:v>
                </c:pt>
                <c:pt idx="1">
                  <c:v>46335</c:v>
                </c:pt>
                <c:pt idx="2">
                  <c:v>46342</c:v>
                </c:pt>
                <c:pt idx="3">
                  <c:v>46349</c:v>
                </c:pt>
                <c:pt idx="4">
                  <c:v>46356</c:v>
                </c:pt>
                <c:pt idx="5">
                  <c:v>46363</c:v>
                </c:pt>
                <c:pt idx="6">
                  <c:v>46370</c:v>
                </c:pt>
                <c:pt idx="7">
                  <c:v>46377</c:v>
                </c:pt>
                <c:pt idx="8">
                  <c:v>46384</c:v>
                </c:pt>
                <c:pt idx="9">
                  <c:v>46391</c:v>
                </c:pt>
                <c:pt idx="10">
                  <c:v>46398</c:v>
                </c:pt>
                <c:pt idx="11">
                  <c:v>46405</c:v>
                </c:pt>
              </c:numCache>
            </c:numRef>
          </c:cat>
          <c:val>
            <c:numRef>
              <c:f>Dashboard!$C$37:$N$37</c:f>
              <c:numCache>
                <c:formatCode>General</c:formatCode>
                <c:ptCount val="12"/>
                <c:pt idx="0">
                  <c:v>150</c:v>
                </c:pt>
                <c:pt idx="1">
                  <c:v>150</c:v>
                </c:pt>
                <c:pt idx="2">
                  <c:v>150</c:v>
                </c:pt>
                <c:pt idx="3">
                  <c:v>150</c:v>
                </c:pt>
                <c:pt idx="4">
                  <c:v>150</c:v>
                </c:pt>
                <c:pt idx="5">
                  <c:v>150</c:v>
                </c:pt>
                <c:pt idx="6">
                  <c:v>150</c:v>
                </c:pt>
                <c:pt idx="7">
                  <c:v>150</c:v>
                </c:pt>
                <c:pt idx="8">
                  <c:v>150</c:v>
                </c:pt>
                <c:pt idx="9">
                  <c:v>150</c:v>
                </c:pt>
                <c:pt idx="10">
                  <c:v>150</c:v>
                </c:pt>
                <c:pt idx="11">
                  <c:v>150</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Planned releases by week, all items (orders)</a:t>
            </a:r>
          </a:p>
        </c:rich>
      </c:tx>
      <c:layout/>
    </c:title>
    <c:plotArea>
      <c:layout/>
      <c:barChart>
        <c:barDir val="col"/>
        <c:grouping val="clustered"/>
        <c:ser>
          <c:idx val="0"/>
          <c:order val="0"/>
          <c:tx>
            <c:v>Planned orders</c:v>
          </c:tx>
          <c:spPr>
            <a:solidFill>
              <a:srgbClr val="3B64D8"/>
            </a:solidFill>
            <a:ln w="9525">
              <a:solidFill>
                <a:srgbClr val="FFFFFF"/>
              </a:solidFill>
            </a:ln>
          </c:spPr>
          <c:cat>
            <c:numRef>
              <c:f>Dashboard!$C$51:$N$51</c:f>
              <c:numCache>
                <c:formatCode>General</c:formatCode>
                <c:ptCount val="12"/>
                <c:pt idx="0">
                  <c:v>46328</c:v>
                </c:pt>
                <c:pt idx="1">
                  <c:v>46335</c:v>
                </c:pt>
                <c:pt idx="2">
                  <c:v>46342</c:v>
                </c:pt>
                <c:pt idx="3">
                  <c:v>46349</c:v>
                </c:pt>
                <c:pt idx="4">
                  <c:v>46356</c:v>
                </c:pt>
                <c:pt idx="5">
                  <c:v>46363</c:v>
                </c:pt>
                <c:pt idx="6">
                  <c:v>46370</c:v>
                </c:pt>
                <c:pt idx="7">
                  <c:v>46377</c:v>
                </c:pt>
                <c:pt idx="8">
                  <c:v>46384</c:v>
                </c:pt>
                <c:pt idx="9">
                  <c:v>46391</c:v>
                </c:pt>
                <c:pt idx="10">
                  <c:v>46398</c:v>
                </c:pt>
                <c:pt idx="11">
                  <c:v>46405</c:v>
                </c:pt>
              </c:numCache>
            </c:numRef>
          </c:cat>
          <c:val>
            <c:numRef>
              <c:f>Dashboard!$C$63:$N$63</c:f>
              <c:numCache>
                <c:formatCode>General</c:formatCode>
                <c:ptCount val="12"/>
                <c:pt idx="0">
                  <c:v>4</c:v>
                </c:pt>
                <c:pt idx="1">
                  <c:v>6</c:v>
                </c:pt>
                <c:pt idx="2">
                  <c:v>7</c:v>
                </c:pt>
                <c:pt idx="3">
                  <c:v>6</c:v>
                </c:pt>
                <c:pt idx="4">
                  <c:v>7</c:v>
                </c:pt>
                <c:pt idx="5">
                  <c:v>6</c:v>
                </c:pt>
                <c:pt idx="6">
                  <c:v>6</c:v>
                </c:pt>
                <c:pt idx="7">
                  <c:v>5</c:v>
                </c:pt>
                <c:pt idx="8">
                  <c:v>4</c:v>
                </c:pt>
                <c:pt idx="9">
                  <c:v>4</c:v>
                </c:pt>
                <c:pt idx="10">
                  <c:v>3</c:v>
                </c:pt>
                <c:pt idx="11">
                  <c:v>0</c:v>
                </c:pt>
              </c:numCache>
            </c:numRef>
          </c:val>
        </c:ser>
        <c:gapWidth val="60"/>
        <c:overlap val="-10"/>
        <c:axId val="50020001"/>
        <c:axId val="50020002"/>
      </c:barChart>
      <c:catAx>
        <c:axId val="5002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7</xdr:col>
      <xdr:colOff>581025</xdr:colOff>
      <xdr:row>26</xdr:row>
      <xdr:rowOff>152400</xdr:rowOff>
    </xdr:to>
    <xdr:graphicFrame macro="">
      <xdr:nvGraphicFramePr>
        <xdr:cNvPr id="2" name="Chart 1" descr="Column chart of the picked item's weekly gross requirement and planned receipts, with projected on hand as a line and safety stock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12</xdr:row>
      <xdr:rowOff>38100</xdr:rowOff>
    </xdr:from>
    <xdr:to>
      <xdr:col>14</xdr:col>
      <xdr:colOff>581025</xdr:colOff>
      <xdr:row>26</xdr:row>
      <xdr:rowOff>152400</xdr:rowOff>
    </xdr:to>
    <xdr:graphicFrame macro="">
      <xdr:nvGraphicFramePr>
        <xdr:cNvPr id="3" name="Chart 2" descr="Column chart of how many planned orders must be released each week across all items, showing the buyer's workloa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Items" displayName="tblItems" ref="B13:I21" totalsRowShown="0">
  <autoFilter ref="B13:I21"/>
  <tableColumns count="8">
    <tableColumn id="1" name="Item"/>
    <tableColumn id="2" name="Description"/>
    <tableColumn id="3" name="Unit"/>
    <tableColumn id="4" name="Source"/>
    <tableColumn id="5" name="On hand (units)"/>
    <tableColumn id="6" name="Safety stock (units)"/>
    <tableColumn id="7" name="Lead time (wk)"/>
    <tableColumn id="8" name="Order multiple (units)"/>
  </tableColumns>
  <tableStyleInfo name="TableStyleLight1" showFirstColumn="0" showLastColumn="0" showRowStripes="0" showColumnStripes="0"/>
</table>
</file>

<file path=xl/tables/table2.xml><?xml version="1.0" encoding="utf-8"?>
<table xmlns="http://schemas.openxmlformats.org/spreadsheetml/2006/main" id="2" name="tblMRP" displayName="tblMRP" ref="B5:T101" totalsRowShown="0">
  <autoFilter ref="B5:T101"/>
  <tableColumns count="19">
    <tableColumn id="1" name="Item"/>
    <tableColumn id="2" name="Week"/>
    <tableColumn id="3" name="Gross req. (units)"/>
    <tableColumn id="4" name="Sched. receipts (units)"/>
    <tableColumn id="5" name="Wk no.">
      <calculatedColumnFormula>IF(tblMRP[[#This Row],[Item]]="","",(tblMRP[[#This Row],[Week]]-PlanStart)/7+1)</calculatedColumnFormula>
    </tableColumn>
    <tableColumn id="6" name="On hand (units)">
      <calculatedColumnFormula>IF(tblMRP[[#This Row],[Item]]="","",IFERROR(INDEX(tblItems[On hand (units)],MATCH(tblMRP[[#This Row],[Item]],tblItems[Item],0)),""))</calculatedColumnFormula>
    </tableColumn>
    <tableColumn id="7" name="Safety stock (units)">
      <calculatedColumnFormula>IF(tblMRP[[#This Row],[Item]]="","",IFERROR(INDEX(tblItems[Safety stock (units)],MATCH(tblMRP[[#This Row],[Item]],tblItems[Item],0)),""))</calculatedColumnFormula>
    </tableColumn>
    <tableColumn id="8" name="Lead time (wk)">
      <calculatedColumnFormula>IF(tblMRP[[#This Row],[Item]]="","",IFERROR(INDEX(tblItems[Lead time (wk)],MATCH(tblMRP[[#This Row],[Item]],tblItems[Item],0)),""))</calculatedColumnFormula>
    </tableColumn>
    <tableColumn id="9" name="Order multiple (units)">
      <calculatedColumnFormula>IF(tblMRP[[#This Row],[Item]]="","",IFERROR(INDEX(tblItems[Order multiple (units)],MATCH(tblMRP[[#This Row],[Item]],tblItems[Item],0)),""))</calculatedColumnFormula>
    </tableColumn>
    <tableColumn id="10" name="Uncovered (units)">
      <calculatedColumnFormula>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calculatedColumnFormula>
    </tableColumn>
    <tableColumn id="11" name="Cum. planned (units)">
      <calculatedColumnFormula>IF(tblMRP[[#This Row],[Item]]="","",IF(tblMRP[[#This Row],[Order multiple (units)]]="","",tblMRP[[#This Row],[Order multiple (units)]]*CEILING(SUMPRODUCT(MAX((tblMRP[Item]=tblMRP[[#This Row],[Item]])*(tblMRP[Week]&lt;=tblMRP[[#This Row],[Week]])*tblMRP[Uncovered (units)]))/tblMRP[[#This Row],[Order multiple (units)]],1)))</calculatedColumnFormula>
    </tableColumn>
    <tableColumn id="12" name="Planned receipt (units)">
      <calculatedColumnFormula>IF(tblMRP[[#This Row],[Item]]="","",IF(tblMRP[[#This Row],[Order multiple (units)]]="","",tblMRP[[#This Row],[Cum. planned (units)]]-tblMRP[[#This Row],[Order multiple (units)]]*CEILING(SUMPRODUCT(MAX((tblMRP[Item]=tblMRP[[#This Row],[Item]])*(tblMRP[Week]&lt;tblMRP[[#This Row],[Week]])*tblMRP[Uncovered (units)]))/tblMRP[[#This Row],[Order multiple (units)]],1)))</calculatedColumnFormula>
    </tableColumn>
    <tableColumn id="13" name="Net req. (units)">
      <calculatedColumnFormula>IF(tblMRP[[#This Row],[Item]]="","",IF(tblMRP[[#This Row],[Order multiple (units)]]="","",MAX(0,tblMRP[[#This Row],[Uncovered (units)]]-(tblMRP[[#This Row],[Cum. planned (units)]]-tblMRP[[#This Row],[Planned receipt (units)]]))))</calculatedColumnFormula>
    </tableColumn>
    <tableColumn id="14" name="Proj. on hand (units)">
      <calculatedColumnFormula>IF(tblMRP[[#This Row],[Item]]="","",IF(tblMRP[[#This Row],[Order multiple (units)]]="","",tblMRP[[#This Row],[Safety stock (units)]]-tblMRP[[#This Row],[Uncovered (units)]]+tblMRP[[#This Row],[Cum. planned (units)]]))</calculatedColumnFormula>
    </tableColumn>
    <tableColumn id="15" name="Release week">
      <calculatedColumnFormula>IF(tblMRP[[#This Row],[Item]]="","",IF(N(tblMRP[[#This Row],[Planned receipt (units)]])&gt;0,tblMRP[[#This Row],[Week]]-7*tblMRP[[#This Row],[Lead time (wk)]],""))</calculatedColumnFormula>
    </tableColumn>
    <tableColumn id="16" name="Planned release (units)">
      <calculatedColumnFormula>IF(tblMRP[[#This Row],[Item]]="","",SUMIFS(tblMRP[Planned receipt (units)],tblMRP[Item],tblMRP[[#This Row],[Item]],tblMRP[Week],tblMRP[[#This Row],[Week]]+7*N(tblMRP[[#This Row],[Lead time (wk)]])))</calculatedColumnFormula>
    </tableColumn>
    <tableColumn id="17" name="Release status">
      <calculatedColumnFormula>IF(tblMRP[[#This Row],[Item]]="","",IF(N(tblMRP[[#This Row],[Planned receipt (units)]])=0,"",IF(tblMRP[[#This Row],[Release week]]&lt;PlanStart,"Overdue",IF(tblMRP[[#This Row],[Release week]]&lt;PlanStart+7,"Due soon","OK"))))</calculatedColumnFormula>
    </tableColumn>
    <tableColumn id="18" name="Check">
      <calculatedColumnFormula>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calculatedColumnFormula>
    </tableColumn>
    <tableColumn id="19" name="Notes"/>
  </tableColumns>
  <tableStyleInfo name="TableStyleLight1" showFirstColumn="0" showLastColumn="0" showRowStripes="0" showColumnStripes="0"/>
</table>
</file>

<file path=xl/tables/table3.xml><?xml version="1.0" encoding="utf-8"?>
<table xmlns="http://schemas.openxmlformats.org/spreadsheetml/2006/main" id="3" name="tblVerifyItems" displayName="tblVerifyItems" ref="B39:I41" totalsRowShown="0">
  <tableColumns count="8">
    <tableColumn id="1" name="Item"/>
    <tableColumn id="2" name="Description"/>
    <tableColumn id="3" name="Unit"/>
    <tableColumn id="4" name="Source"/>
    <tableColumn id="5" name="On hand (units)"/>
    <tableColumn id="6" name="Safety stock (units)"/>
    <tableColumn id="7" name="Lead time (wk)"/>
    <tableColumn id="8" name="Order multiple (units)"/>
  </tableColumns>
  <tableStyleInfo name="TableStyleLight1" showFirstColumn="0" showLastColumn="0" showRowStripes="0" showColumnStripes="0"/>
</table>
</file>

<file path=xl/tables/table4.xml><?xml version="1.0" encoding="utf-8"?>
<table xmlns="http://schemas.openxmlformats.org/spreadsheetml/2006/main" id="4" name="tblVerifyMRP" displayName="tblVerifyMRP" ref="B44:T52" totalsRowShown="0">
  <tableColumns count="19">
    <tableColumn id="1" name="Item"/>
    <tableColumn id="2" name="Week"/>
    <tableColumn id="3" name="Gross req. (units)"/>
    <tableColumn id="4" name="Sched. receipts (units)"/>
    <tableColumn id="5" name="Wk no.">
      <calculatedColumnFormula>IF(tblVerifyMRP[[#This Row],[Item]]="","",(tblVerifyMRP[[#This Row],[Week]]-$E$35)/7+1)</calculatedColumnFormula>
    </tableColumn>
    <tableColumn id="6" name="On hand (units)"/>
    <tableColumn id="7" name="Safety stock (units)"/>
    <tableColumn id="8" name="Lead time (wk)"/>
    <tableColumn id="9" name="Order multiple (units)"/>
    <tableColumn id="10" name="Uncovered (units)">
      <calculatedColumnFormula>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calculatedColumnFormula>
    </tableColumn>
    <tableColumn id="11" name="Cum. planned (units)">
      <calculatedColumnFormula>IF(tblVerifyMRP[[#This Row],[Item]]="","",IF(tblVerifyMRP[[#This Row],[Order multiple (units)]]="","",tblVerifyMRP[[#This Row],[Order multiple (units)]]*CEILING(SUMPRODUCT(MAX((tblVerifyMRP[Item]=tblVerifyMRP[[#This Row],[Item]])*(tblVerifyMRP[Week]&lt;=tblVerifyMRP[[#This Row],[Week]])*tblVerifyMRP[Uncovered (units)]))/tblVerifyMRP[[#This Row],[Order multiple (units)]],1)))</calculatedColumnFormula>
    </tableColumn>
    <tableColumn id="12" name="Planned receipt (units)">
      <calculatedColumnFormula>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calculatedColumnFormula>
    </tableColumn>
    <tableColumn id="13" name="Net req. (units)">
      <calculatedColumnFormula>IF(tblVerifyMRP[[#This Row],[Item]]="","",IF(tblVerifyMRP[[#This Row],[Order multiple (units)]]="","",MAX(0,tblVerifyMRP[[#This Row],[Uncovered (units)]]-(tblVerifyMRP[[#This Row],[Cum. planned (units)]]-tblVerifyMRP[[#This Row],[Planned receipt (units)]]))))</calculatedColumnFormula>
    </tableColumn>
    <tableColumn id="14" name="Proj. on hand (units)">
      <calculatedColumnFormula>IF(tblVerifyMRP[[#This Row],[Item]]="","",IF(tblVerifyMRP[[#This Row],[Order multiple (units)]]="","",tblVerifyMRP[[#This Row],[Safety stock (units)]]-tblVerifyMRP[[#This Row],[Uncovered (units)]]+tblVerifyMRP[[#This Row],[Cum. planned (units)]]))</calculatedColumnFormula>
    </tableColumn>
    <tableColumn id="15" name="Release week">
      <calculatedColumnFormula>IF(tblVerifyMRP[[#This Row],[Item]]="","",IF(N(tblVerifyMRP[[#This Row],[Planned receipt (units)]])&gt;0,tblVerifyMRP[[#This Row],[Week]]-7*tblVerifyMRP[[#This Row],[Lead time (wk)]],""))</calculatedColumnFormula>
    </tableColumn>
    <tableColumn id="16" name="Planned release (units)">
      <calculatedColumnFormula>IF(tblVerifyMRP[[#This Row],[Item]]="","",SUMIFS(tblVerifyMRP[Planned receipt (units)],tblVerifyMRP[Item],tblVerifyMRP[[#This Row],[Item]],tblVerifyMRP[Week],tblVerifyMRP[[#This Row],[Week]]+7*N(tblVerifyMRP[[#This Row],[Lead time (wk)]])))</calculatedColumnFormula>
    </tableColumn>
    <tableColumn id="17" name="Release status">
      <calculatedColumnFormula>IF(tblVerifyMRP[[#This Row],[Item]]="","",IF(N(tblVerifyMRP[[#This Row],[Planned receipt (units)]])=0,"",IF(tblVerifyMRP[[#This Row],[Release week]]&lt;$E$35,"Overdue",IF(tblVerifyMRP[[#This Row],[Release week]]&lt;$E$35+7,"Due soon","OK"))))</calculatedColumnFormula>
    </tableColumn>
    <tableColumn id="18" name="Check">
      <calculatedColumnFormula>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calculatedColumnFormula>
    </tableColumn>
    <tableColumn id="1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hyperlink" Target="https://www.mfgcalcs.com/calculators/erp-mrp-production-scheduling/mrp-material-requirements?utm_source=mfgcalcs-template&amp;utm_medium=xlsx&amp;utm_campaign=mrp-planner" TargetMode="External"/><Relationship Id="rId3" Type="http://schemas.openxmlformats.org/officeDocument/2006/relationships/hyperlink" Target="https://www.mfgcalcs.com/templates/mrp-planner?utm_source=mfgcalcs-template&amp;utm_medium=xlsx&amp;utm_campaign=mrp-planner" TargetMode="External"/><Relationship Id="rId4" Type="http://schemas.openxmlformats.org/officeDocument/2006/relationships/hyperlink" Target="https://www.mfgcalcs.com/templates?utm_source=mfgcalcs-template&amp;utm_medium=xlsx&amp;utm_campaign=mrp-plann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hyperlink" Target="https://www.mfgcalcs.com/calculators/erp-mrp-production-scheduling/mrp-material-requirements?utm_source=mfgcalcs-template&amp;utm_medium=xlsx&amp;utm_campaign=mrp-planne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rp-planner"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19 of 19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MRP Lines'!A1" tooltip="Go to MRP Lines" display="MRP Lines"/>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MRP Planner&amp;R&amp;8&amp;A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J21"/>
  <sheetViews>
    <sheetView showGridLines="0" workbookViewId="0"/>
  </sheetViews>
  <sheetFormatPr defaultRowHeight="15"/>
  <cols>
    <col min="1" max="1" width="2.7109375" customWidth="1"/>
    <col min="2" max="2" width="14.7109375" customWidth="1"/>
    <col min="3" max="3" width="24.7109375" customWidth="1"/>
    <col min="4" max="4" width="8.7109375" customWidth="1"/>
    <col min="5" max="5" width="9.7109375" customWidth="1"/>
    <col min="6" max="7" width="12.7109375" customWidth="1"/>
    <col min="8" max="8" width="10.7109375" customWidth="1"/>
    <col min="9" max="10" width="12.7109375" customWidth="1"/>
  </cols>
  <sheetData>
    <row r="1" spans="1:10" ht="30" customHeight="1">
      <c r="A1" s="1" t="s">
        <v>0</v>
      </c>
      <c r="B1" s="1"/>
      <c r="C1" s="1"/>
      <c r="D1" s="1"/>
      <c r="E1" s="1"/>
      <c r="F1" s="1"/>
      <c r="G1" s="1"/>
      <c r="H1" s="1"/>
      <c r="I1" s="1"/>
      <c r="J1" s="1"/>
    </row>
    <row r="2" spans="1:10" ht="21" customHeight="1">
      <c r="B2" s="2" t="s">
        <v>18</v>
      </c>
      <c r="C2" s="2"/>
      <c r="D2" s="2"/>
      <c r="E2" s="2"/>
      <c r="F2" s="2"/>
      <c r="G2" s="2"/>
      <c r="H2" s="2"/>
      <c r="I2" s="2"/>
      <c r="J2" s="3" t="s">
        <v>2</v>
      </c>
    </row>
    <row r="3" spans="1:10" ht="6" customHeight="1"/>
    <row r="4" spans="1:10" ht="21" customHeight="1">
      <c r="B4" s="8" t="s">
        <v>68</v>
      </c>
      <c r="C4" s="8"/>
      <c r="D4" s="8"/>
      <c r="E4" s="8"/>
      <c r="F4" s="8"/>
      <c r="G4" s="8"/>
      <c r="H4" s="8"/>
      <c r="I4" s="8"/>
      <c r="J4" s="8"/>
    </row>
    <row r="5" spans="1:10" ht="5" customHeight="1"/>
    <row r="6" spans="1:10">
      <c r="B6" s="27" t="s">
        <v>69</v>
      </c>
      <c r="C6" s="27"/>
      <c r="D6" s="28" t="s">
        <v>70</v>
      </c>
      <c r="E6" s="28"/>
    </row>
    <row r="7" spans="1:10">
      <c r="B7" s="27" t="s">
        <v>71</v>
      </c>
      <c r="C7" s="27"/>
      <c r="D7" s="29">
        <v>46328</v>
      </c>
      <c r="E7" s="29"/>
    </row>
    <row r="9" spans="1:10" ht="21" customHeight="1">
      <c r="B9" s="8" t="s">
        <v>72</v>
      </c>
      <c r="C9" s="8"/>
      <c r="D9" s="8"/>
      <c r="E9" s="8"/>
      <c r="F9" s="8"/>
      <c r="G9" s="8"/>
      <c r="H9" s="8"/>
      <c r="I9" s="8"/>
      <c r="J9" s="8"/>
    </row>
    <row r="10" spans="1:10" ht="5" customHeight="1"/>
    <row r="11" spans="1:10" ht="26.76" customHeight="1">
      <c r="B11" s="21" t="s">
        <v>73</v>
      </c>
      <c r="C11" s="21"/>
      <c r="D11" s="21"/>
      <c r="E11" s="21"/>
      <c r="F11" s="21"/>
      <c r="G11" s="21"/>
      <c r="H11" s="21"/>
      <c r="I11" s="21"/>
      <c r="J11" s="21"/>
    </row>
    <row r="12" spans="1:10">
      <c r="B12" s="30" t="s">
        <v>74</v>
      </c>
      <c r="C12" s="30"/>
      <c r="D12" s="30"/>
      <c r="E12" s="30"/>
      <c r="F12" s="30"/>
      <c r="G12" s="30"/>
      <c r="H12" s="30"/>
      <c r="I12" s="30"/>
    </row>
    <row r="13" spans="1:10" ht="32" customHeight="1">
      <c r="B13" s="31" t="s">
        <v>60</v>
      </c>
      <c r="C13" s="31" t="s">
        <v>61</v>
      </c>
      <c r="D13" s="31" t="s">
        <v>62</v>
      </c>
      <c r="E13" s="31" t="s">
        <v>63</v>
      </c>
      <c r="F13" s="31" t="s">
        <v>64</v>
      </c>
      <c r="G13" s="31" t="s">
        <v>65</v>
      </c>
      <c r="H13" s="31" t="s">
        <v>66</v>
      </c>
      <c r="I13" s="31" t="s">
        <v>67</v>
      </c>
    </row>
    <row r="14" spans="1:10">
      <c r="B14" s="28" t="s">
        <v>75</v>
      </c>
      <c r="C14" s="28" t="s">
        <v>76</v>
      </c>
      <c r="D14" s="28" t="s">
        <v>77</v>
      </c>
      <c r="E14" s="28" t="s">
        <v>78</v>
      </c>
      <c r="F14" s="32">
        <v>1150</v>
      </c>
      <c r="G14" s="32">
        <v>200</v>
      </c>
      <c r="H14" s="32">
        <v>4</v>
      </c>
      <c r="I14" s="32">
        <v>50</v>
      </c>
    </row>
    <row r="15" spans="1:10">
      <c r="B15" s="28" t="s">
        <v>79</v>
      </c>
      <c r="C15" s="28" t="s">
        <v>80</v>
      </c>
      <c r="D15" s="28" t="s">
        <v>77</v>
      </c>
      <c r="E15" s="28" t="s">
        <v>78</v>
      </c>
      <c r="F15" s="32">
        <v>700</v>
      </c>
      <c r="G15" s="32">
        <v>150</v>
      </c>
      <c r="H15" s="32">
        <v>6</v>
      </c>
      <c r="I15" s="32">
        <v>100</v>
      </c>
    </row>
    <row r="16" spans="1:10">
      <c r="B16" s="28" t="s">
        <v>81</v>
      </c>
      <c r="C16" s="28" t="s">
        <v>82</v>
      </c>
      <c r="D16" s="28" t="s">
        <v>77</v>
      </c>
      <c r="E16" s="28" t="s">
        <v>83</v>
      </c>
      <c r="F16" s="32">
        <v>450</v>
      </c>
      <c r="G16" s="32">
        <v>100</v>
      </c>
      <c r="H16" s="32">
        <v>1</v>
      </c>
      <c r="I16" s="32">
        <v>1</v>
      </c>
    </row>
    <row r="17" spans="2:9">
      <c r="B17" s="28" t="s">
        <v>84</v>
      </c>
      <c r="C17" s="28" t="s">
        <v>85</v>
      </c>
      <c r="D17" s="28" t="s">
        <v>86</v>
      </c>
      <c r="E17" s="28" t="s">
        <v>83</v>
      </c>
      <c r="F17" s="32">
        <v>600</v>
      </c>
      <c r="G17" s="32">
        <v>100</v>
      </c>
      <c r="H17" s="32">
        <v>1</v>
      </c>
      <c r="I17" s="32">
        <v>50</v>
      </c>
    </row>
    <row r="18" spans="2:9">
      <c r="B18" s="28" t="s">
        <v>87</v>
      </c>
      <c r="C18" s="28" t="s">
        <v>88</v>
      </c>
      <c r="D18" s="28" t="s">
        <v>89</v>
      </c>
      <c r="E18" s="28" t="s">
        <v>78</v>
      </c>
      <c r="F18" s="32">
        <v>6000</v>
      </c>
      <c r="G18" s="32">
        <v>1500</v>
      </c>
      <c r="H18" s="32">
        <v>3</v>
      </c>
      <c r="I18" s="32">
        <v>2000</v>
      </c>
    </row>
    <row r="19" spans="2:9">
      <c r="B19" s="28" t="s">
        <v>90</v>
      </c>
      <c r="C19" s="28" t="s">
        <v>91</v>
      </c>
      <c r="D19" s="28" t="s">
        <v>92</v>
      </c>
      <c r="E19" s="28" t="s">
        <v>78</v>
      </c>
      <c r="F19" s="32">
        <v>2600</v>
      </c>
      <c r="G19" s="32">
        <v>500</v>
      </c>
      <c r="H19" s="32">
        <v>2</v>
      </c>
      <c r="I19" s="32">
        <v>1000</v>
      </c>
    </row>
    <row r="20" spans="2:9">
      <c r="B20" s="28" t="s">
        <v>93</v>
      </c>
      <c r="C20" s="28" t="s">
        <v>94</v>
      </c>
      <c r="D20" s="28" t="s">
        <v>77</v>
      </c>
      <c r="E20" s="28" t="s">
        <v>78</v>
      </c>
      <c r="F20" s="32">
        <v>3200</v>
      </c>
      <c r="G20" s="32">
        <v>400</v>
      </c>
      <c r="H20" s="32">
        <v>8</v>
      </c>
      <c r="I20" s="32">
        <v>1000</v>
      </c>
    </row>
    <row r="21" spans="2:9">
      <c r="B21" s="28" t="s">
        <v>95</v>
      </c>
      <c r="C21" s="28" t="s">
        <v>96</v>
      </c>
      <c r="D21" s="28" t="s">
        <v>77</v>
      </c>
      <c r="E21" s="28" t="s">
        <v>78</v>
      </c>
      <c r="F21" s="32">
        <v>800</v>
      </c>
      <c r="G21" s="32">
        <v>200</v>
      </c>
      <c r="H21" s="32">
        <v>1</v>
      </c>
      <c r="I21" s="32">
        <v>250</v>
      </c>
    </row>
  </sheetData>
  <mergeCells count="10">
    <mergeCell ref="A1:J1"/>
    <mergeCell ref="B2:I2"/>
    <mergeCell ref="B4:J4"/>
    <mergeCell ref="B6:C6"/>
    <mergeCell ref="D6:E6"/>
    <mergeCell ref="B7:C7"/>
    <mergeCell ref="D7:E7"/>
    <mergeCell ref="B9:J9"/>
    <mergeCell ref="B11:J11"/>
    <mergeCell ref="B12:I12"/>
  </mergeCells>
  <dataValidations count="10">
    <dataValidation type="textLength" allowBlank="1" showInputMessage="1" showErrorMessage="1" errorTitle="Check this entry" error="Text up to 80 characters." promptTitle="Company or plant" prompt="Text up to 80 characters." sqref="D6">
      <formula1>0</formula1>
      <formula2>80</formula2>
    </dataValidation>
    <dataValidation type="date" allowBlank="1" showInputMessage="1" showErrorMessage="1" errorTitle="Check this entry" error="Enter a date between 01 Jan 2000 and 31 Dec 2100." promptTitle="Plan starts (week 1, a Monday)" prompt="Monday of the current week. Releases due before it are Overdue; releases in week 1 are Due soon. Enter a date between 01 Jan 2000 and 31 Dec 2100." sqref="D7">
      <formula1>36526</formula1>
      <formula2>73415</formula2>
    </dataValidation>
    <dataValidation type="textLength" allowBlank="1" showInputMessage="1" showErrorMessage="1" errorTitle="Check this entry" error="Text up to 40 characters." promptTitle="Item" prompt="Text up to 40 characters." sqref="B14:B121">
      <formula1>0</formula1>
      <formula2>40</formula2>
    </dataValidation>
    <dataValidation type="textLength" allowBlank="1" showInputMessage="1" showErrorMessage="1" errorTitle="Check this entry" error="Text up to 80 characters." promptTitle="Description" prompt="Text up to 80 characters." sqref="C14:C121">
      <formula1>0</formula1>
      <formula2>80</formula2>
    </dataValidation>
    <dataValidation type="textLength" allowBlank="1" showInputMessage="1" showErrorMessage="1" errorTitle="Check this entry" error="Text up to 12 characters." promptTitle="Unit" prompt="Unit of measure for every quantity of this item (pcs, kg, m). Text up to 12 characters." sqref="D14:D121">
      <formula1>0</formula1>
      <formula2>12</formula2>
    </dataValidation>
    <dataValidation type="list" allowBlank="1" showInputMessage="1" showErrorMessage="1" errorTitle="Check this entry" error="Pick one of: Buy, Make." promptTitle="Source" prompt="Pick one of: Buy, Make." sqref="E14:E121">
      <formula1>"Buy,Make"</formula1>
    </dataValidation>
    <dataValidation type="decimal" allowBlank="1" showInputMessage="1" showErrorMessage="1" errorTitle="Check this entry" error="Enter a number of at least 0." promptTitle="On hand (units)" prompt="Enter a number of at least 0." sqref="F14:F121">
      <formula1>0</formula1>
      <formula2>1000000000.0</formula2>
    </dataValidation>
    <dataValidation type="decimal" allowBlank="1" showInputMessage="1" showErrorMessage="1" errorTitle="Check this entry" error="Enter a number of at least 0." promptTitle="Safety stock (units)" prompt="Enter a number of at least 0." sqref="G14:G121">
      <formula1>0</formula1>
      <formula2>1000000000.0</formula2>
    </dataValidation>
    <dataValidation type="whole" allowBlank="1" showInputMessage="1" showErrorMessage="1" errorTitle="Check this entry" error="Enter a whole number from 0 to 52." promptTitle="Lead time (wk)" prompt="Whole weeks from releasing the order to receiving it. Enter a whole number from 0 to 52." sqref="H14:H121">
      <formula1>0</formula1>
      <formula2>52</formula2>
    </dataValidation>
    <dataValidation type="decimal" allowBlank="1" showInputMessage="1" showErrorMessage="1" errorTitle="Check this entry" error="Enter a number of at least 1." promptTitle="Order multiple (units)" prompt="Planned orders are rounded up to a multiple of this: 1 = lot-for-lot, otherwise a pack, pallet, coil or fixed batch size. Enter a number of at least 1." sqref="I14:I121">
      <formula1>1</formula1>
      <formula2>1000000000.0</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MRP Planner&amp;R&amp;8&amp;A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T101"/>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0.7109375" customWidth="1"/>
    <col min="3" max="3" width="12.28515625" customWidth="1"/>
    <col min="4" max="4" width="10.28515625" customWidth="1"/>
    <col min="5" max="5" width="10.7109375" customWidth="1"/>
    <col min="6" max="6" width="6.7109375" customWidth="1"/>
    <col min="7" max="8" width="9.7109375" customWidth="1"/>
    <col min="9" max="9" width="8.7109375" customWidth="1"/>
    <col min="10" max="10" width="9.7109375" customWidth="1"/>
    <col min="11" max="13" width="10.7109375" customWidth="1"/>
    <col min="14" max="14" width="9.7109375" customWidth="1"/>
    <col min="15" max="15" width="10.7109375" customWidth="1"/>
    <col min="16" max="16" width="12.28515625" customWidth="1"/>
    <col min="17" max="18" width="10.7109375" customWidth="1"/>
    <col min="19" max="19" width="20.7109375" customWidth="1"/>
    <col min="20" max="20" width="18.7109375" customWidth="1"/>
  </cols>
  <sheetData>
    <row r="1" spans="1:20" ht="30" customHeight="1" x14ac:dyDescent="0.25">
      <c r="A1" s="1" t="s">
        <v>0</v>
      </c>
      <c r="B1" s="1"/>
      <c r="C1" s="1"/>
      <c r="D1" s="1"/>
      <c r="E1" s="1"/>
      <c r="F1" s="1"/>
      <c r="G1" s="1"/>
      <c r="H1" s="1"/>
      <c r="I1" s="1"/>
      <c r="J1" s="1"/>
      <c r="K1" s="1"/>
      <c r="L1" s="1"/>
      <c r="M1" s="1"/>
      <c r="N1" s="1"/>
      <c r="O1" s="1"/>
      <c r="P1" s="1"/>
      <c r="Q1" s="1"/>
      <c r="R1" s="1"/>
      <c r="S1" s="1"/>
      <c r="T1" s="1"/>
    </row>
    <row r="2" spans="1:20" ht="21" customHeight="1" x14ac:dyDescent="0.25">
      <c r="B2" s="2" t="s">
        <v>20</v>
      </c>
      <c r="C2" s="2"/>
      <c r="D2" s="2"/>
      <c r="E2" s="2"/>
      <c r="F2" s="2"/>
      <c r="G2" s="2"/>
      <c r="H2" s="2"/>
      <c r="I2" s="2"/>
      <c r="J2" s="2"/>
      <c r="K2" s="2"/>
      <c r="L2" s="2"/>
      <c r="M2" s="2"/>
      <c r="N2" s="2"/>
      <c r="O2" s="2"/>
      <c r="P2" s="2"/>
      <c r="Q2" s="2"/>
      <c r="R2" s="2"/>
      <c r="S2" s="2"/>
      <c r="T2" s="3" t="s">
        <v>2</v>
      </c>
    </row>
    <row r="3" spans="1:20" ht="6" customHeight="1" x14ac:dyDescent="0.25"/>
    <row r="4" spans="1:20" ht="18" customHeight="1" x14ac:dyDescent="0.25">
      <c r="B4" s="33" t="s">
        <v>111</v>
      </c>
      <c r="C4" s="33"/>
      <c r="D4" s="33"/>
      <c r="E4" s="33"/>
      <c r="F4" s="33"/>
      <c r="G4" s="33"/>
      <c r="H4" s="33"/>
      <c r="I4" s="33"/>
      <c r="J4" s="33"/>
      <c r="K4" s="33"/>
      <c r="L4" s="33"/>
      <c r="M4" s="33"/>
      <c r="N4" s="33"/>
      <c r="O4" s="33"/>
      <c r="P4" s="33"/>
      <c r="Q4" s="33"/>
      <c r="R4" s="33"/>
      <c r="S4" s="33"/>
      <c r="T4" s="33"/>
    </row>
    <row r="5" spans="1:20" ht="45.5" customHeight="1" x14ac:dyDescent="0.25">
      <c r="B5" s="31" t="s">
        <v>60</v>
      </c>
      <c r="C5" s="31" t="s">
        <v>97</v>
      </c>
      <c r="D5" s="31" t="s">
        <v>98</v>
      </c>
      <c r="E5" s="31" t="s">
        <v>99</v>
      </c>
      <c r="F5" s="31" t="s">
        <v>100</v>
      </c>
      <c r="G5" s="31" t="s">
        <v>64</v>
      </c>
      <c r="H5" s="31" t="s">
        <v>65</v>
      </c>
      <c r="I5" s="31" t="s">
        <v>66</v>
      </c>
      <c r="J5" s="31" t="s">
        <v>67</v>
      </c>
      <c r="K5" s="31" t="s">
        <v>101</v>
      </c>
      <c r="L5" s="31" t="s">
        <v>102</v>
      </c>
      <c r="M5" s="31" t="s">
        <v>103</v>
      </c>
      <c r="N5" s="31" t="s">
        <v>104</v>
      </c>
      <c r="O5" s="31" t="s">
        <v>105</v>
      </c>
      <c r="P5" s="31" t="s">
        <v>106</v>
      </c>
      <c r="Q5" s="31" t="s">
        <v>107</v>
      </c>
      <c r="R5" s="31" t="s">
        <v>108</v>
      </c>
      <c r="S5" s="31" t="s">
        <v>109</v>
      </c>
      <c r="T5" s="31" t="s">
        <v>110</v>
      </c>
    </row>
    <row r="6" spans="1:20" x14ac:dyDescent="0.25">
      <c r="B6" s="28" t="s">
        <v>75</v>
      </c>
      <c r="C6" s="34">
        <v>46328</v>
      </c>
      <c r="D6" s="32">
        <v>320</v>
      </c>
      <c r="E6" s="32">
        <v>0</v>
      </c>
      <c r="F6" s="35">
        <f>IF(tblMRP[[#This Row],[Item]]="","",(tblMRP[[#This Row],[Week]]-PlanStart)/7+1)</f>
        <v>1</v>
      </c>
      <c r="G6" s="35">
        <f>IF(tblMRP[[#This Row],[Item]]="","",IFERROR(INDEX(tblItems[On hand (units)],MATCH(tblMRP[[#This Row],[Item]],tblItems[Item],0)),""))</f>
        <v>1150</v>
      </c>
      <c r="H6" s="35">
        <f>IF(tblMRP[[#This Row],[Item]]="","",IFERROR(INDEX(tblItems[Safety stock (units)],MATCH(tblMRP[[#This Row],[Item]],tblItems[Item],0)),""))</f>
        <v>200</v>
      </c>
      <c r="I6" s="35">
        <f>IF(tblMRP[[#This Row],[Item]]="","",IFERROR(INDEX(tblItems[Lead time (wk)],MATCH(tblMRP[[#This Row],[Item]],tblItems[Item],0)),""))</f>
        <v>4</v>
      </c>
      <c r="J6" s="35">
        <f>IF(tblMRP[[#This Row],[Item]]="","",IFERROR(INDEX(tblItems[Order multiple (units)],MATCH(tblMRP[[#This Row],[Item]],tblItems[Item],0)),""))</f>
        <v>50</v>
      </c>
      <c r="K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-630</v>
      </c>
      <c r="L6" s="35">
        <f>IF(tblMRP[[#This Row],[Item]]="","",IF(tblMRP[[#This Row],[Order multiple (units)]]="","",tblMRP[[#This Row],[Order multiple (units)]]*CEILING(SUMPRODUCT(MAX((tblMRP[Item]=tblMRP[[#This Row],[Item]])*(tblMRP[Week]&lt;=tblMRP[[#This Row],[Week]])*tblMRP[Uncovered (units)]))/tblMRP[[#This Row],[Order multiple (units)]],1)))</f>
        <v>0</v>
      </c>
      <c r="M6" s="35">
        <f>IF(tblMRP[[#This Row],[Item]]="","",IF(tblMRP[[#This Row],[Order multiple (units)]]="","",tblMRP[[#This Row],[Cum. planned (units)]]-tblMRP[[#This Row],[Order multiple (units)]]*CEILING(SUMPRODUCT(MAX((tblMRP[Item]=tblMRP[[#This Row],[Item]])*(tblMRP[Week]&lt;tblMRP[[#This Row],[Week]])*tblMRP[Uncovered (units)]))/tblMRP[[#This Row],[Order multiple (units)]],1)))</f>
        <v>0</v>
      </c>
      <c r="N6" s="35">
        <f>IF(tblMRP[[#This Row],[Item]]="","",IF(tblMRP[[#This Row],[Order multiple (units)]]="","",MAX(0,tblMRP[[#This Row],[Uncovered (units)]]-(tblMRP[[#This Row],[Cum. planned (units)]]-tblMRP[[#This Row],[Planned receipt (units)]]))))</f>
        <v>0</v>
      </c>
      <c r="O6" s="35">
        <f>IF(tblMRP[[#This Row],[Item]]="","",IF(tblMRP[[#This Row],[Order multiple (units)]]="","",tblMRP[[#This Row],[Safety stock (units)]]-tblMRP[[#This Row],[Uncovered (units)]]+tblMRP[[#This Row],[Cum. planned (units)]]))</f>
        <v>830</v>
      </c>
      <c r="P6" s="36">
        <f>IF(tblMRP[[#This Row],[Item]]="","",IF(N(tblMRP[[#This Row],[Planned receipt (units)]])&gt;0,tblMRP[[#This Row],[Week]]-7*tblMRP[[#This Row],[Lead time (wk)]],""))</f>
        <v/>
      </c>
      <c r="Q6" s="35">
        <f>IF(tblMRP[[#This Row],[Item]]="","",SUMIFS(tblMRP[Planned receipt (units)],tblMRP[Item],tblMRP[[#This Row],[Item]],tblMRP[Week],tblMRP[[#This Row],[Week]]+7*N(tblMRP[[#This Row],[Lead time (wk)]])))</f>
        <v>350</v>
      </c>
      <c r="R6" s="37">
        <f>IF(tblMRP[[#This Row],[Item]]="","",IF(N(tblMRP[[#This Row],[Planned receipt (units)]])=0,"",IF(tblMRP[[#This Row],[Release week]]&lt;PlanStart,"Overdue",IF(tblMRP[[#This Row],[Release week]]&lt;PlanStart+7,"Due soon","OK"))))</f>
        <v/>
      </c>
      <c r="S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 s="28" t="s">
        <v>112</v>
      </c>
    </row>
    <row r="7" spans="1:20" x14ac:dyDescent="0.25">
      <c r="B7" s="28" t="s">
        <v>75</v>
      </c>
      <c r="C7" s="34">
        <v>46335</v>
      </c>
      <c r="D7" s="32">
        <v>320</v>
      </c>
      <c r="E7" s="32">
        <v>400</v>
      </c>
      <c r="F7" s="35">
        <f>IF(tblMRP[[#This Row],[Item]]="","",(tblMRP[[#This Row],[Week]]-PlanStart)/7+1)</f>
        <v>2</v>
      </c>
      <c r="G7" s="35">
        <f>IF(tblMRP[[#This Row],[Item]]="","",IFERROR(INDEX(tblItems[On hand (units)],MATCH(tblMRP[[#This Row],[Item]],tblItems[Item],0)),""))</f>
        <v>1150</v>
      </c>
      <c r="H7" s="35">
        <f>IF(tblMRP[[#This Row],[Item]]="","",IFERROR(INDEX(tblItems[Safety stock (units)],MATCH(tblMRP[[#This Row],[Item]],tblItems[Item],0)),""))</f>
        <v>200</v>
      </c>
      <c r="I7" s="35">
        <f>IF(tblMRP[[#This Row],[Item]]="","",IFERROR(INDEX(tblItems[Lead time (wk)],MATCH(tblMRP[[#This Row],[Item]],tblItems[Item],0)),""))</f>
        <v>4</v>
      </c>
      <c r="J7" s="35">
        <f>IF(tblMRP[[#This Row],[Item]]="","",IFERROR(INDEX(tblItems[Order multiple (units)],MATCH(tblMRP[[#This Row],[Item]],tblItems[Item],0)),""))</f>
        <v>50</v>
      </c>
      <c r="K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-710</v>
      </c>
      <c r="L7" s="35">
        <f>IF(tblMRP[[#This Row],[Item]]="","",IF(tblMRP[[#This Row],[Order multiple (units)]]="","",tblMRP[[#This Row],[Order multiple (units)]]*CEILING(SUMPRODUCT(MAX((tblMRP[Item]=tblMRP[[#This Row],[Item]])*(tblMRP[Week]&lt;=tblMRP[[#This Row],[Week]])*tblMRP[Uncovered (units)]))/tblMRP[[#This Row],[Order multiple (units)]],1)))</f>
        <v>0</v>
      </c>
      <c r="M7" s="35">
        <f>IF(tblMRP[[#This Row],[Item]]="","",IF(tblMRP[[#This Row],[Order multiple (units)]]="","",tblMRP[[#This Row],[Cum. planned (units)]]-tblMRP[[#This Row],[Order multiple (units)]]*CEILING(SUMPRODUCT(MAX((tblMRP[Item]=tblMRP[[#This Row],[Item]])*(tblMRP[Week]&lt;tblMRP[[#This Row],[Week]])*tblMRP[Uncovered (units)]))/tblMRP[[#This Row],[Order multiple (units)]],1)))</f>
        <v>0</v>
      </c>
      <c r="N7" s="35">
        <f>IF(tblMRP[[#This Row],[Item]]="","",IF(tblMRP[[#This Row],[Order multiple (units)]]="","",MAX(0,tblMRP[[#This Row],[Uncovered (units)]]-(tblMRP[[#This Row],[Cum. planned (units)]]-tblMRP[[#This Row],[Planned receipt (units)]]))))</f>
        <v>0</v>
      </c>
      <c r="O7" s="35">
        <f>IF(tblMRP[[#This Row],[Item]]="","",IF(tblMRP[[#This Row],[Order multiple (units)]]="","",tblMRP[[#This Row],[Safety stock (units)]]-tblMRP[[#This Row],[Uncovered (units)]]+tblMRP[[#This Row],[Cum. planned (units)]]))</f>
        <v>910</v>
      </c>
      <c r="P7" s="36">
        <f>IF(tblMRP[[#This Row],[Item]]="","",IF(N(tblMRP[[#This Row],[Planned receipt (units)]])&gt;0,tblMRP[[#This Row],[Week]]-7*tblMRP[[#This Row],[Lead time (wk)]],""))</f>
        <v/>
      </c>
      <c r="Q7" s="35">
        <f>IF(tblMRP[[#This Row],[Item]]="","",SUMIFS(tblMRP[Planned receipt (units)],tblMRP[Item],tblMRP[[#This Row],[Item]],tblMRP[Week],tblMRP[[#This Row],[Week]]+7*N(tblMRP[[#This Row],[Lead time (wk)]])))</f>
        <v>400</v>
      </c>
      <c r="R7" s="37">
        <f>IF(tblMRP[[#This Row],[Item]]="","",IF(N(tblMRP[[#This Row],[Planned receipt (units)]])=0,"",IF(tblMRP[[#This Row],[Release week]]&lt;PlanStart,"Overdue",IF(tblMRP[[#This Row],[Release week]]&lt;PlanStart+7,"Due soon","OK"))))</f>
        <v/>
      </c>
      <c r="S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 s="28" t="s">
        <v>113</v>
      </c>
    </row>
    <row r="8" spans="1:20" x14ac:dyDescent="0.25">
      <c r="B8" s="28" t="s">
        <v>75</v>
      </c>
      <c r="C8" s="34">
        <v>46342</v>
      </c>
      <c r="D8" s="32">
        <v>315</v>
      </c>
      <c r="E8" s="32">
        <v>0</v>
      </c>
      <c r="F8" s="35">
        <f>IF(tblMRP[[#This Row],[Item]]="","",(tblMRP[[#This Row],[Week]]-PlanStart)/7+1)</f>
        <v>3</v>
      </c>
      <c r="G8" s="35">
        <f>IF(tblMRP[[#This Row],[Item]]="","",IFERROR(INDEX(tblItems[On hand (units)],MATCH(tblMRP[[#This Row],[Item]],tblItems[Item],0)),""))</f>
        <v>1150</v>
      </c>
      <c r="H8" s="35">
        <f>IF(tblMRP[[#This Row],[Item]]="","",IFERROR(INDEX(tblItems[Safety stock (units)],MATCH(tblMRP[[#This Row],[Item]],tblItems[Item],0)),""))</f>
        <v>200</v>
      </c>
      <c r="I8" s="35">
        <f>IF(tblMRP[[#This Row],[Item]]="","",IFERROR(INDEX(tblItems[Lead time (wk)],MATCH(tblMRP[[#This Row],[Item]],tblItems[Item],0)),""))</f>
        <v>4</v>
      </c>
      <c r="J8" s="35">
        <f>IF(tblMRP[[#This Row],[Item]]="","",IFERROR(INDEX(tblItems[Order multiple (units)],MATCH(tblMRP[[#This Row],[Item]],tblItems[Item],0)),""))</f>
        <v>50</v>
      </c>
      <c r="K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-395</v>
      </c>
      <c r="L8" s="35">
        <f>IF(tblMRP[[#This Row],[Item]]="","",IF(tblMRP[[#This Row],[Order multiple (units)]]="","",tblMRP[[#This Row],[Order multiple (units)]]*CEILING(SUMPRODUCT(MAX((tblMRP[Item]=tblMRP[[#This Row],[Item]])*(tblMRP[Week]&lt;=tblMRP[[#This Row],[Week]])*tblMRP[Uncovered (units)]))/tblMRP[[#This Row],[Order multiple (units)]],1)))</f>
        <v>0</v>
      </c>
      <c r="M8" s="35">
        <f>IF(tblMRP[[#This Row],[Item]]="","",IF(tblMRP[[#This Row],[Order multiple (units)]]="","",tblMRP[[#This Row],[Cum. planned (units)]]-tblMRP[[#This Row],[Order multiple (units)]]*CEILING(SUMPRODUCT(MAX((tblMRP[Item]=tblMRP[[#This Row],[Item]])*(tblMRP[Week]&lt;tblMRP[[#This Row],[Week]])*tblMRP[Uncovered (units)]))/tblMRP[[#This Row],[Order multiple (units)]],1)))</f>
        <v>0</v>
      </c>
      <c r="N8" s="35">
        <f>IF(tblMRP[[#This Row],[Item]]="","",IF(tblMRP[[#This Row],[Order multiple (units)]]="","",MAX(0,tblMRP[[#This Row],[Uncovered (units)]]-(tblMRP[[#This Row],[Cum. planned (units)]]-tblMRP[[#This Row],[Planned receipt (units)]]))))</f>
        <v>0</v>
      </c>
      <c r="O8" s="35">
        <f>IF(tblMRP[[#This Row],[Item]]="","",IF(tblMRP[[#This Row],[Order multiple (units)]]="","",tblMRP[[#This Row],[Safety stock (units)]]-tblMRP[[#This Row],[Uncovered (units)]]+tblMRP[[#This Row],[Cum. planned (units)]]))</f>
        <v>595</v>
      </c>
      <c r="P8" s="36">
        <f>IF(tblMRP[[#This Row],[Item]]="","",IF(N(tblMRP[[#This Row],[Planned receipt (units)]])&gt;0,tblMRP[[#This Row],[Week]]-7*tblMRP[[#This Row],[Lead time (wk)]],""))</f>
        <v/>
      </c>
      <c r="Q8" s="35">
        <f>IF(tblMRP[[#This Row],[Item]]="","",SUMIFS(tblMRP[Planned receipt (units)],tblMRP[Item],tblMRP[[#This Row],[Item]],tblMRP[Week],tblMRP[[#This Row],[Week]]+7*N(tblMRP[[#This Row],[Lead time (wk)]])))</f>
        <v>400</v>
      </c>
      <c r="R8" s="37">
        <f>IF(tblMRP[[#This Row],[Item]]="","",IF(N(tblMRP[[#This Row],[Planned receipt (units)]])=0,"",IF(tblMRP[[#This Row],[Release week]]&lt;PlanStart,"Overdue",IF(tblMRP[[#This Row],[Release week]]&lt;PlanStart+7,"Due soon","OK"))))</f>
        <v/>
      </c>
      <c r="S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 s="28" t="s">
        <v>112</v>
      </c>
    </row>
    <row r="9" spans="1:20" x14ac:dyDescent="0.25">
      <c r="B9" s="28" t="s">
        <v>75</v>
      </c>
      <c r="C9" s="34">
        <v>46349</v>
      </c>
      <c r="D9" s="32">
        <v>345</v>
      </c>
      <c r="E9" s="32">
        <v>0</v>
      </c>
      <c r="F9" s="35">
        <f>IF(tblMRP[[#This Row],[Item]]="","",(tblMRP[[#This Row],[Week]]-PlanStart)/7+1)</f>
        <v>4</v>
      </c>
      <c r="G9" s="35">
        <f>IF(tblMRP[[#This Row],[Item]]="","",IFERROR(INDEX(tblItems[On hand (units)],MATCH(tblMRP[[#This Row],[Item]],tblItems[Item],0)),""))</f>
        <v>1150</v>
      </c>
      <c r="H9" s="35">
        <f>IF(tblMRP[[#This Row],[Item]]="","",IFERROR(INDEX(tblItems[Safety stock (units)],MATCH(tblMRP[[#This Row],[Item]],tblItems[Item],0)),""))</f>
        <v>200</v>
      </c>
      <c r="I9" s="35">
        <f>IF(tblMRP[[#This Row],[Item]]="","",IFERROR(INDEX(tblItems[Lead time (wk)],MATCH(tblMRP[[#This Row],[Item]],tblItems[Item],0)),""))</f>
        <v>4</v>
      </c>
      <c r="J9" s="35">
        <f>IF(tblMRP[[#This Row],[Item]]="","",IFERROR(INDEX(tblItems[Order multiple (units)],MATCH(tblMRP[[#This Row],[Item]],tblItems[Item],0)),""))</f>
        <v>50</v>
      </c>
      <c r="K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-50</v>
      </c>
      <c r="L9" s="35">
        <f>IF(tblMRP[[#This Row],[Item]]="","",IF(tblMRP[[#This Row],[Order multiple (units)]]="","",tblMRP[[#This Row],[Order multiple (units)]]*CEILING(SUMPRODUCT(MAX((tblMRP[Item]=tblMRP[[#This Row],[Item]])*(tblMRP[Week]&lt;=tblMRP[[#This Row],[Week]])*tblMRP[Uncovered (units)]))/tblMRP[[#This Row],[Order multiple (units)]],1)))</f>
        <v>0</v>
      </c>
      <c r="M9" s="35">
        <f>IF(tblMRP[[#This Row],[Item]]="","",IF(tblMRP[[#This Row],[Order multiple (units)]]="","",tblMRP[[#This Row],[Cum. planned (units)]]-tblMRP[[#This Row],[Order multiple (units)]]*CEILING(SUMPRODUCT(MAX((tblMRP[Item]=tblMRP[[#This Row],[Item]])*(tblMRP[Week]&lt;tblMRP[[#This Row],[Week]])*tblMRP[Uncovered (units)]))/tblMRP[[#This Row],[Order multiple (units)]],1)))</f>
        <v>0</v>
      </c>
      <c r="N9" s="35">
        <f>IF(tblMRP[[#This Row],[Item]]="","",IF(tblMRP[[#This Row],[Order multiple (units)]]="","",MAX(0,tblMRP[[#This Row],[Uncovered (units)]]-(tblMRP[[#This Row],[Cum. planned (units)]]-tblMRP[[#This Row],[Planned receipt (units)]]))))</f>
        <v>0</v>
      </c>
      <c r="O9" s="35">
        <f>IF(tblMRP[[#This Row],[Item]]="","",IF(tblMRP[[#This Row],[Order multiple (units)]]="","",tblMRP[[#This Row],[Safety stock (units)]]-tblMRP[[#This Row],[Uncovered (units)]]+tblMRP[[#This Row],[Cum. planned (units)]]))</f>
        <v>250</v>
      </c>
      <c r="P9" s="36">
        <f>IF(tblMRP[[#This Row],[Item]]="","",IF(N(tblMRP[[#This Row],[Planned receipt (units)]])&gt;0,tblMRP[[#This Row],[Week]]-7*tblMRP[[#This Row],[Lead time (wk)]],""))</f>
        <v/>
      </c>
      <c r="Q9" s="35">
        <f>IF(tblMRP[[#This Row],[Item]]="","",SUMIFS(tblMRP[Planned receipt (units)],tblMRP[Item],tblMRP[[#This Row],[Item]],tblMRP[Week],tblMRP[[#This Row],[Week]]+7*N(tblMRP[[#This Row],[Lead time (wk)]])))</f>
        <v>400</v>
      </c>
      <c r="R9" s="37">
        <f>IF(tblMRP[[#This Row],[Item]]="","",IF(N(tblMRP[[#This Row],[Planned receipt (units)]])=0,"",IF(tblMRP[[#This Row],[Release week]]&lt;PlanStart,"Overdue",IF(tblMRP[[#This Row],[Release week]]&lt;PlanStart+7,"Due soon","OK"))))</f>
        <v/>
      </c>
      <c r="S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 s="28" t="s">
        <v>112</v>
      </c>
    </row>
    <row r="10" spans="1:20" x14ac:dyDescent="0.25">
      <c r="B10" s="28" t="s">
        <v>75</v>
      </c>
      <c r="C10" s="34">
        <v>46356</v>
      </c>
      <c r="D10" s="32">
        <v>360</v>
      </c>
      <c r="E10" s="32">
        <v>0</v>
      </c>
      <c r="F10" s="35">
        <f>IF(tblMRP[[#This Row],[Item]]="","",(tblMRP[[#This Row],[Week]]-PlanStart)/7+1)</f>
        <v>5</v>
      </c>
      <c r="G10" s="35">
        <f>IF(tblMRP[[#This Row],[Item]]="","",IFERROR(INDEX(tblItems[On hand (units)],MATCH(tblMRP[[#This Row],[Item]],tblItems[Item],0)),""))</f>
        <v>1150</v>
      </c>
      <c r="H10" s="35">
        <f>IF(tblMRP[[#This Row],[Item]]="","",IFERROR(INDEX(tblItems[Safety stock (units)],MATCH(tblMRP[[#This Row],[Item]],tblItems[Item],0)),""))</f>
        <v>200</v>
      </c>
      <c r="I10" s="35">
        <f>IF(tblMRP[[#This Row],[Item]]="","",IFERROR(INDEX(tblItems[Lead time (wk)],MATCH(tblMRP[[#This Row],[Item]],tblItems[Item],0)),""))</f>
        <v>4</v>
      </c>
      <c r="J10" s="35">
        <f>IF(tblMRP[[#This Row],[Item]]="","",IFERROR(INDEX(tblItems[Order multiple (units)],MATCH(tblMRP[[#This Row],[Item]],tblItems[Item],0)),""))</f>
        <v>50</v>
      </c>
      <c r="K1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310</v>
      </c>
      <c r="L10" s="35">
        <f>IF(tblMRP[[#This Row],[Item]]="","",IF(tblMRP[[#This Row],[Order multiple (units)]]="","",tblMRP[[#This Row],[Order multiple (units)]]*CEILING(SUMPRODUCT(MAX((tblMRP[Item]=tblMRP[[#This Row],[Item]])*(tblMRP[Week]&lt;=tblMRP[[#This Row],[Week]])*tblMRP[Uncovered (units)]))/tblMRP[[#This Row],[Order multiple (units)]],1)))</f>
        <v>350</v>
      </c>
      <c r="M10" s="35">
        <f>IF(tblMRP[[#This Row],[Item]]="","",IF(tblMRP[[#This Row],[Order multiple (units)]]="","",tblMRP[[#This Row],[Cum. planned (units)]]-tblMRP[[#This Row],[Order multiple (units)]]*CEILING(SUMPRODUCT(MAX((tblMRP[Item]=tblMRP[[#This Row],[Item]])*(tblMRP[Week]&lt;tblMRP[[#This Row],[Week]])*tblMRP[Uncovered (units)]))/tblMRP[[#This Row],[Order multiple (units)]],1)))</f>
        <v>350</v>
      </c>
      <c r="N10" s="35">
        <f>IF(tblMRP[[#This Row],[Item]]="","",IF(tblMRP[[#This Row],[Order multiple (units)]]="","",MAX(0,tblMRP[[#This Row],[Uncovered (units)]]-(tblMRP[[#This Row],[Cum. planned (units)]]-tblMRP[[#This Row],[Planned receipt (units)]]))))</f>
        <v>310</v>
      </c>
      <c r="O10" s="35">
        <f>IF(tblMRP[[#This Row],[Item]]="","",IF(tblMRP[[#This Row],[Order multiple (units)]]="","",tblMRP[[#This Row],[Safety stock (units)]]-tblMRP[[#This Row],[Uncovered (units)]]+tblMRP[[#This Row],[Cum. planned (units)]]))</f>
        <v>240</v>
      </c>
      <c r="P10" s="36">
        <f>IF(tblMRP[[#This Row],[Item]]="","",IF(N(tblMRP[[#This Row],[Planned receipt (units)]])&gt;0,tblMRP[[#This Row],[Week]]-7*tblMRP[[#This Row],[Lead time (wk)]],""))</f>
        <v>46328</v>
      </c>
      <c r="Q10" s="35">
        <f>IF(tblMRP[[#This Row],[Item]]="","",SUMIFS(tblMRP[Planned receipt (units)],tblMRP[Item],tblMRP[[#This Row],[Item]],tblMRP[Week],tblMRP[[#This Row],[Week]]+7*N(tblMRP[[#This Row],[Lead time (wk)]])))</f>
        <v>400</v>
      </c>
      <c r="R10" s="37" t="str">
        <f>IF(tblMRP[[#This Row],[Item]]="","",IF(N(tblMRP[[#This Row],[Planned receipt (units)]])=0,"",IF(tblMRP[[#This Row],[Release week]]&lt;PlanStart,"Overdue",IF(tblMRP[[#This Row],[Release week]]&lt;PlanStart+7,"Due soon","OK"))))</f>
        <v>Due soon</v>
      </c>
      <c r="S1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0" s="28" t="s">
        <v>112</v>
      </c>
    </row>
    <row r="11" spans="1:20" x14ac:dyDescent="0.25">
      <c r="B11" s="28" t="s">
        <v>75</v>
      </c>
      <c r="C11" s="34">
        <v>46363</v>
      </c>
      <c r="D11" s="32">
        <v>395</v>
      </c>
      <c r="E11" s="32">
        <v>0</v>
      </c>
      <c r="F11" s="35">
        <f>IF(tblMRP[[#This Row],[Item]]="","",(tblMRP[[#This Row],[Week]]-PlanStart)/7+1)</f>
        <v>6</v>
      </c>
      <c r="G11" s="35">
        <f>IF(tblMRP[[#This Row],[Item]]="","",IFERROR(INDEX(tblItems[On hand (units)],MATCH(tblMRP[[#This Row],[Item]],tblItems[Item],0)),""))</f>
        <v>1150</v>
      </c>
      <c r="H11" s="35">
        <f>IF(tblMRP[[#This Row],[Item]]="","",IFERROR(INDEX(tblItems[Safety stock (units)],MATCH(tblMRP[[#This Row],[Item]],tblItems[Item],0)),""))</f>
        <v>200</v>
      </c>
      <c r="I11" s="35">
        <f>IF(tblMRP[[#This Row],[Item]]="","",IFERROR(INDEX(tblItems[Lead time (wk)],MATCH(tblMRP[[#This Row],[Item]],tblItems[Item],0)),""))</f>
        <v>4</v>
      </c>
      <c r="J11" s="35">
        <f>IF(tblMRP[[#This Row],[Item]]="","",IFERROR(INDEX(tblItems[Order multiple (units)],MATCH(tblMRP[[#This Row],[Item]],tblItems[Item],0)),""))</f>
        <v>50</v>
      </c>
      <c r="K1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705</v>
      </c>
      <c r="L11" s="35">
        <f>IF(tblMRP[[#This Row],[Item]]="","",IF(tblMRP[[#This Row],[Order multiple (units)]]="","",tblMRP[[#This Row],[Order multiple (units)]]*CEILING(SUMPRODUCT(MAX((tblMRP[Item]=tblMRP[[#This Row],[Item]])*(tblMRP[Week]&lt;=tblMRP[[#This Row],[Week]])*tblMRP[Uncovered (units)]))/tblMRP[[#This Row],[Order multiple (units)]],1)))</f>
        <v>750</v>
      </c>
      <c r="M11" s="35">
        <f>IF(tblMRP[[#This Row],[Item]]="","",IF(tblMRP[[#This Row],[Order multiple (units)]]="","",tblMRP[[#This Row],[Cum. planned (units)]]-tblMRP[[#This Row],[Order multiple (units)]]*CEILING(SUMPRODUCT(MAX((tblMRP[Item]=tblMRP[[#This Row],[Item]])*(tblMRP[Week]&lt;tblMRP[[#This Row],[Week]])*tblMRP[Uncovered (units)]))/tblMRP[[#This Row],[Order multiple (units)]],1)))</f>
        <v>400</v>
      </c>
      <c r="N11" s="35">
        <f>IF(tblMRP[[#This Row],[Item]]="","",IF(tblMRP[[#This Row],[Order multiple (units)]]="","",MAX(0,tblMRP[[#This Row],[Uncovered (units)]]-(tblMRP[[#This Row],[Cum. planned (units)]]-tblMRP[[#This Row],[Planned receipt (units)]]))))</f>
        <v>355</v>
      </c>
      <c r="O11" s="35">
        <f>IF(tblMRP[[#This Row],[Item]]="","",IF(tblMRP[[#This Row],[Order multiple (units)]]="","",tblMRP[[#This Row],[Safety stock (units)]]-tblMRP[[#This Row],[Uncovered (units)]]+tblMRP[[#This Row],[Cum. planned (units)]]))</f>
        <v>245</v>
      </c>
      <c r="P11" s="36">
        <f>IF(tblMRP[[#This Row],[Item]]="","",IF(N(tblMRP[[#This Row],[Planned receipt (units)]])&gt;0,tblMRP[[#This Row],[Week]]-7*tblMRP[[#This Row],[Lead time (wk)]],""))</f>
        <v>46335</v>
      </c>
      <c r="Q11" s="35">
        <f>IF(tblMRP[[#This Row],[Item]]="","",SUMIFS(tblMRP[Planned receipt (units)],tblMRP[Item],tblMRP[[#This Row],[Item]],tblMRP[Week],tblMRP[[#This Row],[Week]]+7*N(tblMRP[[#This Row],[Lead time (wk)]])))</f>
        <v>350</v>
      </c>
      <c r="R11" s="37" t="str">
        <f>IF(tblMRP[[#This Row],[Item]]="","",IF(N(tblMRP[[#This Row],[Planned receipt (units)]])=0,"",IF(tblMRP[[#This Row],[Release week]]&lt;PlanStart,"Overdue",IF(tblMRP[[#This Row],[Release week]]&lt;PlanStart+7,"Due soon","OK"))))</f>
        <v>OK</v>
      </c>
      <c r="S1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1" s="28" t="s">
        <v>112</v>
      </c>
    </row>
    <row r="12" spans="1:20" x14ac:dyDescent="0.25">
      <c r="B12" s="28" t="s">
        <v>75</v>
      </c>
      <c r="C12" s="34">
        <v>46370</v>
      </c>
      <c r="D12" s="32">
        <v>400</v>
      </c>
      <c r="E12" s="32">
        <v>0</v>
      </c>
      <c r="F12" s="35">
        <f>IF(tblMRP[[#This Row],[Item]]="","",(tblMRP[[#This Row],[Week]]-PlanStart)/7+1)</f>
        <v>7</v>
      </c>
      <c r="G12" s="35">
        <f>IF(tblMRP[[#This Row],[Item]]="","",IFERROR(INDEX(tblItems[On hand (units)],MATCH(tblMRP[[#This Row],[Item]],tblItems[Item],0)),""))</f>
        <v>1150</v>
      </c>
      <c r="H12" s="35">
        <f>IF(tblMRP[[#This Row],[Item]]="","",IFERROR(INDEX(tblItems[Safety stock (units)],MATCH(tblMRP[[#This Row],[Item]],tblItems[Item],0)),""))</f>
        <v>200</v>
      </c>
      <c r="I12" s="35">
        <f>IF(tblMRP[[#This Row],[Item]]="","",IFERROR(INDEX(tblItems[Lead time (wk)],MATCH(tblMRP[[#This Row],[Item]],tblItems[Item],0)),""))</f>
        <v>4</v>
      </c>
      <c r="J12" s="35">
        <f>IF(tblMRP[[#This Row],[Item]]="","",IFERROR(INDEX(tblItems[Order multiple (units)],MATCH(tblMRP[[#This Row],[Item]],tblItems[Item],0)),""))</f>
        <v>50</v>
      </c>
      <c r="K1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1105</v>
      </c>
      <c r="L12" s="35">
        <f>IF(tblMRP[[#This Row],[Item]]="","",IF(tblMRP[[#This Row],[Order multiple (units)]]="","",tblMRP[[#This Row],[Order multiple (units)]]*CEILING(SUMPRODUCT(MAX((tblMRP[Item]=tblMRP[[#This Row],[Item]])*(tblMRP[Week]&lt;=tblMRP[[#This Row],[Week]])*tblMRP[Uncovered (units)]))/tblMRP[[#This Row],[Order multiple (units)]],1)))</f>
        <v>1150</v>
      </c>
      <c r="M12" s="35">
        <f>IF(tblMRP[[#This Row],[Item]]="","",IF(tblMRP[[#This Row],[Order multiple (units)]]="","",tblMRP[[#This Row],[Cum. planned (units)]]-tblMRP[[#This Row],[Order multiple (units)]]*CEILING(SUMPRODUCT(MAX((tblMRP[Item]=tblMRP[[#This Row],[Item]])*(tblMRP[Week]&lt;tblMRP[[#This Row],[Week]])*tblMRP[Uncovered (units)]))/tblMRP[[#This Row],[Order multiple (units)]],1)))</f>
        <v>400</v>
      </c>
      <c r="N12" s="35">
        <f>IF(tblMRP[[#This Row],[Item]]="","",IF(tblMRP[[#This Row],[Order multiple (units)]]="","",MAX(0,tblMRP[[#This Row],[Uncovered (units)]]-(tblMRP[[#This Row],[Cum. planned (units)]]-tblMRP[[#This Row],[Planned receipt (units)]]))))</f>
        <v>355</v>
      </c>
      <c r="O12" s="35">
        <f>IF(tblMRP[[#This Row],[Item]]="","",IF(tblMRP[[#This Row],[Order multiple (units)]]="","",tblMRP[[#This Row],[Safety stock (units)]]-tblMRP[[#This Row],[Uncovered (units)]]+tblMRP[[#This Row],[Cum. planned (units)]]))</f>
        <v>245</v>
      </c>
      <c r="P12" s="36">
        <f>IF(tblMRP[[#This Row],[Item]]="","",IF(N(tblMRP[[#This Row],[Planned receipt (units)]])&gt;0,tblMRP[[#This Row],[Week]]-7*tblMRP[[#This Row],[Lead time (wk)]],""))</f>
        <v>46342</v>
      </c>
      <c r="Q12" s="35">
        <f>IF(tblMRP[[#This Row],[Item]]="","",SUMIFS(tblMRP[Planned receipt (units)],tblMRP[Item],tblMRP[[#This Row],[Item]],tblMRP[Week],tblMRP[[#This Row],[Week]]+7*N(tblMRP[[#This Row],[Lead time (wk)]])))</f>
        <v>350</v>
      </c>
      <c r="R12" s="37" t="str">
        <f>IF(tblMRP[[#This Row],[Item]]="","",IF(N(tblMRP[[#This Row],[Planned receipt (units)]])=0,"",IF(tblMRP[[#This Row],[Release week]]&lt;PlanStart,"Overdue",IF(tblMRP[[#This Row],[Release week]]&lt;PlanStart+7,"Due soon","OK"))))</f>
        <v>OK</v>
      </c>
      <c r="S1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2" s="28" t="s">
        <v>112</v>
      </c>
    </row>
    <row r="13" spans="1:20" x14ac:dyDescent="0.25">
      <c r="B13" s="28" t="s">
        <v>75</v>
      </c>
      <c r="C13" s="34">
        <v>46377</v>
      </c>
      <c r="D13" s="32">
        <v>405</v>
      </c>
      <c r="E13" s="32">
        <v>0</v>
      </c>
      <c r="F13" s="35">
        <f>IF(tblMRP[[#This Row],[Item]]="","",(tblMRP[[#This Row],[Week]]-PlanStart)/7+1)</f>
        <v>8</v>
      </c>
      <c r="G13" s="35">
        <f>IF(tblMRP[[#This Row],[Item]]="","",IFERROR(INDEX(tblItems[On hand (units)],MATCH(tblMRP[[#This Row],[Item]],tblItems[Item],0)),""))</f>
        <v>1150</v>
      </c>
      <c r="H13" s="35">
        <f>IF(tblMRP[[#This Row],[Item]]="","",IFERROR(INDEX(tblItems[Safety stock (units)],MATCH(tblMRP[[#This Row],[Item]],tblItems[Item],0)),""))</f>
        <v>200</v>
      </c>
      <c r="I13" s="35">
        <f>IF(tblMRP[[#This Row],[Item]]="","",IFERROR(INDEX(tblItems[Lead time (wk)],MATCH(tblMRP[[#This Row],[Item]],tblItems[Item],0)),""))</f>
        <v>4</v>
      </c>
      <c r="J13" s="35">
        <f>IF(tblMRP[[#This Row],[Item]]="","",IFERROR(INDEX(tblItems[Order multiple (units)],MATCH(tblMRP[[#This Row],[Item]],tblItems[Item],0)),""))</f>
        <v>50</v>
      </c>
      <c r="K1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1510</v>
      </c>
      <c r="L13" s="35">
        <f>IF(tblMRP[[#This Row],[Item]]="","",IF(tblMRP[[#This Row],[Order multiple (units)]]="","",tblMRP[[#This Row],[Order multiple (units)]]*CEILING(SUMPRODUCT(MAX((tblMRP[Item]=tblMRP[[#This Row],[Item]])*(tblMRP[Week]&lt;=tblMRP[[#This Row],[Week]])*tblMRP[Uncovered (units)]))/tblMRP[[#This Row],[Order multiple (units)]],1)))</f>
        <v>1550</v>
      </c>
      <c r="M13" s="35">
        <f>IF(tblMRP[[#This Row],[Item]]="","",IF(tblMRP[[#This Row],[Order multiple (units)]]="","",tblMRP[[#This Row],[Cum. planned (units)]]-tblMRP[[#This Row],[Order multiple (units)]]*CEILING(SUMPRODUCT(MAX((tblMRP[Item]=tblMRP[[#This Row],[Item]])*(tblMRP[Week]&lt;tblMRP[[#This Row],[Week]])*tblMRP[Uncovered (units)]))/tblMRP[[#This Row],[Order multiple (units)]],1)))</f>
        <v>400</v>
      </c>
      <c r="N13" s="35">
        <f>IF(tblMRP[[#This Row],[Item]]="","",IF(tblMRP[[#This Row],[Order multiple (units)]]="","",MAX(0,tblMRP[[#This Row],[Uncovered (units)]]-(tblMRP[[#This Row],[Cum. planned (units)]]-tblMRP[[#This Row],[Planned receipt (units)]]))))</f>
        <v>360</v>
      </c>
      <c r="O13" s="35">
        <f>IF(tblMRP[[#This Row],[Item]]="","",IF(tblMRP[[#This Row],[Order multiple (units)]]="","",tblMRP[[#This Row],[Safety stock (units)]]-tblMRP[[#This Row],[Uncovered (units)]]+tblMRP[[#This Row],[Cum. planned (units)]]))</f>
        <v>240</v>
      </c>
      <c r="P13" s="36">
        <f>IF(tblMRP[[#This Row],[Item]]="","",IF(N(tblMRP[[#This Row],[Planned receipt (units)]])&gt;0,tblMRP[[#This Row],[Week]]-7*tblMRP[[#This Row],[Lead time (wk)]],""))</f>
        <v>46349</v>
      </c>
      <c r="Q13" s="35">
        <f>IF(tblMRP[[#This Row],[Item]]="","",SUMIFS(tblMRP[Planned receipt (units)],tblMRP[Item],tblMRP[[#This Row],[Item]],tblMRP[Week],tblMRP[[#This Row],[Week]]+7*N(tblMRP[[#This Row],[Lead time (wk)]])))</f>
        <v>350</v>
      </c>
      <c r="R13" s="37" t="str">
        <f>IF(tblMRP[[#This Row],[Item]]="","",IF(N(tblMRP[[#This Row],[Planned receipt (units)]])=0,"",IF(tblMRP[[#This Row],[Release week]]&lt;PlanStart,"Overdue",IF(tblMRP[[#This Row],[Release week]]&lt;PlanStart+7,"Due soon","OK"))))</f>
        <v>OK</v>
      </c>
      <c r="S1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3" s="28" t="s">
        <v>112</v>
      </c>
    </row>
    <row r="14" spans="1:20" x14ac:dyDescent="0.25">
      <c r="B14" s="28" t="s">
        <v>75</v>
      </c>
      <c r="C14" s="34">
        <v>46384</v>
      </c>
      <c r="D14" s="32">
        <v>395</v>
      </c>
      <c r="E14" s="32">
        <v>0</v>
      </c>
      <c r="F14" s="35">
        <f>IF(tblMRP[[#This Row],[Item]]="","",(tblMRP[[#This Row],[Week]]-PlanStart)/7+1)</f>
        <v>9</v>
      </c>
      <c r="G14" s="35">
        <f>IF(tblMRP[[#This Row],[Item]]="","",IFERROR(INDEX(tblItems[On hand (units)],MATCH(tblMRP[[#This Row],[Item]],tblItems[Item],0)),""))</f>
        <v>1150</v>
      </c>
      <c r="H14" s="35">
        <f>IF(tblMRP[[#This Row],[Item]]="","",IFERROR(INDEX(tblItems[Safety stock (units)],MATCH(tblMRP[[#This Row],[Item]],tblItems[Item],0)),""))</f>
        <v>200</v>
      </c>
      <c r="I14" s="35">
        <f>IF(tblMRP[[#This Row],[Item]]="","",IFERROR(INDEX(tblItems[Lead time (wk)],MATCH(tblMRP[[#This Row],[Item]],tblItems[Item],0)),""))</f>
        <v>4</v>
      </c>
      <c r="J14" s="35">
        <f>IF(tblMRP[[#This Row],[Item]]="","",IFERROR(INDEX(tblItems[Order multiple (units)],MATCH(tblMRP[[#This Row],[Item]],tblItems[Item],0)),""))</f>
        <v>50</v>
      </c>
      <c r="K1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1905</v>
      </c>
      <c r="L14" s="35">
        <f>IF(tblMRP[[#This Row],[Item]]="","",IF(tblMRP[[#This Row],[Order multiple (units)]]="","",tblMRP[[#This Row],[Order multiple (units)]]*CEILING(SUMPRODUCT(MAX((tblMRP[Item]=tblMRP[[#This Row],[Item]])*(tblMRP[Week]&lt;=tblMRP[[#This Row],[Week]])*tblMRP[Uncovered (units)]))/tblMRP[[#This Row],[Order multiple (units)]],1)))</f>
        <v>1950</v>
      </c>
      <c r="M14" s="35">
        <f>IF(tblMRP[[#This Row],[Item]]="","",IF(tblMRP[[#This Row],[Order multiple (units)]]="","",tblMRP[[#This Row],[Cum. planned (units)]]-tblMRP[[#This Row],[Order multiple (units)]]*CEILING(SUMPRODUCT(MAX((tblMRP[Item]=tblMRP[[#This Row],[Item]])*(tblMRP[Week]&lt;tblMRP[[#This Row],[Week]])*tblMRP[Uncovered (units)]))/tblMRP[[#This Row],[Order multiple (units)]],1)))</f>
        <v>400</v>
      </c>
      <c r="N14" s="35">
        <f>IF(tblMRP[[#This Row],[Item]]="","",IF(tblMRP[[#This Row],[Order multiple (units)]]="","",MAX(0,tblMRP[[#This Row],[Uncovered (units)]]-(tblMRP[[#This Row],[Cum. planned (units)]]-tblMRP[[#This Row],[Planned receipt (units)]]))))</f>
        <v>355</v>
      </c>
      <c r="O14" s="35">
        <f>IF(tblMRP[[#This Row],[Item]]="","",IF(tblMRP[[#This Row],[Order multiple (units)]]="","",tblMRP[[#This Row],[Safety stock (units)]]-tblMRP[[#This Row],[Uncovered (units)]]+tblMRP[[#This Row],[Cum. planned (units)]]))</f>
        <v>245</v>
      </c>
      <c r="P14" s="36">
        <f>IF(tblMRP[[#This Row],[Item]]="","",IF(N(tblMRP[[#This Row],[Planned receipt (units)]])&gt;0,tblMRP[[#This Row],[Week]]-7*tblMRP[[#This Row],[Lead time (wk)]],""))</f>
        <v>46356</v>
      </c>
      <c r="Q14" s="35">
        <f>IF(tblMRP[[#This Row],[Item]]="","",SUMIFS(tblMRP[Planned receipt (units)],tblMRP[Item],tblMRP[[#This Row],[Item]],tblMRP[Week],tblMRP[[#This Row],[Week]]+7*N(tblMRP[[#This Row],[Lead time (wk)]])))</f>
        <v>0</v>
      </c>
      <c r="R14" s="37" t="str">
        <f>IF(tblMRP[[#This Row],[Item]]="","",IF(N(tblMRP[[#This Row],[Planned receipt (units)]])=0,"",IF(tblMRP[[#This Row],[Release week]]&lt;PlanStart,"Overdue",IF(tblMRP[[#This Row],[Release week]]&lt;PlanStart+7,"Due soon","OK"))))</f>
        <v>OK</v>
      </c>
      <c r="S1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4" s="28" t="s">
        <v>112</v>
      </c>
    </row>
    <row r="15" spans="1:20" x14ac:dyDescent="0.25">
      <c r="B15" s="28" t="s">
        <v>75</v>
      </c>
      <c r="C15" s="34">
        <v>46391</v>
      </c>
      <c r="D15" s="32">
        <v>380</v>
      </c>
      <c r="E15" s="32">
        <v>0</v>
      </c>
      <c r="F15" s="35">
        <f>IF(tblMRP[[#This Row],[Item]]="","",(tblMRP[[#This Row],[Week]]-PlanStart)/7+1)</f>
        <v>10</v>
      </c>
      <c r="G15" s="35">
        <f>IF(tblMRP[[#This Row],[Item]]="","",IFERROR(INDEX(tblItems[On hand (units)],MATCH(tblMRP[[#This Row],[Item]],tblItems[Item],0)),""))</f>
        <v>1150</v>
      </c>
      <c r="H15" s="35">
        <f>IF(tblMRP[[#This Row],[Item]]="","",IFERROR(INDEX(tblItems[Safety stock (units)],MATCH(tblMRP[[#This Row],[Item]],tblItems[Item],0)),""))</f>
        <v>200</v>
      </c>
      <c r="I15" s="35">
        <f>IF(tblMRP[[#This Row],[Item]]="","",IFERROR(INDEX(tblItems[Lead time (wk)],MATCH(tblMRP[[#This Row],[Item]],tblItems[Item],0)),""))</f>
        <v>4</v>
      </c>
      <c r="J15" s="35">
        <f>IF(tblMRP[[#This Row],[Item]]="","",IFERROR(INDEX(tblItems[Order multiple (units)],MATCH(tblMRP[[#This Row],[Item]],tblItems[Item],0)),""))</f>
        <v>50</v>
      </c>
      <c r="K1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2285</v>
      </c>
      <c r="L15" s="35">
        <f>IF(tblMRP[[#This Row],[Item]]="","",IF(tblMRP[[#This Row],[Order multiple (units)]]="","",tblMRP[[#This Row],[Order multiple (units)]]*CEILING(SUMPRODUCT(MAX((tblMRP[Item]=tblMRP[[#This Row],[Item]])*(tblMRP[Week]&lt;=tblMRP[[#This Row],[Week]])*tblMRP[Uncovered (units)]))/tblMRP[[#This Row],[Order multiple (units)]],1)))</f>
        <v>2300</v>
      </c>
      <c r="M15" s="35">
        <f>IF(tblMRP[[#This Row],[Item]]="","",IF(tblMRP[[#This Row],[Order multiple (units)]]="","",tblMRP[[#This Row],[Cum. planned (units)]]-tblMRP[[#This Row],[Order multiple (units)]]*CEILING(SUMPRODUCT(MAX((tblMRP[Item]=tblMRP[[#This Row],[Item]])*(tblMRP[Week]&lt;tblMRP[[#This Row],[Week]])*tblMRP[Uncovered (units)]))/tblMRP[[#This Row],[Order multiple (units)]],1)))</f>
        <v>350</v>
      </c>
      <c r="N15" s="35">
        <f>IF(tblMRP[[#This Row],[Item]]="","",IF(tblMRP[[#This Row],[Order multiple (units)]]="","",MAX(0,tblMRP[[#This Row],[Uncovered (units)]]-(tblMRP[[#This Row],[Cum. planned (units)]]-tblMRP[[#This Row],[Planned receipt (units)]]))))</f>
        <v>335</v>
      </c>
      <c r="O15" s="35">
        <f>IF(tblMRP[[#This Row],[Item]]="","",IF(tblMRP[[#This Row],[Order multiple (units)]]="","",tblMRP[[#This Row],[Safety stock (units)]]-tblMRP[[#This Row],[Uncovered (units)]]+tblMRP[[#This Row],[Cum. planned (units)]]))</f>
        <v>215</v>
      </c>
      <c r="P15" s="36">
        <f>IF(tblMRP[[#This Row],[Item]]="","",IF(N(tblMRP[[#This Row],[Planned receipt (units)]])&gt;0,tblMRP[[#This Row],[Week]]-7*tblMRP[[#This Row],[Lead time (wk)]],""))</f>
        <v>46363</v>
      </c>
      <c r="Q15" s="35">
        <f>IF(tblMRP[[#This Row],[Item]]="","",SUMIFS(tblMRP[Planned receipt (units)],tblMRP[Item],tblMRP[[#This Row],[Item]],tblMRP[Week],tblMRP[[#This Row],[Week]]+7*N(tblMRP[[#This Row],[Lead time (wk)]])))</f>
        <v>0</v>
      </c>
      <c r="R15" s="37" t="str">
        <f>IF(tblMRP[[#This Row],[Item]]="","",IF(N(tblMRP[[#This Row],[Planned receipt (units)]])=0,"",IF(tblMRP[[#This Row],[Release week]]&lt;PlanStart,"Overdue",IF(tblMRP[[#This Row],[Release week]]&lt;PlanStart+7,"Due soon","OK"))))</f>
        <v>OK</v>
      </c>
      <c r="S1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5" s="28" t="s">
        <v>112</v>
      </c>
    </row>
    <row r="16" spans="1:20" x14ac:dyDescent="0.25">
      <c r="B16" s="28" t="s">
        <v>75</v>
      </c>
      <c r="C16" s="34">
        <v>46398</v>
      </c>
      <c r="D16" s="32">
        <v>360</v>
      </c>
      <c r="E16" s="32">
        <v>0</v>
      </c>
      <c r="F16" s="35">
        <f>IF(tblMRP[[#This Row],[Item]]="","",(tblMRP[[#This Row],[Week]]-PlanStart)/7+1)</f>
        <v>11</v>
      </c>
      <c r="G16" s="35">
        <f>IF(tblMRP[[#This Row],[Item]]="","",IFERROR(INDEX(tblItems[On hand (units)],MATCH(tblMRP[[#This Row],[Item]],tblItems[Item],0)),""))</f>
        <v>1150</v>
      </c>
      <c r="H16" s="35">
        <f>IF(tblMRP[[#This Row],[Item]]="","",IFERROR(INDEX(tblItems[Safety stock (units)],MATCH(tblMRP[[#This Row],[Item]],tblItems[Item],0)),""))</f>
        <v>200</v>
      </c>
      <c r="I16" s="35">
        <f>IF(tblMRP[[#This Row],[Item]]="","",IFERROR(INDEX(tblItems[Lead time (wk)],MATCH(tblMRP[[#This Row],[Item]],tblItems[Item],0)),""))</f>
        <v>4</v>
      </c>
      <c r="J16" s="35">
        <f>IF(tblMRP[[#This Row],[Item]]="","",IFERROR(INDEX(tblItems[Order multiple (units)],MATCH(tblMRP[[#This Row],[Item]],tblItems[Item],0)),""))</f>
        <v>50</v>
      </c>
      <c r="K1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2645</v>
      </c>
      <c r="L16" s="35">
        <f>IF(tblMRP[[#This Row],[Item]]="","",IF(tblMRP[[#This Row],[Order multiple (units)]]="","",tblMRP[[#This Row],[Order multiple (units)]]*CEILING(SUMPRODUCT(MAX((tblMRP[Item]=tblMRP[[#This Row],[Item]])*(tblMRP[Week]&lt;=tblMRP[[#This Row],[Week]])*tblMRP[Uncovered (units)]))/tblMRP[[#This Row],[Order multiple (units)]],1)))</f>
        <v>2650</v>
      </c>
      <c r="M16" s="35">
        <f>IF(tblMRP[[#This Row],[Item]]="","",IF(tblMRP[[#This Row],[Order multiple (units)]]="","",tblMRP[[#This Row],[Cum. planned (units)]]-tblMRP[[#This Row],[Order multiple (units)]]*CEILING(SUMPRODUCT(MAX((tblMRP[Item]=tblMRP[[#This Row],[Item]])*(tblMRP[Week]&lt;tblMRP[[#This Row],[Week]])*tblMRP[Uncovered (units)]))/tblMRP[[#This Row],[Order multiple (units)]],1)))</f>
        <v>350</v>
      </c>
      <c r="N16" s="35">
        <f>IF(tblMRP[[#This Row],[Item]]="","",IF(tblMRP[[#This Row],[Order multiple (units)]]="","",MAX(0,tblMRP[[#This Row],[Uncovered (units)]]-(tblMRP[[#This Row],[Cum. planned (units)]]-tblMRP[[#This Row],[Planned receipt (units)]]))))</f>
        <v>345</v>
      </c>
      <c r="O16" s="35">
        <f>IF(tblMRP[[#This Row],[Item]]="","",IF(tblMRP[[#This Row],[Order multiple (units)]]="","",tblMRP[[#This Row],[Safety stock (units)]]-tblMRP[[#This Row],[Uncovered (units)]]+tblMRP[[#This Row],[Cum. planned (units)]]))</f>
        <v>205</v>
      </c>
      <c r="P16" s="36">
        <f>IF(tblMRP[[#This Row],[Item]]="","",IF(N(tblMRP[[#This Row],[Planned receipt (units)]])&gt;0,tblMRP[[#This Row],[Week]]-7*tblMRP[[#This Row],[Lead time (wk)]],""))</f>
        <v>46370</v>
      </c>
      <c r="Q16" s="35">
        <f>IF(tblMRP[[#This Row],[Item]]="","",SUMIFS(tblMRP[Planned receipt (units)],tblMRP[Item],tblMRP[[#This Row],[Item]],tblMRP[Week],tblMRP[[#This Row],[Week]]+7*N(tblMRP[[#This Row],[Lead time (wk)]])))</f>
        <v>0</v>
      </c>
      <c r="R16" s="37" t="str">
        <f>IF(tblMRP[[#This Row],[Item]]="","",IF(N(tblMRP[[#This Row],[Planned receipt (units)]])=0,"",IF(tblMRP[[#This Row],[Release week]]&lt;PlanStart,"Overdue",IF(tblMRP[[#This Row],[Release week]]&lt;PlanStart+7,"Due soon","OK"))))</f>
        <v>OK</v>
      </c>
      <c r="S1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6" s="28" t="s">
        <v>112</v>
      </c>
    </row>
    <row r="17" spans="2:20" x14ac:dyDescent="0.25">
      <c r="B17" s="28" t="s">
        <v>75</v>
      </c>
      <c r="C17" s="34">
        <v>46405</v>
      </c>
      <c r="D17" s="32">
        <v>335</v>
      </c>
      <c r="E17" s="32">
        <v>0</v>
      </c>
      <c r="F17" s="35">
        <f>IF(tblMRP[[#This Row],[Item]]="","",(tblMRP[[#This Row],[Week]]-PlanStart)/7+1)</f>
        <v>12</v>
      </c>
      <c r="G17" s="35">
        <f>IF(tblMRP[[#This Row],[Item]]="","",IFERROR(INDEX(tblItems[On hand (units)],MATCH(tblMRP[[#This Row],[Item]],tblItems[Item],0)),""))</f>
        <v>1150</v>
      </c>
      <c r="H17" s="35">
        <f>IF(tblMRP[[#This Row],[Item]]="","",IFERROR(INDEX(tblItems[Safety stock (units)],MATCH(tblMRP[[#This Row],[Item]],tblItems[Item],0)),""))</f>
        <v>200</v>
      </c>
      <c r="I17" s="35">
        <f>IF(tblMRP[[#This Row],[Item]]="","",IFERROR(INDEX(tblItems[Lead time (wk)],MATCH(tblMRP[[#This Row],[Item]],tblItems[Item],0)),""))</f>
        <v>4</v>
      </c>
      <c r="J17" s="35">
        <f>IF(tblMRP[[#This Row],[Item]]="","",IFERROR(INDEX(tblItems[Order multiple (units)],MATCH(tblMRP[[#This Row],[Item]],tblItems[Item],0)),""))</f>
        <v>50</v>
      </c>
      <c r="K1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2980</v>
      </c>
      <c r="L17" s="35">
        <f>IF(tblMRP[[#This Row],[Item]]="","",IF(tblMRP[[#This Row],[Order multiple (units)]]="","",tblMRP[[#This Row],[Order multiple (units)]]*CEILING(SUMPRODUCT(MAX((tblMRP[Item]=tblMRP[[#This Row],[Item]])*(tblMRP[Week]&lt;=tblMRP[[#This Row],[Week]])*tblMRP[Uncovered (units)]))/tblMRP[[#This Row],[Order multiple (units)]],1)))</f>
        <v>3000</v>
      </c>
      <c r="M17" s="35">
        <f>IF(tblMRP[[#This Row],[Item]]="","",IF(tblMRP[[#This Row],[Order multiple (units)]]="","",tblMRP[[#This Row],[Cum. planned (units)]]-tblMRP[[#This Row],[Order multiple (units)]]*CEILING(SUMPRODUCT(MAX((tblMRP[Item]=tblMRP[[#This Row],[Item]])*(tblMRP[Week]&lt;tblMRP[[#This Row],[Week]])*tblMRP[Uncovered (units)]))/tblMRP[[#This Row],[Order multiple (units)]],1)))</f>
        <v>350</v>
      </c>
      <c r="N17" s="35">
        <f>IF(tblMRP[[#This Row],[Item]]="","",IF(tblMRP[[#This Row],[Order multiple (units)]]="","",MAX(0,tblMRP[[#This Row],[Uncovered (units)]]-(tblMRP[[#This Row],[Cum. planned (units)]]-tblMRP[[#This Row],[Planned receipt (units)]]))))</f>
        <v>330</v>
      </c>
      <c r="O17" s="35">
        <f>IF(tblMRP[[#This Row],[Item]]="","",IF(tblMRP[[#This Row],[Order multiple (units)]]="","",tblMRP[[#This Row],[Safety stock (units)]]-tblMRP[[#This Row],[Uncovered (units)]]+tblMRP[[#This Row],[Cum. planned (units)]]))</f>
        <v>220</v>
      </c>
      <c r="P17" s="36">
        <f>IF(tblMRP[[#This Row],[Item]]="","",IF(N(tblMRP[[#This Row],[Planned receipt (units)]])&gt;0,tblMRP[[#This Row],[Week]]-7*tblMRP[[#This Row],[Lead time (wk)]],""))</f>
        <v>46377</v>
      </c>
      <c r="Q17" s="35">
        <f>IF(tblMRP[[#This Row],[Item]]="","",SUMIFS(tblMRP[Planned receipt (units)],tblMRP[Item],tblMRP[[#This Row],[Item]],tblMRP[Week],tblMRP[[#This Row],[Week]]+7*N(tblMRP[[#This Row],[Lead time (wk)]])))</f>
        <v>0</v>
      </c>
      <c r="R17" s="37" t="str">
        <f>IF(tblMRP[[#This Row],[Item]]="","",IF(N(tblMRP[[#This Row],[Planned receipt (units)]])=0,"",IF(tblMRP[[#This Row],[Release week]]&lt;PlanStart,"Overdue",IF(tblMRP[[#This Row],[Release week]]&lt;PlanStart+7,"Due soon","OK"))))</f>
        <v>OK</v>
      </c>
      <c r="S1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7" s="28" t="s">
        <v>112</v>
      </c>
    </row>
    <row r="18" spans="2:20" x14ac:dyDescent="0.25">
      <c r="B18" s="28" t="s">
        <v>79</v>
      </c>
      <c r="C18" s="34">
        <v>46328</v>
      </c>
      <c r="D18" s="32">
        <v>305</v>
      </c>
      <c r="E18" s="32">
        <v>0</v>
      </c>
      <c r="F18" s="35">
        <f>IF(tblMRP[[#This Row],[Item]]="","",(tblMRP[[#This Row],[Week]]-PlanStart)/7+1)</f>
        <v>1</v>
      </c>
      <c r="G18" s="35">
        <f>IF(tblMRP[[#This Row],[Item]]="","",IFERROR(INDEX(tblItems[On hand (units)],MATCH(tblMRP[[#This Row],[Item]],tblItems[Item],0)),""))</f>
        <v>700</v>
      </c>
      <c r="H18" s="35">
        <f>IF(tblMRP[[#This Row],[Item]]="","",IFERROR(INDEX(tblItems[Safety stock (units)],MATCH(tblMRP[[#This Row],[Item]],tblItems[Item],0)),""))</f>
        <v>150</v>
      </c>
      <c r="I18" s="35">
        <f>IF(tblMRP[[#This Row],[Item]]="","",IFERROR(INDEX(tblItems[Lead time (wk)],MATCH(tblMRP[[#This Row],[Item]],tblItems[Item],0)),""))</f>
        <v>6</v>
      </c>
      <c r="J18" s="35">
        <f>IF(tblMRP[[#This Row],[Item]]="","",IFERROR(INDEX(tblItems[Order multiple (units)],MATCH(tblMRP[[#This Row],[Item]],tblItems[Item],0)),""))</f>
        <v>100</v>
      </c>
      <c r="K1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-245</v>
      </c>
      <c r="L18" s="35">
        <f>IF(tblMRP[[#This Row],[Item]]="","",IF(tblMRP[[#This Row],[Order multiple (units)]]="","",tblMRP[[#This Row],[Order multiple (units)]]*CEILING(SUMPRODUCT(MAX((tblMRP[Item]=tblMRP[[#This Row],[Item]])*(tblMRP[Week]&lt;=tblMRP[[#This Row],[Week]])*tblMRP[Uncovered (units)]))/tblMRP[[#This Row],[Order multiple (units)]],1)))</f>
        <v>0</v>
      </c>
      <c r="M18" s="35">
        <f>IF(tblMRP[[#This Row],[Item]]="","",IF(tblMRP[[#This Row],[Order multiple (units)]]="","",tblMRP[[#This Row],[Cum. planned (units)]]-tblMRP[[#This Row],[Order multiple (units)]]*CEILING(SUMPRODUCT(MAX((tblMRP[Item]=tblMRP[[#This Row],[Item]])*(tblMRP[Week]&lt;tblMRP[[#This Row],[Week]])*tblMRP[Uncovered (units)]))/tblMRP[[#This Row],[Order multiple (units)]],1)))</f>
        <v>0</v>
      </c>
      <c r="N18" s="35">
        <f>IF(tblMRP[[#This Row],[Item]]="","",IF(tblMRP[[#This Row],[Order multiple (units)]]="","",MAX(0,tblMRP[[#This Row],[Uncovered (units)]]-(tblMRP[[#This Row],[Cum. planned (units)]]-tblMRP[[#This Row],[Planned receipt (units)]]))))</f>
        <v>0</v>
      </c>
      <c r="O18" s="35">
        <f>IF(tblMRP[[#This Row],[Item]]="","",IF(tblMRP[[#This Row],[Order multiple (units)]]="","",tblMRP[[#This Row],[Safety stock (units)]]-tblMRP[[#This Row],[Uncovered (units)]]+tblMRP[[#This Row],[Cum. planned (units)]]))</f>
        <v>395</v>
      </c>
      <c r="P18" s="36">
        <f>IF(tblMRP[[#This Row],[Item]]="","",IF(N(tblMRP[[#This Row],[Planned receipt (units)]])&gt;0,tblMRP[[#This Row],[Week]]-7*tblMRP[[#This Row],[Lead time (wk)]],""))</f>
        <v/>
      </c>
      <c r="Q18" s="35">
        <f>IF(tblMRP[[#This Row],[Item]]="","",SUMIFS(tblMRP[Planned receipt (units)],tblMRP[Item],tblMRP[[#This Row],[Item]],tblMRP[Week],tblMRP[[#This Row],[Week]]+7*N(tblMRP[[#This Row],[Lead time (wk)]])))</f>
        <v>400</v>
      </c>
      <c r="R18" s="37">
        <f>IF(tblMRP[[#This Row],[Item]]="","",IF(N(tblMRP[[#This Row],[Planned receipt (units)]])=0,"",IF(tblMRP[[#This Row],[Release week]]&lt;PlanStart,"Overdue",IF(tblMRP[[#This Row],[Release week]]&lt;PlanStart+7,"Due soon","OK"))))</f>
        <v/>
      </c>
      <c r="S1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8" s="28" t="s">
        <v>112</v>
      </c>
    </row>
    <row r="19" spans="2:20" x14ac:dyDescent="0.25">
      <c r="B19" s="28" t="s">
        <v>79</v>
      </c>
      <c r="C19" s="34">
        <v>46335</v>
      </c>
      <c r="D19" s="32">
        <v>340</v>
      </c>
      <c r="E19" s="32">
        <v>500</v>
      </c>
      <c r="F19" s="35">
        <f>IF(tblMRP[[#This Row],[Item]]="","",(tblMRP[[#This Row],[Week]]-PlanStart)/7+1)</f>
        <v>2</v>
      </c>
      <c r="G19" s="35">
        <f>IF(tblMRP[[#This Row],[Item]]="","",IFERROR(INDEX(tblItems[On hand (units)],MATCH(tblMRP[[#This Row],[Item]],tblItems[Item],0)),""))</f>
        <v>700</v>
      </c>
      <c r="H19" s="35">
        <f>IF(tblMRP[[#This Row],[Item]]="","",IFERROR(INDEX(tblItems[Safety stock (units)],MATCH(tblMRP[[#This Row],[Item]],tblItems[Item],0)),""))</f>
        <v>150</v>
      </c>
      <c r="I19" s="35">
        <f>IF(tblMRP[[#This Row],[Item]]="","",IFERROR(INDEX(tblItems[Lead time (wk)],MATCH(tblMRP[[#This Row],[Item]],tblItems[Item],0)),""))</f>
        <v>6</v>
      </c>
      <c r="J19" s="35">
        <f>IF(tblMRP[[#This Row],[Item]]="","",IFERROR(INDEX(tblItems[Order multiple (units)],MATCH(tblMRP[[#This Row],[Item]],tblItems[Item],0)),""))</f>
        <v>100</v>
      </c>
      <c r="K1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-405</v>
      </c>
      <c r="L19" s="35">
        <f>IF(tblMRP[[#This Row],[Item]]="","",IF(tblMRP[[#This Row],[Order multiple (units)]]="","",tblMRP[[#This Row],[Order multiple (units)]]*CEILING(SUMPRODUCT(MAX((tblMRP[Item]=tblMRP[[#This Row],[Item]])*(tblMRP[Week]&lt;=tblMRP[[#This Row],[Week]])*tblMRP[Uncovered (units)]))/tblMRP[[#This Row],[Order multiple (units)]],1)))</f>
        <v>0</v>
      </c>
      <c r="M19" s="35">
        <f>IF(tblMRP[[#This Row],[Item]]="","",IF(tblMRP[[#This Row],[Order multiple (units)]]="","",tblMRP[[#This Row],[Cum. planned (units)]]-tblMRP[[#This Row],[Order multiple (units)]]*CEILING(SUMPRODUCT(MAX((tblMRP[Item]=tblMRP[[#This Row],[Item]])*(tblMRP[Week]&lt;tblMRP[[#This Row],[Week]])*tblMRP[Uncovered (units)]))/tblMRP[[#This Row],[Order multiple (units)]],1)))</f>
        <v>0</v>
      </c>
      <c r="N19" s="35">
        <f>IF(tblMRP[[#This Row],[Item]]="","",IF(tblMRP[[#This Row],[Order multiple (units)]]="","",MAX(0,tblMRP[[#This Row],[Uncovered (units)]]-(tblMRP[[#This Row],[Cum. planned (units)]]-tblMRP[[#This Row],[Planned receipt (units)]]))))</f>
        <v>0</v>
      </c>
      <c r="O19" s="35">
        <f>IF(tblMRP[[#This Row],[Item]]="","",IF(tblMRP[[#This Row],[Order multiple (units)]]="","",tblMRP[[#This Row],[Safety stock (units)]]-tblMRP[[#This Row],[Uncovered (units)]]+tblMRP[[#This Row],[Cum. planned (units)]]))</f>
        <v>555</v>
      </c>
      <c r="P19" s="36">
        <f>IF(tblMRP[[#This Row],[Item]]="","",IF(N(tblMRP[[#This Row],[Planned receipt (units)]])&gt;0,tblMRP[[#This Row],[Week]]-7*tblMRP[[#This Row],[Lead time (wk)]],""))</f>
        <v/>
      </c>
      <c r="Q19" s="35">
        <f>IF(tblMRP[[#This Row],[Item]]="","",SUMIFS(tblMRP[Planned receipt (units)],tblMRP[Item],tblMRP[[#This Row],[Item]],tblMRP[Week],tblMRP[[#This Row],[Week]]+7*N(tblMRP[[#This Row],[Lead time (wk)]])))</f>
        <v>400</v>
      </c>
      <c r="R19" s="37">
        <f>IF(tblMRP[[#This Row],[Item]]="","",IF(N(tblMRP[[#This Row],[Planned receipt (units)]])=0,"",IF(tblMRP[[#This Row],[Release week]]&lt;PlanStart,"Overdue",IF(tblMRP[[#This Row],[Release week]]&lt;PlanStart+7,"Due soon","OK"))))</f>
        <v/>
      </c>
      <c r="S1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9" s="28" t="s">
        <v>113</v>
      </c>
    </row>
    <row r="20" spans="2:20" x14ac:dyDescent="0.25">
      <c r="B20" s="28" t="s">
        <v>79</v>
      </c>
      <c r="C20" s="34">
        <v>46342</v>
      </c>
      <c r="D20" s="32">
        <v>305</v>
      </c>
      <c r="E20" s="32">
        <v>0</v>
      </c>
      <c r="F20" s="35">
        <f>IF(tblMRP[[#This Row],[Item]]="","",(tblMRP[[#This Row],[Week]]-PlanStart)/7+1)</f>
        <v>3</v>
      </c>
      <c r="G20" s="35">
        <f>IF(tblMRP[[#This Row],[Item]]="","",IFERROR(INDEX(tblItems[On hand (units)],MATCH(tblMRP[[#This Row],[Item]],tblItems[Item],0)),""))</f>
        <v>700</v>
      </c>
      <c r="H20" s="35">
        <f>IF(tblMRP[[#This Row],[Item]]="","",IFERROR(INDEX(tblItems[Safety stock (units)],MATCH(tblMRP[[#This Row],[Item]],tblItems[Item],0)),""))</f>
        <v>150</v>
      </c>
      <c r="I20" s="35">
        <f>IF(tblMRP[[#This Row],[Item]]="","",IFERROR(INDEX(tblItems[Lead time (wk)],MATCH(tblMRP[[#This Row],[Item]],tblItems[Item],0)),""))</f>
        <v>6</v>
      </c>
      <c r="J20" s="35">
        <f>IF(tblMRP[[#This Row],[Item]]="","",IFERROR(INDEX(tblItems[Order multiple (units)],MATCH(tblMRP[[#This Row],[Item]],tblItems[Item],0)),""))</f>
        <v>100</v>
      </c>
      <c r="K2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-100</v>
      </c>
      <c r="L20" s="35">
        <f>IF(tblMRP[[#This Row],[Item]]="","",IF(tblMRP[[#This Row],[Order multiple (units)]]="","",tblMRP[[#This Row],[Order multiple (units)]]*CEILING(SUMPRODUCT(MAX((tblMRP[Item]=tblMRP[[#This Row],[Item]])*(tblMRP[Week]&lt;=tblMRP[[#This Row],[Week]])*tblMRP[Uncovered (units)]))/tblMRP[[#This Row],[Order multiple (units)]],1)))</f>
        <v>0</v>
      </c>
      <c r="M20" s="35">
        <f>IF(tblMRP[[#This Row],[Item]]="","",IF(tblMRP[[#This Row],[Order multiple (units)]]="","",tblMRP[[#This Row],[Cum. planned (units)]]-tblMRP[[#This Row],[Order multiple (units)]]*CEILING(SUMPRODUCT(MAX((tblMRP[Item]=tblMRP[[#This Row],[Item]])*(tblMRP[Week]&lt;tblMRP[[#This Row],[Week]])*tblMRP[Uncovered (units)]))/tblMRP[[#This Row],[Order multiple (units)]],1)))</f>
        <v>0</v>
      </c>
      <c r="N20" s="35">
        <f>IF(tblMRP[[#This Row],[Item]]="","",IF(tblMRP[[#This Row],[Order multiple (units)]]="","",MAX(0,tblMRP[[#This Row],[Uncovered (units)]]-(tblMRP[[#This Row],[Cum. planned (units)]]-tblMRP[[#This Row],[Planned receipt (units)]]))))</f>
        <v>0</v>
      </c>
      <c r="O20" s="35">
        <f>IF(tblMRP[[#This Row],[Item]]="","",IF(tblMRP[[#This Row],[Order multiple (units)]]="","",tblMRP[[#This Row],[Safety stock (units)]]-tblMRP[[#This Row],[Uncovered (units)]]+tblMRP[[#This Row],[Cum. planned (units)]]))</f>
        <v>250</v>
      </c>
      <c r="P20" s="36">
        <f>IF(tblMRP[[#This Row],[Item]]="","",IF(N(tblMRP[[#This Row],[Planned receipt (units)]])&gt;0,tblMRP[[#This Row],[Week]]-7*tblMRP[[#This Row],[Lead time (wk)]],""))</f>
        <v/>
      </c>
      <c r="Q20" s="35">
        <f>IF(tblMRP[[#This Row],[Item]]="","",SUMIFS(tblMRP[Planned receipt (units)],tblMRP[Item],tblMRP[[#This Row],[Item]],tblMRP[Week],tblMRP[[#This Row],[Week]]+7*N(tblMRP[[#This Row],[Lead time (wk)]])))</f>
        <v>400</v>
      </c>
      <c r="R20" s="37">
        <f>IF(tblMRP[[#This Row],[Item]]="","",IF(N(tblMRP[[#This Row],[Planned receipt (units)]])=0,"",IF(tblMRP[[#This Row],[Release week]]&lt;PlanStart,"Overdue",IF(tblMRP[[#This Row],[Release week]]&lt;PlanStart+7,"Due soon","OK"))))</f>
        <v/>
      </c>
      <c r="S2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0" s="28" t="s">
        <v>112</v>
      </c>
    </row>
    <row r="21" spans="2:20" x14ac:dyDescent="0.25">
      <c r="B21" s="28" t="s">
        <v>79</v>
      </c>
      <c r="C21" s="34">
        <v>46349</v>
      </c>
      <c r="D21" s="32">
        <v>360</v>
      </c>
      <c r="E21" s="32">
        <v>0</v>
      </c>
      <c r="F21" s="35">
        <f>IF(tblMRP[[#This Row],[Item]]="","",(tblMRP[[#This Row],[Week]]-PlanStart)/7+1)</f>
        <v>4</v>
      </c>
      <c r="G21" s="35">
        <f>IF(tblMRP[[#This Row],[Item]]="","",IFERROR(INDEX(tblItems[On hand (units)],MATCH(tblMRP[[#This Row],[Item]],tblItems[Item],0)),""))</f>
        <v>700</v>
      </c>
      <c r="H21" s="35">
        <f>IF(tblMRP[[#This Row],[Item]]="","",IFERROR(INDEX(tblItems[Safety stock (units)],MATCH(tblMRP[[#This Row],[Item]],tblItems[Item],0)),""))</f>
        <v>150</v>
      </c>
      <c r="I21" s="35">
        <f>IF(tblMRP[[#This Row],[Item]]="","",IFERROR(INDEX(tblItems[Lead time (wk)],MATCH(tblMRP[[#This Row],[Item]],tblItems[Item],0)),""))</f>
        <v>6</v>
      </c>
      <c r="J21" s="35">
        <f>IF(tblMRP[[#This Row],[Item]]="","",IFERROR(INDEX(tblItems[Order multiple (units)],MATCH(tblMRP[[#This Row],[Item]],tblItems[Item],0)),""))</f>
        <v>100</v>
      </c>
      <c r="K2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260</v>
      </c>
      <c r="L21" s="35">
        <f>IF(tblMRP[[#This Row],[Item]]="","",IF(tblMRP[[#This Row],[Order multiple (units)]]="","",tblMRP[[#This Row],[Order multiple (units)]]*CEILING(SUMPRODUCT(MAX((tblMRP[Item]=tblMRP[[#This Row],[Item]])*(tblMRP[Week]&lt;=tblMRP[[#This Row],[Week]])*tblMRP[Uncovered (units)]))/tblMRP[[#This Row],[Order multiple (units)]],1)))</f>
        <v>300</v>
      </c>
      <c r="M21" s="35">
        <f>IF(tblMRP[[#This Row],[Item]]="","",IF(tblMRP[[#This Row],[Order multiple (units)]]="","",tblMRP[[#This Row],[Cum. planned (units)]]-tblMRP[[#This Row],[Order multiple (units)]]*CEILING(SUMPRODUCT(MAX((tblMRP[Item]=tblMRP[[#This Row],[Item]])*(tblMRP[Week]&lt;tblMRP[[#This Row],[Week]])*tblMRP[Uncovered (units)]))/tblMRP[[#This Row],[Order multiple (units)]],1)))</f>
        <v>300</v>
      </c>
      <c r="N21" s="35">
        <f>IF(tblMRP[[#This Row],[Item]]="","",IF(tblMRP[[#This Row],[Order multiple (units)]]="","",MAX(0,tblMRP[[#This Row],[Uncovered (units)]]-(tblMRP[[#This Row],[Cum. planned (units)]]-tblMRP[[#This Row],[Planned receipt (units)]]))))</f>
        <v>260</v>
      </c>
      <c r="O21" s="35">
        <f>IF(tblMRP[[#This Row],[Item]]="","",IF(tblMRP[[#This Row],[Order multiple (units)]]="","",tblMRP[[#This Row],[Safety stock (units)]]-tblMRP[[#This Row],[Uncovered (units)]]+tblMRP[[#This Row],[Cum. planned (units)]]))</f>
        <v>190</v>
      </c>
      <c r="P21" s="36">
        <f>IF(tblMRP[[#This Row],[Item]]="","",IF(N(tblMRP[[#This Row],[Planned receipt (units)]])&gt;0,tblMRP[[#This Row],[Week]]-7*tblMRP[[#This Row],[Lead time (wk)]],""))</f>
        <v>46307</v>
      </c>
      <c r="Q21" s="35">
        <f>IF(tblMRP[[#This Row],[Item]]="","",SUMIFS(tblMRP[Planned receipt (units)],tblMRP[Item],tblMRP[[#This Row],[Item]],tblMRP[Week],tblMRP[[#This Row],[Week]]+7*N(tblMRP[[#This Row],[Lead time (wk)]])))</f>
        <v>400</v>
      </c>
      <c r="R21" s="37" t="str">
        <f>IF(tblMRP[[#This Row],[Item]]="","",IF(N(tblMRP[[#This Row],[Planned receipt (units)]])=0,"",IF(tblMRP[[#This Row],[Release week]]&lt;PlanStart,"Overdue",IF(tblMRP[[#This Row],[Release week]]&lt;PlanStart+7,"Due soon","OK"))))</f>
        <v>Overdue</v>
      </c>
      <c r="S2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1" s="28" t="s">
        <v>112</v>
      </c>
    </row>
    <row r="22" spans="2:20" x14ac:dyDescent="0.25">
      <c r="B22" s="28" t="s">
        <v>79</v>
      </c>
      <c r="C22" s="34">
        <v>46356</v>
      </c>
      <c r="D22" s="32">
        <v>375</v>
      </c>
      <c r="E22" s="32">
        <v>0</v>
      </c>
      <c r="F22" s="35">
        <f>IF(tblMRP[[#This Row],[Item]]="","",(tblMRP[[#This Row],[Week]]-PlanStart)/7+1)</f>
        <v>5</v>
      </c>
      <c r="G22" s="35">
        <f>IF(tblMRP[[#This Row],[Item]]="","",IFERROR(INDEX(tblItems[On hand (units)],MATCH(tblMRP[[#This Row],[Item]],tblItems[Item],0)),""))</f>
        <v>700</v>
      </c>
      <c r="H22" s="35">
        <f>IF(tblMRP[[#This Row],[Item]]="","",IFERROR(INDEX(tblItems[Safety stock (units)],MATCH(tblMRP[[#This Row],[Item]],tblItems[Item],0)),""))</f>
        <v>150</v>
      </c>
      <c r="I22" s="35">
        <f>IF(tblMRP[[#This Row],[Item]]="","",IFERROR(INDEX(tblItems[Lead time (wk)],MATCH(tblMRP[[#This Row],[Item]],tblItems[Item],0)),""))</f>
        <v>6</v>
      </c>
      <c r="J22" s="35">
        <f>IF(tblMRP[[#This Row],[Item]]="","",IFERROR(INDEX(tblItems[Order multiple (units)],MATCH(tblMRP[[#This Row],[Item]],tblItems[Item],0)),""))</f>
        <v>100</v>
      </c>
      <c r="K2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635</v>
      </c>
      <c r="L22" s="35">
        <f>IF(tblMRP[[#This Row],[Item]]="","",IF(tblMRP[[#This Row],[Order multiple (units)]]="","",tblMRP[[#This Row],[Order multiple (units)]]*CEILING(SUMPRODUCT(MAX((tblMRP[Item]=tblMRP[[#This Row],[Item]])*(tblMRP[Week]&lt;=tblMRP[[#This Row],[Week]])*tblMRP[Uncovered (units)]))/tblMRP[[#This Row],[Order multiple (units)]],1)))</f>
        <v>700</v>
      </c>
      <c r="M22" s="35">
        <f>IF(tblMRP[[#This Row],[Item]]="","",IF(tblMRP[[#This Row],[Order multiple (units)]]="","",tblMRP[[#This Row],[Cum. planned (units)]]-tblMRP[[#This Row],[Order multiple (units)]]*CEILING(SUMPRODUCT(MAX((tblMRP[Item]=tblMRP[[#This Row],[Item]])*(tblMRP[Week]&lt;tblMRP[[#This Row],[Week]])*tblMRP[Uncovered (units)]))/tblMRP[[#This Row],[Order multiple (units)]],1)))</f>
        <v>400</v>
      </c>
      <c r="N22" s="35">
        <f>IF(tblMRP[[#This Row],[Item]]="","",IF(tblMRP[[#This Row],[Order multiple (units)]]="","",MAX(0,tblMRP[[#This Row],[Uncovered (units)]]-(tblMRP[[#This Row],[Cum. planned (units)]]-tblMRP[[#This Row],[Planned receipt (units)]]))))</f>
        <v>335</v>
      </c>
      <c r="O22" s="35">
        <f>IF(tblMRP[[#This Row],[Item]]="","",IF(tblMRP[[#This Row],[Order multiple (units)]]="","",tblMRP[[#This Row],[Safety stock (units)]]-tblMRP[[#This Row],[Uncovered (units)]]+tblMRP[[#This Row],[Cum. planned (units)]]))</f>
        <v>215</v>
      </c>
      <c r="P22" s="36">
        <f>IF(tblMRP[[#This Row],[Item]]="","",IF(N(tblMRP[[#This Row],[Planned receipt (units)]])&gt;0,tblMRP[[#This Row],[Week]]-7*tblMRP[[#This Row],[Lead time (wk)]],""))</f>
        <v>46314</v>
      </c>
      <c r="Q22" s="35">
        <f>IF(tblMRP[[#This Row],[Item]]="","",SUMIFS(tblMRP[Planned receipt (units)],tblMRP[Item],tblMRP[[#This Row],[Item]],tblMRP[Week],tblMRP[[#This Row],[Week]]+7*N(tblMRP[[#This Row],[Lead time (wk)]])))</f>
        <v>300</v>
      </c>
      <c r="R22" s="37" t="str">
        <f>IF(tblMRP[[#This Row],[Item]]="","",IF(N(tblMRP[[#This Row],[Planned receipt (units)]])=0,"",IF(tblMRP[[#This Row],[Release week]]&lt;PlanStart,"Overdue",IF(tblMRP[[#This Row],[Release week]]&lt;PlanStart+7,"Due soon","OK"))))</f>
        <v>Overdue</v>
      </c>
      <c r="S2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2" s="28" t="s">
        <v>112</v>
      </c>
    </row>
    <row r="23" spans="2:20" x14ac:dyDescent="0.25">
      <c r="B23" s="28" t="s">
        <v>79</v>
      </c>
      <c r="C23" s="34">
        <v>46363</v>
      </c>
      <c r="D23" s="32">
        <v>400</v>
      </c>
      <c r="E23" s="32">
        <v>0</v>
      </c>
      <c r="F23" s="35">
        <f>IF(tblMRP[[#This Row],[Item]]="","",(tblMRP[[#This Row],[Week]]-PlanStart)/7+1)</f>
        <v>6</v>
      </c>
      <c r="G23" s="35">
        <f>IF(tblMRP[[#This Row],[Item]]="","",IFERROR(INDEX(tblItems[On hand (units)],MATCH(tblMRP[[#This Row],[Item]],tblItems[Item],0)),""))</f>
        <v>700</v>
      </c>
      <c r="H23" s="35">
        <f>IF(tblMRP[[#This Row],[Item]]="","",IFERROR(INDEX(tblItems[Safety stock (units)],MATCH(tblMRP[[#This Row],[Item]],tblItems[Item],0)),""))</f>
        <v>150</v>
      </c>
      <c r="I23" s="35">
        <f>IF(tblMRP[[#This Row],[Item]]="","",IFERROR(INDEX(tblItems[Lead time (wk)],MATCH(tblMRP[[#This Row],[Item]],tblItems[Item],0)),""))</f>
        <v>6</v>
      </c>
      <c r="J23" s="35">
        <f>IF(tblMRP[[#This Row],[Item]]="","",IFERROR(INDEX(tblItems[Order multiple (units)],MATCH(tblMRP[[#This Row],[Item]],tblItems[Item],0)),""))</f>
        <v>100</v>
      </c>
      <c r="K2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1035</v>
      </c>
      <c r="L23" s="35">
        <f>IF(tblMRP[[#This Row],[Item]]="","",IF(tblMRP[[#This Row],[Order multiple (units)]]="","",tblMRP[[#This Row],[Order multiple (units)]]*CEILING(SUMPRODUCT(MAX((tblMRP[Item]=tblMRP[[#This Row],[Item]])*(tblMRP[Week]&lt;=tblMRP[[#This Row],[Week]])*tblMRP[Uncovered (units)]))/tblMRP[[#This Row],[Order multiple (units)]],1)))</f>
        <v>1100</v>
      </c>
      <c r="M23" s="35">
        <f>IF(tblMRP[[#This Row],[Item]]="","",IF(tblMRP[[#This Row],[Order multiple (units)]]="","",tblMRP[[#This Row],[Cum. planned (units)]]-tblMRP[[#This Row],[Order multiple (units)]]*CEILING(SUMPRODUCT(MAX((tblMRP[Item]=tblMRP[[#This Row],[Item]])*(tblMRP[Week]&lt;tblMRP[[#This Row],[Week]])*tblMRP[Uncovered (units)]))/tblMRP[[#This Row],[Order multiple (units)]],1)))</f>
        <v>400</v>
      </c>
      <c r="N23" s="35">
        <f>IF(tblMRP[[#This Row],[Item]]="","",IF(tblMRP[[#This Row],[Order multiple (units)]]="","",MAX(0,tblMRP[[#This Row],[Uncovered (units)]]-(tblMRP[[#This Row],[Cum. planned (units)]]-tblMRP[[#This Row],[Planned receipt (units)]]))))</f>
        <v>335</v>
      </c>
      <c r="O23" s="35">
        <f>IF(tblMRP[[#This Row],[Item]]="","",IF(tblMRP[[#This Row],[Order multiple (units)]]="","",tblMRP[[#This Row],[Safety stock (units)]]-tblMRP[[#This Row],[Uncovered (units)]]+tblMRP[[#This Row],[Cum. planned (units)]]))</f>
        <v>215</v>
      </c>
      <c r="P23" s="36">
        <f>IF(tblMRP[[#This Row],[Item]]="","",IF(N(tblMRP[[#This Row],[Planned receipt (units)]])&gt;0,tblMRP[[#This Row],[Week]]-7*tblMRP[[#This Row],[Lead time (wk)]],""))</f>
        <v>46321</v>
      </c>
      <c r="Q23" s="35">
        <f>IF(tblMRP[[#This Row],[Item]]="","",SUMIFS(tblMRP[Planned receipt (units)],tblMRP[Item],tblMRP[[#This Row],[Item]],tblMRP[Week],tblMRP[[#This Row],[Week]]+7*N(tblMRP[[#This Row],[Lead time (wk)]])))</f>
        <v>400</v>
      </c>
      <c r="R23" s="37" t="str">
        <f>IF(tblMRP[[#This Row],[Item]]="","",IF(N(tblMRP[[#This Row],[Planned receipt (units)]])=0,"",IF(tblMRP[[#This Row],[Release week]]&lt;PlanStart,"Overdue",IF(tblMRP[[#This Row],[Release week]]&lt;PlanStart+7,"Due soon","OK"))))</f>
        <v>Overdue</v>
      </c>
      <c r="S2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3" s="28" t="s">
        <v>112</v>
      </c>
    </row>
    <row r="24" spans="2:20" x14ac:dyDescent="0.25">
      <c r="B24" s="28" t="s">
        <v>79</v>
      </c>
      <c r="C24" s="34">
        <v>46370</v>
      </c>
      <c r="D24" s="32">
        <v>415</v>
      </c>
      <c r="E24" s="32">
        <v>0</v>
      </c>
      <c r="F24" s="35">
        <f>IF(tblMRP[[#This Row],[Item]]="","",(tblMRP[[#This Row],[Week]]-PlanStart)/7+1)</f>
        <v>7</v>
      </c>
      <c r="G24" s="35">
        <f>IF(tblMRP[[#This Row],[Item]]="","",IFERROR(INDEX(tblItems[On hand (units)],MATCH(tblMRP[[#This Row],[Item]],tblItems[Item],0)),""))</f>
        <v>700</v>
      </c>
      <c r="H24" s="35">
        <f>IF(tblMRP[[#This Row],[Item]]="","",IFERROR(INDEX(tblItems[Safety stock (units)],MATCH(tblMRP[[#This Row],[Item]],tblItems[Item],0)),""))</f>
        <v>150</v>
      </c>
      <c r="I24" s="35">
        <f>IF(tblMRP[[#This Row],[Item]]="","",IFERROR(INDEX(tblItems[Lead time (wk)],MATCH(tblMRP[[#This Row],[Item]],tblItems[Item],0)),""))</f>
        <v>6</v>
      </c>
      <c r="J24" s="35">
        <f>IF(tblMRP[[#This Row],[Item]]="","",IFERROR(INDEX(tblItems[Order multiple (units)],MATCH(tblMRP[[#This Row],[Item]],tblItems[Item],0)),""))</f>
        <v>100</v>
      </c>
      <c r="K2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1450</v>
      </c>
      <c r="L24" s="35">
        <f>IF(tblMRP[[#This Row],[Item]]="","",IF(tblMRP[[#This Row],[Order multiple (units)]]="","",tblMRP[[#This Row],[Order multiple (units)]]*CEILING(SUMPRODUCT(MAX((tblMRP[Item]=tblMRP[[#This Row],[Item]])*(tblMRP[Week]&lt;=tblMRP[[#This Row],[Week]])*tblMRP[Uncovered (units)]))/tblMRP[[#This Row],[Order multiple (units)]],1)))</f>
        <v>1500</v>
      </c>
      <c r="M24" s="35">
        <f>IF(tblMRP[[#This Row],[Item]]="","",IF(tblMRP[[#This Row],[Order multiple (units)]]="","",tblMRP[[#This Row],[Cum. planned (units)]]-tblMRP[[#This Row],[Order multiple (units)]]*CEILING(SUMPRODUCT(MAX((tblMRP[Item]=tblMRP[[#This Row],[Item]])*(tblMRP[Week]&lt;tblMRP[[#This Row],[Week]])*tblMRP[Uncovered (units)]))/tblMRP[[#This Row],[Order multiple (units)]],1)))</f>
        <v>400</v>
      </c>
      <c r="N24" s="35">
        <f>IF(tblMRP[[#This Row],[Item]]="","",IF(tblMRP[[#This Row],[Order multiple (units)]]="","",MAX(0,tblMRP[[#This Row],[Uncovered (units)]]-(tblMRP[[#This Row],[Cum. planned (units)]]-tblMRP[[#This Row],[Planned receipt (units)]]))))</f>
        <v>350</v>
      </c>
      <c r="O24" s="35">
        <f>IF(tblMRP[[#This Row],[Item]]="","",IF(tblMRP[[#This Row],[Order multiple (units)]]="","",tblMRP[[#This Row],[Safety stock (units)]]-tblMRP[[#This Row],[Uncovered (units)]]+tblMRP[[#This Row],[Cum. planned (units)]]))</f>
        <v>200</v>
      </c>
      <c r="P24" s="36">
        <f>IF(tblMRP[[#This Row],[Item]]="","",IF(N(tblMRP[[#This Row],[Planned receipt (units)]])&gt;0,tblMRP[[#This Row],[Week]]-7*tblMRP[[#This Row],[Lead time (wk)]],""))</f>
        <v>46328</v>
      </c>
      <c r="Q24" s="35">
        <f>IF(tblMRP[[#This Row],[Item]]="","",SUMIFS(tblMRP[Planned receipt (units)],tblMRP[Item],tblMRP[[#This Row],[Item]],tblMRP[Week],tblMRP[[#This Row],[Week]]+7*N(tblMRP[[#This Row],[Lead time (wk)]])))</f>
        <v>0</v>
      </c>
      <c r="R24" s="37" t="str">
        <f>IF(tblMRP[[#This Row],[Item]]="","",IF(N(tblMRP[[#This Row],[Planned receipt (units)]])=0,"",IF(tblMRP[[#This Row],[Release week]]&lt;PlanStart,"Overdue",IF(tblMRP[[#This Row],[Release week]]&lt;PlanStart+7,"Due soon","OK"))))</f>
        <v>Due soon</v>
      </c>
      <c r="S2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4" s="28" t="s">
        <v>112</v>
      </c>
    </row>
    <row r="25" spans="2:20" x14ac:dyDescent="0.25">
      <c r="B25" s="28" t="s">
        <v>79</v>
      </c>
      <c r="C25" s="34">
        <v>46377</v>
      </c>
      <c r="D25" s="32">
        <v>420</v>
      </c>
      <c r="E25" s="32">
        <v>0</v>
      </c>
      <c r="F25" s="35">
        <f>IF(tblMRP[[#This Row],[Item]]="","",(tblMRP[[#This Row],[Week]]-PlanStart)/7+1)</f>
        <v>8</v>
      </c>
      <c r="G25" s="35">
        <f>IF(tblMRP[[#This Row],[Item]]="","",IFERROR(INDEX(tblItems[On hand (units)],MATCH(tblMRP[[#This Row],[Item]],tblItems[Item],0)),""))</f>
        <v>700</v>
      </c>
      <c r="H25" s="35">
        <f>IF(tblMRP[[#This Row],[Item]]="","",IFERROR(INDEX(tblItems[Safety stock (units)],MATCH(tblMRP[[#This Row],[Item]],tblItems[Item],0)),""))</f>
        <v>150</v>
      </c>
      <c r="I25" s="35">
        <f>IF(tblMRP[[#This Row],[Item]]="","",IFERROR(INDEX(tblItems[Lead time (wk)],MATCH(tblMRP[[#This Row],[Item]],tblItems[Item],0)),""))</f>
        <v>6</v>
      </c>
      <c r="J25" s="35">
        <f>IF(tblMRP[[#This Row],[Item]]="","",IFERROR(INDEX(tblItems[Order multiple (units)],MATCH(tblMRP[[#This Row],[Item]],tblItems[Item],0)),""))</f>
        <v>100</v>
      </c>
      <c r="K2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1870</v>
      </c>
      <c r="L25" s="35">
        <f>IF(tblMRP[[#This Row],[Item]]="","",IF(tblMRP[[#This Row],[Order multiple (units)]]="","",tblMRP[[#This Row],[Order multiple (units)]]*CEILING(SUMPRODUCT(MAX((tblMRP[Item]=tblMRP[[#This Row],[Item]])*(tblMRP[Week]&lt;=tblMRP[[#This Row],[Week]])*tblMRP[Uncovered (units)]))/tblMRP[[#This Row],[Order multiple (units)]],1)))</f>
        <v>1900</v>
      </c>
      <c r="M25" s="35">
        <f>IF(tblMRP[[#This Row],[Item]]="","",IF(tblMRP[[#This Row],[Order multiple (units)]]="","",tblMRP[[#This Row],[Cum. planned (units)]]-tblMRP[[#This Row],[Order multiple (units)]]*CEILING(SUMPRODUCT(MAX((tblMRP[Item]=tblMRP[[#This Row],[Item]])*(tblMRP[Week]&lt;tblMRP[[#This Row],[Week]])*tblMRP[Uncovered (units)]))/tblMRP[[#This Row],[Order multiple (units)]],1)))</f>
        <v>400</v>
      </c>
      <c r="N25" s="35">
        <f>IF(tblMRP[[#This Row],[Item]]="","",IF(tblMRP[[#This Row],[Order multiple (units)]]="","",MAX(0,tblMRP[[#This Row],[Uncovered (units)]]-(tblMRP[[#This Row],[Cum. planned (units)]]-tblMRP[[#This Row],[Planned receipt (units)]]))))</f>
        <v>370</v>
      </c>
      <c r="O25" s="35">
        <f>IF(tblMRP[[#This Row],[Item]]="","",IF(tblMRP[[#This Row],[Order multiple (units)]]="","",tblMRP[[#This Row],[Safety stock (units)]]-tblMRP[[#This Row],[Uncovered (units)]]+tblMRP[[#This Row],[Cum. planned (units)]]))</f>
        <v>180</v>
      </c>
      <c r="P25" s="36">
        <f>IF(tblMRP[[#This Row],[Item]]="","",IF(N(tblMRP[[#This Row],[Planned receipt (units)]])&gt;0,tblMRP[[#This Row],[Week]]-7*tblMRP[[#This Row],[Lead time (wk)]],""))</f>
        <v>46335</v>
      </c>
      <c r="Q25" s="35">
        <f>IF(tblMRP[[#This Row],[Item]]="","",SUMIFS(tblMRP[Planned receipt (units)],tblMRP[Item],tblMRP[[#This Row],[Item]],tblMRP[Week],tblMRP[[#This Row],[Week]]+7*N(tblMRP[[#This Row],[Lead time (wk)]])))</f>
        <v>0</v>
      </c>
      <c r="R25" s="37" t="str">
        <f>IF(tblMRP[[#This Row],[Item]]="","",IF(N(tblMRP[[#This Row],[Planned receipt (units)]])=0,"",IF(tblMRP[[#This Row],[Release week]]&lt;PlanStart,"Overdue",IF(tblMRP[[#This Row],[Release week]]&lt;PlanStart+7,"Due soon","OK"))))</f>
        <v>OK</v>
      </c>
      <c r="S2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5" s="28" t="s">
        <v>112</v>
      </c>
    </row>
    <row r="26" spans="2:20" x14ac:dyDescent="0.25">
      <c r="B26" s="28" t="s">
        <v>79</v>
      </c>
      <c r="C26" s="34">
        <v>46384</v>
      </c>
      <c r="D26" s="32">
        <v>390</v>
      </c>
      <c r="E26" s="32">
        <v>0</v>
      </c>
      <c r="F26" s="35">
        <f>IF(tblMRP[[#This Row],[Item]]="","",(tblMRP[[#This Row],[Week]]-PlanStart)/7+1)</f>
        <v>9</v>
      </c>
      <c r="G26" s="35">
        <f>IF(tblMRP[[#This Row],[Item]]="","",IFERROR(INDEX(tblItems[On hand (units)],MATCH(tblMRP[[#This Row],[Item]],tblItems[Item],0)),""))</f>
        <v>700</v>
      </c>
      <c r="H26" s="35">
        <f>IF(tblMRP[[#This Row],[Item]]="","",IFERROR(INDEX(tblItems[Safety stock (units)],MATCH(tblMRP[[#This Row],[Item]],tblItems[Item],0)),""))</f>
        <v>150</v>
      </c>
      <c r="I26" s="35">
        <f>IF(tblMRP[[#This Row],[Item]]="","",IFERROR(INDEX(tblItems[Lead time (wk)],MATCH(tblMRP[[#This Row],[Item]],tblItems[Item],0)),""))</f>
        <v>6</v>
      </c>
      <c r="J26" s="35">
        <f>IF(tblMRP[[#This Row],[Item]]="","",IFERROR(INDEX(tblItems[Order multiple (units)],MATCH(tblMRP[[#This Row],[Item]],tblItems[Item],0)),""))</f>
        <v>100</v>
      </c>
      <c r="K2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2260</v>
      </c>
      <c r="L26" s="35">
        <f>IF(tblMRP[[#This Row],[Item]]="","",IF(tblMRP[[#This Row],[Order multiple (units)]]="","",tblMRP[[#This Row],[Order multiple (units)]]*CEILING(SUMPRODUCT(MAX((tblMRP[Item]=tblMRP[[#This Row],[Item]])*(tblMRP[Week]&lt;=tblMRP[[#This Row],[Week]])*tblMRP[Uncovered (units)]))/tblMRP[[#This Row],[Order multiple (units)]],1)))</f>
        <v>2300</v>
      </c>
      <c r="M26" s="35">
        <f>IF(tblMRP[[#This Row],[Item]]="","",IF(tblMRP[[#This Row],[Order multiple (units)]]="","",tblMRP[[#This Row],[Cum. planned (units)]]-tblMRP[[#This Row],[Order multiple (units)]]*CEILING(SUMPRODUCT(MAX((tblMRP[Item]=tblMRP[[#This Row],[Item]])*(tblMRP[Week]&lt;tblMRP[[#This Row],[Week]])*tblMRP[Uncovered (units)]))/tblMRP[[#This Row],[Order multiple (units)]],1)))</f>
        <v>400</v>
      </c>
      <c r="N26" s="35">
        <f>IF(tblMRP[[#This Row],[Item]]="","",IF(tblMRP[[#This Row],[Order multiple (units)]]="","",MAX(0,tblMRP[[#This Row],[Uncovered (units)]]-(tblMRP[[#This Row],[Cum. planned (units)]]-tblMRP[[#This Row],[Planned receipt (units)]]))))</f>
        <v>360</v>
      </c>
      <c r="O26" s="35">
        <f>IF(tblMRP[[#This Row],[Item]]="","",IF(tblMRP[[#This Row],[Order multiple (units)]]="","",tblMRP[[#This Row],[Safety stock (units)]]-tblMRP[[#This Row],[Uncovered (units)]]+tblMRP[[#This Row],[Cum. planned (units)]]))</f>
        <v>190</v>
      </c>
      <c r="P26" s="36">
        <f>IF(tblMRP[[#This Row],[Item]]="","",IF(N(tblMRP[[#This Row],[Planned receipt (units)]])&gt;0,tblMRP[[#This Row],[Week]]-7*tblMRP[[#This Row],[Lead time (wk)]],""))</f>
        <v>46342</v>
      </c>
      <c r="Q26" s="35">
        <f>IF(tblMRP[[#This Row],[Item]]="","",SUMIFS(tblMRP[Planned receipt (units)],tblMRP[Item],tblMRP[[#This Row],[Item]],tblMRP[Week],tblMRP[[#This Row],[Week]]+7*N(tblMRP[[#This Row],[Lead time (wk)]])))</f>
        <v>0</v>
      </c>
      <c r="R26" s="37" t="str">
        <f>IF(tblMRP[[#This Row],[Item]]="","",IF(N(tblMRP[[#This Row],[Planned receipt (units)]])=0,"",IF(tblMRP[[#This Row],[Release week]]&lt;PlanStart,"Overdue",IF(tblMRP[[#This Row],[Release week]]&lt;PlanStart+7,"Due soon","OK"))))</f>
        <v>OK</v>
      </c>
      <c r="S2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6" s="28" t="s">
        <v>112</v>
      </c>
    </row>
    <row r="27" spans="2:20" x14ac:dyDescent="0.25">
      <c r="B27" s="28" t="s">
        <v>79</v>
      </c>
      <c r="C27" s="34">
        <v>46391</v>
      </c>
      <c r="D27" s="32">
        <v>365</v>
      </c>
      <c r="E27" s="32">
        <v>0</v>
      </c>
      <c r="F27" s="35">
        <f>IF(tblMRP[[#This Row],[Item]]="","",(tblMRP[[#This Row],[Week]]-PlanStart)/7+1)</f>
        <v>10</v>
      </c>
      <c r="G27" s="35">
        <f>IF(tblMRP[[#This Row],[Item]]="","",IFERROR(INDEX(tblItems[On hand (units)],MATCH(tblMRP[[#This Row],[Item]],tblItems[Item],0)),""))</f>
        <v>700</v>
      </c>
      <c r="H27" s="35">
        <f>IF(tblMRP[[#This Row],[Item]]="","",IFERROR(INDEX(tblItems[Safety stock (units)],MATCH(tblMRP[[#This Row],[Item]],tblItems[Item],0)),""))</f>
        <v>150</v>
      </c>
      <c r="I27" s="35">
        <f>IF(tblMRP[[#This Row],[Item]]="","",IFERROR(INDEX(tblItems[Lead time (wk)],MATCH(tblMRP[[#This Row],[Item]],tblItems[Item],0)),""))</f>
        <v>6</v>
      </c>
      <c r="J27" s="35">
        <f>IF(tblMRP[[#This Row],[Item]]="","",IFERROR(INDEX(tblItems[Order multiple (units)],MATCH(tblMRP[[#This Row],[Item]],tblItems[Item],0)),""))</f>
        <v>100</v>
      </c>
      <c r="K2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2625</v>
      </c>
      <c r="L27" s="35">
        <f>IF(tblMRP[[#This Row],[Item]]="","",IF(tblMRP[[#This Row],[Order multiple (units)]]="","",tblMRP[[#This Row],[Order multiple (units)]]*CEILING(SUMPRODUCT(MAX((tblMRP[Item]=tblMRP[[#This Row],[Item]])*(tblMRP[Week]&lt;=tblMRP[[#This Row],[Week]])*tblMRP[Uncovered (units)]))/tblMRP[[#This Row],[Order multiple (units)]],1)))</f>
        <v>2700</v>
      </c>
      <c r="M27" s="35">
        <f>IF(tblMRP[[#This Row],[Item]]="","",IF(tblMRP[[#This Row],[Order multiple (units)]]="","",tblMRP[[#This Row],[Cum. planned (units)]]-tblMRP[[#This Row],[Order multiple (units)]]*CEILING(SUMPRODUCT(MAX((tblMRP[Item]=tblMRP[[#This Row],[Item]])*(tblMRP[Week]&lt;tblMRP[[#This Row],[Week]])*tblMRP[Uncovered (units)]))/tblMRP[[#This Row],[Order multiple (units)]],1)))</f>
        <v>400</v>
      </c>
      <c r="N27" s="35">
        <f>IF(tblMRP[[#This Row],[Item]]="","",IF(tblMRP[[#This Row],[Order multiple (units)]]="","",MAX(0,tblMRP[[#This Row],[Uncovered (units)]]-(tblMRP[[#This Row],[Cum. planned (units)]]-tblMRP[[#This Row],[Planned receipt (units)]]))))</f>
        <v>325</v>
      </c>
      <c r="O27" s="35">
        <f>IF(tblMRP[[#This Row],[Item]]="","",IF(tblMRP[[#This Row],[Order multiple (units)]]="","",tblMRP[[#This Row],[Safety stock (units)]]-tblMRP[[#This Row],[Uncovered (units)]]+tblMRP[[#This Row],[Cum. planned (units)]]))</f>
        <v>225</v>
      </c>
      <c r="P27" s="36">
        <f>IF(tblMRP[[#This Row],[Item]]="","",IF(N(tblMRP[[#This Row],[Planned receipt (units)]])&gt;0,tblMRP[[#This Row],[Week]]-7*tblMRP[[#This Row],[Lead time (wk)]],""))</f>
        <v>46349</v>
      </c>
      <c r="Q27" s="35">
        <f>IF(tblMRP[[#This Row],[Item]]="","",SUMIFS(tblMRP[Planned receipt (units)],tblMRP[Item],tblMRP[[#This Row],[Item]],tblMRP[Week],tblMRP[[#This Row],[Week]]+7*N(tblMRP[[#This Row],[Lead time (wk)]])))</f>
        <v>0</v>
      </c>
      <c r="R27" s="37" t="str">
        <f>IF(tblMRP[[#This Row],[Item]]="","",IF(N(tblMRP[[#This Row],[Planned receipt (units)]])=0,"",IF(tblMRP[[#This Row],[Release week]]&lt;PlanStart,"Overdue",IF(tblMRP[[#This Row],[Release week]]&lt;PlanStart+7,"Due soon","OK"))))</f>
        <v>OK</v>
      </c>
      <c r="S2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7" s="28" t="s">
        <v>112</v>
      </c>
    </row>
    <row r="28" spans="2:20" x14ac:dyDescent="0.25">
      <c r="B28" s="28" t="s">
        <v>79</v>
      </c>
      <c r="C28" s="34">
        <v>46398</v>
      </c>
      <c r="D28" s="32">
        <v>360</v>
      </c>
      <c r="E28" s="32">
        <v>0</v>
      </c>
      <c r="F28" s="35">
        <f>IF(tblMRP[[#This Row],[Item]]="","",(tblMRP[[#This Row],[Week]]-PlanStart)/7+1)</f>
        <v>11</v>
      </c>
      <c r="G28" s="35">
        <f>IF(tblMRP[[#This Row],[Item]]="","",IFERROR(INDEX(tblItems[On hand (units)],MATCH(tblMRP[[#This Row],[Item]],tblItems[Item],0)),""))</f>
        <v>700</v>
      </c>
      <c r="H28" s="35">
        <f>IF(tblMRP[[#This Row],[Item]]="","",IFERROR(INDEX(tblItems[Safety stock (units)],MATCH(tblMRP[[#This Row],[Item]],tblItems[Item],0)),""))</f>
        <v>150</v>
      </c>
      <c r="I28" s="35">
        <f>IF(tblMRP[[#This Row],[Item]]="","",IFERROR(INDEX(tblItems[Lead time (wk)],MATCH(tblMRP[[#This Row],[Item]],tblItems[Item],0)),""))</f>
        <v>6</v>
      </c>
      <c r="J28" s="35">
        <f>IF(tblMRP[[#This Row],[Item]]="","",IFERROR(INDEX(tblItems[Order multiple (units)],MATCH(tblMRP[[#This Row],[Item]],tblItems[Item],0)),""))</f>
        <v>100</v>
      </c>
      <c r="K2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2985</v>
      </c>
      <c r="L28" s="35">
        <f>IF(tblMRP[[#This Row],[Item]]="","",IF(tblMRP[[#This Row],[Order multiple (units)]]="","",tblMRP[[#This Row],[Order multiple (units)]]*CEILING(SUMPRODUCT(MAX((tblMRP[Item]=tblMRP[[#This Row],[Item]])*(tblMRP[Week]&lt;=tblMRP[[#This Row],[Week]])*tblMRP[Uncovered (units)]))/tblMRP[[#This Row],[Order multiple (units)]],1)))</f>
        <v>3000</v>
      </c>
      <c r="M28" s="35">
        <f>IF(tblMRP[[#This Row],[Item]]="","",IF(tblMRP[[#This Row],[Order multiple (units)]]="","",tblMRP[[#This Row],[Cum. planned (units)]]-tblMRP[[#This Row],[Order multiple (units)]]*CEILING(SUMPRODUCT(MAX((tblMRP[Item]=tblMRP[[#This Row],[Item]])*(tblMRP[Week]&lt;tblMRP[[#This Row],[Week]])*tblMRP[Uncovered (units)]))/tblMRP[[#This Row],[Order multiple (units)]],1)))</f>
        <v>300</v>
      </c>
      <c r="N28" s="35">
        <f>IF(tblMRP[[#This Row],[Item]]="","",IF(tblMRP[[#This Row],[Order multiple (units)]]="","",MAX(0,tblMRP[[#This Row],[Uncovered (units)]]-(tblMRP[[#This Row],[Cum. planned (units)]]-tblMRP[[#This Row],[Planned receipt (units)]]))))</f>
        <v>285</v>
      </c>
      <c r="O28" s="35">
        <f>IF(tblMRP[[#This Row],[Item]]="","",IF(tblMRP[[#This Row],[Order multiple (units)]]="","",tblMRP[[#This Row],[Safety stock (units)]]-tblMRP[[#This Row],[Uncovered (units)]]+tblMRP[[#This Row],[Cum. planned (units)]]))</f>
        <v>165</v>
      </c>
      <c r="P28" s="36">
        <f>IF(tblMRP[[#This Row],[Item]]="","",IF(N(tblMRP[[#This Row],[Planned receipt (units)]])&gt;0,tblMRP[[#This Row],[Week]]-7*tblMRP[[#This Row],[Lead time (wk)]],""))</f>
        <v>46356</v>
      </c>
      <c r="Q28" s="35">
        <f>IF(tblMRP[[#This Row],[Item]]="","",SUMIFS(tblMRP[Planned receipt (units)],tblMRP[Item],tblMRP[[#This Row],[Item]],tblMRP[Week],tblMRP[[#This Row],[Week]]+7*N(tblMRP[[#This Row],[Lead time (wk)]])))</f>
        <v>0</v>
      </c>
      <c r="R28" s="37" t="str">
        <f>IF(tblMRP[[#This Row],[Item]]="","",IF(N(tblMRP[[#This Row],[Planned receipt (units)]])=0,"",IF(tblMRP[[#This Row],[Release week]]&lt;PlanStart,"Overdue",IF(tblMRP[[#This Row],[Release week]]&lt;PlanStart+7,"Due soon","OK"))))</f>
        <v>OK</v>
      </c>
      <c r="S2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8" s="28" t="s">
        <v>112</v>
      </c>
    </row>
    <row r="29" spans="2:20" x14ac:dyDescent="0.25">
      <c r="B29" s="28" t="s">
        <v>79</v>
      </c>
      <c r="C29" s="34">
        <v>46405</v>
      </c>
      <c r="D29" s="32">
        <v>340</v>
      </c>
      <c r="E29" s="32">
        <v>0</v>
      </c>
      <c r="F29" s="35">
        <f>IF(tblMRP[[#This Row],[Item]]="","",(tblMRP[[#This Row],[Week]]-PlanStart)/7+1)</f>
        <v>12</v>
      </c>
      <c r="G29" s="35">
        <f>IF(tblMRP[[#This Row],[Item]]="","",IFERROR(INDEX(tblItems[On hand (units)],MATCH(tblMRP[[#This Row],[Item]],tblItems[Item],0)),""))</f>
        <v>700</v>
      </c>
      <c r="H29" s="35">
        <f>IF(tblMRP[[#This Row],[Item]]="","",IFERROR(INDEX(tblItems[Safety stock (units)],MATCH(tblMRP[[#This Row],[Item]],tblItems[Item],0)),""))</f>
        <v>150</v>
      </c>
      <c r="I29" s="35">
        <f>IF(tblMRP[[#This Row],[Item]]="","",IFERROR(INDEX(tblItems[Lead time (wk)],MATCH(tblMRP[[#This Row],[Item]],tblItems[Item],0)),""))</f>
        <v>6</v>
      </c>
      <c r="J29" s="35">
        <f>IF(tblMRP[[#This Row],[Item]]="","",IFERROR(INDEX(tblItems[Order multiple (units)],MATCH(tblMRP[[#This Row],[Item]],tblItems[Item],0)),""))</f>
        <v>100</v>
      </c>
      <c r="K2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3325</v>
      </c>
      <c r="L29" s="35">
        <f>IF(tblMRP[[#This Row],[Item]]="","",IF(tblMRP[[#This Row],[Order multiple (units)]]="","",tblMRP[[#This Row],[Order multiple (units)]]*CEILING(SUMPRODUCT(MAX((tblMRP[Item]=tblMRP[[#This Row],[Item]])*(tblMRP[Week]&lt;=tblMRP[[#This Row],[Week]])*tblMRP[Uncovered (units)]))/tblMRP[[#This Row],[Order multiple (units)]],1)))</f>
        <v>3400</v>
      </c>
      <c r="M29" s="35">
        <f>IF(tblMRP[[#This Row],[Item]]="","",IF(tblMRP[[#This Row],[Order multiple (units)]]="","",tblMRP[[#This Row],[Cum. planned (units)]]-tblMRP[[#This Row],[Order multiple (units)]]*CEILING(SUMPRODUCT(MAX((tblMRP[Item]=tblMRP[[#This Row],[Item]])*(tblMRP[Week]&lt;tblMRP[[#This Row],[Week]])*tblMRP[Uncovered (units)]))/tblMRP[[#This Row],[Order multiple (units)]],1)))</f>
        <v>400</v>
      </c>
      <c r="N29" s="35">
        <f>IF(tblMRP[[#This Row],[Item]]="","",IF(tblMRP[[#This Row],[Order multiple (units)]]="","",MAX(0,tblMRP[[#This Row],[Uncovered (units)]]-(tblMRP[[#This Row],[Cum. planned (units)]]-tblMRP[[#This Row],[Planned receipt (units)]]))))</f>
        <v>325</v>
      </c>
      <c r="O29" s="35">
        <f>IF(tblMRP[[#This Row],[Item]]="","",IF(tblMRP[[#This Row],[Order multiple (units)]]="","",tblMRP[[#This Row],[Safety stock (units)]]-tblMRP[[#This Row],[Uncovered (units)]]+tblMRP[[#This Row],[Cum. planned (units)]]))</f>
        <v>225</v>
      </c>
      <c r="P29" s="36">
        <f>IF(tblMRP[[#This Row],[Item]]="","",IF(N(tblMRP[[#This Row],[Planned receipt (units)]])&gt;0,tblMRP[[#This Row],[Week]]-7*tblMRP[[#This Row],[Lead time (wk)]],""))</f>
        <v>46363</v>
      </c>
      <c r="Q29" s="35">
        <f>IF(tblMRP[[#This Row],[Item]]="","",SUMIFS(tblMRP[Planned receipt (units)],tblMRP[Item],tblMRP[[#This Row],[Item]],tblMRP[Week],tblMRP[[#This Row],[Week]]+7*N(tblMRP[[#This Row],[Lead time (wk)]])))</f>
        <v>0</v>
      </c>
      <c r="R29" s="37" t="str">
        <f>IF(tblMRP[[#This Row],[Item]]="","",IF(N(tblMRP[[#This Row],[Planned receipt (units)]])=0,"",IF(tblMRP[[#This Row],[Release week]]&lt;PlanStart,"Overdue",IF(tblMRP[[#This Row],[Release week]]&lt;PlanStart+7,"Due soon","OK"))))</f>
        <v>OK</v>
      </c>
      <c r="S2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29" s="28" t="s">
        <v>112</v>
      </c>
    </row>
    <row r="30" spans="2:20" x14ac:dyDescent="0.25">
      <c r="B30" s="28" t="s">
        <v>81</v>
      </c>
      <c r="C30" s="34">
        <v>46328</v>
      </c>
      <c r="D30" s="32">
        <v>300</v>
      </c>
      <c r="E30" s="32">
        <v>0</v>
      </c>
      <c r="F30" s="35">
        <f>IF(tblMRP[[#This Row],[Item]]="","",(tblMRP[[#This Row],[Week]]-PlanStart)/7+1)</f>
        <v>1</v>
      </c>
      <c r="G30" s="35">
        <f>IF(tblMRP[[#This Row],[Item]]="","",IFERROR(INDEX(tblItems[On hand (units)],MATCH(tblMRP[[#This Row],[Item]],tblItems[Item],0)),""))</f>
        <v>450</v>
      </c>
      <c r="H30" s="35">
        <f>IF(tblMRP[[#This Row],[Item]]="","",IFERROR(INDEX(tblItems[Safety stock (units)],MATCH(tblMRP[[#This Row],[Item]],tblItems[Item],0)),""))</f>
        <v>100</v>
      </c>
      <c r="I30" s="35">
        <f>IF(tblMRP[[#This Row],[Item]]="","",IFERROR(INDEX(tblItems[Lead time (wk)],MATCH(tblMRP[[#This Row],[Item]],tblItems[Item],0)),""))</f>
        <v>1</v>
      </c>
      <c r="J30" s="35">
        <f>IF(tblMRP[[#This Row],[Item]]="","",IFERROR(INDEX(tblItems[Order multiple (units)],MATCH(tblMRP[[#This Row],[Item]],tblItems[Item],0)),""))</f>
        <v>1</v>
      </c>
      <c r="K3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-50</v>
      </c>
      <c r="L30" s="35">
        <f>IF(tblMRP[[#This Row],[Item]]="","",IF(tblMRP[[#This Row],[Order multiple (units)]]="","",tblMRP[[#This Row],[Order multiple (units)]]*CEILING(SUMPRODUCT(MAX((tblMRP[Item]=tblMRP[[#This Row],[Item]])*(tblMRP[Week]&lt;=tblMRP[[#This Row],[Week]])*tblMRP[Uncovered (units)]))/tblMRP[[#This Row],[Order multiple (units)]],1)))</f>
        <v>0</v>
      </c>
      <c r="M30" s="35">
        <f>IF(tblMRP[[#This Row],[Item]]="","",IF(tblMRP[[#This Row],[Order multiple (units)]]="","",tblMRP[[#This Row],[Cum. planned (units)]]-tblMRP[[#This Row],[Order multiple (units)]]*CEILING(SUMPRODUCT(MAX((tblMRP[Item]=tblMRP[[#This Row],[Item]])*(tblMRP[Week]&lt;tblMRP[[#This Row],[Week]])*tblMRP[Uncovered (units)]))/tblMRP[[#This Row],[Order multiple (units)]],1)))</f>
        <v>0</v>
      </c>
      <c r="N30" s="35">
        <f>IF(tblMRP[[#This Row],[Item]]="","",IF(tblMRP[[#This Row],[Order multiple (units)]]="","",MAX(0,tblMRP[[#This Row],[Uncovered (units)]]-(tblMRP[[#This Row],[Cum. planned (units)]]-tblMRP[[#This Row],[Planned receipt (units)]]))))</f>
        <v>0</v>
      </c>
      <c r="O30" s="35">
        <f>IF(tblMRP[[#This Row],[Item]]="","",IF(tblMRP[[#This Row],[Order multiple (units)]]="","",tblMRP[[#This Row],[Safety stock (units)]]-tblMRP[[#This Row],[Uncovered (units)]]+tblMRP[[#This Row],[Cum. planned (units)]]))</f>
        <v>150</v>
      </c>
      <c r="P30" s="36">
        <f>IF(tblMRP[[#This Row],[Item]]="","",IF(N(tblMRP[[#This Row],[Planned receipt (units)]])&gt;0,tblMRP[[#This Row],[Week]]-7*tblMRP[[#This Row],[Lead time (wk)]],""))</f>
        <v/>
      </c>
      <c r="Q30" s="35">
        <f>IF(tblMRP[[#This Row],[Item]]="","",SUMIFS(tblMRP[Planned receipt (units)],tblMRP[Item],tblMRP[[#This Row],[Item]],tblMRP[Week],tblMRP[[#This Row],[Week]]+7*N(tblMRP[[#This Row],[Lead time (wk)]])))</f>
        <v>270</v>
      </c>
      <c r="R30" s="37">
        <f>IF(tblMRP[[#This Row],[Item]]="","",IF(N(tblMRP[[#This Row],[Planned receipt (units)]])=0,"",IF(tblMRP[[#This Row],[Release week]]&lt;PlanStart,"Overdue",IF(tblMRP[[#This Row],[Release week]]&lt;PlanStart+7,"Due soon","OK"))))</f>
        <v/>
      </c>
      <c r="S3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0" s="28" t="s">
        <v>112</v>
      </c>
    </row>
    <row r="31" spans="2:20" x14ac:dyDescent="0.25">
      <c r="B31" s="28" t="s">
        <v>81</v>
      </c>
      <c r="C31" s="34">
        <v>46335</v>
      </c>
      <c r="D31" s="32">
        <v>320</v>
      </c>
      <c r="E31" s="32">
        <v>0</v>
      </c>
      <c r="F31" s="35">
        <f>IF(tblMRP[[#This Row],[Item]]="","",(tblMRP[[#This Row],[Week]]-PlanStart)/7+1)</f>
        <v>2</v>
      </c>
      <c r="G31" s="35">
        <f>IF(tblMRP[[#This Row],[Item]]="","",IFERROR(INDEX(tblItems[On hand (units)],MATCH(tblMRP[[#This Row],[Item]],tblItems[Item],0)),""))</f>
        <v>450</v>
      </c>
      <c r="H31" s="35">
        <f>IF(tblMRP[[#This Row],[Item]]="","",IFERROR(INDEX(tblItems[Safety stock (units)],MATCH(tblMRP[[#This Row],[Item]],tblItems[Item],0)),""))</f>
        <v>100</v>
      </c>
      <c r="I31" s="35">
        <f>IF(tblMRP[[#This Row],[Item]]="","",IFERROR(INDEX(tblItems[Lead time (wk)],MATCH(tblMRP[[#This Row],[Item]],tblItems[Item],0)),""))</f>
        <v>1</v>
      </c>
      <c r="J31" s="35">
        <f>IF(tblMRP[[#This Row],[Item]]="","",IFERROR(INDEX(tblItems[Order multiple (units)],MATCH(tblMRP[[#This Row],[Item]],tblItems[Item],0)),""))</f>
        <v>1</v>
      </c>
      <c r="K3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270</v>
      </c>
      <c r="L31" s="35">
        <f>IF(tblMRP[[#This Row],[Item]]="","",IF(tblMRP[[#This Row],[Order multiple (units)]]="","",tblMRP[[#This Row],[Order multiple (units)]]*CEILING(SUMPRODUCT(MAX((tblMRP[Item]=tblMRP[[#This Row],[Item]])*(tblMRP[Week]&lt;=tblMRP[[#This Row],[Week]])*tblMRP[Uncovered (units)]))/tblMRP[[#This Row],[Order multiple (units)]],1)))</f>
        <v>270</v>
      </c>
      <c r="M31" s="35">
        <f>IF(tblMRP[[#This Row],[Item]]="","",IF(tblMRP[[#This Row],[Order multiple (units)]]="","",tblMRP[[#This Row],[Cum. planned (units)]]-tblMRP[[#This Row],[Order multiple (units)]]*CEILING(SUMPRODUCT(MAX((tblMRP[Item]=tblMRP[[#This Row],[Item]])*(tblMRP[Week]&lt;tblMRP[[#This Row],[Week]])*tblMRP[Uncovered (units)]))/tblMRP[[#This Row],[Order multiple (units)]],1)))</f>
        <v>270</v>
      </c>
      <c r="N31" s="35">
        <f>IF(tblMRP[[#This Row],[Item]]="","",IF(tblMRP[[#This Row],[Order multiple (units)]]="","",MAX(0,tblMRP[[#This Row],[Uncovered (units)]]-(tblMRP[[#This Row],[Cum. planned (units)]]-tblMRP[[#This Row],[Planned receipt (units)]]))))</f>
        <v>270</v>
      </c>
      <c r="O31" s="35">
        <f>IF(tblMRP[[#This Row],[Item]]="","",IF(tblMRP[[#This Row],[Order multiple (units)]]="","",tblMRP[[#This Row],[Safety stock (units)]]-tblMRP[[#This Row],[Uncovered (units)]]+tblMRP[[#This Row],[Cum. planned (units)]]))</f>
        <v>100</v>
      </c>
      <c r="P31" s="36">
        <f>IF(tblMRP[[#This Row],[Item]]="","",IF(N(tblMRP[[#This Row],[Planned receipt (units)]])&gt;0,tblMRP[[#This Row],[Week]]-7*tblMRP[[#This Row],[Lead time (wk)]],""))</f>
        <v>46328</v>
      </c>
      <c r="Q31" s="35">
        <f>IF(tblMRP[[#This Row],[Item]]="","",SUMIFS(tblMRP[Planned receipt (units)],tblMRP[Item],tblMRP[[#This Row],[Item]],tblMRP[Week],tblMRP[[#This Row],[Week]]+7*N(tblMRP[[#This Row],[Lead time (wk)]])))</f>
        <v>300</v>
      </c>
      <c r="R31" s="37" t="str">
        <f>IF(tblMRP[[#This Row],[Item]]="","",IF(N(tblMRP[[#This Row],[Planned receipt (units)]])=0,"",IF(tblMRP[[#This Row],[Release week]]&lt;PlanStart,"Overdue",IF(tblMRP[[#This Row],[Release week]]&lt;PlanStart+7,"Due soon","OK"))))</f>
        <v>Due soon</v>
      </c>
      <c r="S3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1" s="28" t="s">
        <v>112</v>
      </c>
    </row>
    <row r="32" spans="2:20" x14ac:dyDescent="0.25">
      <c r="B32" s="28" t="s">
        <v>81</v>
      </c>
      <c r="C32" s="34">
        <v>46342</v>
      </c>
      <c r="D32" s="32">
        <v>300</v>
      </c>
      <c r="E32" s="32">
        <v>0</v>
      </c>
      <c r="F32" s="35">
        <f>IF(tblMRP[[#This Row],[Item]]="","",(tblMRP[[#This Row],[Week]]-PlanStart)/7+1)</f>
        <v>3</v>
      </c>
      <c r="G32" s="35">
        <f>IF(tblMRP[[#This Row],[Item]]="","",IFERROR(INDEX(tblItems[On hand (units)],MATCH(tblMRP[[#This Row],[Item]],tblItems[Item],0)),""))</f>
        <v>450</v>
      </c>
      <c r="H32" s="35">
        <f>IF(tblMRP[[#This Row],[Item]]="","",IFERROR(INDEX(tblItems[Safety stock (units)],MATCH(tblMRP[[#This Row],[Item]],tblItems[Item],0)),""))</f>
        <v>100</v>
      </c>
      <c r="I32" s="35">
        <f>IF(tblMRP[[#This Row],[Item]]="","",IFERROR(INDEX(tblItems[Lead time (wk)],MATCH(tblMRP[[#This Row],[Item]],tblItems[Item],0)),""))</f>
        <v>1</v>
      </c>
      <c r="J32" s="35">
        <f>IF(tblMRP[[#This Row],[Item]]="","",IFERROR(INDEX(tblItems[Order multiple (units)],MATCH(tblMRP[[#This Row],[Item]],tblItems[Item],0)),""))</f>
        <v>1</v>
      </c>
      <c r="K3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570</v>
      </c>
      <c r="L32" s="35">
        <f>IF(tblMRP[[#This Row],[Item]]="","",IF(tblMRP[[#This Row],[Order multiple (units)]]="","",tblMRP[[#This Row],[Order multiple (units)]]*CEILING(SUMPRODUCT(MAX((tblMRP[Item]=tblMRP[[#This Row],[Item]])*(tblMRP[Week]&lt;=tblMRP[[#This Row],[Week]])*tblMRP[Uncovered (units)]))/tblMRP[[#This Row],[Order multiple (units)]],1)))</f>
        <v>570</v>
      </c>
      <c r="M32" s="35">
        <f>IF(tblMRP[[#This Row],[Item]]="","",IF(tblMRP[[#This Row],[Order multiple (units)]]="","",tblMRP[[#This Row],[Cum. planned (units)]]-tblMRP[[#This Row],[Order multiple (units)]]*CEILING(SUMPRODUCT(MAX((tblMRP[Item]=tblMRP[[#This Row],[Item]])*(tblMRP[Week]&lt;tblMRP[[#This Row],[Week]])*tblMRP[Uncovered (units)]))/tblMRP[[#This Row],[Order multiple (units)]],1)))</f>
        <v>300</v>
      </c>
      <c r="N32" s="35">
        <f>IF(tblMRP[[#This Row],[Item]]="","",IF(tblMRP[[#This Row],[Order multiple (units)]]="","",MAX(0,tblMRP[[#This Row],[Uncovered (units)]]-(tblMRP[[#This Row],[Cum. planned (units)]]-tblMRP[[#This Row],[Planned receipt (units)]]))))</f>
        <v>300</v>
      </c>
      <c r="O32" s="35">
        <f>IF(tblMRP[[#This Row],[Item]]="","",IF(tblMRP[[#This Row],[Order multiple (units)]]="","",tblMRP[[#This Row],[Safety stock (units)]]-tblMRP[[#This Row],[Uncovered (units)]]+tblMRP[[#This Row],[Cum. planned (units)]]))</f>
        <v>100</v>
      </c>
      <c r="P32" s="36">
        <f>IF(tblMRP[[#This Row],[Item]]="","",IF(N(tblMRP[[#This Row],[Planned receipt (units)]])&gt;0,tblMRP[[#This Row],[Week]]-7*tblMRP[[#This Row],[Lead time (wk)]],""))</f>
        <v>46335</v>
      </c>
      <c r="Q32" s="35">
        <f>IF(tblMRP[[#This Row],[Item]]="","",SUMIFS(tblMRP[Planned receipt (units)],tblMRP[Item],tblMRP[[#This Row],[Item]],tblMRP[Week],tblMRP[[#This Row],[Week]]+7*N(tblMRP[[#This Row],[Lead time (wk)]])))</f>
        <v>340</v>
      </c>
      <c r="R32" s="37" t="str">
        <f>IF(tblMRP[[#This Row],[Item]]="","",IF(N(tblMRP[[#This Row],[Planned receipt (units)]])=0,"",IF(tblMRP[[#This Row],[Release week]]&lt;PlanStart,"Overdue",IF(tblMRP[[#This Row],[Release week]]&lt;PlanStart+7,"Due soon","OK"))))</f>
        <v>OK</v>
      </c>
      <c r="S3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2" s="28" t="s">
        <v>112</v>
      </c>
    </row>
    <row r="33" spans="2:20" x14ac:dyDescent="0.25">
      <c r="B33" s="28" t="s">
        <v>81</v>
      </c>
      <c r="C33" s="34">
        <v>46349</v>
      </c>
      <c r="D33" s="32">
        <v>340</v>
      </c>
      <c r="E33" s="32">
        <v>0</v>
      </c>
      <c r="F33" s="35">
        <f>IF(tblMRP[[#This Row],[Item]]="","",(tblMRP[[#This Row],[Week]]-PlanStart)/7+1)</f>
        <v>4</v>
      </c>
      <c r="G33" s="35">
        <f>IF(tblMRP[[#This Row],[Item]]="","",IFERROR(INDEX(tblItems[On hand (units)],MATCH(tblMRP[[#This Row],[Item]],tblItems[Item],0)),""))</f>
        <v>450</v>
      </c>
      <c r="H33" s="35">
        <f>IF(tblMRP[[#This Row],[Item]]="","",IFERROR(INDEX(tblItems[Safety stock (units)],MATCH(tblMRP[[#This Row],[Item]],tblItems[Item],0)),""))</f>
        <v>100</v>
      </c>
      <c r="I33" s="35">
        <f>IF(tblMRP[[#This Row],[Item]]="","",IFERROR(INDEX(tblItems[Lead time (wk)],MATCH(tblMRP[[#This Row],[Item]],tblItems[Item],0)),""))</f>
        <v>1</v>
      </c>
      <c r="J33" s="35">
        <f>IF(tblMRP[[#This Row],[Item]]="","",IFERROR(INDEX(tblItems[Order multiple (units)],MATCH(tblMRP[[#This Row],[Item]],tblItems[Item],0)),""))</f>
        <v>1</v>
      </c>
      <c r="K3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910</v>
      </c>
      <c r="L33" s="35">
        <f>IF(tblMRP[[#This Row],[Item]]="","",IF(tblMRP[[#This Row],[Order multiple (units)]]="","",tblMRP[[#This Row],[Order multiple (units)]]*CEILING(SUMPRODUCT(MAX((tblMRP[Item]=tblMRP[[#This Row],[Item]])*(tblMRP[Week]&lt;=tblMRP[[#This Row],[Week]])*tblMRP[Uncovered (units)]))/tblMRP[[#This Row],[Order multiple (units)]],1)))</f>
        <v>910</v>
      </c>
      <c r="M33" s="35">
        <f>IF(tblMRP[[#This Row],[Item]]="","",IF(tblMRP[[#This Row],[Order multiple (units)]]="","",tblMRP[[#This Row],[Cum. planned (units)]]-tblMRP[[#This Row],[Order multiple (units)]]*CEILING(SUMPRODUCT(MAX((tblMRP[Item]=tblMRP[[#This Row],[Item]])*(tblMRP[Week]&lt;tblMRP[[#This Row],[Week]])*tblMRP[Uncovered (units)]))/tblMRP[[#This Row],[Order multiple (units)]],1)))</f>
        <v>340</v>
      </c>
      <c r="N33" s="35">
        <f>IF(tblMRP[[#This Row],[Item]]="","",IF(tblMRP[[#This Row],[Order multiple (units)]]="","",MAX(0,tblMRP[[#This Row],[Uncovered (units)]]-(tblMRP[[#This Row],[Cum. planned (units)]]-tblMRP[[#This Row],[Planned receipt (units)]]))))</f>
        <v>340</v>
      </c>
      <c r="O33" s="35">
        <f>IF(tblMRP[[#This Row],[Item]]="","",IF(tblMRP[[#This Row],[Order multiple (units)]]="","",tblMRP[[#This Row],[Safety stock (units)]]-tblMRP[[#This Row],[Uncovered (units)]]+tblMRP[[#This Row],[Cum. planned (units)]]))</f>
        <v>100</v>
      </c>
      <c r="P33" s="36">
        <f>IF(tblMRP[[#This Row],[Item]]="","",IF(N(tblMRP[[#This Row],[Planned receipt (units)]])&gt;0,tblMRP[[#This Row],[Week]]-7*tblMRP[[#This Row],[Lead time (wk)]],""))</f>
        <v>46342</v>
      </c>
      <c r="Q33" s="35">
        <f>IF(tblMRP[[#This Row],[Item]]="","",SUMIFS(tblMRP[Planned receipt (units)],tblMRP[Item],tblMRP[[#This Row],[Item]],tblMRP[Week],tblMRP[[#This Row],[Week]]+7*N(tblMRP[[#This Row],[Lead time (wk)]])))</f>
        <v>360</v>
      </c>
      <c r="R33" s="37" t="str">
        <f>IF(tblMRP[[#This Row],[Item]]="","",IF(N(tblMRP[[#This Row],[Planned receipt (units)]])=0,"",IF(tblMRP[[#This Row],[Release week]]&lt;PlanStart,"Overdue",IF(tblMRP[[#This Row],[Release week]]&lt;PlanStart+7,"Due soon","OK"))))</f>
        <v>OK</v>
      </c>
      <c r="S3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3" s="28" t="s">
        <v>112</v>
      </c>
    </row>
    <row r="34" spans="2:20" x14ac:dyDescent="0.25">
      <c r="B34" s="28" t="s">
        <v>81</v>
      </c>
      <c r="C34" s="34">
        <v>46356</v>
      </c>
      <c r="D34" s="32">
        <v>360</v>
      </c>
      <c r="E34" s="32">
        <v>0</v>
      </c>
      <c r="F34" s="35">
        <f>IF(tblMRP[[#This Row],[Item]]="","",(tblMRP[[#This Row],[Week]]-PlanStart)/7+1)</f>
        <v>5</v>
      </c>
      <c r="G34" s="35">
        <f>IF(tblMRP[[#This Row],[Item]]="","",IFERROR(INDEX(tblItems[On hand (units)],MATCH(tblMRP[[#This Row],[Item]],tblItems[Item],0)),""))</f>
        <v>450</v>
      </c>
      <c r="H34" s="35">
        <f>IF(tblMRP[[#This Row],[Item]]="","",IFERROR(INDEX(tblItems[Safety stock (units)],MATCH(tblMRP[[#This Row],[Item]],tblItems[Item],0)),""))</f>
        <v>100</v>
      </c>
      <c r="I34" s="35">
        <f>IF(tblMRP[[#This Row],[Item]]="","",IFERROR(INDEX(tblItems[Lead time (wk)],MATCH(tblMRP[[#This Row],[Item]],tblItems[Item],0)),""))</f>
        <v>1</v>
      </c>
      <c r="J34" s="35">
        <f>IF(tblMRP[[#This Row],[Item]]="","",IFERROR(INDEX(tblItems[Order multiple (units)],MATCH(tblMRP[[#This Row],[Item]],tblItems[Item],0)),""))</f>
        <v>1</v>
      </c>
      <c r="K3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1270</v>
      </c>
      <c r="L34" s="35">
        <f>IF(tblMRP[[#This Row],[Item]]="","",IF(tblMRP[[#This Row],[Order multiple (units)]]="","",tblMRP[[#This Row],[Order multiple (units)]]*CEILING(SUMPRODUCT(MAX((tblMRP[Item]=tblMRP[[#This Row],[Item]])*(tblMRP[Week]&lt;=tblMRP[[#This Row],[Week]])*tblMRP[Uncovered (units)]))/tblMRP[[#This Row],[Order multiple (units)]],1)))</f>
        <v>1270</v>
      </c>
      <c r="M34" s="35">
        <f>IF(tblMRP[[#This Row],[Item]]="","",IF(tblMRP[[#This Row],[Order multiple (units)]]="","",tblMRP[[#This Row],[Cum. planned (units)]]-tblMRP[[#This Row],[Order multiple (units)]]*CEILING(SUMPRODUCT(MAX((tblMRP[Item]=tblMRP[[#This Row],[Item]])*(tblMRP[Week]&lt;tblMRP[[#This Row],[Week]])*tblMRP[Uncovered (units)]))/tblMRP[[#This Row],[Order multiple (units)]],1)))</f>
        <v>360</v>
      </c>
      <c r="N34" s="35">
        <f>IF(tblMRP[[#This Row],[Item]]="","",IF(tblMRP[[#This Row],[Order multiple (units)]]="","",MAX(0,tblMRP[[#This Row],[Uncovered (units)]]-(tblMRP[[#This Row],[Cum. planned (units)]]-tblMRP[[#This Row],[Planned receipt (units)]]))))</f>
        <v>360</v>
      </c>
      <c r="O34" s="35">
        <f>IF(tblMRP[[#This Row],[Item]]="","",IF(tblMRP[[#This Row],[Order multiple (units)]]="","",tblMRP[[#This Row],[Safety stock (units)]]-tblMRP[[#This Row],[Uncovered (units)]]+tblMRP[[#This Row],[Cum. planned (units)]]))</f>
        <v>100</v>
      </c>
      <c r="P34" s="36">
        <f>IF(tblMRP[[#This Row],[Item]]="","",IF(N(tblMRP[[#This Row],[Planned receipt (units)]])&gt;0,tblMRP[[#This Row],[Week]]-7*tblMRP[[#This Row],[Lead time (wk)]],""))</f>
        <v>46349</v>
      </c>
      <c r="Q34" s="35">
        <f>IF(tblMRP[[#This Row],[Item]]="","",SUMIFS(tblMRP[Planned receipt (units)],tblMRP[Item],tblMRP[[#This Row],[Item]],tblMRP[Week],tblMRP[[#This Row],[Week]]+7*N(tblMRP[[#This Row],[Lead time (wk)]])))</f>
        <v>380</v>
      </c>
      <c r="R34" s="37" t="str">
        <f>IF(tblMRP[[#This Row],[Item]]="","",IF(N(tblMRP[[#This Row],[Planned receipt (units)]])=0,"",IF(tblMRP[[#This Row],[Release week]]&lt;PlanStart,"Overdue",IF(tblMRP[[#This Row],[Release week]]&lt;PlanStart+7,"Due soon","OK"))))</f>
        <v>OK</v>
      </c>
      <c r="S3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4" s="28" t="s">
        <v>112</v>
      </c>
    </row>
    <row r="35" spans="2:20" x14ac:dyDescent="0.25">
      <c r="B35" s="28" t="s">
        <v>81</v>
      </c>
      <c r="C35" s="34">
        <v>46363</v>
      </c>
      <c r="D35" s="32">
        <v>380</v>
      </c>
      <c r="E35" s="32">
        <v>0</v>
      </c>
      <c r="F35" s="35">
        <f>IF(tblMRP[[#This Row],[Item]]="","",(tblMRP[[#This Row],[Week]]-PlanStart)/7+1)</f>
        <v>6</v>
      </c>
      <c r="G35" s="35">
        <f>IF(tblMRP[[#This Row],[Item]]="","",IFERROR(INDEX(tblItems[On hand (units)],MATCH(tblMRP[[#This Row],[Item]],tblItems[Item],0)),""))</f>
        <v>450</v>
      </c>
      <c r="H35" s="35">
        <f>IF(tblMRP[[#This Row],[Item]]="","",IFERROR(INDEX(tblItems[Safety stock (units)],MATCH(tblMRP[[#This Row],[Item]],tblItems[Item],0)),""))</f>
        <v>100</v>
      </c>
      <c r="I35" s="35">
        <f>IF(tblMRP[[#This Row],[Item]]="","",IFERROR(INDEX(tblItems[Lead time (wk)],MATCH(tblMRP[[#This Row],[Item]],tblItems[Item],0)),""))</f>
        <v>1</v>
      </c>
      <c r="J35" s="35">
        <f>IF(tblMRP[[#This Row],[Item]]="","",IFERROR(INDEX(tblItems[Order multiple (units)],MATCH(tblMRP[[#This Row],[Item]],tblItems[Item],0)),""))</f>
        <v>1</v>
      </c>
      <c r="K3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1650</v>
      </c>
      <c r="L35" s="35">
        <f>IF(tblMRP[[#This Row],[Item]]="","",IF(tblMRP[[#This Row],[Order multiple (units)]]="","",tblMRP[[#This Row],[Order multiple (units)]]*CEILING(SUMPRODUCT(MAX((tblMRP[Item]=tblMRP[[#This Row],[Item]])*(tblMRP[Week]&lt;=tblMRP[[#This Row],[Week]])*tblMRP[Uncovered (units)]))/tblMRP[[#This Row],[Order multiple (units)]],1)))</f>
        <v>1650</v>
      </c>
      <c r="M35" s="35">
        <f>IF(tblMRP[[#This Row],[Item]]="","",IF(tblMRP[[#This Row],[Order multiple (units)]]="","",tblMRP[[#This Row],[Cum. planned (units)]]-tblMRP[[#This Row],[Order multiple (units)]]*CEILING(SUMPRODUCT(MAX((tblMRP[Item]=tblMRP[[#This Row],[Item]])*(tblMRP[Week]&lt;tblMRP[[#This Row],[Week]])*tblMRP[Uncovered (units)]))/tblMRP[[#This Row],[Order multiple (units)]],1)))</f>
        <v>380</v>
      </c>
      <c r="N35" s="35">
        <f>IF(tblMRP[[#This Row],[Item]]="","",IF(tblMRP[[#This Row],[Order multiple (units)]]="","",MAX(0,tblMRP[[#This Row],[Uncovered (units)]]-(tblMRP[[#This Row],[Cum. planned (units)]]-tblMRP[[#This Row],[Planned receipt (units)]]))))</f>
        <v>380</v>
      </c>
      <c r="O35" s="35">
        <f>IF(tblMRP[[#This Row],[Item]]="","",IF(tblMRP[[#This Row],[Order multiple (units)]]="","",tblMRP[[#This Row],[Safety stock (units)]]-tblMRP[[#This Row],[Uncovered (units)]]+tblMRP[[#This Row],[Cum. planned (units)]]))</f>
        <v>100</v>
      </c>
      <c r="P35" s="36">
        <f>IF(tblMRP[[#This Row],[Item]]="","",IF(N(tblMRP[[#This Row],[Planned receipt (units)]])&gt;0,tblMRP[[#This Row],[Week]]-7*tblMRP[[#This Row],[Lead time (wk)]],""))</f>
        <v>46356</v>
      </c>
      <c r="Q35" s="35">
        <f>IF(tblMRP[[#This Row],[Item]]="","",SUMIFS(tblMRP[Planned receipt (units)],tblMRP[Item],tblMRP[[#This Row],[Item]],tblMRP[Week],tblMRP[[#This Row],[Week]]+7*N(tblMRP[[#This Row],[Lead time (wk)]])))</f>
        <v>400</v>
      </c>
      <c r="R35" s="37" t="str">
        <f>IF(tblMRP[[#This Row],[Item]]="","",IF(N(tblMRP[[#This Row],[Planned receipt (units)]])=0,"",IF(tblMRP[[#This Row],[Release week]]&lt;PlanStart,"Overdue",IF(tblMRP[[#This Row],[Release week]]&lt;PlanStart+7,"Due soon","OK"))))</f>
        <v>OK</v>
      </c>
      <c r="S3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5" s="28" t="s">
        <v>112</v>
      </c>
    </row>
    <row r="36" spans="2:20" x14ac:dyDescent="0.25">
      <c r="B36" s="28" t="s">
        <v>81</v>
      </c>
      <c r="C36" s="34">
        <v>46370</v>
      </c>
      <c r="D36" s="32">
        <v>400</v>
      </c>
      <c r="E36" s="32">
        <v>0</v>
      </c>
      <c r="F36" s="35">
        <f>IF(tblMRP[[#This Row],[Item]]="","",(tblMRP[[#This Row],[Week]]-PlanStart)/7+1)</f>
        <v>7</v>
      </c>
      <c r="G36" s="35">
        <f>IF(tblMRP[[#This Row],[Item]]="","",IFERROR(INDEX(tblItems[On hand (units)],MATCH(tblMRP[[#This Row],[Item]],tblItems[Item],0)),""))</f>
        <v>450</v>
      </c>
      <c r="H36" s="35">
        <f>IF(tblMRP[[#This Row],[Item]]="","",IFERROR(INDEX(tblItems[Safety stock (units)],MATCH(tblMRP[[#This Row],[Item]],tblItems[Item],0)),""))</f>
        <v>100</v>
      </c>
      <c r="I36" s="35">
        <f>IF(tblMRP[[#This Row],[Item]]="","",IFERROR(INDEX(tblItems[Lead time (wk)],MATCH(tblMRP[[#This Row],[Item]],tblItems[Item],0)),""))</f>
        <v>1</v>
      </c>
      <c r="J36" s="35">
        <f>IF(tblMRP[[#This Row],[Item]]="","",IFERROR(INDEX(tblItems[Order multiple (units)],MATCH(tblMRP[[#This Row],[Item]],tblItems[Item],0)),""))</f>
        <v>1</v>
      </c>
      <c r="K3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2050</v>
      </c>
      <c r="L36" s="35">
        <f>IF(tblMRP[[#This Row],[Item]]="","",IF(tblMRP[[#This Row],[Order multiple (units)]]="","",tblMRP[[#This Row],[Order multiple (units)]]*CEILING(SUMPRODUCT(MAX((tblMRP[Item]=tblMRP[[#This Row],[Item]])*(tblMRP[Week]&lt;=tblMRP[[#This Row],[Week]])*tblMRP[Uncovered (units)]))/tblMRP[[#This Row],[Order multiple (units)]],1)))</f>
        <v>2050</v>
      </c>
      <c r="M36" s="35">
        <f>IF(tblMRP[[#This Row],[Item]]="","",IF(tblMRP[[#This Row],[Order multiple (units)]]="","",tblMRP[[#This Row],[Cum. planned (units)]]-tblMRP[[#This Row],[Order multiple (units)]]*CEILING(SUMPRODUCT(MAX((tblMRP[Item]=tblMRP[[#This Row],[Item]])*(tblMRP[Week]&lt;tblMRP[[#This Row],[Week]])*tblMRP[Uncovered (units)]))/tblMRP[[#This Row],[Order multiple (units)]],1)))</f>
        <v>400</v>
      </c>
      <c r="N36" s="35">
        <f>IF(tblMRP[[#This Row],[Item]]="","",IF(tblMRP[[#This Row],[Order multiple (units)]]="","",MAX(0,tblMRP[[#This Row],[Uncovered (units)]]-(tblMRP[[#This Row],[Cum. planned (units)]]-tblMRP[[#This Row],[Planned receipt (units)]]))))</f>
        <v>400</v>
      </c>
      <c r="O36" s="35">
        <f>IF(tblMRP[[#This Row],[Item]]="","",IF(tblMRP[[#This Row],[Order multiple (units)]]="","",tblMRP[[#This Row],[Safety stock (units)]]-tblMRP[[#This Row],[Uncovered (units)]]+tblMRP[[#This Row],[Cum. planned (units)]]))</f>
        <v>100</v>
      </c>
      <c r="P36" s="36">
        <f>IF(tblMRP[[#This Row],[Item]]="","",IF(N(tblMRP[[#This Row],[Planned receipt (units)]])&gt;0,tblMRP[[#This Row],[Week]]-7*tblMRP[[#This Row],[Lead time (wk)]],""))</f>
        <v>46363</v>
      </c>
      <c r="Q36" s="35">
        <f>IF(tblMRP[[#This Row],[Item]]="","",SUMIFS(tblMRP[Planned receipt (units)],tblMRP[Item],tblMRP[[#This Row],[Item]],tblMRP[Week],tblMRP[[#This Row],[Week]]+7*N(tblMRP[[#This Row],[Lead time (wk)]])))</f>
        <v>400</v>
      </c>
      <c r="R36" s="37" t="str">
        <f>IF(tblMRP[[#This Row],[Item]]="","",IF(N(tblMRP[[#This Row],[Planned receipt (units)]])=0,"",IF(tblMRP[[#This Row],[Release week]]&lt;PlanStart,"Overdue",IF(tblMRP[[#This Row],[Release week]]&lt;PlanStart+7,"Due soon","OK"))))</f>
        <v>OK</v>
      </c>
      <c r="S3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6" s="28" t="s">
        <v>112</v>
      </c>
    </row>
    <row r="37" spans="2:20" x14ac:dyDescent="0.25">
      <c r="B37" s="28" t="s">
        <v>81</v>
      </c>
      <c r="C37" s="34">
        <v>46377</v>
      </c>
      <c r="D37" s="32">
        <v>400</v>
      </c>
      <c r="E37" s="32">
        <v>0</v>
      </c>
      <c r="F37" s="35">
        <f>IF(tblMRP[[#This Row],[Item]]="","",(tblMRP[[#This Row],[Week]]-PlanStart)/7+1)</f>
        <v>8</v>
      </c>
      <c r="G37" s="35">
        <f>IF(tblMRP[[#This Row],[Item]]="","",IFERROR(INDEX(tblItems[On hand (units)],MATCH(tblMRP[[#This Row],[Item]],tblItems[Item],0)),""))</f>
        <v>450</v>
      </c>
      <c r="H37" s="35">
        <f>IF(tblMRP[[#This Row],[Item]]="","",IFERROR(INDEX(tblItems[Safety stock (units)],MATCH(tblMRP[[#This Row],[Item]],tblItems[Item],0)),""))</f>
        <v>100</v>
      </c>
      <c r="I37" s="35">
        <f>IF(tblMRP[[#This Row],[Item]]="","",IFERROR(INDEX(tblItems[Lead time (wk)],MATCH(tblMRP[[#This Row],[Item]],tblItems[Item],0)),""))</f>
        <v>1</v>
      </c>
      <c r="J37" s="35">
        <f>IF(tblMRP[[#This Row],[Item]]="","",IFERROR(INDEX(tblItems[Order multiple (units)],MATCH(tblMRP[[#This Row],[Item]],tblItems[Item],0)),""))</f>
        <v>1</v>
      </c>
      <c r="K3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2450</v>
      </c>
      <c r="L37" s="35">
        <f>IF(tblMRP[[#This Row],[Item]]="","",IF(tblMRP[[#This Row],[Order multiple (units)]]="","",tblMRP[[#This Row],[Order multiple (units)]]*CEILING(SUMPRODUCT(MAX((tblMRP[Item]=tblMRP[[#This Row],[Item]])*(tblMRP[Week]&lt;=tblMRP[[#This Row],[Week]])*tblMRP[Uncovered (units)]))/tblMRP[[#This Row],[Order multiple (units)]],1)))</f>
        <v>2450</v>
      </c>
      <c r="M37" s="35">
        <f>IF(tblMRP[[#This Row],[Item]]="","",IF(tblMRP[[#This Row],[Order multiple (units)]]="","",tblMRP[[#This Row],[Cum. planned (units)]]-tblMRP[[#This Row],[Order multiple (units)]]*CEILING(SUMPRODUCT(MAX((tblMRP[Item]=tblMRP[[#This Row],[Item]])*(tblMRP[Week]&lt;tblMRP[[#This Row],[Week]])*tblMRP[Uncovered (units)]))/tblMRP[[#This Row],[Order multiple (units)]],1)))</f>
        <v>400</v>
      </c>
      <c r="N37" s="35">
        <f>IF(tblMRP[[#This Row],[Item]]="","",IF(tblMRP[[#This Row],[Order multiple (units)]]="","",MAX(0,tblMRP[[#This Row],[Uncovered (units)]]-(tblMRP[[#This Row],[Cum. planned (units)]]-tblMRP[[#This Row],[Planned receipt (units)]]))))</f>
        <v>400</v>
      </c>
      <c r="O37" s="35">
        <f>IF(tblMRP[[#This Row],[Item]]="","",IF(tblMRP[[#This Row],[Order multiple (units)]]="","",tblMRP[[#This Row],[Safety stock (units)]]-tblMRP[[#This Row],[Uncovered (units)]]+tblMRP[[#This Row],[Cum. planned (units)]]))</f>
        <v>100</v>
      </c>
      <c r="P37" s="36">
        <f>IF(tblMRP[[#This Row],[Item]]="","",IF(N(tblMRP[[#This Row],[Planned receipt (units)]])&gt;0,tblMRP[[#This Row],[Week]]-7*tblMRP[[#This Row],[Lead time (wk)]],""))</f>
        <v>46370</v>
      </c>
      <c r="Q37" s="35">
        <f>IF(tblMRP[[#This Row],[Item]]="","",SUMIFS(tblMRP[Planned receipt (units)],tblMRP[Item],tblMRP[[#This Row],[Item]],tblMRP[Week],tblMRP[[#This Row],[Week]]+7*N(tblMRP[[#This Row],[Lead time (wk)]])))</f>
        <v>380</v>
      </c>
      <c r="R37" s="37" t="str">
        <f>IF(tblMRP[[#This Row],[Item]]="","",IF(N(tblMRP[[#This Row],[Planned receipt (units)]])=0,"",IF(tblMRP[[#This Row],[Release week]]&lt;PlanStart,"Overdue",IF(tblMRP[[#This Row],[Release week]]&lt;PlanStart+7,"Due soon","OK"))))</f>
        <v>OK</v>
      </c>
      <c r="S3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7" s="28" t="s">
        <v>112</v>
      </c>
    </row>
    <row r="38" spans="2:20" x14ac:dyDescent="0.25">
      <c r="B38" s="28" t="s">
        <v>81</v>
      </c>
      <c r="C38" s="34">
        <v>46384</v>
      </c>
      <c r="D38" s="32">
        <v>380</v>
      </c>
      <c r="E38" s="32">
        <v>0</v>
      </c>
      <c r="F38" s="35">
        <f>IF(tblMRP[[#This Row],[Item]]="","",(tblMRP[[#This Row],[Week]]-PlanStart)/7+1)</f>
        <v>9</v>
      </c>
      <c r="G38" s="35">
        <f>IF(tblMRP[[#This Row],[Item]]="","",IFERROR(INDEX(tblItems[On hand (units)],MATCH(tblMRP[[#This Row],[Item]],tblItems[Item],0)),""))</f>
        <v>450</v>
      </c>
      <c r="H38" s="35">
        <f>IF(tblMRP[[#This Row],[Item]]="","",IFERROR(INDEX(tblItems[Safety stock (units)],MATCH(tblMRP[[#This Row],[Item]],tblItems[Item],0)),""))</f>
        <v>100</v>
      </c>
      <c r="I38" s="35">
        <f>IF(tblMRP[[#This Row],[Item]]="","",IFERROR(INDEX(tblItems[Lead time (wk)],MATCH(tblMRP[[#This Row],[Item]],tblItems[Item],0)),""))</f>
        <v>1</v>
      </c>
      <c r="J38" s="35">
        <f>IF(tblMRP[[#This Row],[Item]]="","",IFERROR(INDEX(tblItems[Order multiple (units)],MATCH(tblMRP[[#This Row],[Item]],tblItems[Item],0)),""))</f>
        <v>1</v>
      </c>
      <c r="K3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2830</v>
      </c>
      <c r="L38" s="35">
        <f>IF(tblMRP[[#This Row],[Item]]="","",IF(tblMRP[[#This Row],[Order multiple (units)]]="","",tblMRP[[#This Row],[Order multiple (units)]]*CEILING(SUMPRODUCT(MAX((tblMRP[Item]=tblMRP[[#This Row],[Item]])*(tblMRP[Week]&lt;=tblMRP[[#This Row],[Week]])*tblMRP[Uncovered (units)]))/tblMRP[[#This Row],[Order multiple (units)]],1)))</f>
        <v>2830</v>
      </c>
      <c r="M38" s="35">
        <f>IF(tblMRP[[#This Row],[Item]]="","",IF(tblMRP[[#This Row],[Order multiple (units)]]="","",tblMRP[[#This Row],[Cum. planned (units)]]-tblMRP[[#This Row],[Order multiple (units)]]*CEILING(SUMPRODUCT(MAX((tblMRP[Item]=tblMRP[[#This Row],[Item]])*(tblMRP[Week]&lt;tblMRP[[#This Row],[Week]])*tblMRP[Uncovered (units)]))/tblMRP[[#This Row],[Order multiple (units)]],1)))</f>
        <v>380</v>
      </c>
      <c r="N38" s="35">
        <f>IF(tblMRP[[#This Row],[Item]]="","",IF(tblMRP[[#This Row],[Order multiple (units)]]="","",MAX(0,tblMRP[[#This Row],[Uncovered (units)]]-(tblMRP[[#This Row],[Cum. planned (units)]]-tblMRP[[#This Row],[Planned receipt (units)]]))))</f>
        <v>380</v>
      </c>
      <c r="O38" s="35">
        <f>IF(tblMRP[[#This Row],[Item]]="","",IF(tblMRP[[#This Row],[Order multiple (units)]]="","",tblMRP[[#This Row],[Safety stock (units)]]-tblMRP[[#This Row],[Uncovered (units)]]+tblMRP[[#This Row],[Cum. planned (units)]]))</f>
        <v>100</v>
      </c>
      <c r="P38" s="36">
        <f>IF(tblMRP[[#This Row],[Item]]="","",IF(N(tblMRP[[#This Row],[Planned receipt (units)]])&gt;0,tblMRP[[#This Row],[Week]]-7*tblMRP[[#This Row],[Lead time (wk)]],""))</f>
        <v>46377</v>
      </c>
      <c r="Q38" s="35">
        <f>IF(tblMRP[[#This Row],[Item]]="","",SUMIFS(tblMRP[Planned receipt (units)],tblMRP[Item],tblMRP[[#This Row],[Item]],tblMRP[Week],tblMRP[[#This Row],[Week]]+7*N(tblMRP[[#This Row],[Lead time (wk)]])))</f>
        <v>360</v>
      </c>
      <c r="R38" s="37" t="str">
        <f>IF(tblMRP[[#This Row],[Item]]="","",IF(N(tblMRP[[#This Row],[Planned receipt (units)]])=0,"",IF(tblMRP[[#This Row],[Release week]]&lt;PlanStart,"Overdue",IF(tblMRP[[#This Row],[Release week]]&lt;PlanStart+7,"Due soon","OK"))))</f>
        <v>OK</v>
      </c>
      <c r="S3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8" s="28" t="s">
        <v>112</v>
      </c>
    </row>
    <row r="39" spans="2:20" x14ac:dyDescent="0.25">
      <c r="B39" s="28" t="s">
        <v>81</v>
      </c>
      <c r="C39" s="34">
        <v>46391</v>
      </c>
      <c r="D39" s="32">
        <v>360</v>
      </c>
      <c r="E39" s="32">
        <v>0</v>
      </c>
      <c r="F39" s="35">
        <f>IF(tblMRP[[#This Row],[Item]]="","",(tblMRP[[#This Row],[Week]]-PlanStart)/7+1)</f>
        <v>10</v>
      </c>
      <c r="G39" s="35">
        <f>IF(tblMRP[[#This Row],[Item]]="","",IFERROR(INDEX(tblItems[On hand (units)],MATCH(tblMRP[[#This Row],[Item]],tblItems[Item],0)),""))</f>
        <v>450</v>
      </c>
      <c r="H39" s="35">
        <f>IF(tblMRP[[#This Row],[Item]]="","",IFERROR(INDEX(tblItems[Safety stock (units)],MATCH(tblMRP[[#This Row],[Item]],tblItems[Item],0)),""))</f>
        <v>100</v>
      </c>
      <c r="I39" s="35">
        <f>IF(tblMRP[[#This Row],[Item]]="","",IFERROR(INDEX(tblItems[Lead time (wk)],MATCH(tblMRP[[#This Row],[Item]],tblItems[Item],0)),""))</f>
        <v>1</v>
      </c>
      <c r="J39" s="35">
        <f>IF(tblMRP[[#This Row],[Item]]="","",IFERROR(INDEX(tblItems[Order multiple (units)],MATCH(tblMRP[[#This Row],[Item]],tblItems[Item],0)),""))</f>
        <v>1</v>
      </c>
      <c r="K3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3190</v>
      </c>
      <c r="L39" s="35">
        <f>IF(tblMRP[[#This Row],[Item]]="","",IF(tblMRP[[#This Row],[Order multiple (units)]]="","",tblMRP[[#This Row],[Order multiple (units)]]*CEILING(SUMPRODUCT(MAX((tblMRP[Item]=tblMRP[[#This Row],[Item]])*(tblMRP[Week]&lt;=tblMRP[[#This Row],[Week]])*tblMRP[Uncovered (units)]))/tblMRP[[#This Row],[Order multiple (units)]],1)))</f>
        <v>3190</v>
      </c>
      <c r="M39" s="35">
        <f>IF(tblMRP[[#This Row],[Item]]="","",IF(tblMRP[[#This Row],[Order multiple (units)]]="","",tblMRP[[#This Row],[Cum. planned (units)]]-tblMRP[[#This Row],[Order multiple (units)]]*CEILING(SUMPRODUCT(MAX((tblMRP[Item]=tblMRP[[#This Row],[Item]])*(tblMRP[Week]&lt;tblMRP[[#This Row],[Week]])*tblMRP[Uncovered (units)]))/tblMRP[[#This Row],[Order multiple (units)]],1)))</f>
        <v>360</v>
      </c>
      <c r="N39" s="35">
        <f>IF(tblMRP[[#This Row],[Item]]="","",IF(tblMRP[[#This Row],[Order multiple (units)]]="","",MAX(0,tblMRP[[#This Row],[Uncovered (units)]]-(tblMRP[[#This Row],[Cum. planned (units)]]-tblMRP[[#This Row],[Planned receipt (units)]]))))</f>
        <v>360</v>
      </c>
      <c r="O39" s="35">
        <f>IF(tblMRP[[#This Row],[Item]]="","",IF(tblMRP[[#This Row],[Order multiple (units)]]="","",tblMRP[[#This Row],[Safety stock (units)]]-tblMRP[[#This Row],[Uncovered (units)]]+tblMRP[[#This Row],[Cum. planned (units)]]))</f>
        <v>100</v>
      </c>
      <c r="P39" s="36">
        <f>IF(tblMRP[[#This Row],[Item]]="","",IF(N(tblMRP[[#This Row],[Planned receipt (units)]])&gt;0,tblMRP[[#This Row],[Week]]-7*tblMRP[[#This Row],[Lead time (wk)]],""))</f>
        <v>46384</v>
      </c>
      <c r="Q39" s="35">
        <f>IF(tblMRP[[#This Row],[Item]]="","",SUMIFS(tblMRP[Planned receipt (units)],tblMRP[Item],tblMRP[[#This Row],[Item]],tblMRP[Week],tblMRP[[#This Row],[Week]]+7*N(tblMRP[[#This Row],[Lead time (wk)]])))</f>
        <v>340</v>
      </c>
      <c r="R39" s="37" t="str">
        <f>IF(tblMRP[[#This Row],[Item]]="","",IF(N(tblMRP[[#This Row],[Planned receipt (units)]])=0,"",IF(tblMRP[[#This Row],[Release week]]&lt;PlanStart,"Overdue",IF(tblMRP[[#This Row],[Release week]]&lt;PlanStart+7,"Due soon","OK"))))</f>
        <v>OK</v>
      </c>
      <c r="S3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39" s="28" t="s">
        <v>112</v>
      </c>
    </row>
    <row r="40" spans="2:20" x14ac:dyDescent="0.25">
      <c r="B40" s="28" t="s">
        <v>81</v>
      </c>
      <c r="C40" s="34">
        <v>46398</v>
      </c>
      <c r="D40" s="32">
        <v>340</v>
      </c>
      <c r="E40" s="32">
        <v>0</v>
      </c>
      <c r="F40" s="35">
        <f>IF(tblMRP[[#This Row],[Item]]="","",(tblMRP[[#This Row],[Week]]-PlanStart)/7+1)</f>
        <v>11</v>
      </c>
      <c r="G40" s="35">
        <f>IF(tblMRP[[#This Row],[Item]]="","",IFERROR(INDEX(tblItems[On hand (units)],MATCH(tblMRP[[#This Row],[Item]],tblItems[Item],0)),""))</f>
        <v>450</v>
      </c>
      <c r="H40" s="35">
        <f>IF(tblMRP[[#This Row],[Item]]="","",IFERROR(INDEX(tblItems[Safety stock (units)],MATCH(tblMRP[[#This Row],[Item]],tblItems[Item],0)),""))</f>
        <v>100</v>
      </c>
      <c r="I40" s="35">
        <f>IF(tblMRP[[#This Row],[Item]]="","",IFERROR(INDEX(tblItems[Lead time (wk)],MATCH(tblMRP[[#This Row],[Item]],tblItems[Item],0)),""))</f>
        <v>1</v>
      </c>
      <c r="J40" s="35">
        <f>IF(tblMRP[[#This Row],[Item]]="","",IFERROR(INDEX(tblItems[Order multiple (units)],MATCH(tblMRP[[#This Row],[Item]],tblItems[Item],0)),""))</f>
        <v>1</v>
      </c>
      <c r="K4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3530</v>
      </c>
      <c r="L40" s="35">
        <f>IF(tblMRP[[#This Row],[Item]]="","",IF(tblMRP[[#This Row],[Order multiple (units)]]="","",tblMRP[[#This Row],[Order multiple (units)]]*CEILING(SUMPRODUCT(MAX((tblMRP[Item]=tblMRP[[#This Row],[Item]])*(tblMRP[Week]&lt;=tblMRP[[#This Row],[Week]])*tblMRP[Uncovered (units)]))/tblMRP[[#This Row],[Order multiple (units)]],1)))</f>
        <v>3530</v>
      </c>
      <c r="M40" s="35">
        <f>IF(tblMRP[[#This Row],[Item]]="","",IF(tblMRP[[#This Row],[Order multiple (units)]]="","",tblMRP[[#This Row],[Cum. planned (units)]]-tblMRP[[#This Row],[Order multiple (units)]]*CEILING(SUMPRODUCT(MAX((tblMRP[Item]=tblMRP[[#This Row],[Item]])*(tblMRP[Week]&lt;tblMRP[[#This Row],[Week]])*tblMRP[Uncovered (units)]))/tblMRP[[#This Row],[Order multiple (units)]],1)))</f>
        <v>340</v>
      </c>
      <c r="N40" s="35">
        <f>IF(tblMRP[[#This Row],[Item]]="","",IF(tblMRP[[#This Row],[Order multiple (units)]]="","",MAX(0,tblMRP[[#This Row],[Uncovered (units)]]-(tblMRP[[#This Row],[Cum. planned (units)]]-tblMRP[[#This Row],[Planned receipt (units)]]))))</f>
        <v>340</v>
      </c>
      <c r="O40" s="35">
        <f>IF(tblMRP[[#This Row],[Item]]="","",IF(tblMRP[[#This Row],[Order multiple (units)]]="","",tblMRP[[#This Row],[Safety stock (units)]]-tblMRP[[#This Row],[Uncovered (units)]]+tblMRP[[#This Row],[Cum. planned (units)]]))</f>
        <v>100</v>
      </c>
      <c r="P40" s="36">
        <f>IF(tblMRP[[#This Row],[Item]]="","",IF(N(tblMRP[[#This Row],[Planned receipt (units)]])&gt;0,tblMRP[[#This Row],[Week]]-7*tblMRP[[#This Row],[Lead time (wk)]],""))</f>
        <v>46391</v>
      </c>
      <c r="Q40" s="35">
        <f>IF(tblMRP[[#This Row],[Item]]="","",SUMIFS(tblMRP[Planned receipt (units)],tblMRP[Item],tblMRP[[#This Row],[Item]],tblMRP[Week],tblMRP[[#This Row],[Week]]+7*N(tblMRP[[#This Row],[Lead time (wk)]])))</f>
        <v>320</v>
      </c>
      <c r="R40" s="37" t="str">
        <f>IF(tblMRP[[#This Row],[Item]]="","",IF(N(tblMRP[[#This Row],[Planned receipt (units)]])=0,"",IF(tblMRP[[#This Row],[Release week]]&lt;PlanStart,"Overdue",IF(tblMRP[[#This Row],[Release week]]&lt;PlanStart+7,"Due soon","OK"))))</f>
        <v>OK</v>
      </c>
      <c r="S4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0" s="28" t="s">
        <v>112</v>
      </c>
    </row>
    <row r="41" spans="2:20" x14ac:dyDescent="0.25">
      <c r="B41" s="28" t="s">
        <v>81</v>
      </c>
      <c r="C41" s="34">
        <v>46405</v>
      </c>
      <c r="D41" s="32">
        <v>320</v>
      </c>
      <c r="E41" s="32">
        <v>0</v>
      </c>
      <c r="F41" s="35">
        <f>IF(tblMRP[[#This Row],[Item]]="","",(tblMRP[[#This Row],[Week]]-PlanStart)/7+1)</f>
        <v>12</v>
      </c>
      <c r="G41" s="35">
        <f>IF(tblMRP[[#This Row],[Item]]="","",IFERROR(INDEX(tblItems[On hand (units)],MATCH(tblMRP[[#This Row],[Item]],tblItems[Item],0)),""))</f>
        <v>450</v>
      </c>
      <c r="H41" s="35">
        <f>IF(tblMRP[[#This Row],[Item]]="","",IFERROR(INDEX(tblItems[Safety stock (units)],MATCH(tblMRP[[#This Row],[Item]],tblItems[Item],0)),""))</f>
        <v>100</v>
      </c>
      <c r="I41" s="35">
        <f>IF(tblMRP[[#This Row],[Item]]="","",IFERROR(INDEX(tblItems[Lead time (wk)],MATCH(tblMRP[[#This Row],[Item]],tblItems[Item],0)),""))</f>
        <v>1</v>
      </c>
      <c r="J41" s="35">
        <f>IF(tblMRP[[#This Row],[Item]]="","",IFERROR(INDEX(tblItems[Order multiple (units)],MATCH(tblMRP[[#This Row],[Item]],tblItems[Item],0)),""))</f>
        <v>1</v>
      </c>
      <c r="K4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3850</v>
      </c>
      <c r="L41" s="35">
        <f>IF(tblMRP[[#This Row],[Item]]="","",IF(tblMRP[[#This Row],[Order multiple (units)]]="","",tblMRP[[#This Row],[Order multiple (units)]]*CEILING(SUMPRODUCT(MAX((tblMRP[Item]=tblMRP[[#This Row],[Item]])*(tblMRP[Week]&lt;=tblMRP[[#This Row],[Week]])*tblMRP[Uncovered (units)]))/tblMRP[[#This Row],[Order multiple (units)]],1)))</f>
        <v>3850</v>
      </c>
      <c r="M41" s="35">
        <f>IF(tblMRP[[#This Row],[Item]]="","",IF(tblMRP[[#This Row],[Order multiple (units)]]="","",tblMRP[[#This Row],[Cum. planned (units)]]-tblMRP[[#This Row],[Order multiple (units)]]*CEILING(SUMPRODUCT(MAX((tblMRP[Item]=tblMRP[[#This Row],[Item]])*(tblMRP[Week]&lt;tblMRP[[#This Row],[Week]])*tblMRP[Uncovered (units)]))/tblMRP[[#This Row],[Order multiple (units)]],1)))</f>
        <v>320</v>
      </c>
      <c r="N41" s="35">
        <f>IF(tblMRP[[#This Row],[Item]]="","",IF(tblMRP[[#This Row],[Order multiple (units)]]="","",MAX(0,tblMRP[[#This Row],[Uncovered (units)]]-(tblMRP[[#This Row],[Cum. planned (units)]]-tblMRP[[#This Row],[Planned receipt (units)]]))))</f>
        <v>320</v>
      </c>
      <c r="O41" s="35">
        <f>IF(tblMRP[[#This Row],[Item]]="","",IF(tblMRP[[#This Row],[Order multiple (units)]]="","",tblMRP[[#This Row],[Safety stock (units)]]-tblMRP[[#This Row],[Uncovered (units)]]+tblMRP[[#This Row],[Cum. planned (units)]]))</f>
        <v>100</v>
      </c>
      <c r="P41" s="36">
        <f>IF(tblMRP[[#This Row],[Item]]="","",IF(N(tblMRP[[#This Row],[Planned receipt (units)]])&gt;0,tblMRP[[#This Row],[Week]]-7*tblMRP[[#This Row],[Lead time (wk)]],""))</f>
        <v>46398</v>
      </c>
      <c r="Q41" s="35">
        <f>IF(tblMRP[[#This Row],[Item]]="","",SUMIFS(tblMRP[Planned receipt (units)],tblMRP[Item],tblMRP[[#This Row],[Item]],tblMRP[Week],tblMRP[[#This Row],[Week]]+7*N(tblMRP[[#This Row],[Lead time (wk)]])))</f>
        <v>0</v>
      </c>
      <c r="R41" s="37" t="str">
        <f>IF(tblMRP[[#This Row],[Item]]="","",IF(N(tblMRP[[#This Row],[Planned receipt (units)]])=0,"",IF(tblMRP[[#This Row],[Release week]]&lt;PlanStart,"Overdue",IF(tblMRP[[#This Row],[Release week]]&lt;PlanStart+7,"Due soon","OK"))))</f>
        <v>OK</v>
      </c>
      <c r="S4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1" s="28" t="s">
        <v>112</v>
      </c>
    </row>
    <row r="42" spans="2:20" x14ac:dyDescent="0.25">
      <c r="B42" s="28" t="s">
        <v>84</v>
      </c>
      <c r="C42" s="34">
        <v>46328</v>
      </c>
      <c r="D42" s="32">
        <v>300</v>
      </c>
      <c r="E42" s="32">
        <v>300</v>
      </c>
      <c r="F42" s="35">
        <f>IF(tblMRP[[#This Row],[Item]]="","",(tblMRP[[#This Row],[Week]]-PlanStart)/7+1)</f>
        <v>1</v>
      </c>
      <c r="G42" s="35">
        <f>IF(tblMRP[[#This Row],[Item]]="","",IFERROR(INDEX(tblItems[On hand (units)],MATCH(tblMRP[[#This Row],[Item]],tblItems[Item],0)),""))</f>
        <v>600</v>
      </c>
      <c r="H42" s="35">
        <f>IF(tblMRP[[#This Row],[Item]]="","",IFERROR(INDEX(tblItems[Safety stock (units)],MATCH(tblMRP[[#This Row],[Item]],tblItems[Item],0)),""))</f>
        <v>100</v>
      </c>
      <c r="I42" s="35">
        <f>IF(tblMRP[[#This Row],[Item]]="","",IFERROR(INDEX(tblItems[Lead time (wk)],MATCH(tblMRP[[#This Row],[Item]],tblItems[Item],0)),""))</f>
        <v>1</v>
      </c>
      <c r="J42" s="35">
        <f>IF(tblMRP[[#This Row],[Item]]="","",IFERROR(INDEX(tblItems[Order multiple (units)],MATCH(tblMRP[[#This Row],[Item]],tblItems[Item],0)),""))</f>
        <v>50</v>
      </c>
      <c r="K4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-500</v>
      </c>
      <c r="L42" s="35">
        <f>IF(tblMRP[[#This Row],[Item]]="","",IF(tblMRP[[#This Row],[Order multiple (units)]]="","",tblMRP[[#This Row],[Order multiple (units)]]*CEILING(SUMPRODUCT(MAX((tblMRP[Item]=tblMRP[[#This Row],[Item]])*(tblMRP[Week]&lt;=tblMRP[[#This Row],[Week]])*tblMRP[Uncovered (units)]))/tblMRP[[#This Row],[Order multiple (units)]],1)))</f>
        <v>0</v>
      </c>
      <c r="M42" s="35">
        <f>IF(tblMRP[[#This Row],[Item]]="","",IF(tblMRP[[#This Row],[Order multiple (units)]]="","",tblMRP[[#This Row],[Cum. planned (units)]]-tblMRP[[#This Row],[Order multiple (units)]]*CEILING(SUMPRODUCT(MAX((tblMRP[Item]=tblMRP[[#This Row],[Item]])*(tblMRP[Week]&lt;tblMRP[[#This Row],[Week]])*tblMRP[Uncovered (units)]))/tblMRP[[#This Row],[Order multiple (units)]],1)))</f>
        <v>0</v>
      </c>
      <c r="N42" s="35">
        <f>IF(tblMRP[[#This Row],[Item]]="","",IF(tblMRP[[#This Row],[Order multiple (units)]]="","",MAX(0,tblMRP[[#This Row],[Uncovered (units)]]-(tblMRP[[#This Row],[Cum. planned (units)]]-tblMRP[[#This Row],[Planned receipt (units)]]))))</f>
        <v>0</v>
      </c>
      <c r="O42" s="35">
        <f>IF(tblMRP[[#This Row],[Item]]="","",IF(tblMRP[[#This Row],[Order multiple (units)]]="","",tblMRP[[#This Row],[Safety stock (units)]]-tblMRP[[#This Row],[Uncovered (units)]]+tblMRP[[#This Row],[Cum. planned (units)]]))</f>
        <v>600</v>
      </c>
      <c r="P42" s="36">
        <f>IF(tblMRP[[#This Row],[Item]]="","",IF(N(tblMRP[[#This Row],[Planned receipt (units)]])&gt;0,tblMRP[[#This Row],[Week]]-7*tblMRP[[#This Row],[Lead time (wk)]],""))</f>
        <v/>
      </c>
      <c r="Q42" s="35">
        <f>IF(tblMRP[[#This Row],[Item]]="","",SUMIFS(tblMRP[Planned receipt (units)],tblMRP[Item],tblMRP[[#This Row],[Item]],tblMRP[Week],tblMRP[[#This Row],[Week]]+7*N(tblMRP[[#This Row],[Lead time (wk)]])))</f>
        <v>0</v>
      </c>
      <c r="R42" s="37">
        <f>IF(tblMRP[[#This Row],[Item]]="","",IF(N(tblMRP[[#This Row],[Planned receipt (units)]])=0,"",IF(tblMRP[[#This Row],[Release week]]&lt;PlanStart,"Overdue",IF(tblMRP[[#This Row],[Release week]]&lt;PlanStart+7,"Due soon","OK"))))</f>
        <v/>
      </c>
      <c r="S4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2" s="28" t="s">
        <v>114</v>
      </c>
    </row>
    <row r="43" spans="2:20" x14ac:dyDescent="0.25">
      <c r="B43" s="28" t="s">
        <v>84</v>
      </c>
      <c r="C43" s="34">
        <v>46335</v>
      </c>
      <c r="D43" s="32">
        <v>320</v>
      </c>
      <c r="E43" s="32">
        <v>0</v>
      </c>
      <c r="F43" s="35">
        <f>IF(tblMRP[[#This Row],[Item]]="","",(tblMRP[[#This Row],[Week]]-PlanStart)/7+1)</f>
        <v>2</v>
      </c>
      <c r="G43" s="35">
        <f>IF(tblMRP[[#This Row],[Item]]="","",IFERROR(INDEX(tblItems[On hand (units)],MATCH(tblMRP[[#This Row],[Item]],tblItems[Item],0)),""))</f>
        <v>600</v>
      </c>
      <c r="H43" s="35">
        <f>IF(tblMRP[[#This Row],[Item]]="","",IFERROR(INDEX(tblItems[Safety stock (units)],MATCH(tblMRP[[#This Row],[Item]],tblItems[Item],0)),""))</f>
        <v>100</v>
      </c>
      <c r="I43" s="35">
        <f>IF(tblMRP[[#This Row],[Item]]="","",IFERROR(INDEX(tblItems[Lead time (wk)],MATCH(tblMRP[[#This Row],[Item]],tblItems[Item],0)),""))</f>
        <v>1</v>
      </c>
      <c r="J43" s="35">
        <f>IF(tblMRP[[#This Row],[Item]]="","",IFERROR(INDEX(tblItems[Order multiple (units)],MATCH(tblMRP[[#This Row],[Item]],tblItems[Item],0)),""))</f>
        <v>50</v>
      </c>
      <c r="K4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-180</v>
      </c>
      <c r="L43" s="35">
        <f>IF(tblMRP[[#This Row],[Item]]="","",IF(tblMRP[[#This Row],[Order multiple (units)]]="","",tblMRP[[#This Row],[Order multiple (units)]]*CEILING(SUMPRODUCT(MAX((tblMRP[Item]=tblMRP[[#This Row],[Item]])*(tblMRP[Week]&lt;=tblMRP[[#This Row],[Week]])*tblMRP[Uncovered (units)]))/tblMRP[[#This Row],[Order multiple (units)]],1)))</f>
        <v>0</v>
      </c>
      <c r="M43" s="35">
        <f>IF(tblMRP[[#This Row],[Item]]="","",IF(tblMRP[[#This Row],[Order multiple (units)]]="","",tblMRP[[#This Row],[Cum. planned (units)]]-tblMRP[[#This Row],[Order multiple (units)]]*CEILING(SUMPRODUCT(MAX((tblMRP[Item]=tblMRP[[#This Row],[Item]])*(tblMRP[Week]&lt;tblMRP[[#This Row],[Week]])*tblMRP[Uncovered (units)]))/tblMRP[[#This Row],[Order multiple (units)]],1)))</f>
        <v>0</v>
      </c>
      <c r="N43" s="35">
        <f>IF(tblMRP[[#This Row],[Item]]="","",IF(tblMRP[[#This Row],[Order multiple (units)]]="","",MAX(0,tblMRP[[#This Row],[Uncovered (units)]]-(tblMRP[[#This Row],[Cum. planned (units)]]-tblMRP[[#This Row],[Planned receipt (units)]]))))</f>
        <v>0</v>
      </c>
      <c r="O43" s="35">
        <f>IF(tblMRP[[#This Row],[Item]]="","",IF(tblMRP[[#This Row],[Order multiple (units)]]="","",tblMRP[[#This Row],[Safety stock (units)]]-tblMRP[[#This Row],[Uncovered (units)]]+tblMRP[[#This Row],[Cum. planned (units)]]))</f>
        <v>280</v>
      </c>
      <c r="P43" s="36">
        <f>IF(tblMRP[[#This Row],[Item]]="","",IF(N(tblMRP[[#This Row],[Planned receipt (units)]])&gt;0,tblMRP[[#This Row],[Week]]-7*tblMRP[[#This Row],[Lead time (wk)]],""))</f>
        <v/>
      </c>
      <c r="Q43" s="35">
        <f>IF(tblMRP[[#This Row],[Item]]="","",SUMIFS(tblMRP[Planned receipt (units)],tblMRP[Item],tblMRP[[#This Row],[Item]],tblMRP[Week],tblMRP[[#This Row],[Week]]+7*N(tblMRP[[#This Row],[Lead time (wk)]])))</f>
        <v>150</v>
      </c>
      <c r="R43" s="37">
        <f>IF(tblMRP[[#This Row],[Item]]="","",IF(N(tblMRP[[#This Row],[Planned receipt (units)]])=0,"",IF(tblMRP[[#This Row],[Release week]]&lt;PlanStart,"Overdue",IF(tblMRP[[#This Row],[Release week]]&lt;PlanStart+7,"Due soon","OK"))))</f>
        <v/>
      </c>
      <c r="S4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3" s="28" t="s">
        <v>112</v>
      </c>
    </row>
    <row r="44" spans="2:20" x14ac:dyDescent="0.25">
      <c r="B44" s="28" t="s">
        <v>84</v>
      </c>
      <c r="C44" s="34">
        <v>46342</v>
      </c>
      <c r="D44" s="32">
        <v>300</v>
      </c>
      <c r="E44" s="32">
        <v>0</v>
      </c>
      <c r="F44" s="35">
        <f>IF(tblMRP[[#This Row],[Item]]="","",(tblMRP[[#This Row],[Week]]-PlanStart)/7+1)</f>
        <v>3</v>
      </c>
      <c r="G44" s="35">
        <f>IF(tblMRP[[#This Row],[Item]]="","",IFERROR(INDEX(tblItems[On hand (units)],MATCH(tblMRP[[#This Row],[Item]],tblItems[Item],0)),""))</f>
        <v>600</v>
      </c>
      <c r="H44" s="35">
        <f>IF(tblMRP[[#This Row],[Item]]="","",IFERROR(INDEX(tblItems[Safety stock (units)],MATCH(tblMRP[[#This Row],[Item]],tblItems[Item],0)),""))</f>
        <v>100</v>
      </c>
      <c r="I44" s="35">
        <f>IF(tblMRP[[#This Row],[Item]]="","",IFERROR(INDEX(tblItems[Lead time (wk)],MATCH(tblMRP[[#This Row],[Item]],tblItems[Item],0)),""))</f>
        <v>1</v>
      </c>
      <c r="J44" s="35">
        <f>IF(tblMRP[[#This Row],[Item]]="","",IFERROR(INDEX(tblItems[Order multiple (units)],MATCH(tblMRP[[#This Row],[Item]],tblItems[Item],0)),""))</f>
        <v>50</v>
      </c>
      <c r="K4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120</v>
      </c>
      <c r="L44" s="35">
        <f>IF(tblMRP[[#This Row],[Item]]="","",IF(tblMRP[[#This Row],[Order multiple (units)]]="","",tblMRP[[#This Row],[Order multiple (units)]]*CEILING(SUMPRODUCT(MAX((tblMRP[Item]=tblMRP[[#This Row],[Item]])*(tblMRP[Week]&lt;=tblMRP[[#This Row],[Week]])*tblMRP[Uncovered (units)]))/tblMRP[[#This Row],[Order multiple (units)]],1)))</f>
        <v>150</v>
      </c>
      <c r="M44" s="35">
        <f>IF(tblMRP[[#This Row],[Item]]="","",IF(tblMRP[[#This Row],[Order multiple (units)]]="","",tblMRP[[#This Row],[Cum. planned (units)]]-tblMRP[[#This Row],[Order multiple (units)]]*CEILING(SUMPRODUCT(MAX((tblMRP[Item]=tblMRP[[#This Row],[Item]])*(tblMRP[Week]&lt;tblMRP[[#This Row],[Week]])*tblMRP[Uncovered (units)]))/tblMRP[[#This Row],[Order multiple (units)]],1)))</f>
        <v>150</v>
      </c>
      <c r="N44" s="35">
        <f>IF(tblMRP[[#This Row],[Item]]="","",IF(tblMRP[[#This Row],[Order multiple (units)]]="","",MAX(0,tblMRP[[#This Row],[Uncovered (units)]]-(tblMRP[[#This Row],[Cum. planned (units)]]-tblMRP[[#This Row],[Planned receipt (units)]]))))</f>
        <v>120</v>
      </c>
      <c r="O44" s="35">
        <f>IF(tblMRP[[#This Row],[Item]]="","",IF(tblMRP[[#This Row],[Order multiple (units)]]="","",tblMRP[[#This Row],[Safety stock (units)]]-tblMRP[[#This Row],[Uncovered (units)]]+tblMRP[[#This Row],[Cum. planned (units)]]))</f>
        <v>130</v>
      </c>
      <c r="P44" s="36">
        <f>IF(tblMRP[[#This Row],[Item]]="","",IF(N(tblMRP[[#This Row],[Planned receipt (units)]])&gt;0,tblMRP[[#This Row],[Week]]-7*tblMRP[[#This Row],[Lead time (wk)]],""))</f>
        <v>46335</v>
      </c>
      <c r="Q44" s="35">
        <f>IF(tblMRP[[#This Row],[Item]]="","",SUMIFS(tblMRP[Planned receipt (units)],tblMRP[Item],tblMRP[[#This Row],[Item]],tblMRP[Week],tblMRP[[#This Row],[Week]]+7*N(tblMRP[[#This Row],[Lead time (wk)]])))</f>
        <v>350</v>
      </c>
      <c r="R44" s="37" t="str">
        <f>IF(tblMRP[[#This Row],[Item]]="","",IF(N(tblMRP[[#This Row],[Planned receipt (units)]])=0,"",IF(tblMRP[[#This Row],[Release week]]&lt;PlanStart,"Overdue",IF(tblMRP[[#This Row],[Release week]]&lt;PlanStart+7,"Due soon","OK"))))</f>
        <v>OK</v>
      </c>
      <c r="S4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4" s="28" t="s">
        <v>112</v>
      </c>
    </row>
    <row r="45" spans="2:20" x14ac:dyDescent="0.25">
      <c r="B45" s="28" t="s">
        <v>84</v>
      </c>
      <c r="C45" s="34">
        <v>46349</v>
      </c>
      <c r="D45" s="32">
        <v>340</v>
      </c>
      <c r="E45" s="32">
        <v>0</v>
      </c>
      <c r="F45" s="35">
        <f>IF(tblMRP[[#This Row],[Item]]="","",(tblMRP[[#This Row],[Week]]-PlanStart)/7+1)</f>
        <v>4</v>
      </c>
      <c r="G45" s="35">
        <f>IF(tblMRP[[#This Row],[Item]]="","",IFERROR(INDEX(tblItems[On hand (units)],MATCH(tblMRP[[#This Row],[Item]],tblItems[Item],0)),""))</f>
        <v>600</v>
      </c>
      <c r="H45" s="35">
        <f>IF(tblMRP[[#This Row],[Item]]="","",IFERROR(INDEX(tblItems[Safety stock (units)],MATCH(tblMRP[[#This Row],[Item]],tblItems[Item],0)),""))</f>
        <v>100</v>
      </c>
      <c r="I45" s="35">
        <f>IF(tblMRP[[#This Row],[Item]]="","",IFERROR(INDEX(tblItems[Lead time (wk)],MATCH(tblMRP[[#This Row],[Item]],tblItems[Item],0)),""))</f>
        <v>1</v>
      </c>
      <c r="J45" s="35">
        <f>IF(tblMRP[[#This Row],[Item]]="","",IFERROR(INDEX(tblItems[Order multiple (units)],MATCH(tblMRP[[#This Row],[Item]],tblItems[Item],0)),""))</f>
        <v>50</v>
      </c>
      <c r="K4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460</v>
      </c>
      <c r="L45" s="35">
        <f>IF(tblMRP[[#This Row],[Item]]="","",IF(tblMRP[[#This Row],[Order multiple (units)]]="","",tblMRP[[#This Row],[Order multiple (units)]]*CEILING(SUMPRODUCT(MAX((tblMRP[Item]=tblMRP[[#This Row],[Item]])*(tblMRP[Week]&lt;=tblMRP[[#This Row],[Week]])*tblMRP[Uncovered (units)]))/tblMRP[[#This Row],[Order multiple (units)]],1)))</f>
        <v>500</v>
      </c>
      <c r="M45" s="35">
        <f>IF(tblMRP[[#This Row],[Item]]="","",IF(tblMRP[[#This Row],[Order multiple (units)]]="","",tblMRP[[#This Row],[Cum. planned (units)]]-tblMRP[[#This Row],[Order multiple (units)]]*CEILING(SUMPRODUCT(MAX((tblMRP[Item]=tblMRP[[#This Row],[Item]])*(tblMRP[Week]&lt;tblMRP[[#This Row],[Week]])*tblMRP[Uncovered (units)]))/tblMRP[[#This Row],[Order multiple (units)]],1)))</f>
        <v>350</v>
      </c>
      <c r="N45" s="35">
        <f>IF(tblMRP[[#This Row],[Item]]="","",IF(tblMRP[[#This Row],[Order multiple (units)]]="","",MAX(0,tblMRP[[#This Row],[Uncovered (units)]]-(tblMRP[[#This Row],[Cum. planned (units)]]-tblMRP[[#This Row],[Planned receipt (units)]]))))</f>
        <v>310</v>
      </c>
      <c r="O45" s="35">
        <f>IF(tblMRP[[#This Row],[Item]]="","",IF(tblMRP[[#This Row],[Order multiple (units)]]="","",tblMRP[[#This Row],[Safety stock (units)]]-tblMRP[[#This Row],[Uncovered (units)]]+tblMRP[[#This Row],[Cum. planned (units)]]))</f>
        <v>140</v>
      </c>
      <c r="P45" s="36">
        <f>IF(tblMRP[[#This Row],[Item]]="","",IF(N(tblMRP[[#This Row],[Planned receipt (units)]])&gt;0,tblMRP[[#This Row],[Week]]-7*tblMRP[[#This Row],[Lead time (wk)]],""))</f>
        <v>46342</v>
      </c>
      <c r="Q45" s="35">
        <f>IF(tblMRP[[#This Row],[Item]]="","",SUMIFS(tblMRP[Planned receipt (units)],tblMRP[Item],tblMRP[[#This Row],[Item]],tblMRP[Week],tblMRP[[#This Row],[Week]]+7*N(tblMRP[[#This Row],[Lead time (wk)]])))</f>
        <v>350</v>
      </c>
      <c r="R45" s="37" t="str">
        <f>IF(tblMRP[[#This Row],[Item]]="","",IF(N(tblMRP[[#This Row],[Planned receipt (units)]])=0,"",IF(tblMRP[[#This Row],[Release week]]&lt;PlanStart,"Overdue",IF(tblMRP[[#This Row],[Release week]]&lt;PlanStart+7,"Due soon","OK"))))</f>
        <v>OK</v>
      </c>
      <c r="S4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5" s="28" t="s">
        <v>112</v>
      </c>
    </row>
    <row r="46" spans="2:20" x14ac:dyDescent="0.25">
      <c r="B46" s="28" t="s">
        <v>84</v>
      </c>
      <c r="C46" s="34">
        <v>46356</v>
      </c>
      <c r="D46" s="32">
        <v>360</v>
      </c>
      <c r="E46" s="32">
        <v>0</v>
      </c>
      <c r="F46" s="35">
        <f>IF(tblMRP[[#This Row],[Item]]="","",(tblMRP[[#This Row],[Week]]-PlanStart)/7+1)</f>
        <v>5</v>
      </c>
      <c r="G46" s="35">
        <f>IF(tblMRP[[#This Row],[Item]]="","",IFERROR(INDEX(tblItems[On hand (units)],MATCH(tblMRP[[#This Row],[Item]],tblItems[Item],0)),""))</f>
        <v>600</v>
      </c>
      <c r="H46" s="35">
        <f>IF(tblMRP[[#This Row],[Item]]="","",IFERROR(INDEX(tblItems[Safety stock (units)],MATCH(tblMRP[[#This Row],[Item]],tblItems[Item],0)),""))</f>
        <v>100</v>
      </c>
      <c r="I46" s="35">
        <f>IF(tblMRP[[#This Row],[Item]]="","",IFERROR(INDEX(tblItems[Lead time (wk)],MATCH(tblMRP[[#This Row],[Item]],tblItems[Item],0)),""))</f>
        <v>1</v>
      </c>
      <c r="J46" s="35">
        <f>IF(tblMRP[[#This Row],[Item]]="","",IFERROR(INDEX(tblItems[Order multiple (units)],MATCH(tblMRP[[#This Row],[Item]],tblItems[Item],0)),""))</f>
        <v>50</v>
      </c>
      <c r="K4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820</v>
      </c>
      <c r="L46" s="35">
        <f>IF(tblMRP[[#This Row],[Item]]="","",IF(tblMRP[[#This Row],[Order multiple (units)]]="","",tblMRP[[#This Row],[Order multiple (units)]]*CEILING(SUMPRODUCT(MAX((tblMRP[Item]=tblMRP[[#This Row],[Item]])*(tblMRP[Week]&lt;=tblMRP[[#This Row],[Week]])*tblMRP[Uncovered (units)]))/tblMRP[[#This Row],[Order multiple (units)]],1)))</f>
        <v>850</v>
      </c>
      <c r="M46" s="35">
        <f>IF(tblMRP[[#This Row],[Item]]="","",IF(tblMRP[[#This Row],[Order multiple (units)]]="","",tblMRP[[#This Row],[Cum. planned (units)]]-tblMRP[[#This Row],[Order multiple (units)]]*CEILING(SUMPRODUCT(MAX((tblMRP[Item]=tblMRP[[#This Row],[Item]])*(tblMRP[Week]&lt;tblMRP[[#This Row],[Week]])*tblMRP[Uncovered (units)]))/tblMRP[[#This Row],[Order multiple (units)]],1)))</f>
        <v>350</v>
      </c>
      <c r="N46" s="35">
        <f>IF(tblMRP[[#This Row],[Item]]="","",IF(tblMRP[[#This Row],[Order multiple (units)]]="","",MAX(0,tblMRP[[#This Row],[Uncovered (units)]]-(tblMRP[[#This Row],[Cum. planned (units)]]-tblMRP[[#This Row],[Planned receipt (units)]]))))</f>
        <v>320</v>
      </c>
      <c r="O46" s="35">
        <f>IF(tblMRP[[#This Row],[Item]]="","",IF(tblMRP[[#This Row],[Order multiple (units)]]="","",tblMRP[[#This Row],[Safety stock (units)]]-tblMRP[[#This Row],[Uncovered (units)]]+tblMRP[[#This Row],[Cum. planned (units)]]))</f>
        <v>130</v>
      </c>
      <c r="P46" s="36">
        <f>IF(tblMRP[[#This Row],[Item]]="","",IF(N(tblMRP[[#This Row],[Planned receipt (units)]])&gt;0,tblMRP[[#This Row],[Week]]-7*tblMRP[[#This Row],[Lead time (wk)]],""))</f>
        <v>46349</v>
      </c>
      <c r="Q46" s="35">
        <f>IF(tblMRP[[#This Row],[Item]]="","",SUMIFS(tblMRP[Planned receipt (units)],tblMRP[Item],tblMRP[[#This Row],[Item]],tblMRP[Week],tblMRP[[#This Row],[Week]]+7*N(tblMRP[[#This Row],[Lead time (wk)]])))</f>
        <v>350</v>
      </c>
      <c r="R46" s="37" t="str">
        <f>IF(tblMRP[[#This Row],[Item]]="","",IF(N(tblMRP[[#This Row],[Planned receipt (units)]])=0,"",IF(tblMRP[[#This Row],[Release week]]&lt;PlanStart,"Overdue",IF(tblMRP[[#This Row],[Release week]]&lt;PlanStart+7,"Due soon","OK"))))</f>
        <v>OK</v>
      </c>
      <c r="S4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6" s="28" t="s">
        <v>112</v>
      </c>
    </row>
    <row r="47" spans="2:20" x14ac:dyDescent="0.25">
      <c r="B47" s="28" t="s">
        <v>84</v>
      </c>
      <c r="C47" s="34">
        <v>46363</v>
      </c>
      <c r="D47" s="32">
        <v>380</v>
      </c>
      <c r="E47" s="32">
        <v>0</v>
      </c>
      <c r="F47" s="35">
        <f>IF(tblMRP[[#This Row],[Item]]="","",(tblMRP[[#This Row],[Week]]-PlanStart)/7+1)</f>
        <v>6</v>
      </c>
      <c r="G47" s="35">
        <f>IF(tblMRP[[#This Row],[Item]]="","",IFERROR(INDEX(tblItems[On hand (units)],MATCH(tblMRP[[#This Row],[Item]],tblItems[Item],0)),""))</f>
        <v>600</v>
      </c>
      <c r="H47" s="35">
        <f>IF(tblMRP[[#This Row],[Item]]="","",IFERROR(INDEX(tblItems[Safety stock (units)],MATCH(tblMRP[[#This Row],[Item]],tblItems[Item],0)),""))</f>
        <v>100</v>
      </c>
      <c r="I47" s="35">
        <f>IF(tblMRP[[#This Row],[Item]]="","",IFERROR(INDEX(tblItems[Lead time (wk)],MATCH(tblMRP[[#This Row],[Item]],tblItems[Item],0)),""))</f>
        <v>1</v>
      </c>
      <c r="J47" s="35">
        <f>IF(tblMRP[[#This Row],[Item]]="","",IFERROR(INDEX(tblItems[Order multiple (units)],MATCH(tblMRP[[#This Row],[Item]],tblItems[Item],0)),""))</f>
        <v>50</v>
      </c>
      <c r="K4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1200</v>
      </c>
      <c r="L47" s="35">
        <f>IF(tblMRP[[#This Row],[Item]]="","",IF(tblMRP[[#This Row],[Order multiple (units)]]="","",tblMRP[[#This Row],[Order multiple (units)]]*CEILING(SUMPRODUCT(MAX((tblMRP[Item]=tblMRP[[#This Row],[Item]])*(tblMRP[Week]&lt;=tblMRP[[#This Row],[Week]])*tblMRP[Uncovered (units)]))/tblMRP[[#This Row],[Order multiple (units)]],1)))</f>
        <v>1200</v>
      </c>
      <c r="M47" s="35">
        <f>IF(tblMRP[[#This Row],[Item]]="","",IF(tblMRP[[#This Row],[Order multiple (units)]]="","",tblMRP[[#This Row],[Cum. planned (units)]]-tblMRP[[#This Row],[Order multiple (units)]]*CEILING(SUMPRODUCT(MAX((tblMRP[Item]=tblMRP[[#This Row],[Item]])*(tblMRP[Week]&lt;tblMRP[[#This Row],[Week]])*tblMRP[Uncovered (units)]))/tblMRP[[#This Row],[Order multiple (units)]],1)))</f>
        <v>350</v>
      </c>
      <c r="N47" s="35">
        <f>IF(tblMRP[[#This Row],[Item]]="","",IF(tblMRP[[#This Row],[Order multiple (units)]]="","",MAX(0,tblMRP[[#This Row],[Uncovered (units)]]-(tblMRP[[#This Row],[Cum. planned (units)]]-tblMRP[[#This Row],[Planned receipt (units)]]))))</f>
        <v>350</v>
      </c>
      <c r="O47" s="35">
        <f>IF(tblMRP[[#This Row],[Item]]="","",IF(tblMRP[[#This Row],[Order multiple (units)]]="","",tblMRP[[#This Row],[Safety stock (units)]]-tblMRP[[#This Row],[Uncovered (units)]]+tblMRP[[#This Row],[Cum. planned (units)]]))</f>
        <v>100</v>
      </c>
      <c r="P47" s="36">
        <f>IF(tblMRP[[#This Row],[Item]]="","",IF(N(tblMRP[[#This Row],[Planned receipt (units)]])&gt;0,tblMRP[[#This Row],[Week]]-7*tblMRP[[#This Row],[Lead time (wk)]],""))</f>
        <v>46356</v>
      </c>
      <c r="Q47" s="35">
        <f>IF(tblMRP[[#This Row],[Item]]="","",SUMIFS(tblMRP[Planned receipt (units)],tblMRP[Item],tblMRP[[#This Row],[Item]],tblMRP[Week],tblMRP[[#This Row],[Week]]+7*N(tblMRP[[#This Row],[Lead time (wk)]])))</f>
        <v>400</v>
      </c>
      <c r="R47" s="37" t="str">
        <f>IF(tblMRP[[#This Row],[Item]]="","",IF(N(tblMRP[[#This Row],[Planned receipt (units)]])=0,"",IF(tblMRP[[#This Row],[Release week]]&lt;PlanStart,"Overdue",IF(tblMRP[[#This Row],[Release week]]&lt;PlanStart+7,"Due soon","OK"))))</f>
        <v>OK</v>
      </c>
      <c r="S4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7" s="28" t="s">
        <v>112</v>
      </c>
    </row>
    <row r="48" spans="2:20" x14ac:dyDescent="0.25">
      <c r="B48" s="28" t="s">
        <v>84</v>
      </c>
      <c r="C48" s="34">
        <v>46370</v>
      </c>
      <c r="D48" s="32">
        <v>400</v>
      </c>
      <c r="E48" s="32">
        <v>0</v>
      </c>
      <c r="F48" s="35">
        <f>IF(tblMRP[[#This Row],[Item]]="","",(tblMRP[[#This Row],[Week]]-PlanStart)/7+1)</f>
        <v>7</v>
      </c>
      <c r="G48" s="35">
        <f>IF(tblMRP[[#This Row],[Item]]="","",IFERROR(INDEX(tblItems[On hand (units)],MATCH(tblMRP[[#This Row],[Item]],tblItems[Item],0)),""))</f>
        <v>600</v>
      </c>
      <c r="H48" s="35">
        <f>IF(tblMRP[[#This Row],[Item]]="","",IFERROR(INDEX(tblItems[Safety stock (units)],MATCH(tblMRP[[#This Row],[Item]],tblItems[Item],0)),""))</f>
        <v>100</v>
      </c>
      <c r="I48" s="35">
        <f>IF(tblMRP[[#This Row],[Item]]="","",IFERROR(INDEX(tblItems[Lead time (wk)],MATCH(tblMRP[[#This Row],[Item]],tblItems[Item],0)),""))</f>
        <v>1</v>
      </c>
      <c r="J48" s="35">
        <f>IF(tblMRP[[#This Row],[Item]]="","",IFERROR(INDEX(tblItems[Order multiple (units)],MATCH(tblMRP[[#This Row],[Item]],tblItems[Item],0)),""))</f>
        <v>50</v>
      </c>
      <c r="K4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1600</v>
      </c>
      <c r="L48" s="35">
        <f>IF(tblMRP[[#This Row],[Item]]="","",IF(tblMRP[[#This Row],[Order multiple (units)]]="","",tblMRP[[#This Row],[Order multiple (units)]]*CEILING(SUMPRODUCT(MAX((tblMRP[Item]=tblMRP[[#This Row],[Item]])*(tblMRP[Week]&lt;=tblMRP[[#This Row],[Week]])*tblMRP[Uncovered (units)]))/tblMRP[[#This Row],[Order multiple (units)]],1)))</f>
        <v>1600</v>
      </c>
      <c r="M48" s="35">
        <f>IF(tblMRP[[#This Row],[Item]]="","",IF(tblMRP[[#This Row],[Order multiple (units)]]="","",tblMRP[[#This Row],[Cum. planned (units)]]-tblMRP[[#This Row],[Order multiple (units)]]*CEILING(SUMPRODUCT(MAX((tblMRP[Item]=tblMRP[[#This Row],[Item]])*(tblMRP[Week]&lt;tblMRP[[#This Row],[Week]])*tblMRP[Uncovered (units)]))/tblMRP[[#This Row],[Order multiple (units)]],1)))</f>
        <v>400</v>
      </c>
      <c r="N48" s="35">
        <f>IF(tblMRP[[#This Row],[Item]]="","",IF(tblMRP[[#This Row],[Order multiple (units)]]="","",MAX(0,tblMRP[[#This Row],[Uncovered (units)]]-(tblMRP[[#This Row],[Cum. planned (units)]]-tblMRP[[#This Row],[Planned receipt (units)]]))))</f>
        <v>400</v>
      </c>
      <c r="O48" s="35">
        <f>IF(tblMRP[[#This Row],[Item]]="","",IF(tblMRP[[#This Row],[Order multiple (units)]]="","",tblMRP[[#This Row],[Safety stock (units)]]-tblMRP[[#This Row],[Uncovered (units)]]+tblMRP[[#This Row],[Cum. planned (units)]]))</f>
        <v>100</v>
      </c>
      <c r="P48" s="36">
        <f>IF(tblMRP[[#This Row],[Item]]="","",IF(N(tblMRP[[#This Row],[Planned receipt (units)]])&gt;0,tblMRP[[#This Row],[Week]]-7*tblMRP[[#This Row],[Lead time (wk)]],""))</f>
        <v>46363</v>
      </c>
      <c r="Q48" s="35">
        <f>IF(tblMRP[[#This Row],[Item]]="","",SUMIFS(tblMRP[Planned receipt (units)],tblMRP[Item],tblMRP[[#This Row],[Item]],tblMRP[Week],tblMRP[[#This Row],[Week]]+7*N(tblMRP[[#This Row],[Lead time (wk)]])))</f>
        <v>400</v>
      </c>
      <c r="R48" s="37" t="str">
        <f>IF(tblMRP[[#This Row],[Item]]="","",IF(N(tblMRP[[#This Row],[Planned receipt (units)]])=0,"",IF(tblMRP[[#This Row],[Release week]]&lt;PlanStart,"Overdue",IF(tblMRP[[#This Row],[Release week]]&lt;PlanStart+7,"Due soon","OK"))))</f>
        <v>OK</v>
      </c>
      <c r="S4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8" s="28" t="s">
        <v>112</v>
      </c>
    </row>
    <row r="49" spans="2:20" x14ac:dyDescent="0.25">
      <c r="B49" s="28" t="s">
        <v>84</v>
      </c>
      <c r="C49" s="34">
        <v>46377</v>
      </c>
      <c r="D49" s="32">
        <v>400</v>
      </c>
      <c r="E49" s="32">
        <v>0</v>
      </c>
      <c r="F49" s="35">
        <f>IF(tblMRP[[#This Row],[Item]]="","",(tblMRP[[#This Row],[Week]]-PlanStart)/7+1)</f>
        <v>8</v>
      </c>
      <c r="G49" s="35">
        <f>IF(tblMRP[[#This Row],[Item]]="","",IFERROR(INDEX(tblItems[On hand (units)],MATCH(tblMRP[[#This Row],[Item]],tblItems[Item],0)),""))</f>
        <v>600</v>
      </c>
      <c r="H49" s="35">
        <f>IF(tblMRP[[#This Row],[Item]]="","",IFERROR(INDEX(tblItems[Safety stock (units)],MATCH(tblMRP[[#This Row],[Item]],tblItems[Item],0)),""))</f>
        <v>100</v>
      </c>
      <c r="I49" s="35">
        <f>IF(tblMRP[[#This Row],[Item]]="","",IFERROR(INDEX(tblItems[Lead time (wk)],MATCH(tblMRP[[#This Row],[Item]],tblItems[Item],0)),""))</f>
        <v>1</v>
      </c>
      <c r="J49" s="35">
        <f>IF(tblMRP[[#This Row],[Item]]="","",IFERROR(INDEX(tblItems[Order multiple (units)],MATCH(tblMRP[[#This Row],[Item]],tblItems[Item],0)),""))</f>
        <v>50</v>
      </c>
      <c r="K4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2000</v>
      </c>
      <c r="L49" s="35">
        <f>IF(tblMRP[[#This Row],[Item]]="","",IF(tblMRP[[#This Row],[Order multiple (units)]]="","",tblMRP[[#This Row],[Order multiple (units)]]*CEILING(SUMPRODUCT(MAX((tblMRP[Item]=tblMRP[[#This Row],[Item]])*(tblMRP[Week]&lt;=tblMRP[[#This Row],[Week]])*tblMRP[Uncovered (units)]))/tblMRP[[#This Row],[Order multiple (units)]],1)))</f>
        <v>2000</v>
      </c>
      <c r="M49" s="35">
        <f>IF(tblMRP[[#This Row],[Item]]="","",IF(tblMRP[[#This Row],[Order multiple (units)]]="","",tblMRP[[#This Row],[Cum. planned (units)]]-tblMRP[[#This Row],[Order multiple (units)]]*CEILING(SUMPRODUCT(MAX((tblMRP[Item]=tblMRP[[#This Row],[Item]])*(tblMRP[Week]&lt;tblMRP[[#This Row],[Week]])*tblMRP[Uncovered (units)]))/tblMRP[[#This Row],[Order multiple (units)]],1)))</f>
        <v>400</v>
      </c>
      <c r="N49" s="35">
        <f>IF(tblMRP[[#This Row],[Item]]="","",IF(tblMRP[[#This Row],[Order multiple (units)]]="","",MAX(0,tblMRP[[#This Row],[Uncovered (units)]]-(tblMRP[[#This Row],[Cum. planned (units)]]-tblMRP[[#This Row],[Planned receipt (units)]]))))</f>
        <v>400</v>
      </c>
      <c r="O49" s="35">
        <f>IF(tblMRP[[#This Row],[Item]]="","",IF(tblMRP[[#This Row],[Order multiple (units)]]="","",tblMRP[[#This Row],[Safety stock (units)]]-tblMRP[[#This Row],[Uncovered (units)]]+tblMRP[[#This Row],[Cum. planned (units)]]))</f>
        <v>100</v>
      </c>
      <c r="P49" s="36">
        <f>IF(tblMRP[[#This Row],[Item]]="","",IF(N(tblMRP[[#This Row],[Planned receipt (units)]])&gt;0,tblMRP[[#This Row],[Week]]-7*tblMRP[[#This Row],[Lead time (wk)]],""))</f>
        <v>46370</v>
      </c>
      <c r="Q49" s="35">
        <f>IF(tblMRP[[#This Row],[Item]]="","",SUMIFS(tblMRP[Planned receipt (units)],tblMRP[Item],tblMRP[[#This Row],[Item]],tblMRP[Week],tblMRP[[#This Row],[Week]]+7*N(tblMRP[[#This Row],[Lead time (wk)]])))</f>
        <v>400</v>
      </c>
      <c r="R49" s="37" t="str">
        <f>IF(tblMRP[[#This Row],[Item]]="","",IF(N(tblMRP[[#This Row],[Planned receipt (units)]])=0,"",IF(tblMRP[[#This Row],[Release week]]&lt;PlanStart,"Overdue",IF(tblMRP[[#This Row],[Release week]]&lt;PlanStart+7,"Due soon","OK"))))</f>
        <v>OK</v>
      </c>
      <c r="S4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49" s="28" t="s">
        <v>112</v>
      </c>
    </row>
    <row r="50" spans="2:20" x14ac:dyDescent="0.25">
      <c r="B50" s="28" t="s">
        <v>84</v>
      </c>
      <c r="C50" s="34">
        <v>46384</v>
      </c>
      <c r="D50" s="32">
        <v>380</v>
      </c>
      <c r="E50" s="32">
        <v>0</v>
      </c>
      <c r="F50" s="35">
        <f>IF(tblMRP[[#This Row],[Item]]="","",(tblMRP[[#This Row],[Week]]-PlanStart)/7+1)</f>
        <v>9</v>
      </c>
      <c r="G50" s="35">
        <f>IF(tblMRP[[#This Row],[Item]]="","",IFERROR(INDEX(tblItems[On hand (units)],MATCH(tblMRP[[#This Row],[Item]],tblItems[Item],0)),""))</f>
        <v>600</v>
      </c>
      <c r="H50" s="35">
        <f>IF(tblMRP[[#This Row],[Item]]="","",IFERROR(INDEX(tblItems[Safety stock (units)],MATCH(tblMRP[[#This Row],[Item]],tblItems[Item],0)),""))</f>
        <v>100</v>
      </c>
      <c r="I50" s="35">
        <f>IF(tblMRP[[#This Row],[Item]]="","",IFERROR(INDEX(tblItems[Lead time (wk)],MATCH(tblMRP[[#This Row],[Item]],tblItems[Item],0)),""))</f>
        <v>1</v>
      </c>
      <c r="J50" s="35">
        <f>IF(tblMRP[[#This Row],[Item]]="","",IFERROR(INDEX(tblItems[Order multiple (units)],MATCH(tblMRP[[#This Row],[Item]],tblItems[Item],0)),""))</f>
        <v>50</v>
      </c>
      <c r="K5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2380</v>
      </c>
      <c r="L50" s="35">
        <f>IF(tblMRP[[#This Row],[Item]]="","",IF(tblMRP[[#This Row],[Order multiple (units)]]="","",tblMRP[[#This Row],[Order multiple (units)]]*CEILING(SUMPRODUCT(MAX((tblMRP[Item]=tblMRP[[#This Row],[Item]])*(tblMRP[Week]&lt;=tblMRP[[#This Row],[Week]])*tblMRP[Uncovered (units)]))/tblMRP[[#This Row],[Order multiple (units)]],1)))</f>
        <v>2400</v>
      </c>
      <c r="M50" s="35">
        <f>IF(tblMRP[[#This Row],[Item]]="","",IF(tblMRP[[#This Row],[Order multiple (units)]]="","",tblMRP[[#This Row],[Cum. planned (units)]]-tblMRP[[#This Row],[Order multiple (units)]]*CEILING(SUMPRODUCT(MAX((tblMRP[Item]=tblMRP[[#This Row],[Item]])*(tblMRP[Week]&lt;tblMRP[[#This Row],[Week]])*tblMRP[Uncovered (units)]))/tblMRP[[#This Row],[Order multiple (units)]],1)))</f>
        <v>400</v>
      </c>
      <c r="N50" s="35">
        <f>IF(tblMRP[[#This Row],[Item]]="","",IF(tblMRP[[#This Row],[Order multiple (units)]]="","",MAX(0,tblMRP[[#This Row],[Uncovered (units)]]-(tblMRP[[#This Row],[Cum. planned (units)]]-tblMRP[[#This Row],[Planned receipt (units)]]))))</f>
        <v>380</v>
      </c>
      <c r="O50" s="35">
        <f>IF(tblMRP[[#This Row],[Item]]="","",IF(tblMRP[[#This Row],[Order multiple (units)]]="","",tblMRP[[#This Row],[Safety stock (units)]]-tblMRP[[#This Row],[Uncovered (units)]]+tblMRP[[#This Row],[Cum. planned (units)]]))</f>
        <v>120</v>
      </c>
      <c r="P50" s="36">
        <f>IF(tblMRP[[#This Row],[Item]]="","",IF(N(tblMRP[[#This Row],[Planned receipt (units)]])&gt;0,tblMRP[[#This Row],[Week]]-7*tblMRP[[#This Row],[Lead time (wk)]],""))</f>
        <v>46377</v>
      </c>
      <c r="Q50" s="35">
        <f>IF(tblMRP[[#This Row],[Item]]="","",SUMIFS(tblMRP[Planned receipt (units)],tblMRP[Item],tblMRP[[#This Row],[Item]],tblMRP[Week],tblMRP[[#This Row],[Week]]+7*N(tblMRP[[#This Row],[Lead time (wk)]])))</f>
        <v>350</v>
      </c>
      <c r="R50" s="37" t="str">
        <f>IF(tblMRP[[#This Row],[Item]]="","",IF(N(tblMRP[[#This Row],[Planned receipt (units)]])=0,"",IF(tblMRP[[#This Row],[Release week]]&lt;PlanStart,"Overdue",IF(tblMRP[[#This Row],[Release week]]&lt;PlanStart+7,"Due soon","OK"))))</f>
        <v>OK</v>
      </c>
      <c r="S5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0" s="28" t="s">
        <v>112</v>
      </c>
    </row>
    <row r="51" spans="2:20" x14ac:dyDescent="0.25">
      <c r="B51" s="28" t="s">
        <v>84</v>
      </c>
      <c r="C51" s="34">
        <v>46391</v>
      </c>
      <c r="D51" s="32">
        <v>360</v>
      </c>
      <c r="E51" s="32">
        <v>0</v>
      </c>
      <c r="F51" s="35">
        <f>IF(tblMRP[[#This Row],[Item]]="","",(tblMRP[[#This Row],[Week]]-PlanStart)/7+1)</f>
        <v>10</v>
      </c>
      <c r="G51" s="35">
        <f>IF(tblMRP[[#This Row],[Item]]="","",IFERROR(INDEX(tblItems[On hand (units)],MATCH(tblMRP[[#This Row],[Item]],tblItems[Item],0)),""))</f>
        <v>600</v>
      </c>
      <c r="H51" s="35">
        <f>IF(tblMRP[[#This Row],[Item]]="","",IFERROR(INDEX(tblItems[Safety stock (units)],MATCH(tblMRP[[#This Row],[Item]],tblItems[Item],0)),""))</f>
        <v>100</v>
      </c>
      <c r="I51" s="35">
        <f>IF(tblMRP[[#This Row],[Item]]="","",IFERROR(INDEX(tblItems[Lead time (wk)],MATCH(tblMRP[[#This Row],[Item]],tblItems[Item],0)),""))</f>
        <v>1</v>
      </c>
      <c r="J51" s="35">
        <f>IF(tblMRP[[#This Row],[Item]]="","",IFERROR(INDEX(tblItems[Order multiple (units)],MATCH(tblMRP[[#This Row],[Item]],tblItems[Item],0)),""))</f>
        <v>50</v>
      </c>
      <c r="K5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2740</v>
      </c>
      <c r="L51" s="35">
        <f>IF(tblMRP[[#This Row],[Item]]="","",IF(tblMRP[[#This Row],[Order multiple (units)]]="","",tblMRP[[#This Row],[Order multiple (units)]]*CEILING(SUMPRODUCT(MAX((tblMRP[Item]=tblMRP[[#This Row],[Item]])*(tblMRP[Week]&lt;=tblMRP[[#This Row],[Week]])*tblMRP[Uncovered (units)]))/tblMRP[[#This Row],[Order multiple (units)]],1)))</f>
        <v>2750</v>
      </c>
      <c r="M51" s="35">
        <f>IF(tblMRP[[#This Row],[Item]]="","",IF(tblMRP[[#This Row],[Order multiple (units)]]="","",tblMRP[[#This Row],[Cum. planned (units)]]-tblMRP[[#This Row],[Order multiple (units)]]*CEILING(SUMPRODUCT(MAX((tblMRP[Item]=tblMRP[[#This Row],[Item]])*(tblMRP[Week]&lt;tblMRP[[#This Row],[Week]])*tblMRP[Uncovered (units)]))/tblMRP[[#This Row],[Order multiple (units)]],1)))</f>
        <v>350</v>
      </c>
      <c r="N51" s="35">
        <f>IF(tblMRP[[#This Row],[Item]]="","",IF(tblMRP[[#This Row],[Order multiple (units)]]="","",MAX(0,tblMRP[[#This Row],[Uncovered (units)]]-(tblMRP[[#This Row],[Cum. planned (units)]]-tblMRP[[#This Row],[Planned receipt (units)]]))))</f>
        <v>340</v>
      </c>
      <c r="O51" s="35">
        <f>IF(tblMRP[[#This Row],[Item]]="","",IF(tblMRP[[#This Row],[Order multiple (units)]]="","",tblMRP[[#This Row],[Safety stock (units)]]-tblMRP[[#This Row],[Uncovered (units)]]+tblMRP[[#This Row],[Cum. planned (units)]]))</f>
        <v>110</v>
      </c>
      <c r="P51" s="36">
        <f>IF(tblMRP[[#This Row],[Item]]="","",IF(N(tblMRP[[#This Row],[Planned receipt (units)]])&gt;0,tblMRP[[#This Row],[Week]]-7*tblMRP[[#This Row],[Lead time (wk)]],""))</f>
        <v>46384</v>
      </c>
      <c r="Q51" s="35">
        <f>IF(tblMRP[[#This Row],[Item]]="","",SUMIFS(tblMRP[Planned receipt (units)],tblMRP[Item],tblMRP[[#This Row],[Item]],tblMRP[Week],tblMRP[[#This Row],[Week]]+7*N(tblMRP[[#This Row],[Lead time (wk)]])))</f>
        <v>350</v>
      </c>
      <c r="R51" s="37" t="str">
        <f>IF(tblMRP[[#This Row],[Item]]="","",IF(N(tblMRP[[#This Row],[Planned receipt (units)]])=0,"",IF(tblMRP[[#This Row],[Release week]]&lt;PlanStart,"Overdue",IF(tblMRP[[#This Row],[Release week]]&lt;PlanStart+7,"Due soon","OK"))))</f>
        <v>OK</v>
      </c>
      <c r="S5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1" s="28" t="s">
        <v>112</v>
      </c>
    </row>
    <row r="52" spans="2:20" x14ac:dyDescent="0.25">
      <c r="B52" s="28" t="s">
        <v>84</v>
      </c>
      <c r="C52" s="34">
        <v>46398</v>
      </c>
      <c r="D52" s="32">
        <v>340</v>
      </c>
      <c r="E52" s="32">
        <v>0</v>
      </c>
      <c r="F52" s="35">
        <f>IF(tblMRP[[#This Row],[Item]]="","",(tblMRP[[#This Row],[Week]]-PlanStart)/7+1)</f>
        <v>11</v>
      </c>
      <c r="G52" s="35">
        <f>IF(tblMRP[[#This Row],[Item]]="","",IFERROR(INDEX(tblItems[On hand (units)],MATCH(tblMRP[[#This Row],[Item]],tblItems[Item],0)),""))</f>
        <v>600</v>
      </c>
      <c r="H52" s="35">
        <f>IF(tblMRP[[#This Row],[Item]]="","",IFERROR(INDEX(tblItems[Safety stock (units)],MATCH(tblMRP[[#This Row],[Item]],tblItems[Item],0)),""))</f>
        <v>100</v>
      </c>
      <c r="I52" s="35">
        <f>IF(tblMRP[[#This Row],[Item]]="","",IFERROR(INDEX(tblItems[Lead time (wk)],MATCH(tblMRP[[#This Row],[Item]],tblItems[Item],0)),""))</f>
        <v>1</v>
      </c>
      <c r="J52" s="35">
        <f>IF(tblMRP[[#This Row],[Item]]="","",IFERROR(INDEX(tblItems[Order multiple (units)],MATCH(tblMRP[[#This Row],[Item]],tblItems[Item],0)),""))</f>
        <v>50</v>
      </c>
      <c r="K5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3080</v>
      </c>
      <c r="L52" s="35">
        <f>IF(tblMRP[[#This Row],[Item]]="","",IF(tblMRP[[#This Row],[Order multiple (units)]]="","",tblMRP[[#This Row],[Order multiple (units)]]*CEILING(SUMPRODUCT(MAX((tblMRP[Item]=tblMRP[[#This Row],[Item]])*(tblMRP[Week]&lt;=tblMRP[[#This Row],[Week]])*tblMRP[Uncovered (units)]))/tblMRP[[#This Row],[Order multiple (units)]],1)))</f>
        <v>3100</v>
      </c>
      <c r="M52" s="35">
        <f>IF(tblMRP[[#This Row],[Item]]="","",IF(tblMRP[[#This Row],[Order multiple (units)]]="","",tblMRP[[#This Row],[Cum. planned (units)]]-tblMRP[[#This Row],[Order multiple (units)]]*CEILING(SUMPRODUCT(MAX((tblMRP[Item]=tblMRP[[#This Row],[Item]])*(tblMRP[Week]&lt;tblMRP[[#This Row],[Week]])*tblMRP[Uncovered (units)]))/tblMRP[[#This Row],[Order multiple (units)]],1)))</f>
        <v>350</v>
      </c>
      <c r="N52" s="35">
        <f>IF(tblMRP[[#This Row],[Item]]="","",IF(tblMRP[[#This Row],[Order multiple (units)]]="","",MAX(0,tblMRP[[#This Row],[Uncovered (units)]]-(tblMRP[[#This Row],[Cum. planned (units)]]-tblMRP[[#This Row],[Planned receipt (units)]]))))</f>
        <v>330</v>
      </c>
      <c r="O52" s="35">
        <f>IF(tblMRP[[#This Row],[Item]]="","",IF(tblMRP[[#This Row],[Order multiple (units)]]="","",tblMRP[[#This Row],[Safety stock (units)]]-tblMRP[[#This Row],[Uncovered (units)]]+tblMRP[[#This Row],[Cum. planned (units)]]))</f>
        <v>120</v>
      </c>
      <c r="P52" s="36">
        <f>IF(tblMRP[[#This Row],[Item]]="","",IF(N(tblMRP[[#This Row],[Planned receipt (units)]])&gt;0,tblMRP[[#This Row],[Week]]-7*tblMRP[[#This Row],[Lead time (wk)]],""))</f>
        <v>46391</v>
      </c>
      <c r="Q52" s="35">
        <f>IF(tblMRP[[#This Row],[Item]]="","",SUMIFS(tblMRP[Planned receipt (units)],tblMRP[Item],tblMRP[[#This Row],[Item]],tblMRP[Week],tblMRP[[#This Row],[Week]]+7*N(tblMRP[[#This Row],[Lead time (wk)]])))</f>
        <v>300</v>
      </c>
      <c r="R52" s="37" t="str">
        <f>IF(tblMRP[[#This Row],[Item]]="","",IF(N(tblMRP[[#This Row],[Planned receipt (units)]])=0,"",IF(tblMRP[[#This Row],[Release week]]&lt;PlanStart,"Overdue",IF(tblMRP[[#This Row],[Release week]]&lt;PlanStart+7,"Due soon","OK"))))</f>
        <v>OK</v>
      </c>
      <c r="S5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2" s="28" t="s">
        <v>112</v>
      </c>
    </row>
    <row r="53" spans="2:20" x14ac:dyDescent="0.25">
      <c r="B53" s="28" t="s">
        <v>84</v>
      </c>
      <c r="C53" s="34">
        <v>46405</v>
      </c>
      <c r="D53" s="32">
        <v>320</v>
      </c>
      <c r="E53" s="32">
        <v>0</v>
      </c>
      <c r="F53" s="35">
        <f>IF(tblMRP[[#This Row],[Item]]="","",(tblMRP[[#This Row],[Week]]-PlanStart)/7+1)</f>
        <v>12</v>
      </c>
      <c r="G53" s="35">
        <f>IF(tblMRP[[#This Row],[Item]]="","",IFERROR(INDEX(tblItems[On hand (units)],MATCH(tblMRP[[#This Row],[Item]],tblItems[Item],0)),""))</f>
        <v>600</v>
      </c>
      <c r="H53" s="35">
        <f>IF(tblMRP[[#This Row],[Item]]="","",IFERROR(INDEX(tblItems[Safety stock (units)],MATCH(tblMRP[[#This Row],[Item]],tblItems[Item],0)),""))</f>
        <v>100</v>
      </c>
      <c r="I53" s="35">
        <f>IF(tblMRP[[#This Row],[Item]]="","",IFERROR(INDEX(tblItems[Lead time (wk)],MATCH(tblMRP[[#This Row],[Item]],tblItems[Item],0)),""))</f>
        <v>1</v>
      </c>
      <c r="J53" s="35">
        <f>IF(tblMRP[[#This Row],[Item]]="","",IFERROR(INDEX(tblItems[Order multiple (units)],MATCH(tblMRP[[#This Row],[Item]],tblItems[Item],0)),""))</f>
        <v>50</v>
      </c>
      <c r="K5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3400</v>
      </c>
      <c r="L53" s="35">
        <f>IF(tblMRP[[#This Row],[Item]]="","",IF(tblMRP[[#This Row],[Order multiple (units)]]="","",tblMRP[[#This Row],[Order multiple (units)]]*CEILING(SUMPRODUCT(MAX((tblMRP[Item]=tblMRP[[#This Row],[Item]])*(tblMRP[Week]&lt;=tblMRP[[#This Row],[Week]])*tblMRP[Uncovered (units)]))/tblMRP[[#This Row],[Order multiple (units)]],1)))</f>
        <v>3400</v>
      </c>
      <c r="M53" s="35">
        <f>IF(tblMRP[[#This Row],[Item]]="","",IF(tblMRP[[#This Row],[Order multiple (units)]]="","",tblMRP[[#This Row],[Cum. planned (units)]]-tblMRP[[#This Row],[Order multiple (units)]]*CEILING(SUMPRODUCT(MAX((tblMRP[Item]=tblMRP[[#This Row],[Item]])*(tblMRP[Week]&lt;tblMRP[[#This Row],[Week]])*tblMRP[Uncovered (units)]))/tblMRP[[#This Row],[Order multiple (units)]],1)))</f>
        <v>300</v>
      </c>
      <c r="N53" s="35">
        <f>IF(tblMRP[[#This Row],[Item]]="","",IF(tblMRP[[#This Row],[Order multiple (units)]]="","",MAX(0,tblMRP[[#This Row],[Uncovered (units)]]-(tblMRP[[#This Row],[Cum. planned (units)]]-tblMRP[[#This Row],[Planned receipt (units)]]))))</f>
        <v>300</v>
      </c>
      <c r="O53" s="35">
        <f>IF(tblMRP[[#This Row],[Item]]="","",IF(tblMRP[[#This Row],[Order multiple (units)]]="","",tblMRP[[#This Row],[Safety stock (units)]]-tblMRP[[#This Row],[Uncovered (units)]]+tblMRP[[#This Row],[Cum. planned (units)]]))</f>
        <v>100</v>
      </c>
      <c r="P53" s="36">
        <f>IF(tblMRP[[#This Row],[Item]]="","",IF(N(tblMRP[[#This Row],[Planned receipt (units)]])&gt;0,tblMRP[[#This Row],[Week]]-7*tblMRP[[#This Row],[Lead time (wk)]],""))</f>
        <v>46398</v>
      </c>
      <c r="Q53" s="35">
        <f>IF(tblMRP[[#This Row],[Item]]="","",SUMIFS(tblMRP[Planned receipt (units)],tblMRP[Item],tblMRP[[#This Row],[Item]],tblMRP[Week],tblMRP[[#This Row],[Week]]+7*N(tblMRP[[#This Row],[Lead time (wk)]])))</f>
        <v>0</v>
      </c>
      <c r="R53" s="37" t="str">
        <f>IF(tblMRP[[#This Row],[Item]]="","",IF(N(tblMRP[[#This Row],[Planned receipt (units)]])=0,"",IF(tblMRP[[#This Row],[Release week]]&lt;PlanStart,"Overdue",IF(tblMRP[[#This Row],[Release week]]&lt;PlanStart+7,"Due soon","OK"))))</f>
        <v>OK</v>
      </c>
      <c r="S5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3" s="28" t="s">
        <v>112</v>
      </c>
    </row>
    <row r="54" spans="2:20" x14ac:dyDescent="0.25">
      <c r="B54" s="28" t="s">
        <v>87</v>
      </c>
      <c r="C54" s="34">
        <v>46328</v>
      </c>
      <c r="D54" s="32">
        <v>1950</v>
      </c>
      <c r="E54" s="32">
        <v>0</v>
      </c>
      <c r="F54" s="35">
        <f>IF(tblMRP[[#This Row],[Item]]="","",(tblMRP[[#This Row],[Week]]-PlanStart)/7+1)</f>
        <v>1</v>
      </c>
      <c r="G54" s="35">
        <f>IF(tblMRP[[#This Row],[Item]]="","",IFERROR(INDEX(tblItems[On hand (units)],MATCH(tblMRP[[#This Row],[Item]],tblItems[Item],0)),""))</f>
        <v>6000</v>
      </c>
      <c r="H54" s="35">
        <f>IF(tblMRP[[#This Row],[Item]]="","",IFERROR(INDEX(tblItems[Safety stock (units)],MATCH(tblMRP[[#This Row],[Item]],tblItems[Item],0)),""))</f>
        <v>1500</v>
      </c>
      <c r="I54" s="35">
        <f>IF(tblMRP[[#This Row],[Item]]="","",IFERROR(INDEX(tblItems[Lead time (wk)],MATCH(tblMRP[[#This Row],[Item]],tblItems[Item],0)),""))</f>
        <v>3</v>
      </c>
      <c r="J54" s="35">
        <f>IF(tblMRP[[#This Row],[Item]]="","",IFERROR(INDEX(tblItems[Order multiple (units)],MATCH(tblMRP[[#This Row],[Item]],tblItems[Item],0)),""))</f>
        <v>2000</v>
      </c>
      <c r="K5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-2550</v>
      </c>
      <c r="L54" s="35">
        <f>IF(tblMRP[[#This Row],[Item]]="","",IF(tblMRP[[#This Row],[Order multiple (units)]]="","",tblMRP[[#This Row],[Order multiple (units)]]*CEILING(SUMPRODUCT(MAX((tblMRP[Item]=tblMRP[[#This Row],[Item]])*(tblMRP[Week]&lt;=tblMRP[[#This Row],[Week]])*tblMRP[Uncovered (units)]))/tblMRP[[#This Row],[Order multiple (units)]],1)))</f>
        <v>0</v>
      </c>
      <c r="M54" s="35">
        <f>IF(tblMRP[[#This Row],[Item]]="","",IF(tblMRP[[#This Row],[Order multiple (units)]]="","",tblMRP[[#This Row],[Cum. planned (units)]]-tblMRP[[#This Row],[Order multiple (units)]]*CEILING(SUMPRODUCT(MAX((tblMRP[Item]=tblMRP[[#This Row],[Item]])*(tblMRP[Week]&lt;tblMRP[[#This Row],[Week]])*tblMRP[Uncovered (units)]))/tblMRP[[#This Row],[Order multiple (units)]],1)))</f>
        <v>0</v>
      </c>
      <c r="N54" s="35">
        <f>IF(tblMRP[[#This Row],[Item]]="","",IF(tblMRP[[#This Row],[Order multiple (units)]]="","",MAX(0,tblMRP[[#This Row],[Uncovered (units)]]-(tblMRP[[#This Row],[Cum. planned (units)]]-tblMRP[[#This Row],[Planned receipt (units)]]))))</f>
        <v>0</v>
      </c>
      <c r="O54" s="35">
        <f>IF(tblMRP[[#This Row],[Item]]="","",IF(tblMRP[[#This Row],[Order multiple (units)]]="","",tblMRP[[#This Row],[Safety stock (units)]]-tblMRP[[#This Row],[Uncovered (units)]]+tblMRP[[#This Row],[Cum. planned (units)]]))</f>
        <v>4050</v>
      </c>
      <c r="P54" s="36">
        <f>IF(tblMRP[[#This Row],[Item]]="","",IF(N(tblMRP[[#This Row],[Planned receipt (units)]])&gt;0,tblMRP[[#This Row],[Week]]-7*tblMRP[[#This Row],[Lead time (wk)]],""))</f>
        <v/>
      </c>
      <c r="Q54" s="35">
        <f>IF(tblMRP[[#This Row],[Item]]="","",SUMIFS(tblMRP[Planned receipt (units)],tblMRP[Item],tblMRP[[#This Row],[Item]],tblMRP[Week],tblMRP[[#This Row],[Week]]+7*N(tblMRP[[#This Row],[Lead time (wk)]])))</f>
        <v>0</v>
      </c>
      <c r="R54" s="37">
        <f>IF(tblMRP[[#This Row],[Item]]="","",IF(N(tblMRP[[#This Row],[Planned receipt (units)]])=0,"",IF(tblMRP[[#This Row],[Release week]]&lt;PlanStart,"Overdue",IF(tblMRP[[#This Row],[Release week]]&lt;PlanStart+7,"Due soon","OK"))))</f>
        <v/>
      </c>
      <c r="S5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4" s="28" t="s">
        <v>112</v>
      </c>
    </row>
    <row r="55" spans="2:20" x14ac:dyDescent="0.25">
      <c r="B55" s="28" t="s">
        <v>87</v>
      </c>
      <c r="C55" s="34">
        <v>46335</v>
      </c>
      <c r="D55" s="32">
        <v>2080</v>
      </c>
      <c r="E55" s="32">
        <v>0</v>
      </c>
      <c r="F55" s="35">
        <f>IF(tblMRP[[#This Row],[Item]]="","",(tblMRP[[#This Row],[Week]]-PlanStart)/7+1)</f>
        <v>2</v>
      </c>
      <c r="G55" s="35">
        <f>IF(tblMRP[[#This Row],[Item]]="","",IFERROR(INDEX(tblItems[On hand (units)],MATCH(tblMRP[[#This Row],[Item]],tblItems[Item],0)),""))</f>
        <v>6000</v>
      </c>
      <c r="H55" s="35">
        <f>IF(tblMRP[[#This Row],[Item]]="","",IFERROR(INDEX(tblItems[Safety stock (units)],MATCH(tblMRP[[#This Row],[Item]],tblItems[Item],0)),""))</f>
        <v>1500</v>
      </c>
      <c r="I55" s="35">
        <f>IF(tblMRP[[#This Row],[Item]]="","",IFERROR(INDEX(tblItems[Lead time (wk)],MATCH(tblMRP[[#This Row],[Item]],tblItems[Item],0)),""))</f>
        <v>3</v>
      </c>
      <c r="J55" s="35">
        <f>IF(tblMRP[[#This Row],[Item]]="","",IFERROR(INDEX(tblItems[Order multiple (units)],MATCH(tblMRP[[#This Row],[Item]],tblItems[Item],0)),""))</f>
        <v>2000</v>
      </c>
      <c r="K5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-470</v>
      </c>
      <c r="L55" s="35">
        <f>IF(tblMRP[[#This Row],[Item]]="","",IF(tblMRP[[#This Row],[Order multiple (units)]]="","",tblMRP[[#This Row],[Order multiple (units)]]*CEILING(SUMPRODUCT(MAX((tblMRP[Item]=tblMRP[[#This Row],[Item]])*(tblMRP[Week]&lt;=tblMRP[[#This Row],[Week]])*tblMRP[Uncovered (units)]))/tblMRP[[#This Row],[Order multiple (units)]],1)))</f>
        <v>0</v>
      </c>
      <c r="M55" s="35">
        <f>IF(tblMRP[[#This Row],[Item]]="","",IF(tblMRP[[#This Row],[Order multiple (units)]]="","",tblMRP[[#This Row],[Cum. planned (units)]]-tblMRP[[#This Row],[Order multiple (units)]]*CEILING(SUMPRODUCT(MAX((tblMRP[Item]=tblMRP[[#This Row],[Item]])*(tblMRP[Week]&lt;tblMRP[[#This Row],[Week]])*tblMRP[Uncovered (units)]))/tblMRP[[#This Row],[Order multiple (units)]],1)))</f>
        <v>0</v>
      </c>
      <c r="N55" s="35">
        <f>IF(tblMRP[[#This Row],[Item]]="","",IF(tblMRP[[#This Row],[Order multiple (units)]]="","",MAX(0,tblMRP[[#This Row],[Uncovered (units)]]-(tblMRP[[#This Row],[Cum. planned (units)]]-tblMRP[[#This Row],[Planned receipt (units)]]))))</f>
        <v>0</v>
      </c>
      <c r="O55" s="35">
        <f>IF(tblMRP[[#This Row],[Item]]="","",IF(tblMRP[[#This Row],[Order multiple (units)]]="","",tblMRP[[#This Row],[Safety stock (units)]]-tblMRP[[#This Row],[Uncovered (units)]]+tblMRP[[#This Row],[Cum. planned (units)]]))</f>
        <v>1970</v>
      </c>
      <c r="P55" s="36">
        <f>IF(tblMRP[[#This Row],[Item]]="","",IF(N(tblMRP[[#This Row],[Planned receipt (units)]])&gt;0,tblMRP[[#This Row],[Week]]-7*tblMRP[[#This Row],[Lead time (wk)]],""))</f>
        <v/>
      </c>
      <c r="Q55" s="35">
        <f>IF(tblMRP[[#This Row],[Item]]="","",SUMIFS(tblMRP[Planned receipt (units)],tblMRP[Item],tblMRP[[#This Row],[Item]],tblMRP[Week],tblMRP[[#This Row],[Week]]+7*N(tblMRP[[#This Row],[Lead time (wk)]])))</f>
        <v>4000</v>
      </c>
      <c r="R55" s="37">
        <f>IF(tblMRP[[#This Row],[Item]]="","",IF(N(tblMRP[[#This Row],[Planned receipt (units)]])=0,"",IF(tblMRP[[#This Row],[Release week]]&lt;PlanStart,"Overdue",IF(tblMRP[[#This Row],[Release week]]&lt;PlanStart+7,"Due soon","OK"))))</f>
        <v/>
      </c>
      <c r="S5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5" s="28" t="s">
        <v>112</v>
      </c>
    </row>
    <row r="56" spans="2:20" x14ac:dyDescent="0.25">
      <c r="B56" s="28" t="s">
        <v>87</v>
      </c>
      <c r="C56" s="34">
        <v>46342</v>
      </c>
      <c r="D56" s="32">
        <v>1950</v>
      </c>
      <c r="E56" s="32">
        <v>4000</v>
      </c>
      <c r="F56" s="35">
        <f>IF(tblMRP[[#This Row],[Item]]="","",(tblMRP[[#This Row],[Week]]-PlanStart)/7+1)</f>
        <v>3</v>
      </c>
      <c r="G56" s="35">
        <f>IF(tblMRP[[#This Row],[Item]]="","",IFERROR(INDEX(tblItems[On hand (units)],MATCH(tblMRP[[#This Row],[Item]],tblItems[Item],0)),""))</f>
        <v>6000</v>
      </c>
      <c r="H56" s="35">
        <f>IF(tblMRP[[#This Row],[Item]]="","",IFERROR(INDEX(tblItems[Safety stock (units)],MATCH(tblMRP[[#This Row],[Item]],tblItems[Item],0)),""))</f>
        <v>1500</v>
      </c>
      <c r="I56" s="35">
        <f>IF(tblMRP[[#This Row],[Item]]="","",IFERROR(INDEX(tblItems[Lead time (wk)],MATCH(tblMRP[[#This Row],[Item]],tblItems[Item],0)),""))</f>
        <v>3</v>
      </c>
      <c r="J56" s="35">
        <f>IF(tblMRP[[#This Row],[Item]]="","",IFERROR(INDEX(tblItems[Order multiple (units)],MATCH(tblMRP[[#This Row],[Item]],tblItems[Item],0)),""))</f>
        <v>2000</v>
      </c>
      <c r="K5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-2520</v>
      </c>
      <c r="L56" s="35">
        <f>IF(tblMRP[[#This Row],[Item]]="","",IF(tblMRP[[#This Row],[Order multiple (units)]]="","",tblMRP[[#This Row],[Order multiple (units)]]*CEILING(SUMPRODUCT(MAX((tblMRP[Item]=tblMRP[[#This Row],[Item]])*(tblMRP[Week]&lt;=tblMRP[[#This Row],[Week]])*tblMRP[Uncovered (units)]))/tblMRP[[#This Row],[Order multiple (units)]],1)))</f>
        <v>0</v>
      </c>
      <c r="M56" s="35">
        <f>IF(tblMRP[[#This Row],[Item]]="","",IF(tblMRP[[#This Row],[Order multiple (units)]]="","",tblMRP[[#This Row],[Cum. planned (units)]]-tblMRP[[#This Row],[Order multiple (units)]]*CEILING(SUMPRODUCT(MAX((tblMRP[Item]=tblMRP[[#This Row],[Item]])*(tblMRP[Week]&lt;tblMRP[[#This Row],[Week]])*tblMRP[Uncovered (units)]))/tblMRP[[#This Row],[Order multiple (units)]],1)))</f>
        <v>0</v>
      </c>
      <c r="N56" s="35">
        <f>IF(tblMRP[[#This Row],[Item]]="","",IF(tblMRP[[#This Row],[Order multiple (units)]]="","",MAX(0,tblMRP[[#This Row],[Uncovered (units)]]-(tblMRP[[#This Row],[Cum. planned (units)]]-tblMRP[[#This Row],[Planned receipt (units)]]))))</f>
        <v>0</v>
      </c>
      <c r="O56" s="35">
        <f>IF(tblMRP[[#This Row],[Item]]="","",IF(tblMRP[[#This Row],[Order multiple (units)]]="","",tblMRP[[#This Row],[Safety stock (units)]]-tblMRP[[#This Row],[Uncovered (units)]]+tblMRP[[#This Row],[Cum. planned (units)]]))</f>
        <v>4020</v>
      </c>
      <c r="P56" s="36">
        <f>IF(tblMRP[[#This Row],[Item]]="","",IF(N(tblMRP[[#This Row],[Planned receipt (units)]])&gt;0,tblMRP[[#This Row],[Week]]-7*tblMRP[[#This Row],[Lead time (wk)]],""))</f>
        <v/>
      </c>
      <c r="Q56" s="35">
        <f>IF(tblMRP[[#This Row],[Item]]="","",SUMIFS(tblMRP[Planned receipt (units)],tblMRP[Item],tblMRP[[#This Row],[Item]],tblMRP[Week],tblMRP[[#This Row],[Week]]+7*N(tblMRP[[#This Row],[Lead time (wk)]])))</f>
        <v>2000</v>
      </c>
      <c r="R56" s="37">
        <f>IF(tblMRP[[#This Row],[Item]]="","",IF(N(tblMRP[[#This Row],[Planned receipt (units)]])=0,"",IF(tblMRP[[#This Row],[Release week]]&lt;PlanStart,"Overdue",IF(tblMRP[[#This Row],[Release week]]&lt;PlanStart+7,"Due soon","OK"))))</f>
        <v/>
      </c>
      <c r="S5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6" s="28" t="s">
        <v>113</v>
      </c>
    </row>
    <row r="57" spans="2:20" x14ac:dyDescent="0.25">
      <c r="B57" s="28" t="s">
        <v>87</v>
      </c>
      <c r="C57" s="34">
        <v>46349</v>
      </c>
      <c r="D57" s="32">
        <v>2210</v>
      </c>
      <c r="E57" s="32">
        <v>0</v>
      </c>
      <c r="F57" s="35">
        <f>IF(tblMRP[[#This Row],[Item]]="","",(tblMRP[[#This Row],[Week]]-PlanStart)/7+1)</f>
        <v>4</v>
      </c>
      <c r="G57" s="35">
        <f>IF(tblMRP[[#This Row],[Item]]="","",IFERROR(INDEX(tblItems[On hand (units)],MATCH(tblMRP[[#This Row],[Item]],tblItems[Item],0)),""))</f>
        <v>6000</v>
      </c>
      <c r="H57" s="35">
        <f>IF(tblMRP[[#This Row],[Item]]="","",IFERROR(INDEX(tblItems[Safety stock (units)],MATCH(tblMRP[[#This Row],[Item]],tblItems[Item],0)),""))</f>
        <v>1500</v>
      </c>
      <c r="I57" s="35">
        <f>IF(tblMRP[[#This Row],[Item]]="","",IFERROR(INDEX(tblItems[Lead time (wk)],MATCH(tblMRP[[#This Row],[Item]],tblItems[Item],0)),""))</f>
        <v>3</v>
      </c>
      <c r="J57" s="35">
        <f>IF(tblMRP[[#This Row],[Item]]="","",IFERROR(INDEX(tblItems[Order multiple (units)],MATCH(tblMRP[[#This Row],[Item]],tblItems[Item],0)),""))</f>
        <v>2000</v>
      </c>
      <c r="K5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-310</v>
      </c>
      <c r="L57" s="35">
        <f>IF(tblMRP[[#This Row],[Item]]="","",IF(tblMRP[[#This Row],[Order multiple (units)]]="","",tblMRP[[#This Row],[Order multiple (units)]]*CEILING(SUMPRODUCT(MAX((tblMRP[Item]=tblMRP[[#This Row],[Item]])*(tblMRP[Week]&lt;=tblMRP[[#This Row],[Week]])*tblMRP[Uncovered (units)]))/tblMRP[[#This Row],[Order multiple (units)]],1)))</f>
        <v>0</v>
      </c>
      <c r="M57" s="35">
        <f>IF(tblMRP[[#This Row],[Item]]="","",IF(tblMRP[[#This Row],[Order multiple (units)]]="","",tblMRP[[#This Row],[Cum. planned (units)]]-tblMRP[[#This Row],[Order multiple (units)]]*CEILING(SUMPRODUCT(MAX((tblMRP[Item]=tblMRP[[#This Row],[Item]])*(tblMRP[Week]&lt;tblMRP[[#This Row],[Week]])*tblMRP[Uncovered (units)]))/tblMRP[[#This Row],[Order multiple (units)]],1)))</f>
        <v>0</v>
      </c>
      <c r="N57" s="35">
        <f>IF(tblMRP[[#This Row],[Item]]="","",IF(tblMRP[[#This Row],[Order multiple (units)]]="","",MAX(0,tblMRP[[#This Row],[Uncovered (units)]]-(tblMRP[[#This Row],[Cum. planned (units)]]-tblMRP[[#This Row],[Planned receipt (units)]]))))</f>
        <v>0</v>
      </c>
      <c r="O57" s="35">
        <f>IF(tblMRP[[#This Row],[Item]]="","",IF(tblMRP[[#This Row],[Order multiple (units)]]="","",tblMRP[[#This Row],[Safety stock (units)]]-tblMRP[[#This Row],[Uncovered (units)]]+tblMRP[[#This Row],[Cum. planned (units)]]))</f>
        <v>1810</v>
      </c>
      <c r="P57" s="36">
        <f>IF(tblMRP[[#This Row],[Item]]="","",IF(N(tblMRP[[#This Row],[Planned receipt (units)]])&gt;0,tblMRP[[#This Row],[Week]]-7*tblMRP[[#This Row],[Lead time (wk)]],""))</f>
        <v/>
      </c>
      <c r="Q57" s="35">
        <f>IF(tblMRP[[#This Row],[Item]]="","",SUMIFS(tblMRP[Planned receipt (units)],tblMRP[Item],tblMRP[[#This Row],[Item]],tblMRP[Week],tblMRP[[#This Row],[Week]]+7*N(tblMRP[[#This Row],[Lead time (wk)]])))</f>
        <v>2000</v>
      </c>
      <c r="R57" s="37">
        <f>IF(tblMRP[[#This Row],[Item]]="","",IF(N(tblMRP[[#This Row],[Planned receipt (units)]])=0,"",IF(tblMRP[[#This Row],[Release week]]&lt;PlanStart,"Overdue",IF(tblMRP[[#This Row],[Release week]]&lt;PlanStart+7,"Due soon","OK"))))</f>
        <v/>
      </c>
      <c r="S5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7" s="28" t="s">
        <v>112</v>
      </c>
    </row>
    <row r="58" spans="2:20" x14ac:dyDescent="0.25">
      <c r="B58" s="28" t="s">
        <v>87</v>
      </c>
      <c r="C58" s="34">
        <v>46356</v>
      </c>
      <c r="D58" s="32">
        <v>2340</v>
      </c>
      <c r="E58" s="32">
        <v>0</v>
      </c>
      <c r="F58" s="35">
        <f>IF(tblMRP[[#This Row],[Item]]="","",(tblMRP[[#This Row],[Week]]-PlanStart)/7+1)</f>
        <v>5</v>
      </c>
      <c r="G58" s="35">
        <f>IF(tblMRP[[#This Row],[Item]]="","",IFERROR(INDEX(tblItems[On hand (units)],MATCH(tblMRP[[#This Row],[Item]],tblItems[Item],0)),""))</f>
        <v>6000</v>
      </c>
      <c r="H58" s="35">
        <f>IF(tblMRP[[#This Row],[Item]]="","",IFERROR(INDEX(tblItems[Safety stock (units)],MATCH(tblMRP[[#This Row],[Item]],tblItems[Item],0)),""))</f>
        <v>1500</v>
      </c>
      <c r="I58" s="35">
        <f>IF(tblMRP[[#This Row],[Item]]="","",IFERROR(INDEX(tblItems[Lead time (wk)],MATCH(tblMRP[[#This Row],[Item]],tblItems[Item],0)),""))</f>
        <v>3</v>
      </c>
      <c r="J58" s="35">
        <f>IF(tblMRP[[#This Row],[Item]]="","",IFERROR(INDEX(tblItems[Order multiple (units)],MATCH(tblMRP[[#This Row],[Item]],tblItems[Item],0)),""))</f>
        <v>2000</v>
      </c>
      <c r="K5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2030</v>
      </c>
      <c r="L58" s="35">
        <f>IF(tblMRP[[#This Row],[Item]]="","",IF(tblMRP[[#This Row],[Order multiple (units)]]="","",tblMRP[[#This Row],[Order multiple (units)]]*CEILING(SUMPRODUCT(MAX((tblMRP[Item]=tblMRP[[#This Row],[Item]])*(tblMRP[Week]&lt;=tblMRP[[#This Row],[Week]])*tblMRP[Uncovered (units)]))/tblMRP[[#This Row],[Order multiple (units)]],1)))</f>
        <v>4000</v>
      </c>
      <c r="M58" s="35">
        <f>IF(tblMRP[[#This Row],[Item]]="","",IF(tblMRP[[#This Row],[Order multiple (units)]]="","",tblMRP[[#This Row],[Cum. planned (units)]]-tblMRP[[#This Row],[Order multiple (units)]]*CEILING(SUMPRODUCT(MAX((tblMRP[Item]=tblMRP[[#This Row],[Item]])*(tblMRP[Week]&lt;tblMRP[[#This Row],[Week]])*tblMRP[Uncovered (units)]))/tblMRP[[#This Row],[Order multiple (units)]],1)))</f>
        <v>4000</v>
      </c>
      <c r="N58" s="35">
        <f>IF(tblMRP[[#This Row],[Item]]="","",IF(tblMRP[[#This Row],[Order multiple (units)]]="","",MAX(0,tblMRP[[#This Row],[Uncovered (units)]]-(tblMRP[[#This Row],[Cum. planned (units)]]-tblMRP[[#This Row],[Planned receipt (units)]]))))</f>
        <v>2030</v>
      </c>
      <c r="O58" s="35">
        <f>IF(tblMRP[[#This Row],[Item]]="","",IF(tblMRP[[#This Row],[Order multiple (units)]]="","",tblMRP[[#This Row],[Safety stock (units)]]-tblMRP[[#This Row],[Uncovered (units)]]+tblMRP[[#This Row],[Cum. planned (units)]]))</f>
        <v>3470</v>
      </c>
      <c r="P58" s="36">
        <f>IF(tblMRP[[#This Row],[Item]]="","",IF(N(tblMRP[[#This Row],[Planned receipt (units)]])&gt;0,tblMRP[[#This Row],[Week]]-7*tblMRP[[#This Row],[Lead time (wk)]],""))</f>
        <v>46335</v>
      </c>
      <c r="Q58" s="35">
        <f>IF(tblMRP[[#This Row],[Item]]="","",SUMIFS(tblMRP[Planned receipt (units)],tblMRP[Item],tblMRP[[#This Row],[Item]],tblMRP[Week],tblMRP[[#This Row],[Week]]+7*N(tblMRP[[#This Row],[Lead time (wk)]])))</f>
        <v>2000</v>
      </c>
      <c r="R58" s="37" t="str">
        <f>IF(tblMRP[[#This Row],[Item]]="","",IF(N(tblMRP[[#This Row],[Planned receipt (units)]])=0,"",IF(tblMRP[[#This Row],[Release week]]&lt;PlanStart,"Overdue",IF(tblMRP[[#This Row],[Release week]]&lt;PlanStart+7,"Due soon","OK"))))</f>
        <v>OK</v>
      </c>
      <c r="S5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8" s="28" t="s">
        <v>112</v>
      </c>
    </row>
    <row r="59" spans="2:20" x14ac:dyDescent="0.25">
      <c r="B59" s="28" t="s">
        <v>87</v>
      </c>
      <c r="C59" s="34">
        <v>46363</v>
      </c>
      <c r="D59" s="32">
        <v>2470</v>
      </c>
      <c r="E59" s="32">
        <v>0</v>
      </c>
      <c r="F59" s="35">
        <f>IF(tblMRP[[#This Row],[Item]]="","",(tblMRP[[#This Row],[Week]]-PlanStart)/7+1)</f>
        <v>6</v>
      </c>
      <c r="G59" s="35">
        <f>IF(tblMRP[[#This Row],[Item]]="","",IFERROR(INDEX(tblItems[On hand (units)],MATCH(tblMRP[[#This Row],[Item]],tblItems[Item],0)),""))</f>
        <v>6000</v>
      </c>
      <c r="H59" s="35">
        <f>IF(tblMRP[[#This Row],[Item]]="","",IFERROR(INDEX(tblItems[Safety stock (units)],MATCH(tblMRP[[#This Row],[Item]],tblItems[Item],0)),""))</f>
        <v>1500</v>
      </c>
      <c r="I59" s="35">
        <f>IF(tblMRP[[#This Row],[Item]]="","",IFERROR(INDEX(tblItems[Lead time (wk)],MATCH(tblMRP[[#This Row],[Item]],tblItems[Item],0)),""))</f>
        <v>3</v>
      </c>
      <c r="J59" s="35">
        <f>IF(tblMRP[[#This Row],[Item]]="","",IFERROR(INDEX(tblItems[Order multiple (units)],MATCH(tblMRP[[#This Row],[Item]],tblItems[Item],0)),""))</f>
        <v>2000</v>
      </c>
      <c r="K5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4500</v>
      </c>
      <c r="L59" s="35">
        <f>IF(tblMRP[[#This Row],[Item]]="","",IF(tblMRP[[#This Row],[Order multiple (units)]]="","",tblMRP[[#This Row],[Order multiple (units)]]*CEILING(SUMPRODUCT(MAX((tblMRP[Item]=tblMRP[[#This Row],[Item]])*(tblMRP[Week]&lt;=tblMRP[[#This Row],[Week]])*tblMRP[Uncovered (units)]))/tblMRP[[#This Row],[Order multiple (units)]],1)))</f>
        <v>6000</v>
      </c>
      <c r="M59" s="35">
        <f>IF(tblMRP[[#This Row],[Item]]="","",IF(tblMRP[[#This Row],[Order multiple (units)]]="","",tblMRP[[#This Row],[Cum. planned (units)]]-tblMRP[[#This Row],[Order multiple (units)]]*CEILING(SUMPRODUCT(MAX((tblMRP[Item]=tblMRP[[#This Row],[Item]])*(tblMRP[Week]&lt;tblMRP[[#This Row],[Week]])*tblMRP[Uncovered (units)]))/tblMRP[[#This Row],[Order multiple (units)]],1)))</f>
        <v>2000</v>
      </c>
      <c r="N59" s="35">
        <f>IF(tblMRP[[#This Row],[Item]]="","",IF(tblMRP[[#This Row],[Order multiple (units)]]="","",MAX(0,tblMRP[[#This Row],[Uncovered (units)]]-(tblMRP[[#This Row],[Cum. planned (units)]]-tblMRP[[#This Row],[Planned receipt (units)]]))))</f>
        <v>500</v>
      </c>
      <c r="O59" s="35">
        <f>IF(tblMRP[[#This Row],[Item]]="","",IF(tblMRP[[#This Row],[Order multiple (units)]]="","",tblMRP[[#This Row],[Safety stock (units)]]-tblMRP[[#This Row],[Uncovered (units)]]+tblMRP[[#This Row],[Cum. planned (units)]]))</f>
        <v>3000</v>
      </c>
      <c r="P59" s="36">
        <f>IF(tblMRP[[#This Row],[Item]]="","",IF(N(tblMRP[[#This Row],[Planned receipt (units)]])&gt;0,tblMRP[[#This Row],[Week]]-7*tblMRP[[#This Row],[Lead time (wk)]],""))</f>
        <v>46342</v>
      </c>
      <c r="Q59" s="35">
        <f>IF(tblMRP[[#This Row],[Item]]="","",SUMIFS(tblMRP[Planned receipt (units)],tblMRP[Item],tblMRP[[#This Row],[Item]],tblMRP[Week],tblMRP[[#This Row],[Week]]+7*N(tblMRP[[#This Row],[Lead time (wk)]])))</f>
        <v>4000</v>
      </c>
      <c r="R59" s="37" t="str">
        <f>IF(tblMRP[[#This Row],[Item]]="","",IF(N(tblMRP[[#This Row],[Planned receipt (units)]])=0,"",IF(tblMRP[[#This Row],[Release week]]&lt;PlanStart,"Overdue",IF(tblMRP[[#This Row],[Release week]]&lt;PlanStart+7,"Due soon","OK"))))</f>
        <v>OK</v>
      </c>
      <c r="S5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59" s="28" t="s">
        <v>112</v>
      </c>
    </row>
    <row r="60" spans="2:20" x14ac:dyDescent="0.25">
      <c r="B60" s="28" t="s">
        <v>87</v>
      </c>
      <c r="C60" s="34">
        <v>46370</v>
      </c>
      <c r="D60" s="32">
        <v>2600</v>
      </c>
      <c r="E60" s="32">
        <v>0</v>
      </c>
      <c r="F60" s="35">
        <f>IF(tblMRP[[#This Row],[Item]]="","",(tblMRP[[#This Row],[Week]]-PlanStart)/7+1)</f>
        <v>7</v>
      </c>
      <c r="G60" s="35">
        <f>IF(tblMRP[[#This Row],[Item]]="","",IFERROR(INDEX(tblItems[On hand (units)],MATCH(tblMRP[[#This Row],[Item]],tblItems[Item],0)),""))</f>
        <v>6000</v>
      </c>
      <c r="H60" s="35">
        <f>IF(tblMRP[[#This Row],[Item]]="","",IFERROR(INDEX(tblItems[Safety stock (units)],MATCH(tblMRP[[#This Row],[Item]],tblItems[Item],0)),""))</f>
        <v>1500</v>
      </c>
      <c r="I60" s="35">
        <f>IF(tblMRP[[#This Row],[Item]]="","",IFERROR(INDEX(tblItems[Lead time (wk)],MATCH(tblMRP[[#This Row],[Item]],tblItems[Item],0)),""))</f>
        <v>3</v>
      </c>
      <c r="J60" s="35">
        <f>IF(tblMRP[[#This Row],[Item]]="","",IFERROR(INDEX(tblItems[Order multiple (units)],MATCH(tblMRP[[#This Row],[Item]],tblItems[Item],0)),""))</f>
        <v>2000</v>
      </c>
      <c r="K6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7100</v>
      </c>
      <c r="L60" s="35">
        <f>IF(tblMRP[[#This Row],[Item]]="","",IF(tblMRP[[#This Row],[Order multiple (units)]]="","",tblMRP[[#This Row],[Order multiple (units)]]*CEILING(SUMPRODUCT(MAX((tblMRP[Item]=tblMRP[[#This Row],[Item]])*(tblMRP[Week]&lt;=tblMRP[[#This Row],[Week]])*tblMRP[Uncovered (units)]))/tblMRP[[#This Row],[Order multiple (units)]],1)))</f>
        <v>8000</v>
      </c>
      <c r="M60" s="35">
        <f>IF(tblMRP[[#This Row],[Item]]="","",IF(tblMRP[[#This Row],[Order multiple (units)]]="","",tblMRP[[#This Row],[Cum. planned (units)]]-tblMRP[[#This Row],[Order multiple (units)]]*CEILING(SUMPRODUCT(MAX((tblMRP[Item]=tblMRP[[#This Row],[Item]])*(tblMRP[Week]&lt;tblMRP[[#This Row],[Week]])*tblMRP[Uncovered (units)]))/tblMRP[[#This Row],[Order multiple (units)]],1)))</f>
        <v>2000</v>
      </c>
      <c r="N60" s="35">
        <f>IF(tblMRP[[#This Row],[Item]]="","",IF(tblMRP[[#This Row],[Order multiple (units)]]="","",MAX(0,tblMRP[[#This Row],[Uncovered (units)]]-(tblMRP[[#This Row],[Cum. planned (units)]]-tblMRP[[#This Row],[Planned receipt (units)]]))))</f>
        <v>1100</v>
      </c>
      <c r="O60" s="35">
        <f>IF(tblMRP[[#This Row],[Item]]="","",IF(tblMRP[[#This Row],[Order multiple (units)]]="","",tblMRP[[#This Row],[Safety stock (units)]]-tblMRP[[#This Row],[Uncovered (units)]]+tblMRP[[#This Row],[Cum. planned (units)]]))</f>
        <v>2400</v>
      </c>
      <c r="P60" s="36">
        <f>IF(tblMRP[[#This Row],[Item]]="","",IF(N(tblMRP[[#This Row],[Planned receipt (units)]])&gt;0,tblMRP[[#This Row],[Week]]-7*tblMRP[[#This Row],[Lead time (wk)]],""))</f>
        <v>46349</v>
      </c>
      <c r="Q60" s="35">
        <f>IF(tblMRP[[#This Row],[Item]]="","",SUMIFS(tblMRP[Planned receipt (units)],tblMRP[Item],tblMRP[[#This Row],[Item]],tblMRP[Week],tblMRP[[#This Row],[Week]]+7*N(tblMRP[[#This Row],[Lead time (wk)]])))</f>
        <v>2000</v>
      </c>
      <c r="R60" s="37" t="str">
        <f>IF(tblMRP[[#This Row],[Item]]="","",IF(N(tblMRP[[#This Row],[Planned receipt (units)]])=0,"",IF(tblMRP[[#This Row],[Release week]]&lt;PlanStart,"Overdue",IF(tblMRP[[#This Row],[Release week]]&lt;PlanStart+7,"Due soon","OK"))))</f>
        <v>OK</v>
      </c>
      <c r="S6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0" s="28" t="s">
        <v>112</v>
      </c>
    </row>
    <row r="61" spans="2:20" x14ac:dyDescent="0.25">
      <c r="B61" s="28" t="s">
        <v>87</v>
      </c>
      <c r="C61" s="34">
        <v>46377</v>
      </c>
      <c r="D61" s="32">
        <v>2600</v>
      </c>
      <c r="E61" s="32">
        <v>0</v>
      </c>
      <c r="F61" s="35">
        <f>IF(tblMRP[[#This Row],[Item]]="","",(tblMRP[[#This Row],[Week]]-PlanStart)/7+1)</f>
        <v>8</v>
      </c>
      <c r="G61" s="35">
        <f>IF(tblMRP[[#This Row],[Item]]="","",IFERROR(INDEX(tblItems[On hand (units)],MATCH(tblMRP[[#This Row],[Item]],tblItems[Item],0)),""))</f>
        <v>6000</v>
      </c>
      <c r="H61" s="35">
        <f>IF(tblMRP[[#This Row],[Item]]="","",IFERROR(INDEX(tblItems[Safety stock (units)],MATCH(tblMRP[[#This Row],[Item]],tblItems[Item],0)),""))</f>
        <v>1500</v>
      </c>
      <c r="I61" s="35">
        <f>IF(tblMRP[[#This Row],[Item]]="","",IFERROR(INDEX(tblItems[Lead time (wk)],MATCH(tblMRP[[#This Row],[Item]],tblItems[Item],0)),""))</f>
        <v>3</v>
      </c>
      <c r="J61" s="35">
        <f>IF(tblMRP[[#This Row],[Item]]="","",IFERROR(INDEX(tblItems[Order multiple (units)],MATCH(tblMRP[[#This Row],[Item]],tblItems[Item],0)),""))</f>
        <v>2000</v>
      </c>
      <c r="K6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9700</v>
      </c>
      <c r="L61" s="35">
        <f>IF(tblMRP[[#This Row],[Item]]="","",IF(tblMRP[[#This Row],[Order multiple (units)]]="","",tblMRP[[#This Row],[Order multiple (units)]]*CEILING(SUMPRODUCT(MAX((tblMRP[Item]=tblMRP[[#This Row],[Item]])*(tblMRP[Week]&lt;=tblMRP[[#This Row],[Week]])*tblMRP[Uncovered (units)]))/tblMRP[[#This Row],[Order multiple (units)]],1)))</f>
        <v>10000</v>
      </c>
      <c r="M61" s="35">
        <f>IF(tblMRP[[#This Row],[Item]]="","",IF(tblMRP[[#This Row],[Order multiple (units)]]="","",tblMRP[[#This Row],[Cum. planned (units)]]-tblMRP[[#This Row],[Order multiple (units)]]*CEILING(SUMPRODUCT(MAX((tblMRP[Item]=tblMRP[[#This Row],[Item]])*(tblMRP[Week]&lt;tblMRP[[#This Row],[Week]])*tblMRP[Uncovered (units)]))/tblMRP[[#This Row],[Order multiple (units)]],1)))</f>
        <v>2000</v>
      </c>
      <c r="N61" s="35">
        <f>IF(tblMRP[[#This Row],[Item]]="","",IF(tblMRP[[#This Row],[Order multiple (units)]]="","",MAX(0,tblMRP[[#This Row],[Uncovered (units)]]-(tblMRP[[#This Row],[Cum. planned (units)]]-tblMRP[[#This Row],[Planned receipt (units)]]))))</f>
        <v>1700</v>
      </c>
      <c r="O61" s="35">
        <f>IF(tblMRP[[#This Row],[Item]]="","",IF(tblMRP[[#This Row],[Order multiple (units)]]="","",tblMRP[[#This Row],[Safety stock (units)]]-tblMRP[[#This Row],[Uncovered (units)]]+tblMRP[[#This Row],[Cum. planned (units)]]))</f>
        <v>1800</v>
      </c>
      <c r="P61" s="36">
        <f>IF(tblMRP[[#This Row],[Item]]="","",IF(N(tblMRP[[#This Row],[Planned receipt (units)]])&gt;0,tblMRP[[#This Row],[Week]]-7*tblMRP[[#This Row],[Lead time (wk)]],""))</f>
        <v>46356</v>
      </c>
      <c r="Q61" s="35">
        <f>IF(tblMRP[[#This Row],[Item]]="","",SUMIFS(tblMRP[Planned receipt (units)],tblMRP[Item],tblMRP[[#This Row],[Item]],tblMRP[Week],tblMRP[[#This Row],[Week]]+7*N(tblMRP[[#This Row],[Lead time (wk)]])))</f>
        <v>2000</v>
      </c>
      <c r="R61" s="37" t="str">
        <f>IF(tblMRP[[#This Row],[Item]]="","",IF(N(tblMRP[[#This Row],[Planned receipt (units)]])=0,"",IF(tblMRP[[#This Row],[Release week]]&lt;PlanStart,"Overdue",IF(tblMRP[[#This Row],[Release week]]&lt;PlanStart+7,"Due soon","OK"))))</f>
        <v>OK</v>
      </c>
      <c r="S6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1" s="28" t="s">
        <v>112</v>
      </c>
    </row>
    <row r="62" spans="2:20" x14ac:dyDescent="0.25">
      <c r="B62" s="28" t="s">
        <v>87</v>
      </c>
      <c r="C62" s="34">
        <v>46384</v>
      </c>
      <c r="D62" s="32">
        <v>2470</v>
      </c>
      <c r="E62" s="32">
        <v>0</v>
      </c>
      <c r="F62" s="35">
        <f>IF(tblMRP[[#This Row],[Item]]="","",(tblMRP[[#This Row],[Week]]-PlanStart)/7+1)</f>
        <v>9</v>
      </c>
      <c r="G62" s="35">
        <f>IF(tblMRP[[#This Row],[Item]]="","",IFERROR(INDEX(tblItems[On hand (units)],MATCH(tblMRP[[#This Row],[Item]],tblItems[Item],0)),""))</f>
        <v>6000</v>
      </c>
      <c r="H62" s="35">
        <f>IF(tblMRP[[#This Row],[Item]]="","",IFERROR(INDEX(tblItems[Safety stock (units)],MATCH(tblMRP[[#This Row],[Item]],tblItems[Item],0)),""))</f>
        <v>1500</v>
      </c>
      <c r="I62" s="35">
        <f>IF(tblMRP[[#This Row],[Item]]="","",IFERROR(INDEX(tblItems[Lead time (wk)],MATCH(tblMRP[[#This Row],[Item]],tblItems[Item],0)),""))</f>
        <v>3</v>
      </c>
      <c r="J62" s="35">
        <f>IF(tblMRP[[#This Row],[Item]]="","",IFERROR(INDEX(tblItems[Order multiple (units)],MATCH(tblMRP[[#This Row],[Item]],tblItems[Item],0)),""))</f>
        <v>2000</v>
      </c>
      <c r="K6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12170</v>
      </c>
      <c r="L62" s="35">
        <f>IF(tblMRP[[#This Row],[Item]]="","",IF(tblMRP[[#This Row],[Order multiple (units)]]="","",tblMRP[[#This Row],[Order multiple (units)]]*CEILING(SUMPRODUCT(MAX((tblMRP[Item]=tblMRP[[#This Row],[Item]])*(tblMRP[Week]&lt;=tblMRP[[#This Row],[Week]])*tblMRP[Uncovered (units)]))/tblMRP[[#This Row],[Order multiple (units)]],1)))</f>
        <v>14000</v>
      </c>
      <c r="M62" s="35">
        <f>IF(tblMRP[[#This Row],[Item]]="","",IF(tblMRP[[#This Row],[Order multiple (units)]]="","",tblMRP[[#This Row],[Cum. planned (units)]]-tblMRP[[#This Row],[Order multiple (units)]]*CEILING(SUMPRODUCT(MAX((tblMRP[Item]=tblMRP[[#This Row],[Item]])*(tblMRP[Week]&lt;tblMRP[[#This Row],[Week]])*tblMRP[Uncovered (units)]))/tblMRP[[#This Row],[Order multiple (units)]],1)))</f>
        <v>4000</v>
      </c>
      <c r="N62" s="35">
        <f>IF(tblMRP[[#This Row],[Item]]="","",IF(tblMRP[[#This Row],[Order multiple (units)]]="","",MAX(0,tblMRP[[#This Row],[Uncovered (units)]]-(tblMRP[[#This Row],[Cum. planned (units)]]-tblMRP[[#This Row],[Planned receipt (units)]]))))</f>
        <v>2170</v>
      </c>
      <c r="O62" s="35">
        <f>IF(tblMRP[[#This Row],[Item]]="","",IF(tblMRP[[#This Row],[Order multiple (units)]]="","",tblMRP[[#This Row],[Safety stock (units)]]-tblMRP[[#This Row],[Uncovered (units)]]+tblMRP[[#This Row],[Cum. planned (units)]]))</f>
        <v>3330</v>
      </c>
      <c r="P62" s="36">
        <f>IF(tblMRP[[#This Row],[Item]]="","",IF(N(tblMRP[[#This Row],[Planned receipt (units)]])&gt;0,tblMRP[[#This Row],[Week]]-7*tblMRP[[#This Row],[Lead time (wk)]],""))</f>
        <v>46363</v>
      </c>
      <c r="Q62" s="35">
        <f>IF(tblMRP[[#This Row],[Item]]="","",SUMIFS(tblMRP[Planned receipt (units)],tblMRP[Item],tblMRP[[#This Row],[Item]],tblMRP[Week],tblMRP[[#This Row],[Week]]+7*N(tblMRP[[#This Row],[Lead time (wk)]])))</f>
        <v>2000</v>
      </c>
      <c r="R62" s="37" t="str">
        <f>IF(tblMRP[[#This Row],[Item]]="","",IF(N(tblMRP[[#This Row],[Planned receipt (units)]])=0,"",IF(tblMRP[[#This Row],[Release week]]&lt;PlanStart,"Overdue",IF(tblMRP[[#This Row],[Release week]]&lt;PlanStart+7,"Due soon","OK"))))</f>
        <v>OK</v>
      </c>
      <c r="S6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2" s="28" t="s">
        <v>112</v>
      </c>
    </row>
    <row r="63" spans="2:20" x14ac:dyDescent="0.25">
      <c r="B63" s="28" t="s">
        <v>87</v>
      </c>
      <c r="C63" s="34">
        <v>46391</v>
      </c>
      <c r="D63" s="32">
        <v>2340</v>
      </c>
      <c r="E63" s="32">
        <v>0</v>
      </c>
      <c r="F63" s="35">
        <f>IF(tblMRP[[#This Row],[Item]]="","",(tblMRP[[#This Row],[Week]]-PlanStart)/7+1)</f>
        <v>10</v>
      </c>
      <c r="G63" s="35">
        <f>IF(tblMRP[[#This Row],[Item]]="","",IFERROR(INDEX(tblItems[On hand (units)],MATCH(tblMRP[[#This Row],[Item]],tblItems[Item],0)),""))</f>
        <v>6000</v>
      </c>
      <c r="H63" s="35">
        <f>IF(tblMRP[[#This Row],[Item]]="","",IFERROR(INDEX(tblItems[Safety stock (units)],MATCH(tblMRP[[#This Row],[Item]],tblItems[Item],0)),""))</f>
        <v>1500</v>
      </c>
      <c r="I63" s="35">
        <f>IF(tblMRP[[#This Row],[Item]]="","",IFERROR(INDEX(tblItems[Lead time (wk)],MATCH(tblMRP[[#This Row],[Item]],tblItems[Item],0)),""))</f>
        <v>3</v>
      </c>
      <c r="J63" s="35">
        <f>IF(tblMRP[[#This Row],[Item]]="","",IFERROR(INDEX(tblItems[Order multiple (units)],MATCH(tblMRP[[#This Row],[Item]],tblItems[Item],0)),""))</f>
        <v>2000</v>
      </c>
      <c r="K6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14510</v>
      </c>
      <c r="L63" s="35">
        <f>IF(tblMRP[[#This Row],[Item]]="","",IF(tblMRP[[#This Row],[Order multiple (units)]]="","",tblMRP[[#This Row],[Order multiple (units)]]*CEILING(SUMPRODUCT(MAX((tblMRP[Item]=tblMRP[[#This Row],[Item]])*(tblMRP[Week]&lt;=tblMRP[[#This Row],[Week]])*tblMRP[Uncovered (units)]))/tblMRP[[#This Row],[Order multiple (units)]],1)))</f>
        <v>16000</v>
      </c>
      <c r="M63" s="35">
        <f>IF(tblMRP[[#This Row],[Item]]="","",IF(tblMRP[[#This Row],[Order multiple (units)]]="","",tblMRP[[#This Row],[Cum. planned (units)]]-tblMRP[[#This Row],[Order multiple (units)]]*CEILING(SUMPRODUCT(MAX((tblMRP[Item]=tblMRP[[#This Row],[Item]])*(tblMRP[Week]&lt;tblMRP[[#This Row],[Week]])*tblMRP[Uncovered (units)]))/tblMRP[[#This Row],[Order multiple (units)]],1)))</f>
        <v>2000</v>
      </c>
      <c r="N63" s="35">
        <f>IF(tblMRP[[#This Row],[Item]]="","",IF(tblMRP[[#This Row],[Order multiple (units)]]="","",MAX(0,tblMRP[[#This Row],[Uncovered (units)]]-(tblMRP[[#This Row],[Cum. planned (units)]]-tblMRP[[#This Row],[Planned receipt (units)]]))))</f>
        <v>510</v>
      </c>
      <c r="O63" s="35">
        <f>IF(tblMRP[[#This Row],[Item]]="","",IF(tblMRP[[#This Row],[Order multiple (units)]]="","",tblMRP[[#This Row],[Safety stock (units)]]-tblMRP[[#This Row],[Uncovered (units)]]+tblMRP[[#This Row],[Cum. planned (units)]]))</f>
        <v>2990</v>
      </c>
      <c r="P63" s="36">
        <f>IF(tblMRP[[#This Row],[Item]]="","",IF(N(tblMRP[[#This Row],[Planned receipt (units)]])&gt;0,tblMRP[[#This Row],[Week]]-7*tblMRP[[#This Row],[Lead time (wk)]],""))</f>
        <v>46370</v>
      </c>
      <c r="Q63" s="35">
        <f>IF(tblMRP[[#This Row],[Item]]="","",SUMIFS(tblMRP[Planned receipt (units)],tblMRP[Item],tblMRP[[#This Row],[Item]],tblMRP[Week],tblMRP[[#This Row],[Week]]+7*N(tblMRP[[#This Row],[Lead time (wk)]])))</f>
        <v>0</v>
      </c>
      <c r="R63" s="37" t="str">
        <f>IF(tblMRP[[#This Row],[Item]]="","",IF(N(tblMRP[[#This Row],[Planned receipt (units)]])=0,"",IF(tblMRP[[#This Row],[Release week]]&lt;PlanStart,"Overdue",IF(tblMRP[[#This Row],[Release week]]&lt;PlanStart+7,"Due soon","OK"))))</f>
        <v>OK</v>
      </c>
      <c r="S6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3" s="28" t="s">
        <v>112</v>
      </c>
    </row>
    <row r="64" spans="2:20" x14ac:dyDescent="0.25">
      <c r="B64" s="28" t="s">
        <v>87</v>
      </c>
      <c r="C64" s="34">
        <v>46398</v>
      </c>
      <c r="D64" s="32">
        <v>2210</v>
      </c>
      <c r="E64" s="32">
        <v>0</v>
      </c>
      <c r="F64" s="35">
        <f>IF(tblMRP[[#This Row],[Item]]="","",(tblMRP[[#This Row],[Week]]-PlanStart)/7+1)</f>
        <v>11</v>
      </c>
      <c r="G64" s="35">
        <f>IF(tblMRP[[#This Row],[Item]]="","",IFERROR(INDEX(tblItems[On hand (units)],MATCH(tblMRP[[#This Row],[Item]],tblItems[Item],0)),""))</f>
        <v>6000</v>
      </c>
      <c r="H64" s="35">
        <f>IF(tblMRP[[#This Row],[Item]]="","",IFERROR(INDEX(tblItems[Safety stock (units)],MATCH(tblMRP[[#This Row],[Item]],tblItems[Item],0)),""))</f>
        <v>1500</v>
      </c>
      <c r="I64" s="35">
        <f>IF(tblMRP[[#This Row],[Item]]="","",IFERROR(INDEX(tblItems[Lead time (wk)],MATCH(tblMRP[[#This Row],[Item]],tblItems[Item],0)),""))</f>
        <v>3</v>
      </c>
      <c r="J64" s="35">
        <f>IF(tblMRP[[#This Row],[Item]]="","",IFERROR(INDEX(tblItems[Order multiple (units)],MATCH(tblMRP[[#This Row],[Item]],tblItems[Item],0)),""))</f>
        <v>2000</v>
      </c>
      <c r="K6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16720</v>
      </c>
      <c r="L64" s="35">
        <f>IF(tblMRP[[#This Row],[Item]]="","",IF(tblMRP[[#This Row],[Order multiple (units)]]="","",tblMRP[[#This Row],[Order multiple (units)]]*CEILING(SUMPRODUCT(MAX((tblMRP[Item]=tblMRP[[#This Row],[Item]])*(tblMRP[Week]&lt;=tblMRP[[#This Row],[Week]])*tblMRP[Uncovered (units)]))/tblMRP[[#This Row],[Order multiple (units)]],1)))</f>
        <v>18000</v>
      </c>
      <c r="M64" s="35">
        <f>IF(tblMRP[[#This Row],[Item]]="","",IF(tblMRP[[#This Row],[Order multiple (units)]]="","",tblMRP[[#This Row],[Cum. planned (units)]]-tblMRP[[#This Row],[Order multiple (units)]]*CEILING(SUMPRODUCT(MAX((tblMRP[Item]=tblMRP[[#This Row],[Item]])*(tblMRP[Week]&lt;tblMRP[[#This Row],[Week]])*tblMRP[Uncovered (units)]))/tblMRP[[#This Row],[Order multiple (units)]],1)))</f>
        <v>2000</v>
      </c>
      <c r="N64" s="35">
        <f>IF(tblMRP[[#This Row],[Item]]="","",IF(tblMRP[[#This Row],[Order multiple (units)]]="","",MAX(0,tblMRP[[#This Row],[Uncovered (units)]]-(tblMRP[[#This Row],[Cum. planned (units)]]-tblMRP[[#This Row],[Planned receipt (units)]]))))</f>
        <v>720</v>
      </c>
      <c r="O64" s="35">
        <f>IF(tblMRP[[#This Row],[Item]]="","",IF(tblMRP[[#This Row],[Order multiple (units)]]="","",tblMRP[[#This Row],[Safety stock (units)]]-tblMRP[[#This Row],[Uncovered (units)]]+tblMRP[[#This Row],[Cum. planned (units)]]))</f>
        <v>2780</v>
      </c>
      <c r="P64" s="36">
        <f>IF(tblMRP[[#This Row],[Item]]="","",IF(N(tblMRP[[#This Row],[Planned receipt (units)]])&gt;0,tblMRP[[#This Row],[Week]]-7*tblMRP[[#This Row],[Lead time (wk)]],""))</f>
        <v>46377</v>
      </c>
      <c r="Q64" s="35">
        <f>IF(tblMRP[[#This Row],[Item]]="","",SUMIFS(tblMRP[Planned receipt (units)],tblMRP[Item],tblMRP[[#This Row],[Item]],tblMRP[Week],tblMRP[[#This Row],[Week]]+7*N(tblMRP[[#This Row],[Lead time (wk)]])))</f>
        <v>0</v>
      </c>
      <c r="R64" s="37" t="str">
        <f>IF(tblMRP[[#This Row],[Item]]="","",IF(N(tblMRP[[#This Row],[Planned receipt (units)]])=0,"",IF(tblMRP[[#This Row],[Release week]]&lt;PlanStart,"Overdue",IF(tblMRP[[#This Row],[Release week]]&lt;PlanStart+7,"Due soon","OK"))))</f>
        <v>OK</v>
      </c>
      <c r="S6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4" s="28" t="s">
        <v>112</v>
      </c>
    </row>
    <row r="65" spans="2:20" x14ac:dyDescent="0.25">
      <c r="B65" s="28" t="s">
        <v>87</v>
      </c>
      <c r="C65" s="34">
        <v>46405</v>
      </c>
      <c r="D65" s="32">
        <v>2080</v>
      </c>
      <c r="E65" s="32">
        <v>0</v>
      </c>
      <c r="F65" s="35">
        <f>IF(tblMRP[[#This Row],[Item]]="","",(tblMRP[[#This Row],[Week]]-PlanStart)/7+1)</f>
        <v>12</v>
      </c>
      <c r="G65" s="35">
        <f>IF(tblMRP[[#This Row],[Item]]="","",IFERROR(INDEX(tblItems[On hand (units)],MATCH(tblMRP[[#This Row],[Item]],tblItems[Item],0)),""))</f>
        <v>6000</v>
      </c>
      <c r="H65" s="35">
        <f>IF(tblMRP[[#This Row],[Item]]="","",IFERROR(INDEX(tblItems[Safety stock (units)],MATCH(tblMRP[[#This Row],[Item]],tblItems[Item],0)),""))</f>
        <v>1500</v>
      </c>
      <c r="I65" s="35">
        <f>IF(tblMRP[[#This Row],[Item]]="","",IFERROR(INDEX(tblItems[Lead time (wk)],MATCH(tblMRP[[#This Row],[Item]],tblItems[Item],0)),""))</f>
        <v>3</v>
      </c>
      <c r="J65" s="35">
        <f>IF(tblMRP[[#This Row],[Item]]="","",IFERROR(INDEX(tblItems[Order multiple (units)],MATCH(tblMRP[[#This Row],[Item]],tblItems[Item],0)),""))</f>
        <v>2000</v>
      </c>
      <c r="K6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18800</v>
      </c>
      <c r="L65" s="35">
        <f>IF(tblMRP[[#This Row],[Item]]="","",IF(tblMRP[[#This Row],[Order multiple (units)]]="","",tblMRP[[#This Row],[Order multiple (units)]]*CEILING(SUMPRODUCT(MAX((tblMRP[Item]=tblMRP[[#This Row],[Item]])*(tblMRP[Week]&lt;=tblMRP[[#This Row],[Week]])*tblMRP[Uncovered (units)]))/tblMRP[[#This Row],[Order multiple (units)]],1)))</f>
        <v>20000</v>
      </c>
      <c r="M65" s="35">
        <f>IF(tblMRP[[#This Row],[Item]]="","",IF(tblMRP[[#This Row],[Order multiple (units)]]="","",tblMRP[[#This Row],[Cum. planned (units)]]-tblMRP[[#This Row],[Order multiple (units)]]*CEILING(SUMPRODUCT(MAX((tblMRP[Item]=tblMRP[[#This Row],[Item]])*(tblMRP[Week]&lt;tblMRP[[#This Row],[Week]])*tblMRP[Uncovered (units)]))/tblMRP[[#This Row],[Order multiple (units)]],1)))</f>
        <v>2000</v>
      </c>
      <c r="N65" s="35">
        <f>IF(tblMRP[[#This Row],[Item]]="","",IF(tblMRP[[#This Row],[Order multiple (units)]]="","",MAX(0,tblMRP[[#This Row],[Uncovered (units)]]-(tblMRP[[#This Row],[Cum. planned (units)]]-tblMRP[[#This Row],[Planned receipt (units)]]))))</f>
        <v>800</v>
      </c>
      <c r="O65" s="35">
        <f>IF(tblMRP[[#This Row],[Item]]="","",IF(tblMRP[[#This Row],[Order multiple (units)]]="","",tblMRP[[#This Row],[Safety stock (units)]]-tblMRP[[#This Row],[Uncovered (units)]]+tblMRP[[#This Row],[Cum. planned (units)]]))</f>
        <v>2700</v>
      </c>
      <c r="P65" s="36">
        <f>IF(tblMRP[[#This Row],[Item]]="","",IF(N(tblMRP[[#This Row],[Planned receipt (units)]])&gt;0,tblMRP[[#This Row],[Week]]-7*tblMRP[[#This Row],[Lead time (wk)]],""))</f>
        <v>46384</v>
      </c>
      <c r="Q65" s="35">
        <f>IF(tblMRP[[#This Row],[Item]]="","",SUMIFS(tblMRP[Planned receipt (units)],tblMRP[Item],tblMRP[[#This Row],[Item]],tblMRP[Week],tblMRP[[#This Row],[Week]]+7*N(tblMRP[[#This Row],[Lead time (wk)]])))</f>
        <v>0</v>
      </c>
      <c r="R65" s="37" t="str">
        <f>IF(tblMRP[[#This Row],[Item]]="","",IF(N(tblMRP[[#This Row],[Planned receipt (units)]])=0,"",IF(tblMRP[[#This Row],[Release week]]&lt;PlanStart,"Overdue",IF(tblMRP[[#This Row],[Release week]]&lt;PlanStart+7,"Due soon","OK"))))</f>
        <v>OK</v>
      </c>
      <c r="S6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5" s="28" t="s">
        <v>112</v>
      </c>
    </row>
    <row r="66" spans="2:20" x14ac:dyDescent="0.25">
      <c r="B66" s="28" t="s">
        <v>90</v>
      </c>
      <c r="C66" s="34">
        <v>46328</v>
      </c>
      <c r="D66" s="32">
        <v>300</v>
      </c>
      <c r="E66" s="32">
        <v>0</v>
      </c>
      <c r="F66" s="35">
        <f>IF(tblMRP[[#This Row],[Item]]="","",(tblMRP[[#This Row],[Week]]-PlanStart)/7+1)</f>
        <v>1</v>
      </c>
      <c r="G66" s="35">
        <f>IF(tblMRP[[#This Row],[Item]]="","",IFERROR(INDEX(tblItems[On hand (units)],MATCH(tblMRP[[#This Row],[Item]],tblItems[Item],0)),""))</f>
        <v>2600</v>
      </c>
      <c r="H66" s="35">
        <f>IF(tblMRP[[#This Row],[Item]]="","",IFERROR(INDEX(tblItems[Safety stock (units)],MATCH(tblMRP[[#This Row],[Item]],tblItems[Item],0)),""))</f>
        <v>500</v>
      </c>
      <c r="I66" s="35">
        <f>IF(tblMRP[[#This Row],[Item]]="","",IFERROR(INDEX(tblItems[Lead time (wk)],MATCH(tblMRP[[#This Row],[Item]],tblItems[Item],0)),""))</f>
        <v>2</v>
      </c>
      <c r="J66" s="35">
        <f>IF(tblMRP[[#This Row],[Item]]="","",IFERROR(INDEX(tblItems[Order multiple (units)],MATCH(tblMRP[[#This Row],[Item]],tblItems[Item],0)),""))</f>
        <v>1000</v>
      </c>
      <c r="K6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-1800</v>
      </c>
      <c r="L66" s="35">
        <f>IF(tblMRP[[#This Row],[Item]]="","",IF(tblMRP[[#This Row],[Order multiple (units)]]="","",tblMRP[[#This Row],[Order multiple (units)]]*CEILING(SUMPRODUCT(MAX((tblMRP[Item]=tblMRP[[#This Row],[Item]])*(tblMRP[Week]&lt;=tblMRP[[#This Row],[Week]])*tblMRP[Uncovered (units)]))/tblMRP[[#This Row],[Order multiple (units)]],1)))</f>
        <v>0</v>
      </c>
      <c r="M66" s="35">
        <f>IF(tblMRP[[#This Row],[Item]]="","",IF(tblMRP[[#This Row],[Order multiple (units)]]="","",tblMRP[[#This Row],[Cum. planned (units)]]-tblMRP[[#This Row],[Order multiple (units)]]*CEILING(SUMPRODUCT(MAX((tblMRP[Item]=tblMRP[[#This Row],[Item]])*(tblMRP[Week]&lt;tblMRP[[#This Row],[Week]])*tblMRP[Uncovered (units)]))/tblMRP[[#This Row],[Order multiple (units)]],1)))</f>
        <v>0</v>
      </c>
      <c r="N66" s="35">
        <f>IF(tblMRP[[#This Row],[Item]]="","",IF(tblMRP[[#This Row],[Order multiple (units)]]="","",MAX(0,tblMRP[[#This Row],[Uncovered (units)]]-(tblMRP[[#This Row],[Cum. planned (units)]]-tblMRP[[#This Row],[Planned receipt (units)]]))))</f>
        <v>0</v>
      </c>
      <c r="O66" s="35">
        <f>IF(tblMRP[[#This Row],[Item]]="","",IF(tblMRP[[#This Row],[Order multiple (units)]]="","",tblMRP[[#This Row],[Safety stock (units)]]-tblMRP[[#This Row],[Uncovered (units)]]+tblMRP[[#This Row],[Cum. planned (units)]]))</f>
        <v>2300</v>
      </c>
      <c r="P66" s="36">
        <f>IF(tblMRP[[#This Row],[Item]]="","",IF(N(tblMRP[[#This Row],[Planned receipt (units)]])&gt;0,tblMRP[[#This Row],[Week]]-7*tblMRP[[#This Row],[Lead time (wk)]],""))</f>
        <v/>
      </c>
      <c r="Q66" s="35">
        <f>IF(tblMRP[[#This Row],[Item]]="","",SUMIFS(tblMRP[Planned receipt (units)],tblMRP[Item],tblMRP[[#This Row],[Item]],tblMRP[Week],tblMRP[[#This Row],[Week]]+7*N(tblMRP[[#This Row],[Lead time (wk)]])))</f>
        <v>0</v>
      </c>
      <c r="R66" s="37">
        <f>IF(tblMRP[[#This Row],[Item]]="","",IF(N(tblMRP[[#This Row],[Planned receipt (units)]])=0,"",IF(tblMRP[[#This Row],[Release week]]&lt;PlanStart,"Overdue",IF(tblMRP[[#This Row],[Release week]]&lt;PlanStart+7,"Due soon","OK"))))</f>
        <v/>
      </c>
      <c r="S6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6" s="28" t="s">
        <v>112</v>
      </c>
    </row>
    <row r="67" spans="2:20" x14ac:dyDescent="0.25">
      <c r="B67" s="28" t="s">
        <v>90</v>
      </c>
      <c r="C67" s="34">
        <v>46335</v>
      </c>
      <c r="D67" s="32">
        <v>320</v>
      </c>
      <c r="E67" s="32">
        <v>0</v>
      </c>
      <c r="F67" s="35">
        <f>IF(tblMRP[[#This Row],[Item]]="","",(tblMRP[[#This Row],[Week]]-PlanStart)/7+1)</f>
        <v>2</v>
      </c>
      <c r="G67" s="35">
        <f>IF(tblMRP[[#This Row],[Item]]="","",IFERROR(INDEX(tblItems[On hand (units)],MATCH(tblMRP[[#This Row],[Item]],tblItems[Item],0)),""))</f>
        <v>2600</v>
      </c>
      <c r="H67" s="35">
        <f>IF(tblMRP[[#This Row],[Item]]="","",IFERROR(INDEX(tblItems[Safety stock (units)],MATCH(tblMRP[[#This Row],[Item]],tblItems[Item],0)),""))</f>
        <v>500</v>
      </c>
      <c r="I67" s="35">
        <f>IF(tblMRP[[#This Row],[Item]]="","",IFERROR(INDEX(tblItems[Lead time (wk)],MATCH(tblMRP[[#This Row],[Item]],tblItems[Item],0)),""))</f>
        <v>2</v>
      </c>
      <c r="J67" s="35">
        <f>IF(tblMRP[[#This Row],[Item]]="","",IFERROR(INDEX(tblItems[Order multiple (units)],MATCH(tblMRP[[#This Row],[Item]],tblItems[Item],0)),""))</f>
        <v>1000</v>
      </c>
      <c r="K6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-1480</v>
      </c>
      <c r="L67" s="35">
        <f>IF(tblMRP[[#This Row],[Item]]="","",IF(tblMRP[[#This Row],[Order multiple (units)]]="","",tblMRP[[#This Row],[Order multiple (units)]]*CEILING(SUMPRODUCT(MAX((tblMRP[Item]=tblMRP[[#This Row],[Item]])*(tblMRP[Week]&lt;=tblMRP[[#This Row],[Week]])*tblMRP[Uncovered (units)]))/tblMRP[[#This Row],[Order multiple (units)]],1)))</f>
        <v>0</v>
      </c>
      <c r="M67" s="35">
        <f>IF(tblMRP[[#This Row],[Item]]="","",IF(tblMRP[[#This Row],[Order multiple (units)]]="","",tblMRP[[#This Row],[Cum. planned (units)]]-tblMRP[[#This Row],[Order multiple (units)]]*CEILING(SUMPRODUCT(MAX((tblMRP[Item]=tblMRP[[#This Row],[Item]])*(tblMRP[Week]&lt;tblMRP[[#This Row],[Week]])*tblMRP[Uncovered (units)]))/tblMRP[[#This Row],[Order multiple (units)]],1)))</f>
        <v>0</v>
      </c>
      <c r="N67" s="35">
        <f>IF(tblMRP[[#This Row],[Item]]="","",IF(tblMRP[[#This Row],[Order multiple (units)]]="","",MAX(0,tblMRP[[#This Row],[Uncovered (units)]]-(tblMRP[[#This Row],[Cum. planned (units)]]-tblMRP[[#This Row],[Planned receipt (units)]]))))</f>
        <v>0</v>
      </c>
      <c r="O67" s="35">
        <f>IF(tblMRP[[#This Row],[Item]]="","",IF(tblMRP[[#This Row],[Order multiple (units)]]="","",tblMRP[[#This Row],[Safety stock (units)]]-tblMRP[[#This Row],[Uncovered (units)]]+tblMRP[[#This Row],[Cum. planned (units)]]))</f>
        <v>1980</v>
      </c>
      <c r="P67" s="36">
        <f>IF(tblMRP[[#This Row],[Item]]="","",IF(N(tblMRP[[#This Row],[Planned receipt (units)]])&gt;0,tblMRP[[#This Row],[Week]]-7*tblMRP[[#This Row],[Lead time (wk)]],""))</f>
        <v/>
      </c>
      <c r="Q67" s="35">
        <f>IF(tblMRP[[#This Row],[Item]]="","",SUMIFS(tblMRP[Planned receipt (units)],tblMRP[Item],tblMRP[[#This Row],[Item]],tblMRP[Week],tblMRP[[#This Row],[Week]]+7*N(tblMRP[[#This Row],[Lead time (wk)]])))</f>
        <v>0</v>
      </c>
      <c r="R67" s="37">
        <f>IF(tblMRP[[#This Row],[Item]]="","",IF(N(tblMRP[[#This Row],[Planned receipt (units)]])=0,"",IF(tblMRP[[#This Row],[Release week]]&lt;PlanStart,"Overdue",IF(tblMRP[[#This Row],[Release week]]&lt;PlanStart+7,"Due soon","OK"))))</f>
        <v/>
      </c>
      <c r="S6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7" s="28" t="s">
        <v>112</v>
      </c>
    </row>
    <row r="68" spans="2:20" x14ac:dyDescent="0.25">
      <c r="B68" s="28" t="s">
        <v>90</v>
      </c>
      <c r="C68" s="34">
        <v>46342</v>
      </c>
      <c r="D68" s="32">
        <v>300</v>
      </c>
      <c r="E68" s="32">
        <v>0</v>
      </c>
      <c r="F68" s="35">
        <f>IF(tblMRP[[#This Row],[Item]]="","",(tblMRP[[#This Row],[Week]]-PlanStart)/7+1)</f>
        <v>3</v>
      </c>
      <c r="G68" s="35">
        <f>IF(tblMRP[[#This Row],[Item]]="","",IFERROR(INDEX(tblItems[On hand (units)],MATCH(tblMRP[[#This Row],[Item]],tblItems[Item],0)),""))</f>
        <v>2600</v>
      </c>
      <c r="H68" s="35">
        <f>IF(tblMRP[[#This Row],[Item]]="","",IFERROR(INDEX(tblItems[Safety stock (units)],MATCH(tblMRP[[#This Row],[Item]],tblItems[Item],0)),""))</f>
        <v>500</v>
      </c>
      <c r="I68" s="35">
        <f>IF(tblMRP[[#This Row],[Item]]="","",IFERROR(INDEX(tblItems[Lead time (wk)],MATCH(tblMRP[[#This Row],[Item]],tblItems[Item],0)),""))</f>
        <v>2</v>
      </c>
      <c r="J68" s="35">
        <f>IF(tblMRP[[#This Row],[Item]]="","",IFERROR(INDEX(tblItems[Order multiple (units)],MATCH(tblMRP[[#This Row],[Item]],tblItems[Item],0)),""))</f>
        <v>1000</v>
      </c>
      <c r="K6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-1180</v>
      </c>
      <c r="L68" s="35">
        <f>IF(tblMRP[[#This Row],[Item]]="","",IF(tblMRP[[#This Row],[Order multiple (units)]]="","",tblMRP[[#This Row],[Order multiple (units)]]*CEILING(SUMPRODUCT(MAX((tblMRP[Item]=tblMRP[[#This Row],[Item]])*(tblMRP[Week]&lt;=tblMRP[[#This Row],[Week]])*tblMRP[Uncovered (units)]))/tblMRP[[#This Row],[Order multiple (units)]],1)))</f>
        <v>0</v>
      </c>
      <c r="M68" s="35">
        <f>IF(tblMRP[[#This Row],[Item]]="","",IF(tblMRP[[#This Row],[Order multiple (units)]]="","",tblMRP[[#This Row],[Cum. planned (units)]]-tblMRP[[#This Row],[Order multiple (units)]]*CEILING(SUMPRODUCT(MAX((tblMRP[Item]=tblMRP[[#This Row],[Item]])*(tblMRP[Week]&lt;tblMRP[[#This Row],[Week]])*tblMRP[Uncovered (units)]))/tblMRP[[#This Row],[Order multiple (units)]],1)))</f>
        <v>0</v>
      </c>
      <c r="N68" s="35">
        <f>IF(tblMRP[[#This Row],[Item]]="","",IF(tblMRP[[#This Row],[Order multiple (units)]]="","",MAX(0,tblMRP[[#This Row],[Uncovered (units)]]-(tblMRP[[#This Row],[Cum. planned (units)]]-tblMRP[[#This Row],[Planned receipt (units)]]))))</f>
        <v>0</v>
      </c>
      <c r="O68" s="35">
        <f>IF(tblMRP[[#This Row],[Item]]="","",IF(tblMRP[[#This Row],[Order multiple (units)]]="","",tblMRP[[#This Row],[Safety stock (units)]]-tblMRP[[#This Row],[Uncovered (units)]]+tblMRP[[#This Row],[Cum. planned (units)]]))</f>
        <v>1680</v>
      </c>
      <c r="P68" s="36">
        <f>IF(tblMRP[[#This Row],[Item]]="","",IF(N(tblMRP[[#This Row],[Planned receipt (units)]])&gt;0,tblMRP[[#This Row],[Week]]-7*tblMRP[[#This Row],[Lead time (wk)]],""))</f>
        <v/>
      </c>
      <c r="Q68" s="35">
        <f>IF(tblMRP[[#This Row],[Item]]="","",SUMIFS(tblMRP[Planned receipt (units)],tblMRP[Item],tblMRP[[#This Row],[Item]],tblMRP[Week],tblMRP[[#This Row],[Week]]+7*N(tblMRP[[#This Row],[Lead time (wk)]])))</f>
        <v>0</v>
      </c>
      <c r="R68" s="37">
        <f>IF(tblMRP[[#This Row],[Item]]="","",IF(N(tblMRP[[#This Row],[Planned receipt (units)]])=0,"",IF(tblMRP[[#This Row],[Release week]]&lt;PlanStart,"Overdue",IF(tblMRP[[#This Row],[Release week]]&lt;PlanStart+7,"Due soon","OK"))))</f>
        <v/>
      </c>
      <c r="S6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8" s="28" t="s">
        <v>112</v>
      </c>
    </row>
    <row r="69" spans="2:20" x14ac:dyDescent="0.25">
      <c r="B69" s="28" t="s">
        <v>90</v>
      </c>
      <c r="C69" s="34">
        <v>46349</v>
      </c>
      <c r="D69" s="32">
        <v>340</v>
      </c>
      <c r="E69" s="32">
        <v>0</v>
      </c>
      <c r="F69" s="35">
        <f>IF(tblMRP[[#This Row],[Item]]="","",(tblMRP[[#This Row],[Week]]-PlanStart)/7+1)</f>
        <v>4</v>
      </c>
      <c r="G69" s="35">
        <f>IF(tblMRP[[#This Row],[Item]]="","",IFERROR(INDEX(tblItems[On hand (units)],MATCH(tblMRP[[#This Row],[Item]],tblItems[Item],0)),""))</f>
        <v>2600</v>
      </c>
      <c r="H69" s="35">
        <f>IF(tblMRP[[#This Row],[Item]]="","",IFERROR(INDEX(tblItems[Safety stock (units)],MATCH(tblMRP[[#This Row],[Item]],tblItems[Item],0)),""))</f>
        <v>500</v>
      </c>
      <c r="I69" s="35">
        <f>IF(tblMRP[[#This Row],[Item]]="","",IFERROR(INDEX(tblItems[Lead time (wk)],MATCH(tblMRP[[#This Row],[Item]],tblItems[Item],0)),""))</f>
        <v>2</v>
      </c>
      <c r="J69" s="35">
        <f>IF(tblMRP[[#This Row],[Item]]="","",IFERROR(INDEX(tblItems[Order multiple (units)],MATCH(tblMRP[[#This Row],[Item]],tblItems[Item],0)),""))</f>
        <v>1000</v>
      </c>
      <c r="K6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-840</v>
      </c>
      <c r="L69" s="35">
        <f>IF(tblMRP[[#This Row],[Item]]="","",IF(tblMRP[[#This Row],[Order multiple (units)]]="","",tblMRP[[#This Row],[Order multiple (units)]]*CEILING(SUMPRODUCT(MAX((tblMRP[Item]=tblMRP[[#This Row],[Item]])*(tblMRP[Week]&lt;=tblMRP[[#This Row],[Week]])*tblMRP[Uncovered (units)]))/tblMRP[[#This Row],[Order multiple (units)]],1)))</f>
        <v>0</v>
      </c>
      <c r="M69" s="35">
        <f>IF(tblMRP[[#This Row],[Item]]="","",IF(tblMRP[[#This Row],[Order multiple (units)]]="","",tblMRP[[#This Row],[Cum. planned (units)]]-tblMRP[[#This Row],[Order multiple (units)]]*CEILING(SUMPRODUCT(MAX((tblMRP[Item]=tblMRP[[#This Row],[Item]])*(tblMRP[Week]&lt;tblMRP[[#This Row],[Week]])*tblMRP[Uncovered (units)]))/tblMRP[[#This Row],[Order multiple (units)]],1)))</f>
        <v>0</v>
      </c>
      <c r="N69" s="35">
        <f>IF(tblMRP[[#This Row],[Item]]="","",IF(tblMRP[[#This Row],[Order multiple (units)]]="","",MAX(0,tblMRP[[#This Row],[Uncovered (units)]]-(tblMRP[[#This Row],[Cum. planned (units)]]-tblMRP[[#This Row],[Planned receipt (units)]]))))</f>
        <v>0</v>
      </c>
      <c r="O69" s="35">
        <f>IF(tblMRP[[#This Row],[Item]]="","",IF(tblMRP[[#This Row],[Order multiple (units)]]="","",tblMRP[[#This Row],[Safety stock (units)]]-tblMRP[[#This Row],[Uncovered (units)]]+tblMRP[[#This Row],[Cum. planned (units)]]))</f>
        <v>1340</v>
      </c>
      <c r="P69" s="36">
        <f>IF(tblMRP[[#This Row],[Item]]="","",IF(N(tblMRP[[#This Row],[Planned receipt (units)]])&gt;0,tblMRP[[#This Row],[Week]]-7*tblMRP[[#This Row],[Lead time (wk)]],""))</f>
        <v/>
      </c>
      <c r="Q69" s="35">
        <f>IF(tblMRP[[#This Row],[Item]]="","",SUMIFS(tblMRP[Planned receipt (units)],tblMRP[Item],tblMRP[[#This Row],[Item]],tblMRP[Week],tblMRP[[#This Row],[Week]]+7*N(tblMRP[[#This Row],[Lead time (wk)]])))</f>
        <v>0</v>
      </c>
      <c r="R69" s="37">
        <f>IF(tblMRP[[#This Row],[Item]]="","",IF(N(tblMRP[[#This Row],[Planned receipt (units)]])=0,"",IF(tblMRP[[#This Row],[Release week]]&lt;PlanStart,"Overdue",IF(tblMRP[[#This Row],[Release week]]&lt;PlanStart+7,"Due soon","OK"))))</f>
        <v/>
      </c>
      <c r="S6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69" s="28" t="s">
        <v>112</v>
      </c>
    </row>
    <row r="70" spans="2:20" x14ac:dyDescent="0.25">
      <c r="B70" s="28" t="s">
        <v>90</v>
      </c>
      <c r="C70" s="34">
        <v>46356</v>
      </c>
      <c r="D70" s="32">
        <v>360</v>
      </c>
      <c r="E70" s="32">
        <v>0</v>
      </c>
      <c r="F70" s="35">
        <f>IF(tblMRP[[#This Row],[Item]]="","",(tblMRP[[#This Row],[Week]]-PlanStart)/7+1)</f>
        <v>5</v>
      </c>
      <c r="G70" s="35">
        <f>IF(tblMRP[[#This Row],[Item]]="","",IFERROR(INDEX(tblItems[On hand (units)],MATCH(tblMRP[[#This Row],[Item]],tblItems[Item],0)),""))</f>
        <v>2600</v>
      </c>
      <c r="H70" s="35">
        <f>IF(tblMRP[[#This Row],[Item]]="","",IFERROR(INDEX(tblItems[Safety stock (units)],MATCH(tblMRP[[#This Row],[Item]],tblItems[Item],0)),""))</f>
        <v>500</v>
      </c>
      <c r="I70" s="35">
        <f>IF(tblMRP[[#This Row],[Item]]="","",IFERROR(INDEX(tblItems[Lead time (wk)],MATCH(tblMRP[[#This Row],[Item]],tblItems[Item],0)),""))</f>
        <v>2</v>
      </c>
      <c r="J70" s="35">
        <f>IF(tblMRP[[#This Row],[Item]]="","",IFERROR(INDEX(tblItems[Order multiple (units)],MATCH(tblMRP[[#This Row],[Item]],tblItems[Item],0)),""))</f>
        <v>1000</v>
      </c>
      <c r="K7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-480</v>
      </c>
      <c r="L70" s="35">
        <f>IF(tblMRP[[#This Row],[Item]]="","",IF(tblMRP[[#This Row],[Order multiple (units)]]="","",tblMRP[[#This Row],[Order multiple (units)]]*CEILING(SUMPRODUCT(MAX((tblMRP[Item]=tblMRP[[#This Row],[Item]])*(tblMRP[Week]&lt;=tblMRP[[#This Row],[Week]])*tblMRP[Uncovered (units)]))/tblMRP[[#This Row],[Order multiple (units)]],1)))</f>
        <v>0</v>
      </c>
      <c r="M70" s="35">
        <f>IF(tblMRP[[#This Row],[Item]]="","",IF(tblMRP[[#This Row],[Order multiple (units)]]="","",tblMRP[[#This Row],[Cum. planned (units)]]-tblMRP[[#This Row],[Order multiple (units)]]*CEILING(SUMPRODUCT(MAX((tblMRP[Item]=tblMRP[[#This Row],[Item]])*(tblMRP[Week]&lt;tblMRP[[#This Row],[Week]])*tblMRP[Uncovered (units)]))/tblMRP[[#This Row],[Order multiple (units)]],1)))</f>
        <v>0</v>
      </c>
      <c r="N70" s="35">
        <f>IF(tblMRP[[#This Row],[Item]]="","",IF(tblMRP[[#This Row],[Order multiple (units)]]="","",MAX(0,tblMRP[[#This Row],[Uncovered (units)]]-(tblMRP[[#This Row],[Cum. planned (units)]]-tblMRP[[#This Row],[Planned receipt (units)]]))))</f>
        <v>0</v>
      </c>
      <c r="O70" s="35">
        <f>IF(tblMRP[[#This Row],[Item]]="","",IF(tblMRP[[#This Row],[Order multiple (units)]]="","",tblMRP[[#This Row],[Safety stock (units)]]-tblMRP[[#This Row],[Uncovered (units)]]+tblMRP[[#This Row],[Cum. planned (units)]]))</f>
        <v>980</v>
      </c>
      <c r="P70" s="36">
        <f>IF(tblMRP[[#This Row],[Item]]="","",IF(N(tblMRP[[#This Row],[Planned receipt (units)]])&gt;0,tblMRP[[#This Row],[Week]]-7*tblMRP[[#This Row],[Lead time (wk)]],""))</f>
        <v/>
      </c>
      <c r="Q70" s="35">
        <f>IF(tblMRP[[#This Row],[Item]]="","",SUMIFS(tblMRP[Planned receipt (units)],tblMRP[Item],tblMRP[[#This Row],[Item]],tblMRP[Week],tblMRP[[#This Row],[Week]]+7*N(tblMRP[[#This Row],[Lead time (wk)]])))</f>
        <v>1000</v>
      </c>
      <c r="R70" s="37">
        <f>IF(tblMRP[[#This Row],[Item]]="","",IF(N(tblMRP[[#This Row],[Planned receipt (units)]])=0,"",IF(tblMRP[[#This Row],[Release week]]&lt;PlanStart,"Overdue",IF(tblMRP[[#This Row],[Release week]]&lt;PlanStart+7,"Due soon","OK"))))</f>
        <v/>
      </c>
      <c r="S7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0" s="28" t="s">
        <v>112</v>
      </c>
    </row>
    <row r="71" spans="2:20" x14ac:dyDescent="0.25">
      <c r="B71" s="28" t="s">
        <v>90</v>
      </c>
      <c r="C71" s="34">
        <v>46363</v>
      </c>
      <c r="D71" s="32">
        <v>380</v>
      </c>
      <c r="E71" s="32">
        <v>0</v>
      </c>
      <c r="F71" s="35">
        <f>IF(tblMRP[[#This Row],[Item]]="","",(tblMRP[[#This Row],[Week]]-PlanStart)/7+1)</f>
        <v>6</v>
      </c>
      <c r="G71" s="35">
        <f>IF(tblMRP[[#This Row],[Item]]="","",IFERROR(INDEX(tblItems[On hand (units)],MATCH(tblMRP[[#This Row],[Item]],tblItems[Item],0)),""))</f>
        <v>2600</v>
      </c>
      <c r="H71" s="35">
        <f>IF(tblMRP[[#This Row],[Item]]="","",IFERROR(INDEX(tblItems[Safety stock (units)],MATCH(tblMRP[[#This Row],[Item]],tblItems[Item],0)),""))</f>
        <v>500</v>
      </c>
      <c r="I71" s="35">
        <f>IF(tblMRP[[#This Row],[Item]]="","",IFERROR(INDEX(tblItems[Lead time (wk)],MATCH(tblMRP[[#This Row],[Item]],tblItems[Item],0)),""))</f>
        <v>2</v>
      </c>
      <c r="J71" s="35">
        <f>IF(tblMRP[[#This Row],[Item]]="","",IFERROR(INDEX(tblItems[Order multiple (units)],MATCH(tblMRP[[#This Row],[Item]],tblItems[Item],0)),""))</f>
        <v>1000</v>
      </c>
      <c r="K7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-100</v>
      </c>
      <c r="L71" s="35">
        <f>IF(tblMRP[[#This Row],[Item]]="","",IF(tblMRP[[#This Row],[Order multiple (units)]]="","",tblMRP[[#This Row],[Order multiple (units)]]*CEILING(SUMPRODUCT(MAX((tblMRP[Item]=tblMRP[[#This Row],[Item]])*(tblMRP[Week]&lt;=tblMRP[[#This Row],[Week]])*tblMRP[Uncovered (units)]))/tblMRP[[#This Row],[Order multiple (units)]],1)))</f>
        <v>0</v>
      </c>
      <c r="M71" s="35">
        <f>IF(tblMRP[[#This Row],[Item]]="","",IF(tblMRP[[#This Row],[Order multiple (units)]]="","",tblMRP[[#This Row],[Cum. planned (units)]]-tblMRP[[#This Row],[Order multiple (units)]]*CEILING(SUMPRODUCT(MAX((tblMRP[Item]=tblMRP[[#This Row],[Item]])*(tblMRP[Week]&lt;tblMRP[[#This Row],[Week]])*tblMRP[Uncovered (units)]))/tblMRP[[#This Row],[Order multiple (units)]],1)))</f>
        <v>0</v>
      </c>
      <c r="N71" s="35">
        <f>IF(tblMRP[[#This Row],[Item]]="","",IF(tblMRP[[#This Row],[Order multiple (units)]]="","",MAX(0,tblMRP[[#This Row],[Uncovered (units)]]-(tblMRP[[#This Row],[Cum. planned (units)]]-tblMRP[[#This Row],[Planned receipt (units)]]))))</f>
        <v>0</v>
      </c>
      <c r="O71" s="35">
        <f>IF(tblMRP[[#This Row],[Item]]="","",IF(tblMRP[[#This Row],[Order multiple (units)]]="","",tblMRP[[#This Row],[Safety stock (units)]]-tblMRP[[#This Row],[Uncovered (units)]]+tblMRP[[#This Row],[Cum. planned (units)]]))</f>
        <v>600</v>
      </c>
      <c r="P71" s="36">
        <f>IF(tblMRP[[#This Row],[Item]]="","",IF(N(tblMRP[[#This Row],[Planned receipt (units)]])&gt;0,tblMRP[[#This Row],[Week]]-7*tblMRP[[#This Row],[Lead time (wk)]],""))</f>
        <v/>
      </c>
      <c r="Q71" s="35">
        <f>IF(tblMRP[[#This Row],[Item]]="","",SUMIFS(tblMRP[Planned receipt (units)],tblMRP[Item],tblMRP[[#This Row],[Item]],tblMRP[Week],tblMRP[[#This Row],[Week]]+7*N(tblMRP[[#This Row],[Lead time (wk)]])))</f>
        <v>0</v>
      </c>
      <c r="R71" s="37">
        <f>IF(tblMRP[[#This Row],[Item]]="","",IF(N(tblMRP[[#This Row],[Planned receipt (units)]])=0,"",IF(tblMRP[[#This Row],[Release week]]&lt;PlanStart,"Overdue",IF(tblMRP[[#This Row],[Release week]]&lt;PlanStart+7,"Due soon","OK"))))</f>
        <v/>
      </c>
      <c r="S7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1" s="28" t="s">
        <v>112</v>
      </c>
    </row>
    <row r="72" spans="2:20" x14ac:dyDescent="0.25">
      <c r="B72" s="28" t="s">
        <v>90</v>
      </c>
      <c r="C72" s="34">
        <v>46370</v>
      </c>
      <c r="D72" s="32">
        <v>400</v>
      </c>
      <c r="E72" s="32">
        <v>0</v>
      </c>
      <c r="F72" s="35">
        <f>IF(tblMRP[[#This Row],[Item]]="","",(tblMRP[[#This Row],[Week]]-PlanStart)/7+1)</f>
        <v>7</v>
      </c>
      <c r="G72" s="35">
        <f>IF(tblMRP[[#This Row],[Item]]="","",IFERROR(INDEX(tblItems[On hand (units)],MATCH(tblMRP[[#This Row],[Item]],tblItems[Item],0)),""))</f>
        <v>2600</v>
      </c>
      <c r="H72" s="35">
        <f>IF(tblMRP[[#This Row],[Item]]="","",IFERROR(INDEX(tblItems[Safety stock (units)],MATCH(tblMRP[[#This Row],[Item]],tblItems[Item],0)),""))</f>
        <v>500</v>
      </c>
      <c r="I72" s="35">
        <f>IF(tblMRP[[#This Row],[Item]]="","",IFERROR(INDEX(tblItems[Lead time (wk)],MATCH(tblMRP[[#This Row],[Item]],tblItems[Item],0)),""))</f>
        <v>2</v>
      </c>
      <c r="J72" s="35">
        <f>IF(tblMRP[[#This Row],[Item]]="","",IFERROR(INDEX(tblItems[Order multiple (units)],MATCH(tblMRP[[#This Row],[Item]],tblItems[Item],0)),""))</f>
        <v>1000</v>
      </c>
      <c r="K7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300</v>
      </c>
      <c r="L72" s="35">
        <f>IF(tblMRP[[#This Row],[Item]]="","",IF(tblMRP[[#This Row],[Order multiple (units)]]="","",tblMRP[[#This Row],[Order multiple (units)]]*CEILING(SUMPRODUCT(MAX((tblMRP[Item]=tblMRP[[#This Row],[Item]])*(tblMRP[Week]&lt;=tblMRP[[#This Row],[Week]])*tblMRP[Uncovered (units)]))/tblMRP[[#This Row],[Order multiple (units)]],1)))</f>
        <v>1000</v>
      </c>
      <c r="M72" s="35">
        <f>IF(tblMRP[[#This Row],[Item]]="","",IF(tblMRP[[#This Row],[Order multiple (units)]]="","",tblMRP[[#This Row],[Cum. planned (units)]]-tblMRP[[#This Row],[Order multiple (units)]]*CEILING(SUMPRODUCT(MAX((tblMRP[Item]=tblMRP[[#This Row],[Item]])*(tblMRP[Week]&lt;tblMRP[[#This Row],[Week]])*tblMRP[Uncovered (units)]))/tblMRP[[#This Row],[Order multiple (units)]],1)))</f>
        <v>1000</v>
      </c>
      <c r="N72" s="35">
        <f>IF(tblMRP[[#This Row],[Item]]="","",IF(tblMRP[[#This Row],[Order multiple (units)]]="","",MAX(0,tblMRP[[#This Row],[Uncovered (units)]]-(tblMRP[[#This Row],[Cum. planned (units)]]-tblMRP[[#This Row],[Planned receipt (units)]]))))</f>
        <v>300</v>
      </c>
      <c r="O72" s="35">
        <f>IF(tblMRP[[#This Row],[Item]]="","",IF(tblMRP[[#This Row],[Order multiple (units)]]="","",tblMRP[[#This Row],[Safety stock (units)]]-tblMRP[[#This Row],[Uncovered (units)]]+tblMRP[[#This Row],[Cum. planned (units)]]))</f>
        <v>1200</v>
      </c>
      <c r="P72" s="36">
        <f>IF(tblMRP[[#This Row],[Item]]="","",IF(N(tblMRP[[#This Row],[Planned receipt (units)]])&gt;0,tblMRP[[#This Row],[Week]]-7*tblMRP[[#This Row],[Lead time (wk)]],""))</f>
        <v>46356</v>
      </c>
      <c r="Q72" s="35">
        <f>IF(tblMRP[[#This Row],[Item]]="","",SUMIFS(tblMRP[Planned receipt (units)],tblMRP[Item],tblMRP[[#This Row],[Item]],tblMRP[Week],tblMRP[[#This Row],[Week]]+7*N(tblMRP[[#This Row],[Lead time (wk)]])))</f>
        <v>1000</v>
      </c>
      <c r="R72" s="37" t="str">
        <f>IF(tblMRP[[#This Row],[Item]]="","",IF(N(tblMRP[[#This Row],[Planned receipt (units)]])=0,"",IF(tblMRP[[#This Row],[Release week]]&lt;PlanStart,"Overdue",IF(tblMRP[[#This Row],[Release week]]&lt;PlanStart+7,"Due soon","OK"))))</f>
        <v>OK</v>
      </c>
      <c r="S7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2" s="28" t="s">
        <v>112</v>
      </c>
    </row>
    <row r="73" spans="2:20" x14ac:dyDescent="0.25">
      <c r="B73" s="28" t="s">
        <v>90</v>
      </c>
      <c r="C73" s="34">
        <v>46377</v>
      </c>
      <c r="D73" s="32">
        <v>400</v>
      </c>
      <c r="E73" s="32">
        <v>0</v>
      </c>
      <c r="F73" s="35">
        <f>IF(tblMRP[[#This Row],[Item]]="","",(tblMRP[[#This Row],[Week]]-PlanStart)/7+1)</f>
        <v>8</v>
      </c>
      <c r="G73" s="35">
        <f>IF(tblMRP[[#This Row],[Item]]="","",IFERROR(INDEX(tblItems[On hand (units)],MATCH(tblMRP[[#This Row],[Item]],tblItems[Item],0)),""))</f>
        <v>2600</v>
      </c>
      <c r="H73" s="35">
        <f>IF(tblMRP[[#This Row],[Item]]="","",IFERROR(INDEX(tblItems[Safety stock (units)],MATCH(tblMRP[[#This Row],[Item]],tblItems[Item],0)),""))</f>
        <v>500</v>
      </c>
      <c r="I73" s="35">
        <f>IF(tblMRP[[#This Row],[Item]]="","",IFERROR(INDEX(tblItems[Lead time (wk)],MATCH(tblMRP[[#This Row],[Item]],tblItems[Item],0)),""))</f>
        <v>2</v>
      </c>
      <c r="J73" s="35">
        <f>IF(tblMRP[[#This Row],[Item]]="","",IFERROR(INDEX(tblItems[Order multiple (units)],MATCH(tblMRP[[#This Row],[Item]],tblItems[Item],0)),""))</f>
        <v>1000</v>
      </c>
      <c r="K7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700</v>
      </c>
      <c r="L73" s="35">
        <f>IF(tblMRP[[#This Row],[Item]]="","",IF(tblMRP[[#This Row],[Order multiple (units)]]="","",tblMRP[[#This Row],[Order multiple (units)]]*CEILING(SUMPRODUCT(MAX((tblMRP[Item]=tblMRP[[#This Row],[Item]])*(tblMRP[Week]&lt;=tblMRP[[#This Row],[Week]])*tblMRP[Uncovered (units)]))/tblMRP[[#This Row],[Order multiple (units)]],1)))</f>
        <v>1000</v>
      </c>
      <c r="M73" s="35">
        <f>IF(tblMRP[[#This Row],[Item]]="","",IF(tblMRP[[#This Row],[Order multiple (units)]]="","",tblMRP[[#This Row],[Cum. planned (units)]]-tblMRP[[#This Row],[Order multiple (units)]]*CEILING(SUMPRODUCT(MAX((tblMRP[Item]=tblMRP[[#This Row],[Item]])*(tblMRP[Week]&lt;tblMRP[[#This Row],[Week]])*tblMRP[Uncovered (units)]))/tblMRP[[#This Row],[Order multiple (units)]],1)))</f>
        <v>0</v>
      </c>
      <c r="N73" s="35">
        <f>IF(tblMRP[[#This Row],[Item]]="","",IF(tblMRP[[#This Row],[Order multiple (units)]]="","",MAX(0,tblMRP[[#This Row],[Uncovered (units)]]-(tblMRP[[#This Row],[Cum. planned (units)]]-tblMRP[[#This Row],[Planned receipt (units)]]))))</f>
        <v>0</v>
      </c>
      <c r="O73" s="35">
        <f>IF(tblMRP[[#This Row],[Item]]="","",IF(tblMRP[[#This Row],[Order multiple (units)]]="","",tblMRP[[#This Row],[Safety stock (units)]]-tblMRP[[#This Row],[Uncovered (units)]]+tblMRP[[#This Row],[Cum. planned (units)]]))</f>
        <v>800</v>
      </c>
      <c r="P73" s="36">
        <f>IF(tblMRP[[#This Row],[Item]]="","",IF(N(tblMRP[[#This Row],[Planned receipt (units)]])&gt;0,tblMRP[[#This Row],[Week]]-7*tblMRP[[#This Row],[Lead time (wk)]],""))</f>
        <v/>
      </c>
      <c r="Q73" s="35">
        <f>IF(tblMRP[[#This Row],[Item]]="","",SUMIFS(tblMRP[Planned receipt (units)],tblMRP[Item],tblMRP[[#This Row],[Item]],tblMRP[Week],tblMRP[[#This Row],[Week]]+7*N(tblMRP[[#This Row],[Lead time (wk)]])))</f>
        <v>0</v>
      </c>
      <c r="R73" s="37">
        <f>IF(tblMRP[[#This Row],[Item]]="","",IF(N(tblMRP[[#This Row],[Planned receipt (units)]])=0,"",IF(tblMRP[[#This Row],[Release week]]&lt;PlanStart,"Overdue",IF(tblMRP[[#This Row],[Release week]]&lt;PlanStart+7,"Due soon","OK"))))</f>
        <v/>
      </c>
      <c r="S7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3" s="28" t="s">
        <v>112</v>
      </c>
    </row>
    <row r="74" spans="2:20" x14ac:dyDescent="0.25">
      <c r="B74" s="28" t="s">
        <v>90</v>
      </c>
      <c r="C74" s="34">
        <v>46384</v>
      </c>
      <c r="D74" s="32">
        <v>380</v>
      </c>
      <c r="E74" s="32">
        <v>0</v>
      </c>
      <c r="F74" s="35">
        <f>IF(tblMRP[[#This Row],[Item]]="","",(tblMRP[[#This Row],[Week]]-PlanStart)/7+1)</f>
        <v>9</v>
      </c>
      <c r="G74" s="35">
        <f>IF(tblMRP[[#This Row],[Item]]="","",IFERROR(INDEX(tblItems[On hand (units)],MATCH(tblMRP[[#This Row],[Item]],tblItems[Item],0)),""))</f>
        <v>2600</v>
      </c>
      <c r="H74" s="35">
        <f>IF(tblMRP[[#This Row],[Item]]="","",IFERROR(INDEX(tblItems[Safety stock (units)],MATCH(tblMRP[[#This Row],[Item]],tblItems[Item],0)),""))</f>
        <v>500</v>
      </c>
      <c r="I74" s="35">
        <f>IF(tblMRP[[#This Row],[Item]]="","",IFERROR(INDEX(tblItems[Lead time (wk)],MATCH(tblMRP[[#This Row],[Item]],tblItems[Item],0)),""))</f>
        <v>2</v>
      </c>
      <c r="J74" s="35">
        <f>IF(tblMRP[[#This Row],[Item]]="","",IFERROR(INDEX(tblItems[Order multiple (units)],MATCH(tblMRP[[#This Row],[Item]],tblItems[Item],0)),""))</f>
        <v>1000</v>
      </c>
      <c r="K7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1080</v>
      </c>
      <c r="L74" s="35">
        <f>IF(tblMRP[[#This Row],[Item]]="","",IF(tblMRP[[#This Row],[Order multiple (units)]]="","",tblMRP[[#This Row],[Order multiple (units)]]*CEILING(SUMPRODUCT(MAX((tblMRP[Item]=tblMRP[[#This Row],[Item]])*(tblMRP[Week]&lt;=tblMRP[[#This Row],[Week]])*tblMRP[Uncovered (units)]))/tblMRP[[#This Row],[Order multiple (units)]],1)))</f>
        <v>2000</v>
      </c>
      <c r="M74" s="35">
        <f>IF(tblMRP[[#This Row],[Item]]="","",IF(tblMRP[[#This Row],[Order multiple (units)]]="","",tblMRP[[#This Row],[Cum. planned (units)]]-tblMRP[[#This Row],[Order multiple (units)]]*CEILING(SUMPRODUCT(MAX((tblMRP[Item]=tblMRP[[#This Row],[Item]])*(tblMRP[Week]&lt;tblMRP[[#This Row],[Week]])*tblMRP[Uncovered (units)]))/tblMRP[[#This Row],[Order multiple (units)]],1)))</f>
        <v>1000</v>
      </c>
      <c r="N74" s="35">
        <f>IF(tblMRP[[#This Row],[Item]]="","",IF(tblMRP[[#This Row],[Order multiple (units)]]="","",MAX(0,tblMRP[[#This Row],[Uncovered (units)]]-(tblMRP[[#This Row],[Cum. planned (units)]]-tblMRP[[#This Row],[Planned receipt (units)]]))))</f>
        <v>80</v>
      </c>
      <c r="O74" s="35">
        <f>IF(tblMRP[[#This Row],[Item]]="","",IF(tblMRP[[#This Row],[Order multiple (units)]]="","",tblMRP[[#This Row],[Safety stock (units)]]-tblMRP[[#This Row],[Uncovered (units)]]+tblMRP[[#This Row],[Cum. planned (units)]]))</f>
        <v>1420</v>
      </c>
      <c r="P74" s="36">
        <f>IF(tblMRP[[#This Row],[Item]]="","",IF(N(tblMRP[[#This Row],[Planned receipt (units)]])&gt;0,tblMRP[[#This Row],[Week]]-7*tblMRP[[#This Row],[Lead time (wk)]],""))</f>
        <v>46370</v>
      </c>
      <c r="Q74" s="35">
        <f>IF(tblMRP[[#This Row],[Item]]="","",SUMIFS(tblMRP[Planned receipt (units)],tblMRP[Item],tblMRP[[#This Row],[Item]],tblMRP[Week],tblMRP[[#This Row],[Week]]+7*N(tblMRP[[#This Row],[Lead time (wk)]])))</f>
        <v>0</v>
      </c>
      <c r="R74" s="37" t="str">
        <f>IF(tblMRP[[#This Row],[Item]]="","",IF(N(tblMRP[[#This Row],[Planned receipt (units)]])=0,"",IF(tblMRP[[#This Row],[Release week]]&lt;PlanStart,"Overdue",IF(tblMRP[[#This Row],[Release week]]&lt;PlanStart+7,"Due soon","OK"))))</f>
        <v>OK</v>
      </c>
      <c r="S7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4" s="28" t="s">
        <v>112</v>
      </c>
    </row>
    <row r="75" spans="2:20" x14ac:dyDescent="0.25">
      <c r="B75" s="28" t="s">
        <v>90</v>
      </c>
      <c r="C75" s="34">
        <v>46391</v>
      </c>
      <c r="D75" s="32">
        <v>360</v>
      </c>
      <c r="E75" s="32">
        <v>0</v>
      </c>
      <c r="F75" s="35">
        <f>IF(tblMRP[[#This Row],[Item]]="","",(tblMRP[[#This Row],[Week]]-PlanStart)/7+1)</f>
        <v>10</v>
      </c>
      <c r="G75" s="35">
        <f>IF(tblMRP[[#This Row],[Item]]="","",IFERROR(INDEX(tblItems[On hand (units)],MATCH(tblMRP[[#This Row],[Item]],tblItems[Item],0)),""))</f>
        <v>2600</v>
      </c>
      <c r="H75" s="35">
        <f>IF(tblMRP[[#This Row],[Item]]="","",IFERROR(INDEX(tblItems[Safety stock (units)],MATCH(tblMRP[[#This Row],[Item]],tblItems[Item],0)),""))</f>
        <v>500</v>
      </c>
      <c r="I75" s="35">
        <f>IF(tblMRP[[#This Row],[Item]]="","",IFERROR(INDEX(tblItems[Lead time (wk)],MATCH(tblMRP[[#This Row],[Item]],tblItems[Item],0)),""))</f>
        <v>2</v>
      </c>
      <c r="J75" s="35">
        <f>IF(tblMRP[[#This Row],[Item]]="","",IFERROR(INDEX(tblItems[Order multiple (units)],MATCH(tblMRP[[#This Row],[Item]],tblItems[Item],0)),""))</f>
        <v>1000</v>
      </c>
      <c r="K7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1440</v>
      </c>
      <c r="L75" s="35">
        <f>IF(tblMRP[[#This Row],[Item]]="","",IF(tblMRP[[#This Row],[Order multiple (units)]]="","",tblMRP[[#This Row],[Order multiple (units)]]*CEILING(SUMPRODUCT(MAX((tblMRP[Item]=tblMRP[[#This Row],[Item]])*(tblMRP[Week]&lt;=tblMRP[[#This Row],[Week]])*tblMRP[Uncovered (units)]))/tblMRP[[#This Row],[Order multiple (units)]],1)))</f>
        <v>2000</v>
      </c>
      <c r="M75" s="35">
        <f>IF(tblMRP[[#This Row],[Item]]="","",IF(tblMRP[[#This Row],[Order multiple (units)]]="","",tblMRP[[#This Row],[Cum. planned (units)]]-tblMRP[[#This Row],[Order multiple (units)]]*CEILING(SUMPRODUCT(MAX((tblMRP[Item]=tblMRP[[#This Row],[Item]])*(tblMRP[Week]&lt;tblMRP[[#This Row],[Week]])*tblMRP[Uncovered (units)]))/tblMRP[[#This Row],[Order multiple (units)]],1)))</f>
        <v>0</v>
      </c>
      <c r="N75" s="35">
        <f>IF(tblMRP[[#This Row],[Item]]="","",IF(tblMRP[[#This Row],[Order multiple (units)]]="","",MAX(0,tblMRP[[#This Row],[Uncovered (units)]]-(tblMRP[[#This Row],[Cum. planned (units)]]-tblMRP[[#This Row],[Planned receipt (units)]]))))</f>
        <v>0</v>
      </c>
      <c r="O75" s="35">
        <f>IF(tblMRP[[#This Row],[Item]]="","",IF(tblMRP[[#This Row],[Order multiple (units)]]="","",tblMRP[[#This Row],[Safety stock (units)]]-tblMRP[[#This Row],[Uncovered (units)]]+tblMRP[[#This Row],[Cum. planned (units)]]))</f>
        <v>1060</v>
      </c>
      <c r="P75" s="36">
        <f>IF(tblMRP[[#This Row],[Item]]="","",IF(N(tblMRP[[#This Row],[Planned receipt (units)]])&gt;0,tblMRP[[#This Row],[Week]]-7*tblMRP[[#This Row],[Lead time (wk)]],""))</f>
        <v/>
      </c>
      <c r="Q75" s="35">
        <f>IF(tblMRP[[#This Row],[Item]]="","",SUMIFS(tblMRP[Planned receipt (units)],tblMRP[Item],tblMRP[[#This Row],[Item]],tblMRP[Week],tblMRP[[#This Row],[Week]]+7*N(tblMRP[[#This Row],[Lead time (wk)]])))</f>
        <v>1000</v>
      </c>
      <c r="R75" s="37">
        <f>IF(tblMRP[[#This Row],[Item]]="","",IF(N(tblMRP[[#This Row],[Planned receipt (units)]])=0,"",IF(tblMRP[[#This Row],[Release week]]&lt;PlanStart,"Overdue",IF(tblMRP[[#This Row],[Release week]]&lt;PlanStart+7,"Due soon","OK"))))</f>
        <v/>
      </c>
      <c r="S7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5" s="28" t="s">
        <v>112</v>
      </c>
    </row>
    <row r="76" spans="2:20" x14ac:dyDescent="0.25">
      <c r="B76" s="28" t="s">
        <v>90</v>
      </c>
      <c r="C76" s="34">
        <v>46398</v>
      </c>
      <c r="D76" s="32">
        <v>340</v>
      </c>
      <c r="E76" s="32">
        <v>0</v>
      </c>
      <c r="F76" s="35">
        <f>IF(tblMRP[[#This Row],[Item]]="","",(tblMRP[[#This Row],[Week]]-PlanStart)/7+1)</f>
        <v>11</v>
      </c>
      <c r="G76" s="35">
        <f>IF(tblMRP[[#This Row],[Item]]="","",IFERROR(INDEX(tblItems[On hand (units)],MATCH(tblMRP[[#This Row],[Item]],tblItems[Item],0)),""))</f>
        <v>2600</v>
      </c>
      <c r="H76" s="35">
        <f>IF(tblMRP[[#This Row],[Item]]="","",IFERROR(INDEX(tblItems[Safety stock (units)],MATCH(tblMRP[[#This Row],[Item]],tblItems[Item],0)),""))</f>
        <v>500</v>
      </c>
      <c r="I76" s="35">
        <f>IF(tblMRP[[#This Row],[Item]]="","",IFERROR(INDEX(tblItems[Lead time (wk)],MATCH(tblMRP[[#This Row],[Item]],tblItems[Item],0)),""))</f>
        <v>2</v>
      </c>
      <c r="J76" s="35">
        <f>IF(tblMRP[[#This Row],[Item]]="","",IFERROR(INDEX(tblItems[Order multiple (units)],MATCH(tblMRP[[#This Row],[Item]],tblItems[Item],0)),""))</f>
        <v>1000</v>
      </c>
      <c r="K7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1780</v>
      </c>
      <c r="L76" s="35">
        <f>IF(tblMRP[[#This Row],[Item]]="","",IF(tblMRP[[#This Row],[Order multiple (units)]]="","",tblMRP[[#This Row],[Order multiple (units)]]*CEILING(SUMPRODUCT(MAX((tblMRP[Item]=tblMRP[[#This Row],[Item]])*(tblMRP[Week]&lt;=tblMRP[[#This Row],[Week]])*tblMRP[Uncovered (units)]))/tblMRP[[#This Row],[Order multiple (units)]],1)))</f>
        <v>2000</v>
      </c>
      <c r="M76" s="35">
        <f>IF(tblMRP[[#This Row],[Item]]="","",IF(tblMRP[[#This Row],[Order multiple (units)]]="","",tblMRP[[#This Row],[Cum. planned (units)]]-tblMRP[[#This Row],[Order multiple (units)]]*CEILING(SUMPRODUCT(MAX((tblMRP[Item]=tblMRP[[#This Row],[Item]])*(tblMRP[Week]&lt;tblMRP[[#This Row],[Week]])*tblMRP[Uncovered (units)]))/tblMRP[[#This Row],[Order multiple (units)]],1)))</f>
        <v>0</v>
      </c>
      <c r="N76" s="35">
        <f>IF(tblMRP[[#This Row],[Item]]="","",IF(tblMRP[[#This Row],[Order multiple (units)]]="","",MAX(0,tblMRP[[#This Row],[Uncovered (units)]]-(tblMRP[[#This Row],[Cum. planned (units)]]-tblMRP[[#This Row],[Planned receipt (units)]]))))</f>
        <v>0</v>
      </c>
      <c r="O76" s="35">
        <f>IF(tblMRP[[#This Row],[Item]]="","",IF(tblMRP[[#This Row],[Order multiple (units)]]="","",tblMRP[[#This Row],[Safety stock (units)]]-tblMRP[[#This Row],[Uncovered (units)]]+tblMRP[[#This Row],[Cum. planned (units)]]))</f>
        <v>720</v>
      </c>
      <c r="P76" s="36">
        <f>IF(tblMRP[[#This Row],[Item]]="","",IF(N(tblMRP[[#This Row],[Planned receipt (units)]])&gt;0,tblMRP[[#This Row],[Week]]-7*tblMRP[[#This Row],[Lead time (wk)]],""))</f>
        <v/>
      </c>
      <c r="Q76" s="35">
        <f>IF(tblMRP[[#This Row],[Item]]="","",SUMIFS(tblMRP[Planned receipt (units)],tblMRP[Item],tblMRP[[#This Row],[Item]],tblMRP[Week],tblMRP[[#This Row],[Week]]+7*N(tblMRP[[#This Row],[Lead time (wk)]])))</f>
        <v>0</v>
      </c>
      <c r="R76" s="37">
        <f>IF(tblMRP[[#This Row],[Item]]="","",IF(N(tblMRP[[#This Row],[Planned receipt (units)]])=0,"",IF(tblMRP[[#This Row],[Release week]]&lt;PlanStart,"Overdue",IF(tblMRP[[#This Row],[Release week]]&lt;PlanStart+7,"Due soon","OK"))))</f>
        <v/>
      </c>
      <c r="S7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6" s="28" t="s">
        <v>112</v>
      </c>
    </row>
    <row r="77" spans="2:20" x14ac:dyDescent="0.25">
      <c r="B77" s="28" t="s">
        <v>90</v>
      </c>
      <c r="C77" s="34">
        <v>46405</v>
      </c>
      <c r="D77" s="32">
        <v>320</v>
      </c>
      <c r="E77" s="32">
        <v>0</v>
      </c>
      <c r="F77" s="35">
        <f>IF(tblMRP[[#This Row],[Item]]="","",(tblMRP[[#This Row],[Week]]-PlanStart)/7+1)</f>
        <v>12</v>
      </c>
      <c r="G77" s="35">
        <f>IF(tblMRP[[#This Row],[Item]]="","",IFERROR(INDEX(tblItems[On hand (units)],MATCH(tblMRP[[#This Row],[Item]],tblItems[Item],0)),""))</f>
        <v>2600</v>
      </c>
      <c r="H77" s="35">
        <f>IF(tblMRP[[#This Row],[Item]]="","",IFERROR(INDEX(tblItems[Safety stock (units)],MATCH(tblMRP[[#This Row],[Item]],tblItems[Item],0)),""))</f>
        <v>500</v>
      </c>
      <c r="I77" s="35">
        <f>IF(tblMRP[[#This Row],[Item]]="","",IFERROR(INDEX(tblItems[Lead time (wk)],MATCH(tblMRP[[#This Row],[Item]],tblItems[Item],0)),""))</f>
        <v>2</v>
      </c>
      <c r="J77" s="35">
        <f>IF(tblMRP[[#This Row],[Item]]="","",IFERROR(INDEX(tblItems[Order multiple (units)],MATCH(tblMRP[[#This Row],[Item]],tblItems[Item],0)),""))</f>
        <v>1000</v>
      </c>
      <c r="K7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2100</v>
      </c>
      <c r="L77" s="35">
        <f>IF(tblMRP[[#This Row],[Item]]="","",IF(tblMRP[[#This Row],[Order multiple (units)]]="","",tblMRP[[#This Row],[Order multiple (units)]]*CEILING(SUMPRODUCT(MAX((tblMRP[Item]=tblMRP[[#This Row],[Item]])*(tblMRP[Week]&lt;=tblMRP[[#This Row],[Week]])*tblMRP[Uncovered (units)]))/tblMRP[[#This Row],[Order multiple (units)]],1)))</f>
        <v>3000</v>
      </c>
      <c r="M77" s="35">
        <f>IF(tblMRP[[#This Row],[Item]]="","",IF(tblMRP[[#This Row],[Order multiple (units)]]="","",tblMRP[[#This Row],[Cum. planned (units)]]-tblMRP[[#This Row],[Order multiple (units)]]*CEILING(SUMPRODUCT(MAX((tblMRP[Item]=tblMRP[[#This Row],[Item]])*(tblMRP[Week]&lt;tblMRP[[#This Row],[Week]])*tblMRP[Uncovered (units)]))/tblMRP[[#This Row],[Order multiple (units)]],1)))</f>
        <v>1000</v>
      </c>
      <c r="N77" s="35">
        <f>IF(tblMRP[[#This Row],[Item]]="","",IF(tblMRP[[#This Row],[Order multiple (units)]]="","",MAX(0,tblMRP[[#This Row],[Uncovered (units)]]-(tblMRP[[#This Row],[Cum. planned (units)]]-tblMRP[[#This Row],[Planned receipt (units)]]))))</f>
        <v>100</v>
      </c>
      <c r="O77" s="35">
        <f>IF(tblMRP[[#This Row],[Item]]="","",IF(tblMRP[[#This Row],[Order multiple (units)]]="","",tblMRP[[#This Row],[Safety stock (units)]]-tblMRP[[#This Row],[Uncovered (units)]]+tblMRP[[#This Row],[Cum. planned (units)]]))</f>
        <v>1400</v>
      </c>
      <c r="P77" s="36">
        <f>IF(tblMRP[[#This Row],[Item]]="","",IF(N(tblMRP[[#This Row],[Planned receipt (units)]])&gt;0,tblMRP[[#This Row],[Week]]-7*tblMRP[[#This Row],[Lead time (wk)]],""))</f>
        <v>46391</v>
      </c>
      <c r="Q77" s="35">
        <f>IF(tblMRP[[#This Row],[Item]]="","",SUMIFS(tblMRP[Planned receipt (units)],tblMRP[Item],tblMRP[[#This Row],[Item]],tblMRP[Week],tblMRP[[#This Row],[Week]]+7*N(tblMRP[[#This Row],[Lead time (wk)]])))</f>
        <v>0</v>
      </c>
      <c r="R77" s="37" t="str">
        <f>IF(tblMRP[[#This Row],[Item]]="","",IF(N(tblMRP[[#This Row],[Planned receipt (units)]])=0,"",IF(tblMRP[[#This Row],[Release week]]&lt;PlanStart,"Overdue",IF(tblMRP[[#This Row],[Release week]]&lt;PlanStart+7,"Due soon","OK"))))</f>
        <v>OK</v>
      </c>
      <c r="S7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7" s="28" t="s">
        <v>112</v>
      </c>
    </row>
    <row r="78" spans="2:20" x14ac:dyDescent="0.25">
      <c r="B78" s="28" t="s">
        <v>93</v>
      </c>
      <c r="C78" s="34">
        <v>46328</v>
      </c>
      <c r="D78" s="32">
        <v>300</v>
      </c>
      <c r="E78" s="32">
        <v>0</v>
      </c>
      <c r="F78" s="35">
        <f>IF(tblMRP[[#This Row],[Item]]="","",(tblMRP[[#This Row],[Week]]-PlanStart)/7+1)</f>
        <v>1</v>
      </c>
      <c r="G78" s="35">
        <f>IF(tblMRP[[#This Row],[Item]]="","",IFERROR(INDEX(tblItems[On hand (units)],MATCH(tblMRP[[#This Row],[Item]],tblItems[Item],0)),""))</f>
        <v>3200</v>
      </c>
      <c r="H78" s="35">
        <f>IF(tblMRP[[#This Row],[Item]]="","",IFERROR(INDEX(tblItems[Safety stock (units)],MATCH(tblMRP[[#This Row],[Item]],tblItems[Item],0)),""))</f>
        <v>400</v>
      </c>
      <c r="I78" s="35">
        <f>IF(tblMRP[[#This Row],[Item]]="","",IFERROR(INDEX(tblItems[Lead time (wk)],MATCH(tblMRP[[#This Row],[Item]],tblItems[Item],0)),""))</f>
        <v>8</v>
      </c>
      <c r="J78" s="35">
        <f>IF(tblMRP[[#This Row],[Item]]="","",IFERROR(INDEX(tblItems[Order multiple (units)],MATCH(tblMRP[[#This Row],[Item]],tblItems[Item],0)),""))</f>
        <v>1000</v>
      </c>
      <c r="K7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-2500</v>
      </c>
      <c r="L78" s="35">
        <f>IF(tblMRP[[#This Row],[Item]]="","",IF(tblMRP[[#This Row],[Order multiple (units)]]="","",tblMRP[[#This Row],[Order multiple (units)]]*CEILING(SUMPRODUCT(MAX((tblMRP[Item]=tblMRP[[#This Row],[Item]])*(tblMRP[Week]&lt;=tblMRP[[#This Row],[Week]])*tblMRP[Uncovered (units)]))/tblMRP[[#This Row],[Order multiple (units)]],1)))</f>
        <v>0</v>
      </c>
      <c r="M78" s="35">
        <f>IF(tblMRP[[#This Row],[Item]]="","",IF(tblMRP[[#This Row],[Order multiple (units)]]="","",tblMRP[[#This Row],[Cum. planned (units)]]-tblMRP[[#This Row],[Order multiple (units)]]*CEILING(SUMPRODUCT(MAX((tblMRP[Item]=tblMRP[[#This Row],[Item]])*(tblMRP[Week]&lt;tblMRP[[#This Row],[Week]])*tblMRP[Uncovered (units)]))/tblMRP[[#This Row],[Order multiple (units)]],1)))</f>
        <v>0</v>
      </c>
      <c r="N78" s="35">
        <f>IF(tblMRP[[#This Row],[Item]]="","",IF(tblMRP[[#This Row],[Order multiple (units)]]="","",MAX(0,tblMRP[[#This Row],[Uncovered (units)]]-(tblMRP[[#This Row],[Cum. planned (units)]]-tblMRP[[#This Row],[Planned receipt (units)]]))))</f>
        <v>0</v>
      </c>
      <c r="O78" s="35">
        <f>IF(tblMRP[[#This Row],[Item]]="","",IF(tblMRP[[#This Row],[Order multiple (units)]]="","",tblMRP[[#This Row],[Safety stock (units)]]-tblMRP[[#This Row],[Uncovered (units)]]+tblMRP[[#This Row],[Cum. planned (units)]]))</f>
        <v>2900</v>
      </c>
      <c r="P78" s="36">
        <f>IF(tblMRP[[#This Row],[Item]]="","",IF(N(tblMRP[[#This Row],[Planned receipt (units)]])&gt;0,tblMRP[[#This Row],[Week]]-7*tblMRP[[#This Row],[Lead time (wk)]],""))</f>
        <v/>
      </c>
      <c r="Q78" s="35">
        <f>IF(tblMRP[[#This Row],[Item]]="","",SUMIFS(tblMRP[Planned receipt (units)],tblMRP[Item],tblMRP[[#This Row],[Item]],tblMRP[Week],tblMRP[[#This Row],[Week]]+7*N(tblMRP[[#This Row],[Lead time (wk)]])))</f>
        <v>1000</v>
      </c>
      <c r="R78" s="37">
        <f>IF(tblMRP[[#This Row],[Item]]="","",IF(N(tblMRP[[#This Row],[Planned receipt (units)]])=0,"",IF(tblMRP[[#This Row],[Release week]]&lt;PlanStart,"Overdue",IF(tblMRP[[#This Row],[Release week]]&lt;PlanStart+7,"Due soon","OK"))))</f>
        <v/>
      </c>
      <c r="S7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8" s="28" t="s">
        <v>112</v>
      </c>
    </row>
    <row r="79" spans="2:20" x14ac:dyDescent="0.25">
      <c r="B79" s="28" t="s">
        <v>93</v>
      </c>
      <c r="C79" s="34">
        <v>46335</v>
      </c>
      <c r="D79" s="32">
        <v>320</v>
      </c>
      <c r="E79" s="32">
        <v>0</v>
      </c>
      <c r="F79" s="35">
        <f>IF(tblMRP[[#This Row],[Item]]="","",(tblMRP[[#This Row],[Week]]-PlanStart)/7+1)</f>
        <v>2</v>
      </c>
      <c r="G79" s="35">
        <f>IF(tblMRP[[#This Row],[Item]]="","",IFERROR(INDEX(tblItems[On hand (units)],MATCH(tblMRP[[#This Row],[Item]],tblItems[Item],0)),""))</f>
        <v>3200</v>
      </c>
      <c r="H79" s="35">
        <f>IF(tblMRP[[#This Row],[Item]]="","",IFERROR(INDEX(tblItems[Safety stock (units)],MATCH(tblMRP[[#This Row],[Item]],tblItems[Item],0)),""))</f>
        <v>400</v>
      </c>
      <c r="I79" s="35">
        <f>IF(tblMRP[[#This Row],[Item]]="","",IFERROR(INDEX(tblItems[Lead time (wk)],MATCH(tblMRP[[#This Row],[Item]],tblItems[Item],0)),""))</f>
        <v>8</v>
      </c>
      <c r="J79" s="35">
        <f>IF(tblMRP[[#This Row],[Item]]="","",IFERROR(INDEX(tblItems[Order multiple (units)],MATCH(tblMRP[[#This Row],[Item]],tblItems[Item],0)),""))</f>
        <v>1000</v>
      </c>
      <c r="K7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-2180</v>
      </c>
      <c r="L79" s="35">
        <f>IF(tblMRP[[#This Row],[Item]]="","",IF(tblMRP[[#This Row],[Order multiple (units)]]="","",tblMRP[[#This Row],[Order multiple (units)]]*CEILING(SUMPRODUCT(MAX((tblMRP[Item]=tblMRP[[#This Row],[Item]])*(tblMRP[Week]&lt;=tblMRP[[#This Row],[Week]])*tblMRP[Uncovered (units)]))/tblMRP[[#This Row],[Order multiple (units)]],1)))</f>
        <v>0</v>
      </c>
      <c r="M79" s="35">
        <f>IF(tblMRP[[#This Row],[Item]]="","",IF(tblMRP[[#This Row],[Order multiple (units)]]="","",tblMRP[[#This Row],[Cum. planned (units)]]-tblMRP[[#This Row],[Order multiple (units)]]*CEILING(SUMPRODUCT(MAX((tblMRP[Item]=tblMRP[[#This Row],[Item]])*(tblMRP[Week]&lt;tblMRP[[#This Row],[Week]])*tblMRP[Uncovered (units)]))/tblMRP[[#This Row],[Order multiple (units)]],1)))</f>
        <v>0</v>
      </c>
      <c r="N79" s="35">
        <f>IF(tblMRP[[#This Row],[Item]]="","",IF(tblMRP[[#This Row],[Order multiple (units)]]="","",MAX(0,tblMRP[[#This Row],[Uncovered (units)]]-(tblMRP[[#This Row],[Cum. planned (units)]]-tblMRP[[#This Row],[Planned receipt (units)]]))))</f>
        <v>0</v>
      </c>
      <c r="O79" s="35">
        <f>IF(tblMRP[[#This Row],[Item]]="","",IF(tblMRP[[#This Row],[Order multiple (units)]]="","",tblMRP[[#This Row],[Safety stock (units)]]-tblMRP[[#This Row],[Uncovered (units)]]+tblMRP[[#This Row],[Cum. planned (units)]]))</f>
        <v>2580</v>
      </c>
      <c r="P79" s="36">
        <f>IF(tblMRP[[#This Row],[Item]]="","",IF(N(tblMRP[[#This Row],[Planned receipt (units)]])&gt;0,tblMRP[[#This Row],[Week]]-7*tblMRP[[#This Row],[Lead time (wk)]],""))</f>
        <v/>
      </c>
      <c r="Q79" s="35">
        <f>IF(tblMRP[[#This Row],[Item]]="","",SUMIFS(tblMRP[Planned receipt (units)],tblMRP[Item],tblMRP[[#This Row],[Item]],tblMRP[Week],tblMRP[[#This Row],[Week]]+7*N(tblMRP[[#This Row],[Lead time (wk)]])))</f>
        <v>0</v>
      </c>
      <c r="R79" s="37">
        <f>IF(tblMRP[[#This Row],[Item]]="","",IF(N(tblMRP[[#This Row],[Planned receipt (units)]])=0,"",IF(tblMRP[[#This Row],[Release week]]&lt;PlanStart,"Overdue",IF(tblMRP[[#This Row],[Release week]]&lt;PlanStart+7,"Due soon","OK"))))</f>
        <v/>
      </c>
      <c r="S7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79" s="28" t="s">
        <v>112</v>
      </c>
    </row>
    <row r="80" spans="2:20" x14ac:dyDescent="0.25">
      <c r="B80" s="28" t="s">
        <v>93</v>
      </c>
      <c r="C80" s="34">
        <v>46342</v>
      </c>
      <c r="D80" s="32">
        <v>300</v>
      </c>
      <c r="E80" s="32">
        <v>0</v>
      </c>
      <c r="F80" s="35">
        <f>IF(tblMRP[[#This Row],[Item]]="","",(tblMRP[[#This Row],[Week]]-PlanStart)/7+1)</f>
        <v>3</v>
      </c>
      <c r="G80" s="35">
        <f>IF(tblMRP[[#This Row],[Item]]="","",IFERROR(INDEX(tblItems[On hand (units)],MATCH(tblMRP[[#This Row],[Item]],tblItems[Item],0)),""))</f>
        <v>3200</v>
      </c>
      <c r="H80" s="35">
        <f>IF(tblMRP[[#This Row],[Item]]="","",IFERROR(INDEX(tblItems[Safety stock (units)],MATCH(tblMRP[[#This Row],[Item]],tblItems[Item],0)),""))</f>
        <v>400</v>
      </c>
      <c r="I80" s="35">
        <f>IF(tblMRP[[#This Row],[Item]]="","",IFERROR(INDEX(tblItems[Lead time (wk)],MATCH(tblMRP[[#This Row],[Item]],tblItems[Item],0)),""))</f>
        <v>8</v>
      </c>
      <c r="J80" s="35">
        <f>IF(tblMRP[[#This Row],[Item]]="","",IFERROR(INDEX(tblItems[Order multiple (units)],MATCH(tblMRP[[#This Row],[Item]],tblItems[Item],0)),""))</f>
        <v>1000</v>
      </c>
      <c r="K8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-1880</v>
      </c>
      <c r="L80" s="35">
        <f>IF(tblMRP[[#This Row],[Item]]="","",IF(tblMRP[[#This Row],[Order multiple (units)]]="","",tblMRP[[#This Row],[Order multiple (units)]]*CEILING(SUMPRODUCT(MAX((tblMRP[Item]=tblMRP[[#This Row],[Item]])*(tblMRP[Week]&lt;=tblMRP[[#This Row],[Week]])*tblMRP[Uncovered (units)]))/tblMRP[[#This Row],[Order multiple (units)]],1)))</f>
        <v>0</v>
      </c>
      <c r="M80" s="35">
        <f>IF(tblMRP[[#This Row],[Item]]="","",IF(tblMRP[[#This Row],[Order multiple (units)]]="","",tblMRP[[#This Row],[Cum. planned (units)]]-tblMRP[[#This Row],[Order multiple (units)]]*CEILING(SUMPRODUCT(MAX((tblMRP[Item]=tblMRP[[#This Row],[Item]])*(tblMRP[Week]&lt;tblMRP[[#This Row],[Week]])*tblMRP[Uncovered (units)]))/tblMRP[[#This Row],[Order multiple (units)]],1)))</f>
        <v>0</v>
      </c>
      <c r="N80" s="35">
        <f>IF(tblMRP[[#This Row],[Item]]="","",IF(tblMRP[[#This Row],[Order multiple (units)]]="","",MAX(0,tblMRP[[#This Row],[Uncovered (units)]]-(tblMRP[[#This Row],[Cum. planned (units)]]-tblMRP[[#This Row],[Planned receipt (units)]]))))</f>
        <v>0</v>
      </c>
      <c r="O80" s="35">
        <f>IF(tblMRP[[#This Row],[Item]]="","",IF(tblMRP[[#This Row],[Order multiple (units)]]="","",tblMRP[[#This Row],[Safety stock (units)]]-tblMRP[[#This Row],[Uncovered (units)]]+tblMRP[[#This Row],[Cum. planned (units)]]))</f>
        <v>2280</v>
      </c>
      <c r="P80" s="36">
        <f>IF(tblMRP[[#This Row],[Item]]="","",IF(N(tblMRP[[#This Row],[Planned receipt (units)]])&gt;0,tblMRP[[#This Row],[Week]]-7*tblMRP[[#This Row],[Lead time (wk)]],""))</f>
        <v/>
      </c>
      <c r="Q80" s="35">
        <f>IF(tblMRP[[#This Row],[Item]]="","",SUMIFS(tblMRP[Planned receipt (units)],tblMRP[Item],tblMRP[[#This Row],[Item]],tblMRP[Week],tblMRP[[#This Row],[Week]]+7*N(tblMRP[[#This Row],[Lead time (wk)]])))</f>
        <v>1000</v>
      </c>
      <c r="R80" s="37">
        <f>IF(tblMRP[[#This Row],[Item]]="","",IF(N(tblMRP[[#This Row],[Planned receipt (units)]])=0,"",IF(tblMRP[[#This Row],[Release week]]&lt;PlanStart,"Overdue",IF(tblMRP[[#This Row],[Release week]]&lt;PlanStart+7,"Due soon","OK"))))</f>
        <v/>
      </c>
      <c r="S8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0" s="28" t="s">
        <v>112</v>
      </c>
    </row>
    <row r="81" spans="2:20" x14ac:dyDescent="0.25">
      <c r="B81" s="28" t="s">
        <v>93</v>
      </c>
      <c r="C81" s="34">
        <v>46349</v>
      </c>
      <c r="D81" s="32">
        <v>340</v>
      </c>
      <c r="E81" s="32">
        <v>0</v>
      </c>
      <c r="F81" s="35">
        <f>IF(tblMRP[[#This Row],[Item]]="","",(tblMRP[[#This Row],[Week]]-PlanStart)/7+1)</f>
        <v>4</v>
      </c>
      <c r="G81" s="35">
        <f>IF(tblMRP[[#This Row],[Item]]="","",IFERROR(INDEX(tblItems[On hand (units)],MATCH(tblMRP[[#This Row],[Item]],tblItems[Item],0)),""))</f>
        <v>3200</v>
      </c>
      <c r="H81" s="35">
        <f>IF(tblMRP[[#This Row],[Item]]="","",IFERROR(INDEX(tblItems[Safety stock (units)],MATCH(tblMRP[[#This Row],[Item]],tblItems[Item],0)),""))</f>
        <v>400</v>
      </c>
      <c r="I81" s="35">
        <f>IF(tblMRP[[#This Row],[Item]]="","",IFERROR(INDEX(tblItems[Lead time (wk)],MATCH(tblMRP[[#This Row],[Item]],tblItems[Item],0)),""))</f>
        <v>8</v>
      </c>
      <c r="J81" s="35">
        <f>IF(tblMRP[[#This Row],[Item]]="","",IFERROR(INDEX(tblItems[Order multiple (units)],MATCH(tblMRP[[#This Row],[Item]],tblItems[Item],0)),""))</f>
        <v>1000</v>
      </c>
      <c r="K8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-1540</v>
      </c>
      <c r="L81" s="35">
        <f>IF(tblMRP[[#This Row],[Item]]="","",IF(tblMRP[[#This Row],[Order multiple (units)]]="","",tblMRP[[#This Row],[Order multiple (units)]]*CEILING(SUMPRODUCT(MAX((tblMRP[Item]=tblMRP[[#This Row],[Item]])*(tblMRP[Week]&lt;=tblMRP[[#This Row],[Week]])*tblMRP[Uncovered (units)]))/tblMRP[[#This Row],[Order multiple (units)]],1)))</f>
        <v>0</v>
      </c>
      <c r="M81" s="35">
        <f>IF(tblMRP[[#This Row],[Item]]="","",IF(tblMRP[[#This Row],[Order multiple (units)]]="","",tblMRP[[#This Row],[Cum. planned (units)]]-tblMRP[[#This Row],[Order multiple (units)]]*CEILING(SUMPRODUCT(MAX((tblMRP[Item]=tblMRP[[#This Row],[Item]])*(tblMRP[Week]&lt;tblMRP[[#This Row],[Week]])*tblMRP[Uncovered (units)]))/tblMRP[[#This Row],[Order multiple (units)]],1)))</f>
        <v>0</v>
      </c>
      <c r="N81" s="35">
        <f>IF(tblMRP[[#This Row],[Item]]="","",IF(tblMRP[[#This Row],[Order multiple (units)]]="","",MAX(0,tblMRP[[#This Row],[Uncovered (units)]]-(tblMRP[[#This Row],[Cum. planned (units)]]-tblMRP[[#This Row],[Planned receipt (units)]]))))</f>
        <v>0</v>
      </c>
      <c r="O81" s="35">
        <f>IF(tblMRP[[#This Row],[Item]]="","",IF(tblMRP[[#This Row],[Order multiple (units)]]="","",tblMRP[[#This Row],[Safety stock (units)]]-tblMRP[[#This Row],[Uncovered (units)]]+tblMRP[[#This Row],[Cum. planned (units)]]))</f>
        <v>1940</v>
      </c>
      <c r="P81" s="36">
        <f>IF(tblMRP[[#This Row],[Item]]="","",IF(N(tblMRP[[#This Row],[Planned receipt (units)]])&gt;0,tblMRP[[#This Row],[Week]]-7*tblMRP[[#This Row],[Lead time (wk)]],""))</f>
        <v/>
      </c>
      <c r="Q81" s="35">
        <f>IF(tblMRP[[#This Row],[Item]]="","",SUMIFS(tblMRP[Planned receipt (units)],tblMRP[Item],tblMRP[[#This Row],[Item]],tblMRP[Week],tblMRP[[#This Row],[Week]]+7*N(tblMRP[[#This Row],[Lead time (wk)]])))</f>
        <v>0</v>
      </c>
      <c r="R81" s="37">
        <f>IF(tblMRP[[#This Row],[Item]]="","",IF(N(tblMRP[[#This Row],[Planned receipt (units)]])=0,"",IF(tblMRP[[#This Row],[Release week]]&lt;PlanStart,"Overdue",IF(tblMRP[[#This Row],[Release week]]&lt;PlanStart+7,"Due soon","OK"))))</f>
        <v/>
      </c>
      <c r="S8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1" s="28" t="s">
        <v>112</v>
      </c>
    </row>
    <row r="82" spans="2:20" x14ac:dyDescent="0.25">
      <c r="B82" s="28" t="s">
        <v>93</v>
      </c>
      <c r="C82" s="34">
        <v>46356</v>
      </c>
      <c r="D82" s="32">
        <v>360</v>
      </c>
      <c r="E82" s="32">
        <v>0</v>
      </c>
      <c r="F82" s="35">
        <f>IF(tblMRP[[#This Row],[Item]]="","",(tblMRP[[#This Row],[Week]]-PlanStart)/7+1)</f>
        <v>5</v>
      </c>
      <c r="G82" s="35">
        <f>IF(tblMRP[[#This Row],[Item]]="","",IFERROR(INDEX(tblItems[On hand (units)],MATCH(tblMRP[[#This Row],[Item]],tblItems[Item],0)),""))</f>
        <v>3200</v>
      </c>
      <c r="H82" s="35">
        <f>IF(tblMRP[[#This Row],[Item]]="","",IFERROR(INDEX(tblItems[Safety stock (units)],MATCH(tblMRP[[#This Row],[Item]],tblItems[Item],0)),""))</f>
        <v>400</v>
      </c>
      <c r="I82" s="35">
        <f>IF(tblMRP[[#This Row],[Item]]="","",IFERROR(INDEX(tblItems[Lead time (wk)],MATCH(tblMRP[[#This Row],[Item]],tblItems[Item],0)),""))</f>
        <v>8</v>
      </c>
      <c r="J82" s="35">
        <f>IF(tblMRP[[#This Row],[Item]]="","",IFERROR(INDEX(tblItems[Order multiple (units)],MATCH(tblMRP[[#This Row],[Item]],tblItems[Item],0)),""))</f>
        <v>1000</v>
      </c>
      <c r="K8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-1180</v>
      </c>
      <c r="L82" s="35">
        <f>IF(tblMRP[[#This Row],[Item]]="","",IF(tblMRP[[#This Row],[Order multiple (units)]]="","",tblMRP[[#This Row],[Order multiple (units)]]*CEILING(SUMPRODUCT(MAX((tblMRP[Item]=tblMRP[[#This Row],[Item]])*(tblMRP[Week]&lt;=tblMRP[[#This Row],[Week]])*tblMRP[Uncovered (units)]))/tblMRP[[#This Row],[Order multiple (units)]],1)))</f>
        <v>0</v>
      </c>
      <c r="M82" s="35">
        <f>IF(tblMRP[[#This Row],[Item]]="","",IF(tblMRP[[#This Row],[Order multiple (units)]]="","",tblMRP[[#This Row],[Cum. planned (units)]]-tblMRP[[#This Row],[Order multiple (units)]]*CEILING(SUMPRODUCT(MAX((tblMRP[Item]=tblMRP[[#This Row],[Item]])*(tblMRP[Week]&lt;tblMRP[[#This Row],[Week]])*tblMRP[Uncovered (units)]))/tblMRP[[#This Row],[Order multiple (units)]],1)))</f>
        <v>0</v>
      </c>
      <c r="N82" s="35">
        <f>IF(tblMRP[[#This Row],[Item]]="","",IF(tblMRP[[#This Row],[Order multiple (units)]]="","",MAX(0,tblMRP[[#This Row],[Uncovered (units)]]-(tblMRP[[#This Row],[Cum. planned (units)]]-tblMRP[[#This Row],[Planned receipt (units)]]))))</f>
        <v>0</v>
      </c>
      <c r="O82" s="35">
        <f>IF(tblMRP[[#This Row],[Item]]="","",IF(tblMRP[[#This Row],[Order multiple (units)]]="","",tblMRP[[#This Row],[Safety stock (units)]]-tblMRP[[#This Row],[Uncovered (units)]]+tblMRP[[#This Row],[Cum. planned (units)]]))</f>
        <v>1580</v>
      </c>
      <c r="P82" s="36">
        <f>IF(tblMRP[[#This Row],[Item]]="","",IF(N(tblMRP[[#This Row],[Planned receipt (units)]])&gt;0,tblMRP[[#This Row],[Week]]-7*tblMRP[[#This Row],[Lead time (wk)]],""))</f>
        <v/>
      </c>
      <c r="Q82" s="35">
        <f>IF(tblMRP[[#This Row],[Item]]="","",SUMIFS(tblMRP[Planned receipt (units)],tblMRP[Item],tblMRP[[#This Row],[Item]],tblMRP[Week],tblMRP[[#This Row],[Week]]+7*N(tblMRP[[#This Row],[Lead time (wk)]])))</f>
        <v>0</v>
      </c>
      <c r="R82" s="37">
        <f>IF(tblMRP[[#This Row],[Item]]="","",IF(N(tblMRP[[#This Row],[Planned receipt (units)]])=0,"",IF(tblMRP[[#This Row],[Release week]]&lt;PlanStart,"Overdue",IF(tblMRP[[#This Row],[Release week]]&lt;PlanStart+7,"Due soon","OK"))))</f>
        <v/>
      </c>
      <c r="S8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2" s="28" t="s">
        <v>112</v>
      </c>
    </row>
    <row r="83" spans="2:20" x14ac:dyDescent="0.25">
      <c r="B83" s="28" t="s">
        <v>93</v>
      </c>
      <c r="C83" s="34">
        <v>46363</v>
      </c>
      <c r="D83" s="32">
        <v>380</v>
      </c>
      <c r="E83" s="32">
        <v>0</v>
      </c>
      <c r="F83" s="35">
        <f>IF(tblMRP[[#This Row],[Item]]="","",(tblMRP[[#This Row],[Week]]-PlanStart)/7+1)</f>
        <v>6</v>
      </c>
      <c r="G83" s="35">
        <f>IF(tblMRP[[#This Row],[Item]]="","",IFERROR(INDEX(tblItems[On hand (units)],MATCH(tblMRP[[#This Row],[Item]],tblItems[Item],0)),""))</f>
        <v>3200</v>
      </c>
      <c r="H83" s="35">
        <f>IF(tblMRP[[#This Row],[Item]]="","",IFERROR(INDEX(tblItems[Safety stock (units)],MATCH(tblMRP[[#This Row],[Item]],tblItems[Item],0)),""))</f>
        <v>400</v>
      </c>
      <c r="I83" s="35">
        <f>IF(tblMRP[[#This Row],[Item]]="","",IFERROR(INDEX(tblItems[Lead time (wk)],MATCH(tblMRP[[#This Row],[Item]],tblItems[Item],0)),""))</f>
        <v>8</v>
      </c>
      <c r="J83" s="35">
        <f>IF(tblMRP[[#This Row],[Item]]="","",IFERROR(INDEX(tblItems[Order multiple (units)],MATCH(tblMRP[[#This Row],[Item]],tblItems[Item],0)),""))</f>
        <v>1000</v>
      </c>
      <c r="K8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-800</v>
      </c>
      <c r="L83" s="35">
        <f>IF(tblMRP[[#This Row],[Item]]="","",IF(tblMRP[[#This Row],[Order multiple (units)]]="","",tblMRP[[#This Row],[Order multiple (units)]]*CEILING(SUMPRODUCT(MAX((tblMRP[Item]=tblMRP[[#This Row],[Item]])*(tblMRP[Week]&lt;=tblMRP[[#This Row],[Week]])*tblMRP[Uncovered (units)]))/tblMRP[[#This Row],[Order multiple (units)]],1)))</f>
        <v>0</v>
      </c>
      <c r="M83" s="35">
        <f>IF(tblMRP[[#This Row],[Item]]="","",IF(tblMRP[[#This Row],[Order multiple (units)]]="","",tblMRP[[#This Row],[Cum. planned (units)]]-tblMRP[[#This Row],[Order multiple (units)]]*CEILING(SUMPRODUCT(MAX((tblMRP[Item]=tblMRP[[#This Row],[Item]])*(tblMRP[Week]&lt;tblMRP[[#This Row],[Week]])*tblMRP[Uncovered (units)]))/tblMRP[[#This Row],[Order multiple (units)]],1)))</f>
        <v>0</v>
      </c>
      <c r="N83" s="35">
        <f>IF(tblMRP[[#This Row],[Item]]="","",IF(tblMRP[[#This Row],[Order multiple (units)]]="","",MAX(0,tblMRP[[#This Row],[Uncovered (units)]]-(tblMRP[[#This Row],[Cum. planned (units)]]-tblMRP[[#This Row],[Planned receipt (units)]]))))</f>
        <v>0</v>
      </c>
      <c r="O83" s="35">
        <f>IF(tblMRP[[#This Row],[Item]]="","",IF(tblMRP[[#This Row],[Order multiple (units)]]="","",tblMRP[[#This Row],[Safety stock (units)]]-tblMRP[[#This Row],[Uncovered (units)]]+tblMRP[[#This Row],[Cum. planned (units)]]))</f>
        <v>1200</v>
      </c>
      <c r="P83" s="36">
        <f>IF(tblMRP[[#This Row],[Item]]="","",IF(N(tblMRP[[#This Row],[Planned receipt (units)]])&gt;0,tblMRP[[#This Row],[Week]]-7*tblMRP[[#This Row],[Lead time (wk)]],""))</f>
        <v/>
      </c>
      <c r="Q83" s="35">
        <f>IF(tblMRP[[#This Row],[Item]]="","",SUMIFS(tblMRP[Planned receipt (units)],tblMRP[Item],tblMRP[[#This Row],[Item]],tblMRP[Week],tblMRP[[#This Row],[Week]]+7*N(tblMRP[[#This Row],[Lead time (wk)]])))</f>
        <v>0</v>
      </c>
      <c r="R83" s="37">
        <f>IF(tblMRP[[#This Row],[Item]]="","",IF(N(tblMRP[[#This Row],[Planned receipt (units)]])=0,"",IF(tblMRP[[#This Row],[Release week]]&lt;PlanStart,"Overdue",IF(tblMRP[[#This Row],[Release week]]&lt;PlanStart+7,"Due soon","OK"))))</f>
        <v/>
      </c>
      <c r="S8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3" s="28" t="s">
        <v>112</v>
      </c>
    </row>
    <row r="84" spans="2:20" x14ac:dyDescent="0.25">
      <c r="B84" s="28" t="s">
        <v>93</v>
      </c>
      <c r="C84" s="34">
        <v>46370</v>
      </c>
      <c r="D84" s="32">
        <v>400</v>
      </c>
      <c r="E84" s="32">
        <v>0</v>
      </c>
      <c r="F84" s="35">
        <f>IF(tblMRP[[#This Row],[Item]]="","",(tblMRP[[#This Row],[Week]]-PlanStart)/7+1)</f>
        <v>7</v>
      </c>
      <c r="G84" s="35">
        <f>IF(tblMRP[[#This Row],[Item]]="","",IFERROR(INDEX(tblItems[On hand (units)],MATCH(tblMRP[[#This Row],[Item]],tblItems[Item],0)),""))</f>
        <v>3200</v>
      </c>
      <c r="H84" s="35">
        <f>IF(tblMRP[[#This Row],[Item]]="","",IFERROR(INDEX(tblItems[Safety stock (units)],MATCH(tblMRP[[#This Row],[Item]],tblItems[Item],0)),""))</f>
        <v>400</v>
      </c>
      <c r="I84" s="35">
        <f>IF(tblMRP[[#This Row],[Item]]="","",IFERROR(INDEX(tblItems[Lead time (wk)],MATCH(tblMRP[[#This Row],[Item]],tblItems[Item],0)),""))</f>
        <v>8</v>
      </c>
      <c r="J84" s="35">
        <f>IF(tblMRP[[#This Row],[Item]]="","",IFERROR(INDEX(tblItems[Order multiple (units)],MATCH(tblMRP[[#This Row],[Item]],tblItems[Item],0)),""))</f>
        <v>1000</v>
      </c>
      <c r="K8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-400</v>
      </c>
      <c r="L84" s="35">
        <f>IF(tblMRP[[#This Row],[Item]]="","",IF(tblMRP[[#This Row],[Order multiple (units)]]="","",tblMRP[[#This Row],[Order multiple (units)]]*CEILING(SUMPRODUCT(MAX((tblMRP[Item]=tblMRP[[#This Row],[Item]])*(tblMRP[Week]&lt;=tblMRP[[#This Row],[Week]])*tblMRP[Uncovered (units)]))/tblMRP[[#This Row],[Order multiple (units)]],1)))</f>
        <v>0</v>
      </c>
      <c r="M84" s="35">
        <f>IF(tblMRP[[#This Row],[Item]]="","",IF(tblMRP[[#This Row],[Order multiple (units)]]="","",tblMRP[[#This Row],[Cum. planned (units)]]-tblMRP[[#This Row],[Order multiple (units)]]*CEILING(SUMPRODUCT(MAX((tblMRP[Item]=tblMRP[[#This Row],[Item]])*(tblMRP[Week]&lt;tblMRP[[#This Row],[Week]])*tblMRP[Uncovered (units)]))/tblMRP[[#This Row],[Order multiple (units)]],1)))</f>
        <v>0</v>
      </c>
      <c r="N84" s="35">
        <f>IF(tblMRP[[#This Row],[Item]]="","",IF(tblMRP[[#This Row],[Order multiple (units)]]="","",MAX(0,tblMRP[[#This Row],[Uncovered (units)]]-(tblMRP[[#This Row],[Cum. planned (units)]]-tblMRP[[#This Row],[Planned receipt (units)]]))))</f>
        <v>0</v>
      </c>
      <c r="O84" s="35">
        <f>IF(tblMRP[[#This Row],[Item]]="","",IF(tblMRP[[#This Row],[Order multiple (units)]]="","",tblMRP[[#This Row],[Safety stock (units)]]-tblMRP[[#This Row],[Uncovered (units)]]+tblMRP[[#This Row],[Cum. planned (units)]]))</f>
        <v>800</v>
      </c>
      <c r="P84" s="36">
        <f>IF(tblMRP[[#This Row],[Item]]="","",IF(N(tblMRP[[#This Row],[Planned receipt (units)]])&gt;0,tblMRP[[#This Row],[Week]]-7*tblMRP[[#This Row],[Lead time (wk)]],""))</f>
        <v/>
      </c>
      <c r="Q84" s="35">
        <f>IF(tblMRP[[#This Row],[Item]]="","",SUMIFS(tblMRP[Planned receipt (units)],tblMRP[Item],tblMRP[[#This Row],[Item]],tblMRP[Week],tblMRP[[#This Row],[Week]]+7*N(tblMRP[[#This Row],[Lead time (wk)]])))</f>
        <v>0</v>
      </c>
      <c r="R84" s="37">
        <f>IF(tblMRP[[#This Row],[Item]]="","",IF(N(tblMRP[[#This Row],[Planned receipt (units)]])=0,"",IF(tblMRP[[#This Row],[Release week]]&lt;PlanStart,"Overdue",IF(tblMRP[[#This Row],[Release week]]&lt;PlanStart+7,"Due soon","OK"))))</f>
        <v/>
      </c>
      <c r="S8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4" s="28" t="s">
        <v>112</v>
      </c>
    </row>
    <row r="85" spans="2:20" x14ac:dyDescent="0.25">
      <c r="B85" s="28" t="s">
        <v>93</v>
      </c>
      <c r="C85" s="34">
        <v>46377</v>
      </c>
      <c r="D85" s="32">
        <v>400</v>
      </c>
      <c r="E85" s="32">
        <v>0</v>
      </c>
      <c r="F85" s="35">
        <f>IF(tblMRP[[#This Row],[Item]]="","",(tblMRP[[#This Row],[Week]]-PlanStart)/7+1)</f>
        <v>8</v>
      </c>
      <c r="G85" s="35">
        <f>IF(tblMRP[[#This Row],[Item]]="","",IFERROR(INDEX(tblItems[On hand (units)],MATCH(tblMRP[[#This Row],[Item]],tblItems[Item],0)),""))</f>
        <v>3200</v>
      </c>
      <c r="H85" s="35">
        <f>IF(tblMRP[[#This Row],[Item]]="","",IFERROR(INDEX(tblItems[Safety stock (units)],MATCH(tblMRP[[#This Row],[Item]],tblItems[Item],0)),""))</f>
        <v>400</v>
      </c>
      <c r="I85" s="35">
        <f>IF(tblMRP[[#This Row],[Item]]="","",IFERROR(INDEX(tblItems[Lead time (wk)],MATCH(tblMRP[[#This Row],[Item]],tblItems[Item],0)),""))</f>
        <v>8</v>
      </c>
      <c r="J85" s="35">
        <f>IF(tblMRP[[#This Row],[Item]]="","",IFERROR(INDEX(tblItems[Order multiple (units)],MATCH(tblMRP[[#This Row],[Item]],tblItems[Item],0)),""))</f>
        <v>1000</v>
      </c>
      <c r="K8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0</v>
      </c>
      <c r="L85" s="35">
        <f>IF(tblMRP[[#This Row],[Item]]="","",IF(tblMRP[[#This Row],[Order multiple (units)]]="","",tblMRP[[#This Row],[Order multiple (units)]]*CEILING(SUMPRODUCT(MAX((tblMRP[Item]=tblMRP[[#This Row],[Item]])*(tblMRP[Week]&lt;=tblMRP[[#This Row],[Week]])*tblMRP[Uncovered (units)]))/tblMRP[[#This Row],[Order multiple (units)]],1)))</f>
        <v>0</v>
      </c>
      <c r="M85" s="35">
        <f>IF(tblMRP[[#This Row],[Item]]="","",IF(tblMRP[[#This Row],[Order multiple (units)]]="","",tblMRP[[#This Row],[Cum. planned (units)]]-tblMRP[[#This Row],[Order multiple (units)]]*CEILING(SUMPRODUCT(MAX((tblMRP[Item]=tblMRP[[#This Row],[Item]])*(tblMRP[Week]&lt;tblMRP[[#This Row],[Week]])*tblMRP[Uncovered (units)]))/tblMRP[[#This Row],[Order multiple (units)]],1)))</f>
        <v>0</v>
      </c>
      <c r="N85" s="35">
        <f>IF(tblMRP[[#This Row],[Item]]="","",IF(tblMRP[[#This Row],[Order multiple (units)]]="","",MAX(0,tblMRP[[#This Row],[Uncovered (units)]]-(tblMRP[[#This Row],[Cum. planned (units)]]-tblMRP[[#This Row],[Planned receipt (units)]]))))</f>
        <v>0</v>
      </c>
      <c r="O85" s="35">
        <f>IF(tblMRP[[#This Row],[Item]]="","",IF(tblMRP[[#This Row],[Order multiple (units)]]="","",tblMRP[[#This Row],[Safety stock (units)]]-tblMRP[[#This Row],[Uncovered (units)]]+tblMRP[[#This Row],[Cum. planned (units)]]))</f>
        <v>400</v>
      </c>
      <c r="P85" s="36">
        <f>IF(tblMRP[[#This Row],[Item]]="","",IF(N(tblMRP[[#This Row],[Planned receipt (units)]])&gt;0,tblMRP[[#This Row],[Week]]-7*tblMRP[[#This Row],[Lead time (wk)]],""))</f>
        <v/>
      </c>
      <c r="Q85" s="35">
        <f>IF(tblMRP[[#This Row],[Item]]="","",SUMIFS(tblMRP[Planned receipt (units)],tblMRP[Item],tblMRP[[#This Row],[Item]],tblMRP[Week],tblMRP[[#This Row],[Week]]+7*N(tblMRP[[#This Row],[Lead time (wk)]])))</f>
        <v>0</v>
      </c>
      <c r="R85" s="37">
        <f>IF(tblMRP[[#This Row],[Item]]="","",IF(N(tblMRP[[#This Row],[Planned receipt (units)]])=0,"",IF(tblMRP[[#This Row],[Release week]]&lt;PlanStart,"Overdue",IF(tblMRP[[#This Row],[Release week]]&lt;PlanStart+7,"Due soon","OK"))))</f>
        <v/>
      </c>
      <c r="S8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5" s="28" t="s">
        <v>112</v>
      </c>
    </row>
    <row r="86" spans="2:20" x14ac:dyDescent="0.25">
      <c r="B86" s="28" t="s">
        <v>93</v>
      </c>
      <c r="C86" s="34">
        <v>46384</v>
      </c>
      <c r="D86" s="32">
        <v>380</v>
      </c>
      <c r="E86" s="32">
        <v>0</v>
      </c>
      <c r="F86" s="35">
        <f>IF(tblMRP[[#This Row],[Item]]="","",(tblMRP[[#This Row],[Week]]-PlanStart)/7+1)</f>
        <v>9</v>
      </c>
      <c r="G86" s="35">
        <f>IF(tblMRP[[#This Row],[Item]]="","",IFERROR(INDEX(tblItems[On hand (units)],MATCH(tblMRP[[#This Row],[Item]],tblItems[Item],0)),""))</f>
        <v>3200</v>
      </c>
      <c r="H86" s="35">
        <f>IF(tblMRP[[#This Row],[Item]]="","",IFERROR(INDEX(tblItems[Safety stock (units)],MATCH(tblMRP[[#This Row],[Item]],tblItems[Item],0)),""))</f>
        <v>400</v>
      </c>
      <c r="I86" s="35">
        <f>IF(tblMRP[[#This Row],[Item]]="","",IFERROR(INDEX(tblItems[Lead time (wk)],MATCH(tblMRP[[#This Row],[Item]],tblItems[Item],0)),""))</f>
        <v>8</v>
      </c>
      <c r="J86" s="35">
        <f>IF(tblMRP[[#This Row],[Item]]="","",IFERROR(INDEX(tblItems[Order multiple (units)],MATCH(tblMRP[[#This Row],[Item]],tblItems[Item],0)),""))</f>
        <v>1000</v>
      </c>
      <c r="K8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380</v>
      </c>
      <c r="L86" s="35">
        <f>IF(tblMRP[[#This Row],[Item]]="","",IF(tblMRP[[#This Row],[Order multiple (units)]]="","",tblMRP[[#This Row],[Order multiple (units)]]*CEILING(SUMPRODUCT(MAX((tblMRP[Item]=tblMRP[[#This Row],[Item]])*(tblMRP[Week]&lt;=tblMRP[[#This Row],[Week]])*tblMRP[Uncovered (units)]))/tblMRP[[#This Row],[Order multiple (units)]],1)))</f>
        <v>1000</v>
      </c>
      <c r="M86" s="35">
        <f>IF(tblMRP[[#This Row],[Item]]="","",IF(tblMRP[[#This Row],[Order multiple (units)]]="","",tblMRP[[#This Row],[Cum. planned (units)]]-tblMRP[[#This Row],[Order multiple (units)]]*CEILING(SUMPRODUCT(MAX((tblMRP[Item]=tblMRP[[#This Row],[Item]])*(tblMRP[Week]&lt;tblMRP[[#This Row],[Week]])*tblMRP[Uncovered (units)]))/tblMRP[[#This Row],[Order multiple (units)]],1)))</f>
        <v>1000</v>
      </c>
      <c r="N86" s="35">
        <f>IF(tblMRP[[#This Row],[Item]]="","",IF(tblMRP[[#This Row],[Order multiple (units)]]="","",MAX(0,tblMRP[[#This Row],[Uncovered (units)]]-(tblMRP[[#This Row],[Cum. planned (units)]]-tblMRP[[#This Row],[Planned receipt (units)]]))))</f>
        <v>380</v>
      </c>
      <c r="O86" s="35">
        <f>IF(tblMRP[[#This Row],[Item]]="","",IF(tblMRP[[#This Row],[Order multiple (units)]]="","",tblMRP[[#This Row],[Safety stock (units)]]-tblMRP[[#This Row],[Uncovered (units)]]+tblMRP[[#This Row],[Cum. planned (units)]]))</f>
        <v>1020</v>
      </c>
      <c r="P86" s="36">
        <f>IF(tblMRP[[#This Row],[Item]]="","",IF(N(tblMRP[[#This Row],[Planned receipt (units)]])&gt;0,tblMRP[[#This Row],[Week]]-7*tblMRP[[#This Row],[Lead time (wk)]],""))</f>
        <v>46328</v>
      </c>
      <c r="Q86" s="35">
        <f>IF(tblMRP[[#This Row],[Item]]="","",SUMIFS(tblMRP[Planned receipt (units)],tblMRP[Item],tblMRP[[#This Row],[Item]],tblMRP[Week],tblMRP[[#This Row],[Week]]+7*N(tblMRP[[#This Row],[Lead time (wk)]])))</f>
        <v>0</v>
      </c>
      <c r="R86" s="37" t="str">
        <f>IF(tblMRP[[#This Row],[Item]]="","",IF(N(tblMRP[[#This Row],[Planned receipt (units)]])=0,"",IF(tblMRP[[#This Row],[Release week]]&lt;PlanStart,"Overdue",IF(tblMRP[[#This Row],[Release week]]&lt;PlanStart+7,"Due soon","OK"))))</f>
        <v>Due soon</v>
      </c>
      <c r="S8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6" s="28" t="s">
        <v>112</v>
      </c>
    </row>
    <row r="87" spans="2:20" x14ac:dyDescent="0.25">
      <c r="B87" s="28" t="s">
        <v>93</v>
      </c>
      <c r="C87" s="34">
        <v>46391</v>
      </c>
      <c r="D87" s="32">
        <v>360</v>
      </c>
      <c r="E87" s="32">
        <v>0</v>
      </c>
      <c r="F87" s="35">
        <f>IF(tblMRP[[#This Row],[Item]]="","",(tblMRP[[#This Row],[Week]]-PlanStart)/7+1)</f>
        <v>10</v>
      </c>
      <c r="G87" s="35">
        <f>IF(tblMRP[[#This Row],[Item]]="","",IFERROR(INDEX(tblItems[On hand (units)],MATCH(tblMRP[[#This Row],[Item]],tblItems[Item],0)),""))</f>
        <v>3200</v>
      </c>
      <c r="H87" s="35">
        <f>IF(tblMRP[[#This Row],[Item]]="","",IFERROR(INDEX(tblItems[Safety stock (units)],MATCH(tblMRP[[#This Row],[Item]],tblItems[Item],0)),""))</f>
        <v>400</v>
      </c>
      <c r="I87" s="35">
        <f>IF(tblMRP[[#This Row],[Item]]="","",IFERROR(INDEX(tblItems[Lead time (wk)],MATCH(tblMRP[[#This Row],[Item]],tblItems[Item],0)),""))</f>
        <v>8</v>
      </c>
      <c r="J87" s="35">
        <f>IF(tblMRP[[#This Row],[Item]]="","",IFERROR(INDEX(tblItems[Order multiple (units)],MATCH(tblMRP[[#This Row],[Item]],tblItems[Item],0)),""))</f>
        <v>1000</v>
      </c>
      <c r="K8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740</v>
      </c>
      <c r="L87" s="35">
        <f>IF(tblMRP[[#This Row],[Item]]="","",IF(tblMRP[[#This Row],[Order multiple (units)]]="","",tblMRP[[#This Row],[Order multiple (units)]]*CEILING(SUMPRODUCT(MAX((tblMRP[Item]=tblMRP[[#This Row],[Item]])*(tblMRP[Week]&lt;=tblMRP[[#This Row],[Week]])*tblMRP[Uncovered (units)]))/tblMRP[[#This Row],[Order multiple (units)]],1)))</f>
        <v>1000</v>
      </c>
      <c r="M87" s="35">
        <f>IF(tblMRP[[#This Row],[Item]]="","",IF(tblMRP[[#This Row],[Order multiple (units)]]="","",tblMRP[[#This Row],[Cum. planned (units)]]-tblMRP[[#This Row],[Order multiple (units)]]*CEILING(SUMPRODUCT(MAX((tblMRP[Item]=tblMRP[[#This Row],[Item]])*(tblMRP[Week]&lt;tblMRP[[#This Row],[Week]])*tblMRP[Uncovered (units)]))/tblMRP[[#This Row],[Order multiple (units)]],1)))</f>
        <v>0</v>
      </c>
      <c r="N87" s="35">
        <f>IF(tblMRP[[#This Row],[Item]]="","",IF(tblMRP[[#This Row],[Order multiple (units)]]="","",MAX(0,tblMRP[[#This Row],[Uncovered (units)]]-(tblMRP[[#This Row],[Cum. planned (units)]]-tblMRP[[#This Row],[Planned receipt (units)]]))))</f>
        <v>0</v>
      </c>
      <c r="O87" s="35">
        <f>IF(tblMRP[[#This Row],[Item]]="","",IF(tblMRP[[#This Row],[Order multiple (units)]]="","",tblMRP[[#This Row],[Safety stock (units)]]-tblMRP[[#This Row],[Uncovered (units)]]+tblMRP[[#This Row],[Cum. planned (units)]]))</f>
        <v>660</v>
      </c>
      <c r="P87" s="36">
        <f>IF(tblMRP[[#This Row],[Item]]="","",IF(N(tblMRP[[#This Row],[Planned receipt (units)]])&gt;0,tblMRP[[#This Row],[Week]]-7*tblMRP[[#This Row],[Lead time (wk)]],""))</f>
        <v/>
      </c>
      <c r="Q87" s="35">
        <f>IF(tblMRP[[#This Row],[Item]]="","",SUMIFS(tblMRP[Planned receipt (units)],tblMRP[Item],tblMRP[[#This Row],[Item]],tblMRP[Week],tblMRP[[#This Row],[Week]]+7*N(tblMRP[[#This Row],[Lead time (wk)]])))</f>
        <v>0</v>
      </c>
      <c r="R87" s="37">
        <f>IF(tblMRP[[#This Row],[Item]]="","",IF(N(tblMRP[[#This Row],[Planned receipt (units)]])=0,"",IF(tblMRP[[#This Row],[Release week]]&lt;PlanStart,"Overdue",IF(tblMRP[[#This Row],[Release week]]&lt;PlanStart+7,"Due soon","OK"))))</f>
        <v/>
      </c>
      <c r="S8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7" s="28" t="s">
        <v>112</v>
      </c>
    </row>
    <row r="88" spans="2:20" x14ac:dyDescent="0.25">
      <c r="B88" s="28" t="s">
        <v>93</v>
      </c>
      <c r="C88" s="34">
        <v>46398</v>
      </c>
      <c r="D88" s="32">
        <v>340</v>
      </c>
      <c r="E88" s="32">
        <v>0</v>
      </c>
      <c r="F88" s="35">
        <f>IF(tblMRP[[#This Row],[Item]]="","",(tblMRP[[#This Row],[Week]]-PlanStart)/7+1)</f>
        <v>11</v>
      </c>
      <c r="G88" s="35">
        <f>IF(tblMRP[[#This Row],[Item]]="","",IFERROR(INDEX(tblItems[On hand (units)],MATCH(tblMRP[[#This Row],[Item]],tblItems[Item],0)),""))</f>
        <v>3200</v>
      </c>
      <c r="H88" s="35">
        <f>IF(tblMRP[[#This Row],[Item]]="","",IFERROR(INDEX(tblItems[Safety stock (units)],MATCH(tblMRP[[#This Row],[Item]],tblItems[Item],0)),""))</f>
        <v>400</v>
      </c>
      <c r="I88" s="35">
        <f>IF(tblMRP[[#This Row],[Item]]="","",IFERROR(INDEX(tblItems[Lead time (wk)],MATCH(tblMRP[[#This Row],[Item]],tblItems[Item],0)),""))</f>
        <v>8</v>
      </c>
      <c r="J88" s="35">
        <f>IF(tblMRP[[#This Row],[Item]]="","",IFERROR(INDEX(tblItems[Order multiple (units)],MATCH(tblMRP[[#This Row],[Item]],tblItems[Item],0)),""))</f>
        <v>1000</v>
      </c>
      <c r="K8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1080</v>
      </c>
      <c r="L88" s="35">
        <f>IF(tblMRP[[#This Row],[Item]]="","",IF(tblMRP[[#This Row],[Order multiple (units)]]="","",tblMRP[[#This Row],[Order multiple (units)]]*CEILING(SUMPRODUCT(MAX((tblMRP[Item]=tblMRP[[#This Row],[Item]])*(tblMRP[Week]&lt;=tblMRP[[#This Row],[Week]])*tblMRP[Uncovered (units)]))/tblMRP[[#This Row],[Order multiple (units)]],1)))</f>
        <v>2000</v>
      </c>
      <c r="M88" s="35">
        <f>IF(tblMRP[[#This Row],[Item]]="","",IF(tblMRP[[#This Row],[Order multiple (units)]]="","",tblMRP[[#This Row],[Cum. planned (units)]]-tblMRP[[#This Row],[Order multiple (units)]]*CEILING(SUMPRODUCT(MAX((tblMRP[Item]=tblMRP[[#This Row],[Item]])*(tblMRP[Week]&lt;tblMRP[[#This Row],[Week]])*tblMRP[Uncovered (units)]))/tblMRP[[#This Row],[Order multiple (units)]],1)))</f>
        <v>1000</v>
      </c>
      <c r="N88" s="35">
        <f>IF(tblMRP[[#This Row],[Item]]="","",IF(tblMRP[[#This Row],[Order multiple (units)]]="","",MAX(0,tblMRP[[#This Row],[Uncovered (units)]]-(tblMRP[[#This Row],[Cum. planned (units)]]-tblMRP[[#This Row],[Planned receipt (units)]]))))</f>
        <v>80</v>
      </c>
      <c r="O88" s="35">
        <f>IF(tblMRP[[#This Row],[Item]]="","",IF(tblMRP[[#This Row],[Order multiple (units)]]="","",tblMRP[[#This Row],[Safety stock (units)]]-tblMRP[[#This Row],[Uncovered (units)]]+tblMRP[[#This Row],[Cum. planned (units)]]))</f>
        <v>1320</v>
      </c>
      <c r="P88" s="36">
        <f>IF(tblMRP[[#This Row],[Item]]="","",IF(N(tblMRP[[#This Row],[Planned receipt (units)]])&gt;0,tblMRP[[#This Row],[Week]]-7*tblMRP[[#This Row],[Lead time (wk)]],""))</f>
        <v>46342</v>
      </c>
      <c r="Q88" s="35">
        <f>IF(tblMRP[[#This Row],[Item]]="","",SUMIFS(tblMRP[Planned receipt (units)],tblMRP[Item],tblMRP[[#This Row],[Item]],tblMRP[Week],tblMRP[[#This Row],[Week]]+7*N(tblMRP[[#This Row],[Lead time (wk)]])))</f>
        <v>0</v>
      </c>
      <c r="R88" s="37" t="str">
        <f>IF(tblMRP[[#This Row],[Item]]="","",IF(N(tblMRP[[#This Row],[Planned receipt (units)]])=0,"",IF(tblMRP[[#This Row],[Release week]]&lt;PlanStart,"Overdue",IF(tblMRP[[#This Row],[Release week]]&lt;PlanStart+7,"Due soon","OK"))))</f>
        <v>OK</v>
      </c>
      <c r="S8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8" s="28" t="s">
        <v>112</v>
      </c>
    </row>
    <row r="89" spans="2:20" x14ac:dyDescent="0.25">
      <c r="B89" s="28" t="s">
        <v>93</v>
      </c>
      <c r="C89" s="34">
        <v>46405</v>
      </c>
      <c r="D89" s="32">
        <v>320</v>
      </c>
      <c r="E89" s="32">
        <v>0</v>
      </c>
      <c r="F89" s="35">
        <f>IF(tblMRP[[#This Row],[Item]]="","",(tblMRP[[#This Row],[Week]]-PlanStart)/7+1)</f>
        <v>12</v>
      </c>
      <c r="G89" s="35">
        <f>IF(tblMRP[[#This Row],[Item]]="","",IFERROR(INDEX(tblItems[On hand (units)],MATCH(tblMRP[[#This Row],[Item]],tblItems[Item],0)),""))</f>
        <v>3200</v>
      </c>
      <c r="H89" s="35">
        <f>IF(tblMRP[[#This Row],[Item]]="","",IFERROR(INDEX(tblItems[Safety stock (units)],MATCH(tblMRP[[#This Row],[Item]],tblItems[Item],0)),""))</f>
        <v>400</v>
      </c>
      <c r="I89" s="35">
        <f>IF(tblMRP[[#This Row],[Item]]="","",IFERROR(INDEX(tblItems[Lead time (wk)],MATCH(tblMRP[[#This Row],[Item]],tblItems[Item],0)),""))</f>
        <v>8</v>
      </c>
      <c r="J89" s="35">
        <f>IF(tblMRP[[#This Row],[Item]]="","",IFERROR(INDEX(tblItems[Order multiple (units)],MATCH(tblMRP[[#This Row],[Item]],tblItems[Item],0)),""))</f>
        <v>1000</v>
      </c>
      <c r="K8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1400</v>
      </c>
      <c r="L89" s="35">
        <f>IF(tblMRP[[#This Row],[Item]]="","",IF(tblMRP[[#This Row],[Order multiple (units)]]="","",tblMRP[[#This Row],[Order multiple (units)]]*CEILING(SUMPRODUCT(MAX((tblMRP[Item]=tblMRP[[#This Row],[Item]])*(tblMRP[Week]&lt;=tblMRP[[#This Row],[Week]])*tblMRP[Uncovered (units)]))/tblMRP[[#This Row],[Order multiple (units)]],1)))</f>
        <v>2000</v>
      </c>
      <c r="M89" s="35">
        <f>IF(tblMRP[[#This Row],[Item]]="","",IF(tblMRP[[#This Row],[Order multiple (units)]]="","",tblMRP[[#This Row],[Cum. planned (units)]]-tblMRP[[#This Row],[Order multiple (units)]]*CEILING(SUMPRODUCT(MAX((tblMRP[Item]=tblMRP[[#This Row],[Item]])*(tblMRP[Week]&lt;tblMRP[[#This Row],[Week]])*tblMRP[Uncovered (units)]))/tblMRP[[#This Row],[Order multiple (units)]],1)))</f>
        <v>0</v>
      </c>
      <c r="N89" s="35">
        <f>IF(tblMRP[[#This Row],[Item]]="","",IF(tblMRP[[#This Row],[Order multiple (units)]]="","",MAX(0,tblMRP[[#This Row],[Uncovered (units)]]-(tblMRP[[#This Row],[Cum. planned (units)]]-tblMRP[[#This Row],[Planned receipt (units)]]))))</f>
        <v>0</v>
      </c>
      <c r="O89" s="35">
        <f>IF(tblMRP[[#This Row],[Item]]="","",IF(tblMRP[[#This Row],[Order multiple (units)]]="","",tblMRP[[#This Row],[Safety stock (units)]]-tblMRP[[#This Row],[Uncovered (units)]]+tblMRP[[#This Row],[Cum. planned (units)]]))</f>
        <v>1000</v>
      </c>
      <c r="P89" s="36">
        <f>IF(tblMRP[[#This Row],[Item]]="","",IF(N(tblMRP[[#This Row],[Planned receipt (units)]])&gt;0,tblMRP[[#This Row],[Week]]-7*tblMRP[[#This Row],[Lead time (wk)]],""))</f>
        <v/>
      </c>
      <c r="Q89" s="35">
        <f>IF(tblMRP[[#This Row],[Item]]="","",SUMIFS(tblMRP[Planned receipt (units)],tblMRP[Item],tblMRP[[#This Row],[Item]],tblMRP[Week],tblMRP[[#This Row],[Week]]+7*N(tblMRP[[#This Row],[Lead time (wk)]])))</f>
        <v>0</v>
      </c>
      <c r="R89" s="37">
        <f>IF(tblMRP[[#This Row],[Item]]="","",IF(N(tblMRP[[#This Row],[Planned receipt (units)]])=0,"",IF(tblMRP[[#This Row],[Release week]]&lt;PlanStart,"Overdue",IF(tblMRP[[#This Row],[Release week]]&lt;PlanStart+7,"Due soon","OK"))))</f>
        <v/>
      </c>
      <c r="S8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89" s="28" t="s">
        <v>112</v>
      </c>
    </row>
    <row r="90" spans="2:20" x14ac:dyDescent="0.25">
      <c r="B90" s="28" t="s">
        <v>95</v>
      </c>
      <c r="C90" s="34">
        <v>46328</v>
      </c>
      <c r="D90" s="32">
        <v>300</v>
      </c>
      <c r="E90" s="32">
        <v>250</v>
      </c>
      <c r="F90" s="35">
        <f>IF(tblMRP[[#This Row],[Item]]="","",(tblMRP[[#This Row],[Week]]-PlanStart)/7+1)</f>
        <v>1</v>
      </c>
      <c r="G90" s="35">
        <f>IF(tblMRP[[#This Row],[Item]]="","",IFERROR(INDEX(tblItems[On hand (units)],MATCH(tblMRP[[#This Row],[Item]],tblItems[Item],0)),""))</f>
        <v>800</v>
      </c>
      <c r="H90" s="35">
        <f>IF(tblMRP[[#This Row],[Item]]="","",IFERROR(INDEX(tblItems[Safety stock (units)],MATCH(tblMRP[[#This Row],[Item]],tblItems[Item],0)),""))</f>
        <v>200</v>
      </c>
      <c r="I90" s="35">
        <f>IF(tblMRP[[#This Row],[Item]]="","",IFERROR(INDEX(tblItems[Lead time (wk)],MATCH(tblMRP[[#This Row],[Item]],tblItems[Item],0)),""))</f>
        <v>1</v>
      </c>
      <c r="J90" s="35">
        <f>IF(tblMRP[[#This Row],[Item]]="","",IFERROR(INDEX(tblItems[Order multiple (units)],MATCH(tblMRP[[#This Row],[Item]],tblItems[Item],0)),""))</f>
        <v>250</v>
      </c>
      <c r="K9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-550</v>
      </c>
      <c r="L90" s="35">
        <f>IF(tblMRP[[#This Row],[Item]]="","",IF(tblMRP[[#This Row],[Order multiple (units)]]="","",tblMRP[[#This Row],[Order multiple (units)]]*CEILING(SUMPRODUCT(MAX((tblMRP[Item]=tblMRP[[#This Row],[Item]])*(tblMRP[Week]&lt;=tblMRP[[#This Row],[Week]])*tblMRP[Uncovered (units)]))/tblMRP[[#This Row],[Order multiple (units)]],1)))</f>
        <v>0</v>
      </c>
      <c r="M90" s="35">
        <f>IF(tblMRP[[#This Row],[Item]]="","",IF(tblMRP[[#This Row],[Order multiple (units)]]="","",tblMRP[[#This Row],[Cum. planned (units)]]-tblMRP[[#This Row],[Order multiple (units)]]*CEILING(SUMPRODUCT(MAX((tblMRP[Item]=tblMRP[[#This Row],[Item]])*(tblMRP[Week]&lt;tblMRP[[#This Row],[Week]])*tblMRP[Uncovered (units)]))/tblMRP[[#This Row],[Order multiple (units)]],1)))</f>
        <v>0</v>
      </c>
      <c r="N90" s="35">
        <f>IF(tblMRP[[#This Row],[Item]]="","",IF(tblMRP[[#This Row],[Order multiple (units)]]="","",MAX(0,tblMRP[[#This Row],[Uncovered (units)]]-(tblMRP[[#This Row],[Cum. planned (units)]]-tblMRP[[#This Row],[Planned receipt (units)]]))))</f>
        <v>0</v>
      </c>
      <c r="O90" s="35">
        <f>IF(tblMRP[[#This Row],[Item]]="","",IF(tblMRP[[#This Row],[Order multiple (units)]]="","",tblMRP[[#This Row],[Safety stock (units)]]-tblMRP[[#This Row],[Uncovered (units)]]+tblMRP[[#This Row],[Cum. planned (units)]]))</f>
        <v>750</v>
      </c>
      <c r="P90" s="36">
        <f>IF(tblMRP[[#This Row],[Item]]="","",IF(N(tblMRP[[#This Row],[Planned receipt (units)]])&gt;0,tblMRP[[#This Row],[Week]]-7*tblMRP[[#This Row],[Lead time (wk)]],""))</f>
        <v/>
      </c>
      <c r="Q90" s="35">
        <f>IF(tblMRP[[#This Row],[Item]]="","",SUMIFS(tblMRP[Planned receipt (units)],tblMRP[Item],tblMRP[[#This Row],[Item]],tblMRP[Week],tblMRP[[#This Row],[Week]]+7*N(tblMRP[[#This Row],[Lead time (wk)]])))</f>
        <v>0</v>
      </c>
      <c r="R90" s="37">
        <f>IF(tblMRP[[#This Row],[Item]]="","",IF(N(tblMRP[[#This Row],[Planned receipt (units)]])=0,"",IF(tblMRP[[#This Row],[Release week]]&lt;PlanStart,"Overdue",IF(tblMRP[[#This Row],[Release week]]&lt;PlanStart+7,"Due soon","OK"))))</f>
        <v/>
      </c>
      <c r="S9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0" s="28" t="s">
        <v>113</v>
      </c>
    </row>
    <row r="91" spans="2:20" x14ac:dyDescent="0.25">
      <c r="B91" s="28" t="s">
        <v>95</v>
      </c>
      <c r="C91" s="34">
        <v>46335</v>
      </c>
      <c r="D91" s="32">
        <v>320</v>
      </c>
      <c r="E91" s="32">
        <v>0</v>
      </c>
      <c r="F91" s="35">
        <f>IF(tblMRP[[#This Row],[Item]]="","",(tblMRP[[#This Row],[Week]]-PlanStart)/7+1)</f>
        <v>2</v>
      </c>
      <c r="G91" s="35">
        <f>IF(tblMRP[[#This Row],[Item]]="","",IFERROR(INDEX(tblItems[On hand (units)],MATCH(tblMRP[[#This Row],[Item]],tblItems[Item],0)),""))</f>
        <v>800</v>
      </c>
      <c r="H91" s="35">
        <f>IF(tblMRP[[#This Row],[Item]]="","",IFERROR(INDEX(tblItems[Safety stock (units)],MATCH(tblMRP[[#This Row],[Item]],tblItems[Item],0)),""))</f>
        <v>200</v>
      </c>
      <c r="I91" s="35">
        <f>IF(tblMRP[[#This Row],[Item]]="","",IFERROR(INDEX(tblItems[Lead time (wk)],MATCH(tblMRP[[#This Row],[Item]],tblItems[Item],0)),""))</f>
        <v>1</v>
      </c>
      <c r="J91" s="35">
        <f>IF(tblMRP[[#This Row],[Item]]="","",IFERROR(INDEX(tblItems[Order multiple (units)],MATCH(tblMRP[[#This Row],[Item]],tblItems[Item],0)),""))</f>
        <v>250</v>
      </c>
      <c r="K9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-230</v>
      </c>
      <c r="L91" s="35">
        <f>IF(tblMRP[[#This Row],[Item]]="","",IF(tblMRP[[#This Row],[Order multiple (units)]]="","",tblMRP[[#This Row],[Order multiple (units)]]*CEILING(SUMPRODUCT(MAX((tblMRP[Item]=tblMRP[[#This Row],[Item]])*(tblMRP[Week]&lt;=tblMRP[[#This Row],[Week]])*tblMRP[Uncovered (units)]))/tblMRP[[#This Row],[Order multiple (units)]],1)))</f>
        <v>0</v>
      </c>
      <c r="M91" s="35">
        <f>IF(tblMRP[[#This Row],[Item]]="","",IF(tblMRP[[#This Row],[Order multiple (units)]]="","",tblMRP[[#This Row],[Cum. planned (units)]]-tblMRP[[#This Row],[Order multiple (units)]]*CEILING(SUMPRODUCT(MAX((tblMRP[Item]=tblMRP[[#This Row],[Item]])*(tblMRP[Week]&lt;tblMRP[[#This Row],[Week]])*tblMRP[Uncovered (units)]))/tblMRP[[#This Row],[Order multiple (units)]],1)))</f>
        <v>0</v>
      </c>
      <c r="N91" s="35">
        <f>IF(tblMRP[[#This Row],[Item]]="","",IF(tblMRP[[#This Row],[Order multiple (units)]]="","",MAX(0,tblMRP[[#This Row],[Uncovered (units)]]-(tblMRP[[#This Row],[Cum. planned (units)]]-tblMRP[[#This Row],[Planned receipt (units)]]))))</f>
        <v>0</v>
      </c>
      <c r="O91" s="35">
        <f>IF(tblMRP[[#This Row],[Item]]="","",IF(tblMRP[[#This Row],[Order multiple (units)]]="","",tblMRP[[#This Row],[Safety stock (units)]]-tblMRP[[#This Row],[Uncovered (units)]]+tblMRP[[#This Row],[Cum. planned (units)]]))</f>
        <v>430</v>
      </c>
      <c r="P91" s="36">
        <f>IF(tblMRP[[#This Row],[Item]]="","",IF(N(tblMRP[[#This Row],[Planned receipt (units)]])&gt;0,tblMRP[[#This Row],[Week]]-7*tblMRP[[#This Row],[Lead time (wk)]],""))</f>
        <v/>
      </c>
      <c r="Q91" s="35">
        <f>IF(tblMRP[[#This Row],[Item]]="","",SUMIFS(tblMRP[Planned receipt (units)],tblMRP[Item],tblMRP[[#This Row],[Item]],tblMRP[Week],tblMRP[[#This Row],[Week]]+7*N(tblMRP[[#This Row],[Lead time (wk)]])))</f>
        <v>250</v>
      </c>
      <c r="R91" s="37">
        <f>IF(tblMRP[[#This Row],[Item]]="","",IF(N(tblMRP[[#This Row],[Planned receipt (units)]])=0,"",IF(tblMRP[[#This Row],[Release week]]&lt;PlanStart,"Overdue",IF(tblMRP[[#This Row],[Release week]]&lt;PlanStart+7,"Due soon","OK"))))</f>
        <v/>
      </c>
      <c r="S9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1" s="28" t="s">
        <v>112</v>
      </c>
    </row>
    <row r="92" spans="2:20" x14ac:dyDescent="0.25">
      <c r="B92" s="28" t="s">
        <v>95</v>
      </c>
      <c r="C92" s="34">
        <v>46342</v>
      </c>
      <c r="D92" s="32">
        <v>300</v>
      </c>
      <c r="E92" s="32">
        <v>0</v>
      </c>
      <c r="F92" s="35">
        <f>IF(tblMRP[[#This Row],[Item]]="","",(tblMRP[[#This Row],[Week]]-PlanStart)/7+1)</f>
        <v>3</v>
      </c>
      <c r="G92" s="35">
        <f>IF(tblMRP[[#This Row],[Item]]="","",IFERROR(INDEX(tblItems[On hand (units)],MATCH(tblMRP[[#This Row],[Item]],tblItems[Item],0)),""))</f>
        <v>800</v>
      </c>
      <c r="H92" s="35">
        <f>IF(tblMRP[[#This Row],[Item]]="","",IFERROR(INDEX(tblItems[Safety stock (units)],MATCH(tblMRP[[#This Row],[Item]],tblItems[Item],0)),""))</f>
        <v>200</v>
      </c>
      <c r="I92" s="35">
        <f>IF(tblMRP[[#This Row],[Item]]="","",IFERROR(INDEX(tblItems[Lead time (wk)],MATCH(tblMRP[[#This Row],[Item]],tblItems[Item],0)),""))</f>
        <v>1</v>
      </c>
      <c r="J92" s="35">
        <f>IF(tblMRP[[#This Row],[Item]]="","",IFERROR(INDEX(tblItems[Order multiple (units)],MATCH(tblMRP[[#This Row],[Item]],tblItems[Item],0)),""))</f>
        <v>250</v>
      </c>
      <c r="K92"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70</v>
      </c>
      <c r="L92" s="35">
        <f>IF(tblMRP[[#This Row],[Item]]="","",IF(tblMRP[[#This Row],[Order multiple (units)]]="","",tblMRP[[#This Row],[Order multiple (units)]]*CEILING(SUMPRODUCT(MAX((tblMRP[Item]=tblMRP[[#This Row],[Item]])*(tblMRP[Week]&lt;=tblMRP[[#This Row],[Week]])*tblMRP[Uncovered (units)]))/tblMRP[[#This Row],[Order multiple (units)]],1)))</f>
        <v>250</v>
      </c>
      <c r="M92" s="35">
        <f>IF(tblMRP[[#This Row],[Item]]="","",IF(tblMRP[[#This Row],[Order multiple (units)]]="","",tblMRP[[#This Row],[Cum. planned (units)]]-tblMRP[[#This Row],[Order multiple (units)]]*CEILING(SUMPRODUCT(MAX((tblMRP[Item]=tblMRP[[#This Row],[Item]])*(tblMRP[Week]&lt;tblMRP[[#This Row],[Week]])*tblMRP[Uncovered (units)]))/tblMRP[[#This Row],[Order multiple (units)]],1)))</f>
        <v>250</v>
      </c>
      <c r="N92" s="35">
        <f>IF(tblMRP[[#This Row],[Item]]="","",IF(tblMRP[[#This Row],[Order multiple (units)]]="","",MAX(0,tblMRP[[#This Row],[Uncovered (units)]]-(tblMRP[[#This Row],[Cum. planned (units)]]-tblMRP[[#This Row],[Planned receipt (units)]]))))</f>
        <v>70</v>
      </c>
      <c r="O92" s="35">
        <f>IF(tblMRP[[#This Row],[Item]]="","",IF(tblMRP[[#This Row],[Order multiple (units)]]="","",tblMRP[[#This Row],[Safety stock (units)]]-tblMRP[[#This Row],[Uncovered (units)]]+tblMRP[[#This Row],[Cum. planned (units)]]))</f>
        <v>380</v>
      </c>
      <c r="P92" s="36">
        <f>IF(tblMRP[[#This Row],[Item]]="","",IF(N(tblMRP[[#This Row],[Planned receipt (units)]])&gt;0,tblMRP[[#This Row],[Week]]-7*tblMRP[[#This Row],[Lead time (wk)]],""))</f>
        <v>46335</v>
      </c>
      <c r="Q92" s="35">
        <f>IF(tblMRP[[#This Row],[Item]]="","",SUMIFS(tblMRP[Planned receipt (units)],tblMRP[Item],tblMRP[[#This Row],[Item]],tblMRP[Week],tblMRP[[#This Row],[Week]]+7*N(tblMRP[[#This Row],[Lead time (wk)]])))</f>
        <v>250</v>
      </c>
      <c r="R92" s="37" t="str">
        <f>IF(tblMRP[[#This Row],[Item]]="","",IF(N(tblMRP[[#This Row],[Planned receipt (units)]])=0,"",IF(tblMRP[[#This Row],[Release week]]&lt;PlanStart,"Overdue",IF(tblMRP[[#This Row],[Release week]]&lt;PlanStart+7,"Due soon","OK"))))</f>
        <v>OK</v>
      </c>
      <c r="S92"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2" s="28" t="s">
        <v>112</v>
      </c>
    </row>
    <row r="93" spans="2:20" x14ac:dyDescent="0.25">
      <c r="B93" s="28" t="s">
        <v>95</v>
      </c>
      <c r="C93" s="34">
        <v>46349</v>
      </c>
      <c r="D93" s="32">
        <v>340</v>
      </c>
      <c r="E93" s="32">
        <v>0</v>
      </c>
      <c r="F93" s="35">
        <f>IF(tblMRP[[#This Row],[Item]]="","",(tblMRP[[#This Row],[Week]]-PlanStart)/7+1)</f>
        <v>4</v>
      </c>
      <c r="G93" s="35">
        <f>IF(tblMRP[[#This Row],[Item]]="","",IFERROR(INDEX(tblItems[On hand (units)],MATCH(tblMRP[[#This Row],[Item]],tblItems[Item],0)),""))</f>
        <v>800</v>
      </c>
      <c r="H93" s="35">
        <f>IF(tblMRP[[#This Row],[Item]]="","",IFERROR(INDEX(tblItems[Safety stock (units)],MATCH(tblMRP[[#This Row],[Item]],tblItems[Item],0)),""))</f>
        <v>200</v>
      </c>
      <c r="I93" s="35">
        <f>IF(tblMRP[[#This Row],[Item]]="","",IFERROR(INDEX(tblItems[Lead time (wk)],MATCH(tblMRP[[#This Row],[Item]],tblItems[Item],0)),""))</f>
        <v>1</v>
      </c>
      <c r="J93" s="35">
        <f>IF(tblMRP[[#This Row],[Item]]="","",IFERROR(INDEX(tblItems[Order multiple (units)],MATCH(tblMRP[[#This Row],[Item]],tblItems[Item],0)),""))</f>
        <v>250</v>
      </c>
      <c r="K93"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410</v>
      </c>
      <c r="L93" s="35">
        <f>IF(tblMRP[[#This Row],[Item]]="","",IF(tblMRP[[#This Row],[Order multiple (units)]]="","",tblMRP[[#This Row],[Order multiple (units)]]*CEILING(SUMPRODUCT(MAX((tblMRP[Item]=tblMRP[[#This Row],[Item]])*(tblMRP[Week]&lt;=tblMRP[[#This Row],[Week]])*tblMRP[Uncovered (units)]))/tblMRP[[#This Row],[Order multiple (units)]],1)))</f>
        <v>500</v>
      </c>
      <c r="M93" s="35">
        <f>IF(tblMRP[[#This Row],[Item]]="","",IF(tblMRP[[#This Row],[Order multiple (units)]]="","",tblMRP[[#This Row],[Cum. planned (units)]]-tblMRP[[#This Row],[Order multiple (units)]]*CEILING(SUMPRODUCT(MAX((tblMRP[Item]=tblMRP[[#This Row],[Item]])*(tblMRP[Week]&lt;tblMRP[[#This Row],[Week]])*tblMRP[Uncovered (units)]))/tblMRP[[#This Row],[Order multiple (units)]],1)))</f>
        <v>250</v>
      </c>
      <c r="N93" s="35">
        <f>IF(tblMRP[[#This Row],[Item]]="","",IF(tblMRP[[#This Row],[Order multiple (units)]]="","",MAX(0,tblMRP[[#This Row],[Uncovered (units)]]-(tblMRP[[#This Row],[Cum. planned (units)]]-tblMRP[[#This Row],[Planned receipt (units)]]))))</f>
        <v>160</v>
      </c>
      <c r="O93" s="35">
        <f>IF(tblMRP[[#This Row],[Item]]="","",IF(tblMRP[[#This Row],[Order multiple (units)]]="","",tblMRP[[#This Row],[Safety stock (units)]]-tblMRP[[#This Row],[Uncovered (units)]]+tblMRP[[#This Row],[Cum. planned (units)]]))</f>
        <v>290</v>
      </c>
      <c r="P93" s="36">
        <f>IF(tblMRP[[#This Row],[Item]]="","",IF(N(tblMRP[[#This Row],[Planned receipt (units)]])&gt;0,tblMRP[[#This Row],[Week]]-7*tblMRP[[#This Row],[Lead time (wk)]],""))</f>
        <v>46342</v>
      </c>
      <c r="Q93" s="35">
        <f>IF(tblMRP[[#This Row],[Item]]="","",SUMIFS(tblMRP[Planned receipt (units)],tblMRP[Item],tblMRP[[#This Row],[Item]],tblMRP[Week],tblMRP[[#This Row],[Week]]+7*N(tblMRP[[#This Row],[Lead time (wk)]])))</f>
        <v>500</v>
      </c>
      <c r="R93" s="37" t="str">
        <f>IF(tblMRP[[#This Row],[Item]]="","",IF(N(tblMRP[[#This Row],[Planned receipt (units)]])=0,"",IF(tblMRP[[#This Row],[Release week]]&lt;PlanStart,"Overdue",IF(tblMRP[[#This Row],[Release week]]&lt;PlanStart+7,"Due soon","OK"))))</f>
        <v>OK</v>
      </c>
      <c r="S93"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3" s="28" t="s">
        <v>112</v>
      </c>
    </row>
    <row r="94" spans="2:20" x14ac:dyDescent="0.25">
      <c r="B94" s="28" t="s">
        <v>95</v>
      </c>
      <c r="C94" s="34">
        <v>46356</v>
      </c>
      <c r="D94" s="32">
        <v>360</v>
      </c>
      <c r="E94" s="32">
        <v>0</v>
      </c>
      <c r="F94" s="35">
        <f>IF(tblMRP[[#This Row],[Item]]="","",(tblMRP[[#This Row],[Week]]-PlanStart)/7+1)</f>
        <v>5</v>
      </c>
      <c r="G94" s="35">
        <f>IF(tblMRP[[#This Row],[Item]]="","",IFERROR(INDEX(tblItems[On hand (units)],MATCH(tblMRP[[#This Row],[Item]],tblItems[Item],0)),""))</f>
        <v>800</v>
      </c>
      <c r="H94" s="35">
        <f>IF(tblMRP[[#This Row],[Item]]="","",IFERROR(INDEX(tblItems[Safety stock (units)],MATCH(tblMRP[[#This Row],[Item]],tblItems[Item],0)),""))</f>
        <v>200</v>
      </c>
      <c r="I94" s="35">
        <f>IF(tblMRP[[#This Row],[Item]]="","",IFERROR(INDEX(tblItems[Lead time (wk)],MATCH(tblMRP[[#This Row],[Item]],tblItems[Item],0)),""))</f>
        <v>1</v>
      </c>
      <c r="J94" s="35">
        <f>IF(tblMRP[[#This Row],[Item]]="","",IFERROR(INDEX(tblItems[Order multiple (units)],MATCH(tblMRP[[#This Row],[Item]],tblItems[Item],0)),""))</f>
        <v>250</v>
      </c>
      <c r="K94"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770</v>
      </c>
      <c r="L94" s="35">
        <f>IF(tblMRP[[#This Row],[Item]]="","",IF(tblMRP[[#This Row],[Order multiple (units)]]="","",tblMRP[[#This Row],[Order multiple (units)]]*CEILING(SUMPRODUCT(MAX((tblMRP[Item]=tblMRP[[#This Row],[Item]])*(tblMRP[Week]&lt;=tblMRP[[#This Row],[Week]])*tblMRP[Uncovered (units)]))/tblMRP[[#This Row],[Order multiple (units)]],1)))</f>
        <v>1000</v>
      </c>
      <c r="M94" s="35">
        <f>IF(tblMRP[[#This Row],[Item]]="","",IF(tblMRP[[#This Row],[Order multiple (units)]]="","",tblMRP[[#This Row],[Cum. planned (units)]]-tblMRP[[#This Row],[Order multiple (units)]]*CEILING(SUMPRODUCT(MAX((tblMRP[Item]=tblMRP[[#This Row],[Item]])*(tblMRP[Week]&lt;tblMRP[[#This Row],[Week]])*tblMRP[Uncovered (units)]))/tblMRP[[#This Row],[Order multiple (units)]],1)))</f>
        <v>500</v>
      </c>
      <c r="N94" s="35">
        <f>IF(tblMRP[[#This Row],[Item]]="","",IF(tblMRP[[#This Row],[Order multiple (units)]]="","",MAX(0,tblMRP[[#This Row],[Uncovered (units)]]-(tblMRP[[#This Row],[Cum. planned (units)]]-tblMRP[[#This Row],[Planned receipt (units)]]))))</f>
        <v>270</v>
      </c>
      <c r="O94" s="35">
        <f>IF(tblMRP[[#This Row],[Item]]="","",IF(tblMRP[[#This Row],[Order multiple (units)]]="","",tblMRP[[#This Row],[Safety stock (units)]]-tblMRP[[#This Row],[Uncovered (units)]]+tblMRP[[#This Row],[Cum. planned (units)]]))</f>
        <v>430</v>
      </c>
      <c r="P94" s="36">
        <f>IF(tblMRP[[#This Row],[Item]]="","",IF(N(tblMRP[[#This Row],[Planned receipt (units)]])&gt;0,tblMRP[[#This Row],[Week]]-7*tblMRP[[#This Row],[Lead time (wk)]],""))</f>
        <v>46349</v>
      </c>
      <c r="Q94" s="35">
        <f>IF(tblMRP[[#This Row],[Item]]="","",SUMIFS(tblMRP[Planned receipt (units)],tblMRP[Item],tblMRP[[#This Row],[Item]],tblMRP[Week],tblMRP[[#This Row],[Week]]+7*N(tblMRP[[#This Row],[Lead time (wk)]])))</f>
        <v>250</v>
      </c>
      <c r="R94" s="37" t="str">
        <f>IF(tblMRP[[#This Row],[Item]]="","",IF(N(tblMRP[[#This Row],[Planned receipt (units)]])=0,"",IF(tblMRP[[#This Row],[Release week]]&lt;PlanStart,"Overdue",IF(tblMRP[[#This Row],[Release week]]&lt;PlanStart+7,"Due soon","OK"))))</f>
        <v>OK</v>
      </c>
      <c r="S94"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4" s="28" t="s">
        <v>112</v>
      </c>
    </row>
    <row r="95" spans="2:20" x14ac:dyDescent="0.25">
      <c r="B95" s="28" t="s">
        <v>95</v>
      </c>
      <c r="C95" s="34">
        <v>46363</v>
      </c>
      <c r="D95" s="32">
        <v>380</v>
      </c>
      <c r="E95" s="32">
        <v>0</v>
      </c>
      <c r="F95" s="35">
        <f>IF(tblMRP[[#This Row],[Item]]="","",(tblMRP[[#This Row],[Week]]-PlanStart)/7+1)</f>
        <v>6</v>
      </c>
      <c r="G95" s="35">
        <f>IF(tblMRP[[#This Row],[Item]]="","",IFERROR(INDEX(tblItems[On hand (units)],MATCH(tblMRP[[#This Row],[Item]],tblItems[Item],0)),""))</f>
        <v>800</v>
      </c>
      <c r="H95" s="35">
        <f>IF(tblMRP[[#This Row],[Item]]="","",IFERROR(INDEX(tblItems[Safety stock (units)],MATCH(tblMRP[[#This Row],[Item]],tblItems[Item],0)),""))</f>
        <v>200</v>
      </c>
      <c r="I95" s="35">
        <f>IF(tblMRP[[#This Row],[Item]]="","",IFERROR(INDEX(tblItems[Lead time (wk)],MATCH(tblMRP[[#This Row],[Item]],tblItems[Item],0)),""))</f>
        <v>1</v>
      </c>
      <c r="J95" s="35">
        <f>IF(tblMRP[[#This Row],[Item]]="","",IFERROR(INDEX(tblItems[Order multiple (units)],MATCH(tblMRP[[#This Row],[Item]],tblItems[Item],0)),""))</f>
        <v>250</v>
      </c>
      <c r="K95"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1150</v>
      </c>
      <c r="L95" s="35">
        <f>IF(tblMRP[[#This Row],[Item]]="","",IF(tblMRP[[#This Row],[Order multiple (units)]]="","",tblMRP[[#This Row],[Order multiple (units)]]*CEILING(SUMPRODUCT(MAX((tblMRP[Item]=tblMRP[[#This Row],[Item]])*(tblMRP[Week]&lt;=tblMRP[[#This Row],[Week]])*tblMRP[Uncovered (units)]))/tblMRP[[#This Row],[Order multiple (units)]],1)))</f>
        <v>1250</v>
      </c>
      <c r="M95" s="35">
        <f>IF(tblMRP[[#This Row],[Item]]="","",IF(tblMRP[[#This Row],[Order multiple (units)]]="","",tblMRP[[#This Row],[Cum. planned (units)]]-tblMRP[[#This Row],[Order multiple (units)]]*CEILING(SUMPRODUCT(MAX((tblMRP[Item]=tblMRP[[#This Row],[Item]])*(tblMRP[Week]&lt;tblMRP[[#This Row],[Week]])*tblMRP[Uncovered (units)]))/tblMRP[[#This Row],[Order multiple (units)]],1)))</f>
        <v>250</v>
      </c>
      <c r="N95" s="35">
        <f>IF(tblMRP[[#This Row],[Item]]="","",IF(tblMRP[[#This Row],[Order multiple (units)]]="","",MAX(0,tblMRP[[#This Row],[Uncovered (units)]]-(tblMRP[[#This Row],[Cum. planned (units)]]-tblMRP[[#This Row],[Planned receipt (units)]]))))</f>
        <v>150</v>
      </c>
      <c r="O95" s="35">
        <f>IF(tblMRP[[#This Row],[Item]]="","",IF(tblMRP[[#This Row],[Order multiple (units)]]="","",tblMRP[[#This Row],[Safety stock (units)]]-tblMRP[[#This Row],[Uncovered (units)]]+tblMRP[[#This Row],[Cum. planned (units)]]))</f>
        <v>300</v>
      </c>
      <c r="P95" s="36">
        <f>IF(tblMRP[[#This Row],[Item]]="","",IF(N(tblMRP[[#This Row],[Planned receipt (units)]])&gt;0,tblMRP[[#This Row],[Week]]-7*tblMRP[[#This Row],[Lead time (wk)]],""))</f>
        <v>46356</v>
      </c>
      <c r="Q95" s="35">
        <f>IF(tblMRP[[#This Row],[Item]]="","",SUMIFS(tblMRP[Planned receipt (units)],tblMRP[Item],tblMRP[[#This Row],[Item]],tblMRP[Week],tblMRP[[#This Row],[Week]]+7*N(tblMRP[[#This Row],[Lead time (wk)]])))</f>
        <v>500</v>
      </c>
      <c r="R95" s="37" t="str">
        <f>IF(tblMRP[[#This Row],[Item]]="","",IF(N(tblMRP[[#This Row],[Planned receipt (units)]])=0,"",IF(tblMRP[[#This Row],[Release week]]&lt;PlanStart,"Overdue",IF(tblMRP[[#This Row],[Release week]]&lt;PlanStart+7,"Due soon","OK"))))</f>
        <v>OK</v>
      </c>
      <c r="S95"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5" s="28" t="s">
        <v>112</v>
      </c>
    </row>
    <row r="96" spans="2:20" x14ac:dyDescent="0.25">
      <c r="B96" s="28" t="s">
        <v>95</v>
      </c>
      <c r="C96" s="34">
        <v>46370</v>
      </c>
      <c r="D96" s="32">
        <v>400</v>
      </c>
      <c r="E96" s="32">
        <v>0</v>
      </c>
      <c r="F96" s="35">
        <f>IF(tblMRP[[#This Row],[Item]]="","",(tblMRP[[#This Row],[Week]]-PlanStart)/7+1)</f>
        <v>7</v>
      </c>
      <c r="G96" s="35">
        <f>IF(tblMRP[[#This Row],[Item]]="","",IFERROR(INDEX(tblItems[On hand (units)],MATCH(tblMRP[[#This Row],[Item]],tblItems[Item],0)),""))</f>
        <v>800</v>
      </c>
      <c r="H96" s="35">
        <f>IF(tblMRP[[#This Row],[Item]]="","",IFERROR(INDEX(tblItems[Safety stock (units)],MATCH(tblMRP[[#This Row],[Item]],tblItems[Item],0)),""))</f>
        <v>200</v>
      </c>
      <c r="I96" s="35">
        <f>IF(tblMRP[[#This Row],[Item]]="","",IFERROR(INDEX(tblItems[Lead time (wk)],MATCH(tblMRP[[#This Row],[Item]],tblItems[Item],0)),""))</f>
        <v>1</v>
      </c>
      <c r="J96" s="35">
        <f>IF(tblMRP[[#This Row],[Item]]="","",IFERROR(INDEX(tblItems[Order multiple (units)],MATCH(tblMRP[[#This Row],[Item]],tblItems[Item],0)),""))</f>
        <v>250</v>
      </c>
      <c r="K96"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1550</v>
      </c>
      <c r="L96" s="35">
        <f>IF(tblMRP[[#This Row],[Item]]="","",IF(tblMRP[[#This Row],[Order multiple (units)]]="","",tblMRP[[#This Row],[Order multiple (units)]]*CEILING(SUMPRODUCT(MAX((tblMRP[Item]=tblMRP[[#This Row],[Item]])*(tblMRP[Week]&lt;=tblMRP[[#This Row],[Week]])*tblMRP[Uncovered (units)]))/tblMRP[[#This Row],[Order multiple (units)]],1)))</f>
        <v>1750</v>
      </c>
      <c r="M96" s="35">
        <f>IF(tblMRP[[#This Row],[Item]]="","",IF(tblMRP[[#This Row],[Order multiple (units)]]="","",tblMRP[[#This Row],[Cum. planned (units)]]-tblMRP[[#This Row],[Order multiple (units)]]*CEILING(SUMPRODUCT(MAX((tblMRP[Item]=tblMRP[[#This Row],[Item]])*(tblMRP[Week]&lt;tblMRP[[#This Row],[Week]])*tblMRP[Uncovered (units)]))/tblMRP[[#This Row],[Order multiple (units)]],1)))</f>
        <v>500</v>
      </c>
      <c r="N96" s="35">
        <f>IF(tblMRP[[#This Row],[Item]]="","",IF(tblMRP[[#This Row],[Order multiple (units)]]="","",MAX(0,tblMRP[[#This Row],[Uncovered (units)]]-(tblMRP[[#This Row],[Cum. planned (units)]]-tblMRP[[#This Row],[Planned receipt (units)]]))))</f>
        <v>300</v>
      </c>
      <c r="O96" s="35">
        <f>IF(tblMRP[[#This Row],[Item]]="","",IF(tblMRP[[#This Row],[Order multiple (units)]]="","",tblMRP[[#This Row],[Safety stock (units)]]-tblMRP[[#This Row],[Uncovered (units)]]+tblMRP[[#This Row],[Cum. planned (units)]]))</f>
        <v>400</v>
      </c>
      <c r="P96" s="36">
        <f>IF(tblMRP[[#This Row],[Item]]="","",IF(N(tblMRP[[#This Row],[Planned receipt (units)]])&gt;0,tblMRP[[#This Row],[Week]]-7*tblMRP[[#This Row],[Lead time (wk)]],""))</f>
        <v>46363</v>
      </c>
      <c r="Q96" s="35">
        <f>IF(tblMRP[[#This Row],[Item]]="","",SUMIFS(tblMRP[Planned receipt (units)],tblMRP[Item],tblMRP[[#This Row],[Item]],tblMRP[Week],tblMRP[[#This Row],[Week]]+7*N(tblMRP[[#This Row],[Lead time (wk)]])))</f>
        <v>250</v>
      </c>
      <c r="R96" s="37" t="str">
        <f>IF(tblMRP[[#This Row],[Item]]="","",IF(N(tblMRP[[#This Row],[Planned receipt (units)]])=0,"",IF(tblMRP[[#This Row],[Release week]]&lt;PlanStart,"Overdue",IF(tblMRP[[#This Row],[Release week]]&lt;PlanStart+7,"Due soon","OK"))))</f>
        <v>OK</v>
      </c>
      <c r="S96"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6" s="28" t="s">
        <v>112</v>
      </c>
    </row>
    <row r="97" spans="2:20" x14ac:dyDescent="0.25">
      <c r="B97" s="28" t="s">
        <v>95</v>
      </c>
      <c r="C97" s="34">
        <v>46377</v>
      </c>
      <c r="D97" s="32">
        <v>400</v>
      </c>
      <c r="E97" s="32">
        <v>0</v>
      </c>
      <c r="F97" s="35">
        <f>IF(tblMRP[[#This Row],[Item]]="","",(tblMRP[[#This Row],[Week]]-PlanStart)/7+1)</f>
        <v>8</v>
      </c>
      <c r="G97" s="35">
        <f>IF(tblMRP[[#This Row],[Item]]="","",IFERROR(INDEX(tblItems[On hand (units)],MATCH(tblMRP[[#This Row],[Item]],tblItems[Item],0)),""))</f>
        <v>800</v>
      </c>
      <c r="H97" s="35">
        <f>IF(tblMRP[[#This Row],[Item]]="","",IFERROR(INDEX(tblItems[Safety stock (units)],MATCH(tblMRP[[#This Row],[Item]],tblItems[Item],0)),""))</f>
        <v>200</v>
      </c>
      <c r="I97" s="35">
        <f>IF(tblMRP[[#This Row],[Item]]="","",IFERROR(INDEX(tblItems[Lead time (wk)],MATCH(tblMRP[[#This Row],[Item]],tblItems[Item],0)),""))</f>
        <v>1</v>
      </c>
      <c r="J97" s="35">
        <f>IF(tblMRP[[#This Row],[Item]]="","",IFERROR(INDEX(tblItems[Order multiple (units)],MATCH(tblMRP[[#This Row],[Item]],tblItems[Item],0)),""))</f>
        <v>250</v>
      </c>
      <c r="K97"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1950</v>
      </c>
      <c r="L97" s="35">
        <f>IF(tblMRP[[#This Row],[Item]]="","",IF(tblMRP[[#This Row],[Order multiple (units)]]="","",tblMRP[[#This Row],[Order multiple (units)]]*CEILING(SUMPRODUCT(MAX((tblMRP[Item]=tblMRP[[#This Row],[Item]])*(tblMRP[Week]&lt;=tblMRP[[#This Row],[Week]])*tblMRP[Uncovered (units)]))/tblMRP[[#This Row],[Order multiple (units)]],1)))</f>
        <v>2000</v>
      </c>
      <c r="M97" s="35">
        <f>IF(tblMRP[[#This Row],[Item]]="","",IF(tblMRP[[#This Row],[Order multiple (units)]]="","",tblMRP[[#This Row],[Cum. planned (units)]]-tblMRP[[#This Row],[Order multiple (units)]]*CEILING(SUMPRODUCT(MAX((tblMRP[Item]=tblMRP[[#This Row],[Item]])*(tblMRP[Week]&lt;tblMRP[[#This Row],[Week]])*tblMRP[Uncovered (units)]))/tblMRP[[#This Row],[Order multiple (units)]],1)))</f>
        <v>250</v>
      </c>
      <c r="N97" s="35">
        <f>IF(tblMRP[[#This Row],[Item]]="","",IF(tblMRP[[#This Row],[Order multiple (units)]]="","",MAX(0,tblMRP[[#This Row],[Uncovered (units)]]-(tblMRP[[#This Row],[Cum. planned (units)]]-tblMRP[[#This Row],[Planned receipt (units)]]))))</f>
        <v>200</v>
      </c>
      <c r="O97" s="35">
        <f>IF(tblMRP[[#This Row],[Item]]="","",IF(tblMRP[[#This Row],[Order multiple (units)]]="","",tblMRP[[#This Row],[Safety stock (units)]]-tblMRP[[#This Row],[Uncovered (units)]]+tblMRP[[#This Row],[Cum. planned (units)]]))</f>
        <v>250</v>
      </c>
      <c r="P97" s="36">
        <f>IF(tblMRP[[#This Row],[Item]]="","",IF(N(tblMRP[[#This Row],[Planned receipt (units)]])&gt;0,tblMRP[[#This Row],[Week]]-7*tblMRP[[#This Row],[Lead time (wk)]],""))</f>
        <v>46370</v>
      </c>
      <c r="Q97" s="35">
        <f>IF(tblMRP[[#This Row],[Item]]="","",SUMIFS(tblMRP[Planned receipt (units)],tblMRP[Item],tblMRP[[#This Row],[Item]],tblMRP[Week],tblMRP[[#This Row],[Week]]+7*N(tblMRP[[#This Row],[Lead time (wk)]])))</f>
        <v>500</v>
      </c>
      <c r="R97" s="37" t="str">
        <f>IF(tblMRP[[#This Row],[Item]]="","",IF(N(tblMRP[[#This Row],[Planned receipt (units)]])=0,"",IF(tblMRP[[#This Row],[Release week]]&lt;PlanStart,"Overdue",IF(tblMRP[[#This Row],[Release week]]&lt;PlanStart+7,"Due soon","OK"))))</f>
        <v>OK</v>
      </c>
      <c r="S97"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7" s="28" t="s">
        <v>112</v>
      </c>
    </row>
    <row r="98" spans="2:20" x14ac:dyDescent="0.25">
      <c r="B98" s="28" t="s">
        <v>95</v>
      </c>
      <c r="C98" s="34">
        <v>46384</v>
      </c>
      <c r="D98" s="32">
        <v>380</v>
      </c>
      <c r="E98" s="32">
        <v>0</v>
      </c>
      <c r="F98" s="35">
        <f>IF(tblMRP[[#This Row],[Item]]="","",(tblMRP[[#This Row],[Week]]-PlanStart)/7+1)</f>
        <v>9</v>
      </c>
      <c r="G98" s="35">
        <f>IF(tblMRP[[#This Row],[Item]]="","",IFERROR(INDEX(tblItems[On hand (units)],MATCH(tblMRP[[#This Row],[Item]],tblItems[Item],0)),""))</f>
        <v>800</v>
      </c>
      <c r="H98" s="35">
        <f>IF(tblMRP[[#This Row],[Item]]="","",IFERROR(INDEX(tblItems[Safety stock (units)],MATCH(tblMRP[[#This Row],[Item]],tblItems[Item],0)),""))</f>
        <v>200</v>
      </c>
      <c r="I98" s="35">
        <f>IF(tblMRP[[#This Row],[Item]]="","",IFERROR(INDEX(tblItems[Lead time (wk)],MATCH(tblMRP[[#This Row],[Item]],tblItems[Item],0)),""))</f>
        <v>1</v>
      </c>
      <c r="J98" s="35">
        <f>IF(tblMRP[[#This Row],[Item]]="","",IFERROR(INDEX(tblItems[Order multiple (units)],MATCH(tblMRP[[#This Row],[Item]],tblItems[Item],0)),""))</f>
        <v>250</v>
      </c>
      <c r="K98"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2330</v>
      </c>
      <c r="L98" s="35">
        <f>IF(tblMRP[[#This Row],[Item]]="","",IF(tblMRP[[#This Row],[Order multiple (units)]]="","",tblMRP[[#This Row],[Order multiple (units)]]*CEILING(SUMPRODUCT(MAX((tblMRP[Item]=tblMRP[[#This Row],[Item]])*(tblMRP[Week]&lt;=tblMRP[[#This Row],[Week]])*tblMRP[Uncovered (units)]))/tblMRP[[#This Row],[Order multiple (units)]],1)))</f>
        <v>2500</v>
      </c>
      <c r="M98" s="35">
        <f>IF(tblMRP[[#This Row],[Item]]="","",IF(tblMRP[[#This Row],[Order multiple (units)]]="","",tblMRP[[#This Row],[Cum. planned (units)]]-tblMRP[[#This Row],[Order multiple (units)]]*CEILING(SUMPRODUCT(MAX((tblMRP[Item]=tblMRP[[#This Row],[Item]])*(tblMRP[Week]&lt;tblMRP[[#This Row],[Week]])*tblMRP[Uncovered (units)]))/tblMRP[[#This Row],[Order multiple (units)]],1)))</f>
        <v>500</v>
      </c>
      <c r="N98" s="35">
        <f>IF(tblMRP[[#This Row],[Item]]="","",IF(tblMRP[[#This Row],[Order multiple (units)]]="","",MAX(0,tblMRP[[#This Row],[Uncovered (units)]]-(tblMRP[[#This Row],[Cum. planned (units)]]-tblMRP[[#This Row],[Planned receipt (units)]]))))</f>
        <v>330</v>
      </c>
      <c r="O98" s="35">
        <f>IF(tblMRP[[#This Row],[Item]]="","",IF(tblMRP[[#This Row],[Order multiple (units)]]="","",tblMRP[[#This Row],[Safety stock (units)]]-tblMRP[[#This Row],[Uncovered (units)]]+tblMRP[[#This Row],[Cum. planned (units)]]))</f>
        <v>370</v>
      </c>
      <c r="P98" s="36">
        <f>IF(tblMRP[[#This Row],[Item]]="","",IF(N(tblMRP[[#This Row],[Planned receipt (units)]])&gt;0,tblMRP[[#This Row],[Week]]-7*tblMRP[[#This Row],[Lead time (wk)]],""))</f>
        <v>46377</v>
      </c>
      <c r="Q98" s="35">
        <f>IF(tblMRP[[#This Row],[Item]]="","",SUMIFS(tblMRP[Planned receipt (units)],tblMRP[Item],tblMRP[[#This Row],[Item]],tblMRP[Week],tblMRP[[#This Row],[Week]]+7*N(tblMRP[[#This Row],[Lead time (wk)]])))</f>
        <v>250</v>
      </c>
      <c r="R98" s="37" t="str">
        <f>IF(tblMRP[[#This Row],[Item]]="","",IF(N(tblMRP[[#This Row],[Planned receipt (units)]])=0,"",IF(tblMRP[[#This Row],[Release week]]&lt;PlanStart,"Overdue",IF(tblMRP[[#This Row],[Release week]]&lt;PlanStart+7,"Due soon","OK"))))</f>
        <v>OK</v>
      </c>
      <c r="S98"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8" s="28" t="s">
        <v>112</v>
      </c>
    </row>
    <row r="99" spans="2:20" x14ac:dyDescent="0.25">
      <c r="B99" s="28" t="s">
        <v>95</v>
      </c>
      <c r="C99" s="34">
        <v>46391</v>
      </c>
      <c r="D99" s="32">
        <v>360</v>
      </c>
      <c r="E99" s="32">
        <v>0</v>
      </c>
      <c r="F99" s="35">
        <f>IF(tblMRP[[#This Row],[Item]]="","",(tblMRP[[#This Row],[Week]]-PlanStart)/7+1)</f>
        <v>10</v>
      </c>
      <c r="G99" s="35">
        <f>IF(tblMRP[[#This Row],[Item]]="","",IFERROR(INDEX(tblItems[On hand (units)],MATCH(tblMRP[[#This Row],[Item]],tblItems[Item],0)),""))</f>
        <v>800</v>
      </c>
      <c r="H99" s="35">
        <f>IF(tblMRP[[#This Row],[Item]]="","",IFERROR(INDEX(tblItems[Safety stock (units)],MATCH(tblMRP[[#This Row],[Item]],tblItems[Item],0)),""))</f>
        <v>200</v>
      </c>
      <c r="I99" s="35">
        <f>IF(tblMRP[[#This Row],[Item]]="","",IFERROR(INDEX(tblItems[Lead time (wk)],MATCH(tblMRP[[#This Row],[Item]],tblItems[Item],0)),""))</f>
        <v>1</v>
      </c>
      <c r="J99" s="35">
        <f>IF(tblMRP[[#This Row],[Item]]="","",IFERROR(INDEX(tblItems[Order multiple (units)],MATCH(tblMRP[[#This Row],[Item]],tblItems[Item],0)),""))</f>
        <v>250</v>
      </c>
      <c r="K99"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2690</v>
      </c>
      <c r="L99" s="35">
        <f>IF(tblMRP[[#This Row],[Item]]="","",IF(tblMRP[[#This Row],[Order multiple (units)]]="","",tblMRP[[#This Row],[Order multiple (units)]]*CEILING(SUMPRODUCT(MAX((tblMRP[Item]=tblMRP[[#This Row],[Item]])*(tblMRP[Week]&lt;=tblMRP[[#This Row],[Week]])*tblMRP[Uncovered (units)]))/tblMRP[[#This Row],[Order multiple (units)]],1)))</f>
        <v>2750</v>
      </c>
      <c r="M99" s="35">
        <f>IF(tblMRP[[#This Row],[Item]]="","",IF(tblMRP[[#This Row],[Order multiple (units)]]="","",tblMRP[[#This Row],[Cum. planned (units)]]-tblMRP[[#This Row],[Order multiple (units)]]*CEILING(SUMPRODUCT(MAX((tblMRP[Item]=tblMRP[[#This Row],[Item]])*(tblMRP[Week]&lt;tblMRP[[#This Row],[Week]])*tblMRP[Uncovered (units)]))/tblMRP[[#This Row],[Order multiple (units)]],1)))</f>
        <v>250</v>
      </c>
      <c r="N99" s="35">
        <f>IF(tblMRP[[#This Row],[Item]]="","",IF(tblMRP[[#This Row],[Order multiple (units)]]="","",MAX(0,tblMRP[[#This Row],[Uncovered (units)]]-(tblMRP[[#This Row],[Cum. planned (units)]]-tblMRP[[#This Row],[Planned receipt (units)]]))))</f>
        <v>190</v>
      </c>
      <c r="O99" s="35">
        <f>IF(tblMRP[[#This Row],[Item]]="","",IF(tblMRP[[#This Row],[Order multiple (units)]]="","",tblMRP[[#This Row],[Safety stock (units)]]-tblMRP[[#This Row],[Uncovered (units)]]+tblMRP[[#This Row],[Cum. planned (units)]]))</f>
        <v>260</v>
      </c>
      <c r="P99" s="36">
        <f>IF(tblMRP[[#This Row],[Item]]="","",IF(N(tblMRP[[#This Row],[Planned receipt (units)]])&gt;0,tblMRP[[#This Row],[Week]]-7*tblMRP[[#This Row],[Lead time (wk)]],""))</f>
        <v>46384</v>
      </c>
      <c r="Q99" s="35">
        <f>IF(tblMRP[[#This Row],[Item]]="","",SUMIFS(tblMRP[Planned receipt (units)],tblMRP[Item],tblMRP[[#This Row],[Item]],tblMRP[Week],tblMRP[[#This Row],[Week]]+7*N(tblMRP[[#This Row],[Lead time (wk)]])))</f>
        <v>500</v>
      </c>
      <c r="R99" s="37" t="str">
        <f>IF(tblMRP[[#This Row],[Item]]="","",IF(N(tblMRP[[#This Row],[Planned receipt (units)]])=0,"",IF(tblMRP[[#This Row],[Release week]]&lt;PlanStart,"Overdue",IF(tblMRP[[#This Row],[Release week]]&lt;PlanStart+7,"Due soon","OK"))))</f>
        <v>OK</v>
      </c>
      <c r="S99"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99" s="28" t="s">
        <v>112</v>
      </c>
    </row>
    <row r="100" spans="2:20" x14ac:dyDescent="0.25">
      <c r="B100" s="28" t="s">
        <v>95</v>
      </c>
      <c r="C100" s="34">
        <v>46398</v>
      </c>
      <c r="D100" s="32">
        <v>340</v>
      </c>
      <c r="E100" s="32">
        <v>0</v>
      </c>
      <c r="F100" s="35">
        <f>IF(tblMRP[[#This Row],[Item]]="","",(tblMRP[[#This Row],[Week]]-PlanStart)/7+1)</f>
        <v>11</v>
      </c>
      <c r="G100" s="35">
        <f>IF(tblMRP[[#This Row],[Item]]="","",IFERROR(INDEX(tblItems[On hand (units)],MATCH(tblMRP[[#This Row],[Item]],tblItems[Item],0)),""))</f>
        <v>800</v>
      </c>
      <c r="H100" s="35">
        <f>IF(tblMRP[[#This Row],[Item]]="","",IFERROR(INDEX(tblItems[Safety stock (units)],MATCH(tblMRP[[#This Row],[Item]],tblItems[Item],0)),""))</f>
        <v>200</v>
      </c>
      <c r="I100" s="35">
        <f>IF(tblMRP[[#This Row],[Item]]="","",IFERROR(INDEX(tblItems[Lead time (wk)],MATCH(tblMRP[[#This Row],[Item]],tblItems[Item],0)),""))</f>
        <v>1</v>
      </c>
      <c r="J100" s="35">
        <f>IF(tblMRP[[#This Row],[Item]]="","",IFERROR(INDEX(tblItems[Order multiple (units)],MATCH(tblMRP[[#This Row],[Item]],tblItems[Item],0)),""))</f>
        <v>250</v>
      </c>
      <c r="K100"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3030</v>
      </c>
      <c r="L100" s="35">
        <f>IF(tblMRP[[#This Row],[Item]]="","",IF(tblMRP[[#This Row],[Order multiple (units)]]="","",tblMRP[[#This Row],[Order multiple (units)]]*CEILING(SUMPRODUCT(MAX((tblMRP[Item]=tblMRP[[#This Row],[Item]])*(tblMRP[Week]&lt;=tblMRP[[#This Row],[Week]])*tblMRP[Uncovered (units)]))/tblMRP[[#This Row],[Order multiple (units)]],1)))</f>
        <v>3250</v>
      </c>
      <c r="M100" s="35">
        <f>IF(tblMRP[[#This Row],[Item]]="","",IF(tblMRP[[#This Row],[Order multiple (units)]]="","",tblMRP[[#This Row],[Cum. planned (units)]]-tblMRP[[#This Row],[Order multiple (units)]]*CEILING(SUMPRODUCT(MAX((tblMRP[Item]=tblMRP[[#This Row],[Item]])*(tblMRP[Week]&lt;tblMRP[[#This Row],[Week]])*tblMRP[Uncovered (units)]))/tblMRP[[#This Row],[Order multiple (units)]],1)))</f>
        <v>500</v>
      </c>
      <c r="N100" s="35">
        <f>IF(tblMRP[[#This Row],[Item]]="","",IF(tblMRP[[#This Row],[Order multiple (units)]]="","",MAX(0,tblMRP[[#This Row],[Uncovered (units)]]-(tblMRP[[#This Row],[Cum. planned (units)]]-tblMRP[[#This Row],[Planned receipt (units)]]))))</f>
        <v>280</v>
      </c>
      <c r="O100" s="35">
        <f>IF(tblMRP[[#This Row],[Item]]="","",IF(tblMRP[[#This Row],[Order multiple (units)]]="","",tblMRP[[#This Row],[Safety stock (units)]]-tblMRP[[#This Row],[Uncovered (units)]]+tblMRP[[#This Row],[Cum. planned (units)]]))</f>
        <v>420</v>
      </c>
      <c r="P100" s="36">
        <f>IF(tblMRP[[#This Row],[Item]]="","",IF(N(tblMRP[[#This Row],[Planned receipt (units)]])&gt;0,tblMRP[[#This Row],[Week]]-7*tblMRP[[#This Row],[Lead time (wk)]],""))</f>
        <v>46391</v>
      </c>
      <c r="Q100" s="35">
        <f>IF(tblMRP[[#This Row],[Item]]="","",SUMIFS(tblMRP[Planned receipt (units)],tblMRP[Item],tblMRP[[#This Row],[Item]],tblMRP[Week],tblMRP[[#This Row],[Week]]+7*N(tblMRP[[#This Row],[Lead time (wk)]])))</f>
        <v>250</v>
      </c>
      <c r="R100" s="37" t="str">
        <f>IF(tblMRP[[#This Row],[Item]]="","",IF(N(tblMRP[[#This Row],[Planned receipt (units)]])=0,"",IF(tblMRP[[#This Row],[Release week]]&lt;PlanStart,"Overdue",IF(tblMRP[[#This Row],[Release week]]&lt;PlanStart+7,"Due soon","OK"))))</f>
        <v>OK</v>
      </c>
      <c r="S100"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00" s="28" t="s">
        <v>112</v>
      </c>
    </row>
    <row r="101" spans="2:20" x14ac:dyDescent="0.25">
      <c r="B101" s="28" t="s">
        <v>95</v>
      </c>
      <c r="C101" s="34">
        <v>46405</v>
      </c>
      <c r="D101" s="32">
        <v>320</v>
      </c>
      <c r="E101" s="32">
        <v>0</v>
      </c>
      <c r="F101" s="35">
        <f>IF(tblMRP[[#This Row],[Item]]="","",(tblMRP[[#This Row],[Week]]-PlanStart)/7+1)</f>
        <v>12</v>
      </c>
      <c r="G101" s="35">
        <f>IF(tblMRP[[#This Row],[Item]]="","",IFERROR(INDEX(tblItems[On hand (units)],MATCH(tblMRP[[#This Row],[Item]],tblItems[Item],0)),""))</f>
        <v>800</v>
      </c>
      <c r="H101" s="35">
        <f>IF(tblMRP[[#This Row],[Item]]="","",IFERROR(INDEX(tblItems[Safety stock (units)],MATCH(tblMRP[[#This Row],[Item]],tblItems[Item],0)),""))</f>
        <v>200</v>
      </c>
      <c r="I101" s="35">
        <f>IF(tblMRP[[#This Row],[Item]]="","",IFERROR(INDEX(tblItems[Lead time (wk)],MATCH(tblMRP[[#This Row],[Item]],tblItems[Item],0)),""))</f>
        <v>1</v>
      </c>
      <c r="J101" s="35">
        <f>IF(tblMRP[[#This Row],[Item]]="","",IFERROR(INDEX(tblItems[Order multiple (units)],MATCH(tblMRP[[#This Row],[Item]],tblItems[Item],0)),""))</f>
        <v>250</v>
      </c>
      <c r="K101" s="35">
        <f>IF(OR(tblMRP[[#This Row],[Item]]="",tblMRP[[#This Row],[On hand (units)]]=""),0,tblMRP[[#This Row],[Safety stock (units)]]+SUMIFS(tblMRP[Gross req. (units)],tblMRP[Item],tblMRP[[#This Row],[Item]],tblMRP[Week],"&lt;="&amp;tblMRP[[#This Row],[Week]])-tblMRP[[#This Row],[On hand (units)]]-SUMIFS(tblMRP[Sched. receipts (units)],tblMRP[Item],tblMRP[[#This Row],[Item]],tblMRP[Week],"&lt;="&amp;tblMRP[[#This Row],[Week]]))</f>
        <v>3350</v>
      </c>
      <c r="L101" s="35">
        <f>IF(tblMRP[[#This Row],[Item]]="","",IF(tblMRP[[#This Row],[Order multiple (units)]]="","",tblMRP[[#This Row],[Order multiple (units)]]*CEILING(SUMPRODUCT(MAX((tblMRP[Item]=tblMRP[[#This Row],[Item]])*(tblMRP[Week]&lt;=tblMRP[[#This Row],[Week]])*tblMRP[Uncovered (units)]))/tblMRP[[#This Row],[Order multiple (units)]],1)))</f>
        <v>3500</v>
      </c>
      <c r="M101" s="35">
        <f>IF(tblMRP[[#This Row],[Item]]="","",IF(tblMRP[[#This Row],[Order multiple (units)]]="","",tblMRP[[#This Row],[Cum. planned (units)]]-tblMRP[[#This Row],[Order multiple (units)]]*CEILING(SUMPRODUCT(MAX((tblMRP[Item]=tblMRP[[#This Row],[Item]])*(tblMRP[Week]&lt;tblMRP[[#This Row],[Week]])*tblMRP[Uncovered (units)]))/tblMRP[[#This Row],[Order multiple (units)]],1)))</f>
        <v>250</v>
      </c>
      <c r="N101" s="35">
        <f>IF(tblMRP[[#This Row],[Item]]="","",IF(tblMRP[[#This Row],[Order multiple (units)]]="","",MAX(0,tblMRP[[#This Row],[Uncovered (units)]]-(tblMRP[[#This Row],[Cum. planned (units)]]-tblMRP[[#This Row],[Planned receipt (units)]]))))</f>
        <v>100</v>
      </c>
      <c r="O101" s="35">
        <f>IF(tblMRP[[#This Row],[Item]]="","",IF(tblMRP[[#This Row],[Order multiple (units)]]="","",tblMRP[[#This Row],[Safety stock (units)]]-tblMRP[[#This Row],[Uncovered (units)]]+tblMRP[[#This Row],[Cum. planned (units)]]))</f>
        <v>350</v>
      </c>
      <c r="P101" s="36">
        <f>IF(tblMRP[[#This Row],[Item]]="","",IF(N(tblMRP[[#This Row],[Planned receipt (units)]])&gt;0,tblMRP[[#This Row],[Week]]-7*tblMRP[[#This Row],[Lead time (wk)]],""))</f>
        <v>46398</v>
      </c>
      <c r="Q101" s="35">
        <f>IF(tblMRP[[#This Row],[Item]]="","",SUMIFS(tblMRP[Planned receipt (units)],tblMRP[Item],tblMRP[[#This Row],[Item]],tblMRP[Week],tblMRP[[#This Row],[Week]]+7*N(tblMRP[[#This Row],[Lead time (wk)]])))</f>
        <v>0</v>
      </c>
      <c r="R101" s="37" t="str">
        <f>IF(tblMRP[[#This Row],[Item]]="","",IF(N(tblMRP[[#This Row],[Planned receipt (units)]])=0,"",IF(tblMRP[[#This Row],[Release week]]&lt;PlanStart,"Overdue",IF(tblMRP[[#This Row],[Release week]]&lt;PlanStart+7,"Due soon","OK"))))</f>
        <v>OK</v>
      </c>
      <c r="S101" s="38" t="str">
        <f>IF(tblMRP[[#This Row],[Item]]="","",IF(tblMRP[[#This Row],[Gross req. (units)]]="","Missing gross req.",IF(tblMRP[[#This Row],[On hand (units)]]="","Item not on Setup list",IF(OR(tblMRP[[#This Row],[Week]]&lt;PlanStart,MOD(tblMRP[[#This Row],[Week]]-PlanStart,7)&lt;&gt;0),"Not a plan Monday",IF(COUNTIFS(tblMRP[Item],tblMRP[[#This Row],[Item]],tblMRP[Week],tblMRP[[#This Row],[Week]])&gt;1,"Duplicate item week","OK")))))</f>
        <v>OK</v>
      </c>
      <c r="T101" s="28" t="s">
        <v>112</v>
      </c>
    </row>
  </sheetData>
  <mergeCells count="3">
    <mergeCell ref="A1:T1"/>
    <mergeCell ref="B2:S2"/>
    <mergeCell ref="B4:T4"/>
  </mergeCells>
  <conditionalFormatting sqref="M6:M601">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R6:R601">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S6:S601">
    <cfRule type="expression" dxfId="3" priority="22">
      <formula>$S6="OK"</formula>
    </cfRule>
    <cfRule type="expression" dxfId="1" priority="23">
      <formula>AND($S6&lt;&gt;"",$S6&lt;&gt;"OK")</formula>
    </cfRule>
  </conditionalFormatting>
  <dataValidations count="5">
    <dataValidation type="list" allowBlank="1" showInputMessage="1" showErrorMessage="1" errorTitle="Check this entry" error="Pick from the list (edit the list on Setup: Items)." promptTitle="Item" prompt="Pick from the list (edit the list on Setup: Items)." sqref="B6:B601">
      <formula1>Items</formula1>
    </dataValidation>
    <dataValidation type="date" allowBlank="1" showInputMessage="1" showErrorMessage="1" errorTitle="Check this entry" error="Enter a date between 01 Jan 2000 and 31 Dec 2100." promptTitle="Week" prompt="Monday of the week (week 1 = the plan start on Setup). Enter a date between 01 Jan 2000 and 31 Dec 2100." sqref="C6:C601">
      <formula1>36526</formula1>
      <formula2>73415</formula2>
    </dataValidation>
    <dataValidation type="decimal" allowBlank="1" showInputMessage="1" showErrorMessage="1" errorTitle="Check this entry" error="Enter a number of at least 0." promptTitle="Gross req. (units)" prompt="Everything that will be consumed or shipped this week: master schedule x quantity per, service and spares demand. Enter a number of at least 0." sqref="D6:D601">
      <formula1>0</formula1>
      <formula2>1000000000.0</formula2>
    </dataValidation>
    <dataValidation type="decimal" allowBlank="1" showInputMessage="1" showErrorMessage="1" errorTitle="Check this entry" error="Enter a number of at least 0." promptTitle="Sched. receipts (units)" prompt="Open purchase or work orders due this week (and any other approved supply). Enter a number of at least 0." sqref="E6:E601">
      <formula1>0</formula1>
      <formula2>1000000000.0</formula2>
    </dataValidation>
    <dataValidation type="textLength" allowBlank="1" showInputMessage="1" showErrorMessage="1" errorTitle="Check this entry" error="Text up to 255 characters." promptTitle="Notes" prompt="Text up to 255 characters." sqref="T6:T601">
      <formula1>0</formula1>
      <formula2>255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MRP Planner&amp;R&amp;8&amp;A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M6:M601</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O66"/>
  <sheetViews>
    <sheetView showGridLines="0" zoomScale="90" zoomScaleNormal="90" workbookViewId="0"/>
  </sheetViews>
  <sheetFormatPr defaultRowHeight="15"/>
  <cols>
    <col min="1" max="1" width="2.7109375" customWidth="1"/>
    <col min="2" max="2" width="20.7109375" customWidth="1"/>
    <col min="3" max="15" width="9.28515625" customWidth="1"/>
  </cols>
  <sheetData>
    <row r="1" spans="1:15" ht="30" customHeight="1">
      <c r="A1" s="1" t="s">
        <v>0</v>
      </c>
      <c r="B1" s="1"/>
      <c r="C1" s="1"/>
      <c r="D1" s="1"/>
      <c r="E1" s="1"/>
      <c r="F1" s="1"/>
      <c r="G1" s="1"/>
      <c r="H1" s="1"/>
      <c r="I1" s="1"/>
      <c r="J1" s="1"/>
      <c r="K1" s="1"/>
      <c r="L1" s="1"/>
      <c r="M1" s="1"/>
      <c r="N1" s="1"/>
      <c r="O1" s="1"/>
    </row>
    <row r="2" spans="1:15" ht="21" customHeight="1">
      <c r="B2" s="2" t="s">
        <v>22</v>
      </c>
      <c r="C2" s="2"/>
      <c r="D2" s="2"/>
      <c r="E2" s="2"/>
      <c r="F2" s="2"/>
      <c r="G2" s="2"/>
      <c r="H2" s="2"/>
      <c r="I2" s="2"/>
      <c r="J2" s="2"/>
      <c r="K2" s="2"/>
      <c r="L2" s="2"/>
      <c r="M2" s="2"/>
      <c r="N2" s="3" t="s">
        <v>2</v>
      </c>
      <c r="O2" s="3"/>
    </row>
    <row r="3" spans="1:15" ht="6" customHeight="1"/>
    <row r="4" spans="1:15">
      <c r="B4" s="27" t="s">
        <v>115</v>
      </c>
      <c r="C4" s="27"/>
      <c r="D4" s="28" t="s">
        <v>79</v>
      </c>
      <c r="E4" s="28"/>
    </row>
    <row r="5" spans="1:15">
      <c r="B5" s="39" t="str">
        <f>IFERROR(INDEX(tblItems[Description],MATCH(DashItem,tblItems[Item],0))&amp;" ("&amp;INDEX(tblItems[Unit],MATCH(DashItem,tblItems[Item],0))&amp;"): on hand "&amp;TEXT(INDEX(tblItems[On hand (units)],MATCH(DashItem,tblItems[Item],0)),"#,##0")&amp;", safety stock "&amp;TEXT(INDEX(tblItems[Safety stock (units)],MATCH(DashItem,tblItems[Item],0)),"#,##0")&amp;", lead time "&amp;INDEX(tblItems[Lead time (wk)],MATCH(DashItem,tblItems[Item],0))&amp;" wk, order multiple "&amp;TEXT(INDEX(tblItems[Order multiple (units)],MATCH(DashItem,tblItems[Item],0)),"#,##0"),"Pick an item from the Setup list.")</f>
        <v>Controller board (pcs): on hand 700, safety stock 150, lead time 6 wk, order multiple 100</v>
      </c>
      <c r="C5" s="39"/>
      <c r="D5" s="39"/>
      <c r="E5" s="39"/>
      <c r="F5" s="39"/>
      <c r="G5" s="39"/>
      <c r="H5" s="39"/>
      <c r="I5" s="39"/>
      <c r="J5" s="39"/>
      <c r="K5" s="39"/>
      <c r="L5" s="39"/>
      <c r="M5" s="39"/>
      <c r="N5" s="39"/>
      <c r="O5" s="39"/>
    </row>
    <row r="7" spans="1:15" ht="18" customHeight="1">
      <c r="B7" s="40" t="s">
        <v>116</v>
      </c>
      <c r="C7" s="40"/>
      <c r="D7" s="40"/>
      <c r="E7" s="40" t="s">
        <v>117</v>
      </c>
      <c r="F7" s="40"/>
      <c r="G7" s="40"/>
      <c r="H7" s="40" t="s">
        <v>118</v>
      </c>
      <c r="I7" s="40"/>
      <c r="J7" s="40"/>
      <c r="K7" s="40"/>
      <c r="L7" s="40" t="s">
        <v>119</v>
      </c>
      <c r="M7" s="40"/>
      <c r="N7" s="40"/>
      <c r="O7" s="40"/>
    </row>
    <row r="8" spans="1:15" ht="21" customHeight="1">
      <c r="B8" s="41">
        <f>COUNTIFS(tblMRP[Planned receipt (units)],"&gt;0")</f>
        <v>61</v>
      </c>
      <c r="C8" s="41"/>
      <c r="D8" s="41"/>
      <c r="E8" s="41">
        <f>COUNTIFS(tblMRP[Release status],"Due soon")</f>
        <v>4</v>
      </c>
      <c r="F8" s="41"/>
      <c r="G8" s="41"/>
      <c r="H8" s="41">
        <f>COUNTIFS(tblMRP[Release status],"Overdue")</f>
        <v>3</v>
      </c>
      <c r="I8" s="41"/>
      <c r="J8" s="41"/>
      <c r="K8" s="41"/>
      <c r="L8" s="41">
        <f>COUNTIF($J$41:$J$48,"&gt;0")</f>
        <v>1</v>
      </c>
      <c r="M8" s="41"/>
      <c r="N8" s="41"/>
      <c r="O8" s="41"/>
    </row>
    <row r="9" spans="1:15" ht="21" customHeight="1">
      <c r="B9" s="41"/>
      <c r="C9" s="41"/>
      <c r="D9" s="41"/>
      <c r="E9" s="41"/>
      <c r="F9" s="41"/>
      <c r="G9" s="41"/>
      <c r="H9" s="41"/>
      <c r="I9" s="41"/>
      <c r="J9" s="41"/>
      <c r="K9" s="41"/>
      <c r="L9" s="41"/>
      <c r="M9" s="41"/>
      <c r="N9" s="41"/>
      <c r="O9" s="41"/>
    </row>
    <row r="10" spans="1:15">
      <c r="B10" s="42" t="s">
        <v>120</v>
      </c>
      <c r="C10" s="42"/>
      <c r="D10" s="42"/>
      <c r="E10" s="42" t="s">
        <v>121</v>
      </c>
      <c r="F10" s="42"/>
      <c r="G10" s="42"/>
      <c r="H10" s="43">
        <f>0</f>
        <v>0</v>
      </c>
      <c r="I10" s="43"/>
      <c r="J10" s="43"/>
      <c r="K10" s="43"/>
      <c r="L10" s="42" t="s">
        <v>122</v>
      </c>
      <c r="M10" s="42"/>
      <c r="N10" s="42"/>
      <c r="O10" s="42"/>
    </row>
    <row r="11" spans="1:15" ht="18" customHeight="1">
      <c r="B11" s="44"/>
      <c r="C11" s="44"/>
      <c r="D11" s="44"/>
      <c r="E11" s="44"/>
      <c r="F11" s="44"/>
      <c r="G11" s="44"/>
      <c r="H11" s="44" t="str">
        <f>IF(NOT(ISNUMBER(KpiOverdue)),"No data",IF(KpiOverdue&lt;=(0),"OK",IF(KpiOverdue&lt;=(0),"Due soon","Overdue")))</f>
        <v>Overdue</v>
      </c>
      <c r="I11" s="44"/>
      <c r="J11" s="44"/>
      <c r="K11" s="44"/>
      <c r="L11" s="44"/>
      <c r="M11" s="44"/>
      <c r="N11" s="44"/>
      <c r="O11" s="44"/>
    </row>
    <row r="29" spans="2:14">
      <c r="B29" s="30" t="s">
        <v>123</v>
      </c>
      <c r="C29" s="30"/>
      <c r="D29" s="30"/>
      <c r="E29" s="30"/>
      <c r="F29" s="30"/>
      <c r="G29" s="30"/>
      <c r="H29" s="30"/>
      <c r="I29" s="30"/>
      <c r="J29" s="30"/>
      <c r="K29" s="30"/>
      <c r="L29" s="30"/>
      <c r="M29" s="30"/>
      <c r="N29" s="30"/>
    </row>
    <row r="30" spans="2:14">
      <c r="B30" s="45" t="s">
        <v>124</v>
      </c>
      <c r="C30" s="46">
        <f>PlanStart</f>
        <v>46328</v>
      </c>
      <c r="D30" s="46">
        <f>$C$30+7</f>
        <v>46335</v>
      </c>
      <c r="E30" s="46">
        <f>$D$30+7</f>
        <v>46342</v>
      </c>
      <c r="F30" s="46">
        <f>$E$30+7</f>
        <v>46349</v>
      </c>
      <c r="G30" s="46">
        <f>$F$30+7</f>
        <v>46356</v>
      </c>
      <c r="H30" s="46">
        <f>$G$30+7</f>
        <v>46363</v>
      </c>
      <c r="I30" s="46">
        <f>$H$30+7</f>
        <v>46370</v>
      </c>
      <c r="J30" s="46">
        <f>$I$30+7</f>
        <v>46377</v>
      </c>
      <c r="K30" s="46">
        <f>$J$30+7</f>
        <v>46384</v>
      </c>
      <c r="L30" s="46">
        <f>$K$30+7</f>
        <v>46391</v>
      </c>
      <c r="M30" s="46">
        <f>$L$30+7</f>
        <v>46398</v>
      </c>
      <c r="N30" s="46">
        <f>$M$30+7</f>
        <v>46405</v>
      </c>
    </row>
    <row r="31" spans="2:14">
      <c r="B31" s="27" t="s">
        <v>125</v>
      </c>
      <c r="C31" s="35">
        <f>SUMIFS(tblMRP[Gross req. (units)],tblMRP[Item],DashItem,tblMRP[Week],$C$30)</f>
        <v>305</v>
      </c>
      <c r="D31" s="35">
        <f>SUMIFS(tblMRP[Gross req. (units)],tblMRP[Item],DashItem,tblMRP[Week],$D$30)</f>
        <v>340</v>
      </c>
      <c r="E31" s="35">
        <f>SUMIFS(tblMRP[Gross req. (units)],tblMRP[Item],DashItem,tblMRP[Week],$E$30)</f>
        <v>305</v>
      </c>
      <c r="F31" s="35">
        <f>SUMIFS(tblMRP[Gross req. (units)],tblMRP[Item],DashItem,tblMRP[Week],$F$30)</f>
        <v>360</v>
      </c>
      <c r="G31" s="35">
        <f>SUMIFS(tblMRP[Gross req. (units)],tblMRP[Item],DashItem,tblMRP[Week],$G$30)</f>
        <v>375</v>
      </c>
      <c r="H31" s="35">
        <f>SUMIFS(tblMRP[Gross req. (units)],tblMRP[Item],DashItem,tblMRP[Week],$H$30)</f>
        <v>400</v>
      </c>
      <c r="I31" s="35">
        <f>SUMIFS(tblMRP[Gross req. (units)],tblMRP[Item],DashItem,tblMRP[Week],$I$30)</f>
        <v>415</v>
      </c>
      <c r="J31" s="35">
        <f>SUMIFS(tblMRP[Gross req. (units)],tblMRP[Item],DashItem,tblMRP[Week],$J$30)</f>
        <v>420</v>
      </c>
      <c r="K31" s="35">
        <f>SUMIFS(tblMRP[Gross req. (units)],tblMRP[Item],DashItem,tblMRP[Week],$K$30)</f>
        <v>390</v>
      </c>
      <c r="L31" s="35">
        <f>SUMIFS(tblMRP[Gross req. (units)],tblMRP[Item],DashItem,tblMRP[Week],$L$30)</f>
        <v>365</v>
      </c>
      <c r="M31" s="35">
        <f>SUMIFS(tblMRP[Gross req. (units)],tblMRP[Item],DashItem,tblMRP[Week],$M$30)</f>
        <v>360</v>
      </c>
      <c r="N31" s="35">
        <f>SUMIFS(tblMRP[Gross req. (units)],tblMRP[Item],DashItem,tblMRP[Week],$N$30)</f>
        <v>340</v>
      </c>
    </row>
    <row r="32" spans="2:14">
      <c r="B32" s="27" t="s">
        <v>126</v>
      </c>
      <c r="C32" s="35">
        <f>SUMIFS(tblMRP[Sched. receipts (units)],tblMRP[Item],DashItem,tblMRP[Week],$C$30)</f>
        <v>0</v>
      </c>
      <c r="D32" s="35">
        <f>SUMIFS(tblMRP[Sched. receipts (units)],tblMRP[Item],DashItem,tblMRP[Week],$D$30)</f>
        <v>500</v>
      </c>
      <c r="E32" s="35">
        <f>SUMIFS(tblMRP[Sched. receipts (units)],tblMRP[Item],DashItem,tblMRP[Week],$E$30)</f>
        <v>0</v>
      </c>
      <c r="F32" s="35">
        <f>SUMIFS(tblMRP[Sched. receipts (units)],tblMRP[Item],DashItem,tblMRP[Week],$F$30)</f>
        <v>0</v>
      </c>
      <c r="G32" s="35">
        <f>SUMIFS(tblMRP[Sched. receipts (units)],tblMRP[Item],DashItem,tblMRP[Week],$G$30)</f>
        <v>0</v>
      </c>
      <c r="H32" s="35">
        <f>SUMIFS(tblMRP[Sched. receipts (units)],tblMRP[Item],DashItem,tblMRP[Week],$H$30)</f>
        <v>0</v>
      </c>
      <c r="I32" s="35">
        <f>SUMIFS(tblMRP[Sched. receipts (units)],tblMRP[Item],DashItem,tblMRP[Week],$I$30)</f>
        <v>0</v>
      </c>
      <c r="J32" s="35">
        <f>SUMIFS(tblMRP[Sched. receipts (units)],tblMRP[Item],DashItem,tblMRP[Week],$J$30)</f>
        <v>0</v>
      </c>
      <c r="K32" s="35">
        <f>SUMIFS(tblMRP[Sched. receipts (units)],tblMRP[Item],DashItem,tblMRP[Week],$K$30)</f>
        <v>0</v>
      </c>
      <c r="L32" s="35">
        <f>SUMIFS(tblMRP[Sched. receipts (units)],tblMRP[Item],DashItem,tblMRP[Week],$L$30)</f>
        <v>0</v>
      </c>
      <c r="M32" s="35">
        <f>SUMIFS(tblMRP[Sched. receipts (units)],tblMRP[Item],DashItem,tblMRP[Week],$M$30)</f>
        <v>0</v>
      </c>
      <c r="N32" s="35">
        <f>SUMIFS(tblMRP[Sched. receipts (units)],tblMRP[Item],DashItem,tblMRP[Week],$N$30)</f>
        <v>0</v>
      </c>
    </row>
    <row r="33" spans="2:14">
      <c r="B33" s="27" t="s">
        <v>127</v>
      </c>
      <c r="C33" s="47">
        <f>IF(COUNTIFS(tblMRP[Item],DashItem,tblMRP[Week],$C$30)=0,"",SUMIFS(tblMRP[Proj. on hand (units)],tblMRP[Item],DashItem,tblMRP[Week],$C$30))</f>
        <v>395</v>
      </c>
      <c r="D33" s="47">
        <f>IF(COUNTIFS(tblMRP[Item],DashItem,tblMRP[Week],$D$30)=0,"",SUMIFS(tblMRP[Proj. on hand (units)],tblMRP[Item],DashItem,tblMRP[Week],$D$30))</f>
        <v>555</v>
      </c>
      <c r="E33" s="47">
        <f>IF(COUNTIFS(tblMRP[Item],DashItem,tblMRP[Week],$E$30)=0,"",SUMIFS(tblMRP[Proj. on hand (units)],tblMRP[Item],DashItem,tblMRP[Week],$E$30))</f>
        <v>250</v>
      </c>
      <c r="F33" s="47">
        <f>IF(COUNTIFS(tblMRP[Item],DashItem,tblMRP[Week],$F$30)=0,"",SUMIFS(tblMRP[Proj. on hand (units)],tblMRP[Item],DashItem,tblMRP[Week],$F$30))</f>
        <v>190</v>
      </c>
      <c r="G33" s="47">
        <f>IF(COUNTIFS(tblMRP[Item],DashItem,tblMRP[Week],$G$30)=0,"",SUMIFS(tblMRP[Proj. on hand (units)],tblMRP[Item],DashItem,tblMRP[Week],$G$30))</f>
        <v>215</v>
      </c>
      <c r="H33" s="47">
        <f>IF(COUNTIFS(tblMRP[Item],DashItem,tblMRP[Week],$H$30)=0,"",SUMIFS(tblMRP[Proj. on hand (units)],tblMRP[Item],DashItem,tblMRP[Week],$H$30))</f>
        <v>215</v>
      </c>
      <c r="I33" s="47">
        <f>IF(COUNTIFS(tblMRP[Item],DashItem,tblMRP[Week],$I$30)=0,"",SUMIFS(tblMRP[Proj. on hand (units)],tblMRP[Item],DashItem,tblMRP[Week],$I$30))</f>
        <v>200</v>
      </c>
      <c r="J33" s="47">
        <f>IF(COUNTIFS(tblMRP[Item],DashItem,tblMRP[Week],$J$30)=0,"",SUMIFS(tblMRP[Proj. on hand (units)],tblMRP[Item],DashItem,tblMRP[Week],$J$30))</f>
        <v>180</v>
      </c>
      <c r="K33" s="47">
        <f>IF(COUNTIFS(tblMRP[Item],DashItem,tblMRP[Week],$K$30)=0,"",SUMIFS(tblMRP[Proj. on hand (units)],tblMRP[Item],DashItem,tblMRP[Week],$K$30))</f>
        <v>190</v>
      </c>
      <c r="L33" s="47">
        <f>IF(COUNTIFS(tblMRP[Item],DashItem,tblMRP[Week],$L$30)=0,"",SUMIFS(tblMRP[Proj. on hand (units)],tblMRP[Item],DashItem,tblMRP[Week],$L$30))</f>
        <v>225</v>
      </c>
      <c r="M33" s="47">
        <f>IF(COUNTIFS(tblMRP[Item],DashItem,tblMRP[Week],$M$30)=0,"",SUMIFS(tblMRP[Proj. on hand (units)],tblMRP[Item],DashItem,tblMRP[Week],$M$30))</f>
        <v>165</v>
      </c>
      <c r="N33" s="47">
        <f>IF(COUNTIFS(tblMRP[Item],DashItem,tblMRP[Week],$N$30)=0,"",SUMIFS(tblMRP[Proj. on hand (units)],tblMRP[Item],DashItem,tblMRP[Week],$N$30))</f>
        <v>225</v>
      </c>
    </row>
    <row r="34" spans="2:14">
      <c r="B34" s="27" t="s">
        <v>128</v>
      </c>
      <c r="C34" s="35">
        <f>SUMIFS(tblMRP[Net req. (units)],tblMRP[Item],DashItem,tblMRP[Week],$C$30)</f>
        <v>0</v>
      </c>
      <c r="D34" s="35">
        <f>SUMIFS(tblMRP[Net req. (units)],tblMRP[Item],DashItem,tblMRP[Week],$D$30)</f>
        <v>0</v>
      </c>
      <c r="E34" s="35">
        <f>SUMIFS(tblMRP[Net req. (units)],tblMRP[Item],DashItem,tblMRP[Week],$E$30)</f>
        <v>0</v>
      </c>
      <c r="F34" s="35">
        <f>SUMIFS(tblMRP[Net req. (units)],tblMRP[Item],DashItem,tblMRP[Week],$F$30)</f>
        <v>260</v>
      </c>
      <c r="G34" s="35">
        <f>SUMIFS(tblMRP[Net req. (units)],tblMRP[Item],DashItem,tblMRP[Week],$G$30)</f>
        <v>335</v>
      </c>
      <c r="H34" s="35">
        <f>SUMIFS(tblMRP[Net req. (units)],tblMRP[Item],DashItem,tblMRP[Week],$H$30)</f>
        <v>335</v>
      </c>
      <c r="I34" s="35">
        <f>SUMIFS(tblMRP[Net req. (units)],tblMRP[Item],DashItem,tblMRP[Week],$I$30)</f>
        <v>350</v>
      </c>
      <c r="J34" s="35">
        <f>SUMIFS(tblMRP[Net req. (units)],tblMRP[Item],DashItem,tblMRP[Week],$J$30)</f>
        <v>370</v>
      </c>
      <c r="K34" s="35">
        <f>SUMIFS(tblMRP[Net req. (units)],tblMRP[Item],DashItem,tblMRP[Week],$K$30)</f>
        <v>360</v>
      </c>
      <c r="L34" s="35">
        <f>SUMIFS(tblMRP[Net req. (units)],tblMRP[Item],DashItem,tblMRP[Week],$L$30)</f>
        <v>325</v>
      </c>
      <c r="M34" s="35">
        <f>SUMIFS(tblMRP[Net req. (units)],tblMRP[Item],DashItem,tblMRP[Week],$M$30)</f>
        <v>285</v>
      </c>
      <c r="N34" s="35">
        <f>SUMIFS(tblMRP[Net req. (units)],tblMRP[Item],DashItem,tblMRP[Week],$N$30)</f>
        <v>325</v>
      </c>
    </row>
    <row r="35" spans="2:14">
      <c r="B35" s="27" t="s">
        <v>129</v>
      </c>
      <c r="C35" s="35">
        <f>SUMIFS(tblMRP[Planned receipt (units)],tblMRP[Item],DashItem,tblMRP[Week],$C$30)</f>
        <v>0</v>
      </c>
      <c r="D35" s="35">
        <f>SUMIFS(tblMRP[Planned receipt (units)],tblMRP[Item],DashItem,tblMRP[Week],$D$30)</f>
        <v>0</v>
      </c>
      <c r="E35" s="35">
        <f>SUMIFS(tblMRP[Planned receipt (units)],tblMRP[Item],DashItem,tblMRP[Week],$E$30)</f>
        <v>0</v>
      </c>
      <c r="F35" s="35">
        <f>SUMIFS(tblMRP[Planned receipt (units)],tblMRP[Item],DashItem,tblMRP[Week],$F$30)</f>
        <v>300</v>
      </c>
      <c r="G35" s="35">
        <f>SUMIFS(tblMRP[Planned receipt (units)],tblMRP[Item],DashItem,tblMRP[Week],$G$30)</f>
        <v>400</v>
      </c>
      <c r="H35" s="35">
        <f>SUMIFS(tblMRP[Planned receipt (units)],tblMRP[Item],DashItem,tblMRP[Week],$H$30)</f>
        <v>400</v>
      </c>
      <c r="I35" s="35">
        <f>SUMIFS(tblMRP[Planned receipt (units)],tblMRP[Item],DashItem,tblMRP[Week],$I$30)</f>
        <v>400</v>
      </c>
      <c r="J35" s="35">
        <f>SUMIFS(tblMRP[Planned receipt (units)],tblMRP[Item],DashItem,tblMRP[Week],$J$30)</f>
        <v>400</v>
      </c>
      <c r="K35" s="35">
        <f>SUMIFS(tblMRP[Planned receipt (units)],tblMRP[Item],DashItem,tblMRP[Week],$K$30)</f>
        <v>400</v>
      </c>
      <c r="L35" s="35">
        <f>SUMIFS(tblMRP[Planned receipt (units)],tblMRP[Item],DashItem,tblMRP[Week],$L$30)</f>
        <v>400</v>
      </c>
      <c r="M35" s="35">
        <f>SUMIFS(tblMRP[Planned receipt (units)],tblMRP[Item],DashItem,tblMRP[Week],$M$30)</f>
        <v>300</v>
      </c>
      <c r="N35" s="35">
        <f>SUMIFS(tblMRP[Planned receipt (units)],tblMRP[Item],DashItem,tblMRP[Week],$N$30)</f>
        <v>400</v>
      </c>
    </row>
    <row r="36" spans="2:14">
      <c r="B36" s="27" t="s">
        <v>130</v>
      </c>
      <c r="C36" s="47">
        <f>SUMIFS(tblMRP[Planned release (units)],tblMRP[Item],DashItem,tblMRP[Week],$C$30)</f>
        <v>400</v>
      </c>
      <c r="D36" s="47">
        <f>SUMIFS(tblMRP[Planned release (units)],tblMRP[Item],DashItem,tblMRP[Week],$D$30)</f>
        <v>400</v>
      </c>
      <c r="E36" s="47">
        <f>SUMIFS(tblMRP[Planned release (units)],tblMRP[Item],DashItem,tblMRP[Week],$E$30)</f>
        <v>400</v>
      </c>
      <c r="F36" s="47">
        <f>SUMIFS(tblMRP[Planned release (units)],tblMRP[Item],DashItem,tblMRP[Week],$F$30)</f>
        <v>400</v>
      </c>
      <c r="G36" s="47">
        <f>SUMIFS(tblMRP[Planned release (units)],tblMRP[Item],DashItem,tblMRP[Week],$G$30)</f>
        <v>300</v>
      </c>
      <c r="H36" s="47">
        <f>SUMIFS(tblMRP[Planned release (units)],tblMRP[Item],DashItem,tblMRP[Week],$H$30)</f>
        <v>400</v>
      </c>
      <c r="I36" s="47">
        <f>SUMIFS(tblMRP[Planned release (units)],tblMRP[Item],DashItem,tblMRP[Week],$I$30)</f>
        <v>0</v>
      </c>
      <c r="J36" s="47">
        <f>SUMIFS(tblMRP[Planned release (units)],tblMRP[Item],DashItem,tblMRP[Week],$J$30)</f>
        <v>0</v>
      </c>
      <c r="K36" s="47">
        <f>SUMIFS(tblMRP[Planned release (units)],tblMRP[Item],DashItem,tblMRP[Week],$K$30)</f>
        <v>0</v>
      </c>
      <c r="L36" s="47">
        <f>SUMIFS(tblMRP[Planned release (units)],tblMRP[Item],DashItem,tblMRP[Week],$L$30)</f>
        <v>0</v>
      </c>
      <c r="M36" s="47">
        <f>SUMIFS(tblMRP[Planned release (units)],tblMRP[Item],DashItem,tblMRP[Week],$M$30)</f>
        <v>0</v>
      </c>
      <c r="N36" s="47">
        <f>SUMIFS(tblMRP[Planned release (units)],tblMRP[Item],DashItem,tblMRP[Week],$N$30)</f>
        <v>0</v>
      </c>
    </row>
    <row r="37" spans="2:14">
      <c r="B37" s="27" t="s">
        <v>131</v>
      </c>
      <c r="C37" s="48">
        <f>IFERROR(INDEX(tblItems[Safety stock (units)],MATCH(DashItem,tblItems[Item],0)),"")</f>
        <v>150</v>
      </c>
      <c r="D37" s="48">
        <f>IFERROR(INDEX(tblItems[Safety stock (units)],MATCH(DashItem,tblItems[Item],0)),"")</f>
        <v>150</v>
      </c>
      <c r="E37" s="48">
        <f>IFERROR(INDEX(tblItems[Safety stock (units)],MATCH(DashItem,tblItems[Item],0)),"")</f>
        <v>150</v>
      </c>
      <c r="F37" s="48">
        <f>IFERROR(INDEX(tblItems[Safety stock (units)],MATCH(DashItem,tblItems[Item],0)),"")</f>
        <v>150</v>
      </c>
      <c r="G37" s="48">
        <f>IFERROR(INDEX(tblItems[Safety stock (units)],MATCH(DashItem,tblItems[Item],0)),"")</f>
        <v>150</v>
      </c>
      <c r="H37" s="48">
        <f>IFERROR(INDEX(tblItems[Safety stock (units)],MATCH(DashItem,tblItems[Item],0)),"")</f>
        <v>150</v>
      </c>
      <c r="I37" s="48">
        <f>IFERROR(INDEX(tblItems[Safety stock (units)],MATCH(DashItem,tblItems[Item],0)),"")</f>
        <v>150</v>
      </c>
      <c r="J37" s="48">
        <f>IFERROR(INDEX(tblItems[Safety stock (units)],MATCH(DashItem,tblItems[Item],0)),"")</f>
        <v>150</v>
      </c>
      <c r="K37" s="48">
        <f>IFERROR(INDEX(tblItems[Safety stock (units)],MATCH(DashItem,tblItems[Item],0)),"")</f>
        <v>150</v>
      </c>
      <c r="L37" s="48">
        <f>IFERROR(INDEX(tblItems[Safety stock (units)],MATCH(DashItem,tblItems[Item],0)),"")</f>
        <v>150</v>
      </c>
      <c r="M37" s="48">
        <f>IFERROR(INDEX(tblItems[Safety stock (units)],MATCH(DashItem,tblItems[Item],0)),"")</f>
        <v>150</v>
      </c>
      <c r="N37" s="48">
        <f>IFERROR(INDEX(tblItems[Safety stock (units)],MATCH(DashItem,tblItems[Item],0)),"")</f>
        <v>150</v>
      </c>
    </row>
    <row r="39" spans="2:14">
      <c r="B39" s="30" t="s">
        <v>132</v>
      </c>
      <c r="C39" s="30"/>
      <c r="D39" s="30"/>
      <c r="E39" s="30"/>
      <c r="F39" s="30"/>
      <c r="G39" s="30"/>
      <c r="H39" s="30"/>
      <c r="I39" s="30"/>
      <c r="J39" s="30"/>
      <c r="K39" s="30"/>
      <c r="L39" s="30"/>
      <c r="M39" s="30"/>
    </row>
    <row r="40" spans="2:14" ht="32" customHeight="1">
      <c r="B40" s="45" t="s">
        <v>60</v>
      </c>
      <c r="C40" s="31" t="s">
        <v>63</v>
      </c>
      <c r="D40" s="31" t="s">
        <v>66</v>
      </c>
      <c r="E40" s="31" t="s">
        <v>133</v>
      </c>
      <c r="F40" s="31" t="s">
        <v>134</v>
      </c>
      <c r="G40" s="31" t="s">
        <v>135</v>
      </c>
      <c r="H40" s="31" t="s">
        <v>136</v>
      </c>
      <c r="I40" s="31" t="s">
        <v>137</v>
      </c>
      <c r="J40" s="31" t="s">
        <v>138</v>
      </c>
      <c r="K40" s="31" t="s">
        <v>139</v>
      </c>
      <c r="L40" s="31" t="s">
        <v>140</v>
      </c>
      <c r="M40" s="31"/>
    </row>
    <row r="41" spans="2:14">
      <c r="B41" s="49" t="str">
        <f>IFERROR(INDEX(tblItems[Item],1)&amp;"","")</f>
        <v>MTR-075</v>
      </c>
      <c r="C41" s="37" t="str">
        <f>IF($B$41="","",INDEX(tblItems[Source],MATCH($B$41,tblItems[Item],0)))</f>
        <v>Buy</v>
      </c>
      <c r="D41" s="35">
        <f>IF($B$41="","",INDEX(tblItems[Lead time (wk)],MATCH($B$41,tblItems[Item],0)))</f>
        <v>4</v>
      </c>
      <c r="E41" s="35">
        <f>IF($B$41="","",SUMIFS(tblMRP[Gross req. (units)],tblMRP[Item],$B$41))</f>
        <v>4330</v>
      </c>
      <c r="F41" s="35">
        <f>IF($B$41="","",COUNTIFS(tblMRP[Item],$B$41,tblMRP[Planned receipt (units)],"&gt;0"))</f>
        <v>8</v>
      </c>
      <c r="G41" s="35">
        <f>IF($B$41="","",SUMIFS(tblMRP[Planned receipt (units)],tblMRP[Item],$B$41))</f>
        <v>3000</v>
      </c>
      <c r="H41" s="50">
        <f>IF($B$41="","",IF($F$41=0,"",SUMPRODUCT(LARGE((tblMRP[Item]=$B$41)*(tblMRP[Planned receipt (units)]&gt;0)*tblMRP[Week],$F$41))-7*$D$41))</f>
        <v>46328</v>
      </c>
      <c r="I41" s="35">
        <f>IF($B$41="","",COUNTIFS(tblMRP[Item],$B$41,tblMRP[Release status],"Due soon"))</f>
        <v>1</v>
      </c>
      <c r="J41" s="35">
        <f>IF($B$41="","",COUNTIFS(tblMRP[Item],$B$41,tblMRP[Release status],"Overdue"))</f>
        <v>0</v>
      </c>
      <c r="K41" s="35">
        <f>IF($B$41="","",SUMIFS(tblMRP[Planned receipt (units)],tblMRP[Item],$B$41,tblMRP[Release status],"Overdue"))</f>
        <v>0</v>
      </c>
      <c r="L41" s="37" t="str">
        <f>IF($B$41="","",IF($J$41&gt;0,"Overdue",IF($I$41&gt;0,"Due soon","OK")))</f>
        <v>Due soon</v>
      </c>
      <c r="M41" s="37"/>
    </row>
    <row r="42" spans="2:14">
      <c r="B42" s="49" t="str">
        <f>IFERROR(INDEX(tblItems[Item],2)&amp;"","")</f>
        <v>PCB-C2</v>
      </c>
      <c r="C42" s="37" t="str">
        <f>IF($B$42="","",INDEX(tblItems[Source],MATCH($B$42,tblItems[Item],0)))</f>
        <v>Buy</v>
      </c>
      <c r="D42" s="35">
        <f>IF($B$42="","",INDEX(tblItems[Lead time (wk)],MATCH($B$42,tblItems[Item],0)))</f>
        <v>6</v>
      </c>
      <c r="E42" s="35">
        <f>IF($B$42="","",SUMIFS(tblMRP[Gross req. (units)],tblMRP[Item],$B$42))</f>
        <v>4375</v>
      </c>
      <c r="F42" s="35">
        <f>IF($B$42="","",COUNTIFS(tblMRP[Item],$B$42,tblMRP[Planned receipt (units)],"&gt;0"))</f>
        <v>9</v>
      </c>
      <c r="G42" s="35">
        <f>IF($B$42="","",SUMIFS(tblMRP[Planned receipt (units)],tblMRP[Item],$B$42))</f>
        <v>3400</v>
      </c>
      <c r="H42" s="50">
        <f>IF($B$42="","",IF($F$42=0,"",SUMPRODUCT(LARGE((tblMRP[Item]=$B$42)*(tblMRP[Planned receipt (units)]&gt;0)*tblMRP[Week],$F$42))-7*$D$42))</f>
        <v>46307</v>
      </c>
      <c r="I42" s="35">
        <f>IF($B$42="","",COUNTIFS(tblMRP[Item],$B$42,tblMRP[Release status],"Due soon"))</f>
        <v>1</v>
      </c>
      <c r="J42" s="35">
        <f>IF($B$42="","",COUNTIFS(tblMRP[Item],$B$42,tblMRP[Release status],"Overdue"))</f>
        <v>3</v>
      </c>
      <c r="K42" s="35">
        <f>IF($B$42="","",SUMIFS(tblMRP[Planned receipt (units)],tblMRP[Item],$B$42,tblMRP[Release status],"Overdue"))</f>
        <v>1100</v>
      </c>
      <c r="L42" s="37" t="str">
        <f>IF($B$42="","",IF($J$42&gt;0,"Overdue",IF($I$42&gt;0,"Due soon","OK")))</f>
        <v>Overdue</v>
      </c>
      <c r="M42" s="37"/>
    </row>
    <row r="43" spans="2:14">
      <c r="B43" s="49" t="str">
        <f>IFERROR(INDEX(tblItems[Item],3)&amp;"","")</f>
        <v>HSG-300</v>
      </c>
      <c r="C43" s="37" t="str">
        <f>IF($B$43="","",INDEX(tblItems[Source],MATCH($B$43,tblItems[Item],0)))</f>
        <v>Make</v>
      </c>
      <c r="D43" s="35">
        <f>IF($B$43="","",INDEX(tblItems[Lead time (wk)],MATCH($B$43,tblItems[Item],0)))</f>
        <v>1</v>
      </c>
      <c r="E43" s="35">
        <f>IF($B$43="","",SUMIFS(tblMRP[Gross req. (units)],tblMRP[Item],$B$43))</f>
        <v>4200</v>
      </c>
      <c r="F43" s="35">
        <f>IF($B$43="","",COUNTIFS(tblMRP[Item],$B$43,tblMRP[Planned receipt (units)],"&gt;0"))</f>
        <v>11</v>
      </c>
      <c r="G43" s="35">
        <f>IF($B$43="","",SUMIFS(tblMRP[Planned receipt (units)],tblMRP[Item],$B$43))</f>
        <v>3850</v>
      </c>
      <c r="H43" s="50">
        <f>IF($B$43="","",IF($F$43=0,"",SUMPRODUCT(LARGE((tblMRP[Item]=$B$43)*(tblMRP[Planned receipt (units)]&gt;0)*tblMRP[Week],$F$43))-7*$D$43))</f>
        <v>46328</v>
      </c>
      <c r="I43" s="35">
        <f>IF($B$43="","",COUNTIFS(tblMRP[Item],$B$43,tblMRP[Release status],"Due soon"))</f>
        <v>1</v>
      </c>
      <c r="J43" s="35">
        <f>IF($B$43="","",COUNTIFS(tblMRP[Item],$B$43,tblMRP[Release status],"Overdue"))</f>
        <v>0</v>
      </c>
      <c r="K43" s="35">
        <f>IF($B$43="","",SUMIFS(tblMRP[Planned receipt (units)],tblMRP[Item],$B$43,tblMRP[Release status],"Overdue"))</f>
        <v>0</v>
      </c>
      <c r="L43" s="37" t="str">
        <f>IF($B$43="","",IF($J$43&gt;0,"Overdue",IF($I$43&gt;0,"Due soon","OK")))</f>
        <v>Due soon</v>
      </c>
      <c r="M43" s="37"/>
    </row>
    <row r="44" spans="2:14">
      <c r="B44" s="49" t="str">
        <f>IFERROR(INDEX(tblItems[Item],4)&amp;"","")</f>
        <v>BLD-5</v>
      </c>
      <c r="C44" s="37" t="str">
        <f>IF($B$44="","",INDEX(tblItems[Source],MATCH($B$44,tblItems[Item],0)))</f>
        <v>Make</v>
      </c>
      <c r="D44" s="35">
        <f>IF($B$44="","",INDEX(tblItems[Lead time (wk)],MATCH($B$44,tblItems[Item],0)))</f>
        <v>1</v>
      </c>
      <c r="E44" s="35">
        <f>IF($B$44="","",SUMIFS(tblMRP[Gross req. (units)],tblMRP[Item],$B$44))</f>
        <v>4200</v>
      </c>
      <c r="F44" s="35">
        <f>IF($B$44="","",COUNTIFS(tblMRP[Item],$B$44,tblMRP[Planned receipt (units)],"&gt;0"))</f>
        <v>10</v>
      </c>
      <c r="G44" s="35">
        <f>IF($B$44="","",SUMIFS(tblMRP[Planned receipt (units)],tblMRP[Item],$B$44))</f>
        <v>3400</v>
      </c>
      <c r="H44" s="50">
        <f>IF($B$44="","",IF($F$44=0,"",SUMPRODUCT(LARGE((tblMRP[Item]=$B$44)*(tblMRP[Planned receipt (units)]&gt;0)*tblMRP[Week],$F$44))-7*$D$44))</f>
        <v>46335</v>
      </c>
      <c r="I44" s="35">
        <f>IF($B$44="","",COUNTIFS(tblMRP[Item],$B$44,tblMRP[Release status],"Due soon"))</f>
        <v>0</v>
      </c>
      <c r="J44" s="35">
        <f>IF($B$44="","",COUNTIFS(tblMRP[Item],$B$44,tblMRP[Release status],"Overdue"))</f>
        <v>0</v>
      </c>
      <c r="K44" s="35">
        <f>IF($B$44="","",SUMIFS(tblMRP[Planned receipt (units)],tblMRP[Item],$B$44,tblMRP[Release status],"Overdue"))</f>
        <v>0</v>
      </c>
      <c r="L44" s="37" t="str">
        <f>IF($B$44="","",IF($J$44&gt;0,"Overdue",IF($I$44&gt;0,"Due soon","OK")))</f>
        <v>OK</v>
      </c>
      <c r="M44" s="37"/>
    </row>
    <row r="45" spans="2:14">
      <c r="B45" s="49" t="str">
        <f>IFERROR(INDEX(tblItems[Item],5)&amp;"","")</f>
        <v>STL-12</v>
      </c>
      <c r="C45" s="37" t="str">
        <f>IF($B$45="","",INDEX(tblItems[Source],MATCH($B$45,tblItems[Item],0)))</f>
        <v>Buy</v>
      </c>
      <c r="D45" s="35">
        <f>IF($B$45="","",INDEX(tblItems[Lead time (wk)],MATCH($B$45,tblItems[Item],0)))</f>
        <v>3</v>
      </c>
      <c r="E45" s="35">
        <f>IF($B$45="","",SUMIFS(tblMRP[Gross req. (units)],tblMRP[Item],$B$45))</f>
        <v>27300</v>
      </c>
      <c r="F45" s="35">
        <f>IF($B$45="","",COUNTIFS(tblMRP[Item],$B$45,tblMRP[Planned receipt (units)],"&gt;0"))</f>
        <v>8</v>
      </c>
      <c r="G45" s="35">
        <f>IF($B$45="","",SUMIFS(tblMRP[Planned receipt (units)],tblMRP[Item],$B$45))</f>
        <v>20000</v>
      </c>
      <c r="H45" s="50">
        <f>IF($B$45="","",IF($F$45=0,"",SUMPRODUCT(LARGE((tblMRP[Item]=$B$45)*(tblMRP[Planned receipt (units)]&gt;0)*tblMRP[Week],$F$45))-7*$D$45))</f>
        <v>46335</v>
      </c>
      <c r="I45" s="35">
        <f>IF($B$45="","",COUNTIFS(tblMRP[Item],$B$45,tblMRP[Release status],"Due soon"))</f>
        <v>0</v>
      </c>
      <c r="J45" s="35">
        <f>IF($B$45="","",COUNTIFS(tblMRP[Item],$B$45,tblMRP[Release status],"Overdue"))</f>
        <v>0</v>
      </c>
      <c r="K45" s="35">
        <f>IF($B$45="","",SUMIFS(tblMRP[Planned receipt (units)],tblMRP[Item],$B$45,tblMRP[Release status],"Overdue"))</f>
        <v>0</v>
      </c>
      <c r="L45" s="37" t="str">
        <f>IF($B$45="","",IF($J$45&gt;0,"Overdue",IF($I$45&gt;0,"Due soon","OK")))</f>
        <v>OK</v>
      </c>
      <c r="M45" s="37"/>
    </row>
    <row r="46" spans="2:14">
      <c r="B46" s="49" t="str">
        <f>IFERROR(INDEX(tblItems[Item],6)&amp;"","")</f>
        <v>FKT-12</v>
      </c>
      <c r="C46" s="37" t="str">
        <f>IF($B$46="","",INDEX(tblItems[Source],MATCH($B$46,tblItems[Item],0)))</f>
        <v>Buy</v>
      </c>
      <c r="D46" s="35">
        <f>IF($B$46="","",INDEX(tblItems[Lead time (wk)],MATCH($B$46,tblItems[Item],0)))</f>
        <v>2</v>
      </c>
      <c r="E46" s="35">
        <f>IF($B$46="","",SUMIFS(tblMRP[Gross req. (units)],tblMRP[Item],$B$46))</f>
        <v>4200</v>
      </c>
      <c r="F46" s="35">
        <f>IF($B$46="","",COUNTIFS(tblMRP[Item],$B$46,tblMRP[Planned receipt (units)],"&gt;0"))</f>
        <v>3</v>
      </c>
      <c r="G46" s="35">
        <f>IF($B$46="","",SUMIFS(tblMRP[Planned receipt (units)],tblMRP[Item],$B$46))</f>
        <v>3000</v>
      </c>
      <c r="H46" s="50">
        <f>IF($B$46="","",IF($F$46=0,"",SUMPRODUCT(LARGE((tblMRP[Item]=$B$46)*(tblMRP[Planned receipt (units)]&gt;0)*tblMRP[Week],$F$46))-7*$D$46))</f>
        <v>46356</v>
      </c>
      <c r="I46" s="35">
        <f>IF($B$46="","",COUNTIFS(tblMRP[Item],$B$46,tblMRP[Release status],"Due soon"))</f>
        <v>0</v>
      </c>
      <c r="J46" s="35">
        <f>IF($B$46="","",COUNTIFS(tblMRP[Item],$B$46,tblMRP[Release status],"Overdue"))</f>
        <v>0</v>
      </c>
      <c r="K46" s="35">
        <f>IF($B$46="","",SUMIFS(tblMRP[Planned receipt (units)],tblMRP[Item],$B$46,tblMRP[Release status],"Overdue"))</f>
        <v>0</v>
      </c>
      <c r="L46" s="37" t="str">
        <f>IF($B$46="","",IF($J$46&gt;0,"Overdue",IF($I$46&gt;0,"Due soon","OK")))</f>
        <v>OK</v>
      </c>
      <c r="M46" s="37"/>
    </row>
    <row r="47" spans="2:14">
      <c r="B47" s="49" t="str">
        <f>IFERROR(INDEX(tblItems[Item],7)&amp;"","")</f>
        <v>CAP-10</v>
      </c>
      <c r="C47" s="37" t="str">
        <f>IF($B$47="","",INDEX(tblItems[Source],MATCH($B$47,tblItems[Item],0)))</f>
        <v>Buy</v>
      </c>
      <c r="D47" s="35">
        <f>IF($B$47="","",INDEX(tblItems[Lead time (wk)],MATCH($B$47,tblItems[Item],0)))</f>
        <v>8</v>
      </c>
      <c r="E47" s="35">
        <f>IF($B$47="","",SUMIFS(tblMRP[Gross req. (units)],tblMRP[Item],$B$47))</f>
        <v>4200</v>
      </c>
      <c r="F47" s="35">
        <f>IF($B$47="","",COUNTIFS(tblMRP[Item],$B$47,tblMRP[Planned receipt (units)],"&gt;0"))</f>
        <v>2</v>
      </c>
      <c r="G47" s="35">
        <f>IF($B$47="","",SUMIFS(tblMRP[Planned receipt (units)],tblMRP[Item],$B$47))</f>
        <v>2000</v>
      </c>
      <c r="H47" s="50">
        <f>IF($B$47="","",IF($F$47=0,"",SUMPRODUCT(LARGE((tblMRP[Item]=$B$47)*(tblMRP[Planned receipt (units)]&gt;0)*tblMRP[Week],$F$47))-7*$D$47))</f>
        <v>46328</v>
      </c>
      <c r="I47" s="35">
        <f>IF($B$47="","",COUNTIFS(tblMRP[Item],$B$47,tblMRP[Release status],"Due soon"))</f>
        <v>1</v>
      </c>
      <c r="J47" s="35">
        <f>IF($B$47="","",COUNTIFS(tblMRP[Item],$B$47,tblMRP[Release status],"Overdue"))</f>
        <v>0</v>
      </c>
      <c r="K47" s="35">
        <f>IF($B$47="","",SUMIFS(tblMRP[Planned receipt (units)],tblMRP[Item],$B$47,tblMRP[Release status],"Overdue"))</f>
        <v>0</v>
      </c>
      <c r="L47" s="37" t="str">
        <f>IF($B$47="","",IF($J$47&gt;0,"Overdue",IF($I$47&gt;0,"Due soon","OK")))</f>
        <v>Due soon</v>
      </c>
      <c r="M47" s="37"/>
    </row>
    <row r="48" spans="2:14">
      <c r="B48" s="49" t="str">
        <f>IFERROR(INDEX(tblItems[Item],8)&amp;"","")</f>
        <v>CTN-60</v>
      </c>
      <c r="C48" s="37" t="str">
        <f>IF($B$48="","",INDEX(tblItems[Source],MATCH($B$48,tblItems[Item],0)))</f>
        <v>Buy</v>
      </c>
      <c r="D48" s="35">
        <f>IF($B$48="","",INDEX(tblItems[Lead time (wk)],MATCH($B$48,tblItems[Item],0)))</f>
        <v>1</v>
      </c>
      <c r="E48" s="35">
        <f>IF($B$48="","",SUMIFS(tblMRP[Gross req. (units)],tblMRP[Item],$B$48))</f>
        <v>4200</v>
      </c>
      <c r="F48" s="35">
        <f>IF($B$48="","",COUNTIFS(tblMRP[Item],$B$48,tblMRP[Planned receipt (units)],"&gt;0"))</f>
        <v>10</v>
      </c>
      <c r="G48" s="35">
        <f>IF($B$48="","",SUMIFS(tblMRP[Planned receipt (units)],tblMRP[Item],$B$48))</f>
        <v>3500</v>
      </c>
      <c r="H48" s="50">
        <f>IF($B$48="","",IF($F$48=0,"",SUMPRODUCT(LARGE((tblMRP[Item]=$B$48)*(tblMRP[Planned receipt (units)]&gt;0)*tblMRP[Week],$F$48))-7*$D$48))</f>
        <v>46335</v>
      </c>
      <c r="I48" s="35">
        <f>IF($B$48="","",COUNTIFS(tblMRP[Item],$B$48,tblMRP[Release status],"Due soon"))</f>
        <v>0</v>
      </c>
      <c r="J48" s="35">
        <f>IF($B$48="","",COUNTIFS(tblMRP[Item],$B$48,tblMRP[Release status],"Overdue"))</f>
        <v>0</v>
      </c>
      <c r="K48" s="35">
        <f>IF($B$48="","",SUMIFS(tblMRP[Planned receipt (units)],tblMRP[Item],$B$48,tblMRP[Release status],"Overdue"))</f>
        <v>0</v>
      </c>
      <c r="L48" s="37" t="str">
        <f>IF($B$48="","",IF($J$48&gt;0,"Overdue",IF($I$48&gt;0,"Due soon","OK")))</f>
        <v>OK</v>
      </c>
      <c r="M48" s="37"/>
    </row>
    <row r="50" spans="2:15">
      <c r="B50" s="30" t="s">
        <v>141</v>
      </c>
      <c r="C50" s="30"/>
      <c r="D50" s="30"/>
      <c r="E50" s="30"/>
      <c r="F50" s="30"/>
      <c r="G50" s="30"/>
      <c r="H50" s="30"/>
      <c r="I50" s="30"/>
      <c r="J50" s="30"/>
      <c r="K50" s="30"/>
      <c r="L50" s="30"/>
      <c r="M50" s="30"/>
      <c r="N50" s="30"/>
      <c r="O50" s="30"/>
    </row>
    <row r="51" spans="2:15">
      <c r="B51" s="45" t="s">
        <v>142</v>
      </c>
      <c r="C51" s="51">
        <f>INDEX($C$30:$N$30,1)</f>
        <v>46328</v>
      </c>
      <c r="D51" s="51">
        <f>INDEX($C$30:$N$30,2)</f>
        <v>46335</v>
      </c>
      <c r="E51" s="51">
        <f>INDEX($C$30:$N$30,3)</f>
        <v>46342</v>
      </c>
      <c r="F51" s="51">
        <f>INDEX($C$30:$N$30,4)</f>
        <v>46349</v>
      </c>
      <c r="G51" s="51">
        <f>INDEX($C$30:$N$30,5)</f>
        <v>46356</v>
      </c>
      <c r="H51" s="51">
        <f>INDEX($C$30:$N$30,6)</f>
        <v>46363</v>
      </c>
      <c r="I51" s="51">
        <f>INDEX($C$30:$N$30,7)</f>
        <v>46370</v>
      </c>
      <c r="J51" s="51">
        <f>INDEX($C$30:$N$30,8)</f>
        <v>46377</v>
      </c>
      <c r="K51" s="51">
        <f>INDEX($C$30:$N$30,9)</f>
        <v>46384</v>
      </c>
      <c r="L51" s="51">
        <f>INDEX($C$30:$N$30,10)</f>
        <v>46391</v>
      </c>
      <c r="M51" s="51">
        <f>INDEX($C$30:$N$30,11)</f>
        <v>46398</v>
      </c>
      <c r="N51" s="51">
        <f>INDEX($C$30:$N$30,12)</f>
        <v>46405</v>
      </c>
      <c r="O51" s="31" t="s">
        <v>143</v>
      </c>
    </row>
    <row r="52" spans="2:15">
      <c r="B52" s="49" t="str">
        <f>IFERROR(INDEX(tblItems[Item],1)&amp;"","")</f>
        <v>MTR-075</v>
      </c>
      <c r="C52" s="52">
        <f>IF($B$52="","",SUMIFS(tblMRP[Planned release (units)],tblMRP[Item],$B$52,tblMRP[Week],$C$51))</f>
        <v>350</v>
      </c>
      <c r="D52" s="52">
        <f>IF($B$52="","",SUMIFS(tblMRP[Planned release (units)],tblMRP[Item],$B$52,tblMRP[Week],$D$51))</f>
        <v>400</v>
      </c>
      <c r="E52" s="52">
        <f>IF($B$52="","",SUMIFS(tblMRP[Planned release (units)],tblMRP[Item],$B$52,tblMRP[Week],$E$51))</f>
        <v>400</v>
      </c>
      <c r="F52" s="52">
        <f>IF($B$52="","",SUMIFS(tblMRP[Planned release (units)],tblMRP[Item],$B$52,tblMRP[Week],$F$51))</f>
        <v>400</v>
      </c>
      <c r="G52" s="52">
        <f>IF($B$52="","",SUMIFS(tblMRP[Planned release (units)],tblMRP[Item],$B$52,tblMRP[Week],$G$51))</f>
        <v>400</v>
      </c>
      <c r="H52" s="52">
        <f>IF($B$52="","",SUMIFS(tblMRP[Planned release (units)],tblMRP[Item],$B$52,tblMRP[Week],$H$51))</f>
        <v>350</v>
      </c>
      <c r="I52" s="52">
        <f>IF($B$52="","",SUMIFS(tblMRP[Planned release (units)],tblMRP[Item],$B$52,tblMRP[Week],$I$51))</f>
        <v>350</v>
      </c>
      <c r="J52" s="52">
        <f>IF($B$52="","",SUMIFS(tblMRP[Planned release (units)],tblMRP[Item],$B$52,tblMRP[Week],$J$51))</f>
        <v>350</v>
      </c>
      <c r="K52" s="52">
        <f>IF($B$52="","",SUMIFS(tblMRP[Planned release (units)],tblMRP[Item],$B$52,tblMRP[Week],$K$51))</f>
        <v>0</v>
      </c>
      <c r="L52" s="52">
        <f>IF($B$52="","",SUMIFS(tblMRP[Planned release (units)],tblMRP[Item],$B$52,tblMRP[Week],$L$51))</f>
        <v>0</v>
      </c>
      <c r="M52" s="52">
        <f>IF($B$52="","",SUMIFS(tblMRP[Planned release (units)],tblMRP[Item],$B$52,tblMRP[Week],$M$51))</f>
        <v>0</v>
      </c>
      <c r="N52" s="52">
        <f>IF($B$52="","",SUMIFS(tblMRP[Planned release (units)],tblMRP[Item],$B$52,tblMRP[Week],$N$51))</f>
        <v>0</v>
      </c>
      <c r="O52" s="47">
        <f>IF($B$52="","",SUM($C$52:$N$52))</f>
        <v>3000</v>
      </c>
    </row>
    <row r="53" spans="2:15">
      <c r="B53" s="49" t="str">
        <f>IFERROR(INDEX(tblItems[Item],2)&amp;"","")</f>
        <v>PCB-C2</v>
      </c>
      <c r="C53" s="52">
        <f>IF($B$53="","",SUMIFS(tblMRP[Planned release (units)],tblMRP[Item],$B$53,tblMRP[Week],$C$51))</f>
        <v>400</v>
      </c>
      <c r="D53" s="52">
        <f>IF($B$53="","",SUMIFS(tblMRP[Planned release (units)],tblMRP[Item],$B$53,tblMRP[Week],$D$51))</f>
        <v>400</v>
      </c>
      <c r="E53" s="52">
        <f>IF($B$53="","",SUMIFS(tblMRP[Planned release (units)],tblMRP[Item],$B$53,tblMRP[Week],$E$51))</f>
        <v>400</v>
      </c>
      <c r="F53" s="52">
        <f>IF($B$53="","",SUMIFS(tblMRP[Planned release (units)],tblMRP[Item],$B$53,tblMRP[Week],$F$51))</f>
        <v>400</v>
      </c>
      <c r="G53" s="52">
        <f>IF($B$53="","",SUMIFS(tblMRP[Planned release (units)],tblMRP[Item],$B$53,tblMRP[Week],$G$51))</f>
        <v>300</v>
      </c>
      <c r="H53" s="52">
        <f>IF($B$53="","",SUMIFS(tblMRP[Planned release (units)],tblMRP[Item],$B$53,tblMRP[Week],$H$51))</f>
        <v>400</v>
      </c>
      <c r="I53" s="52">
        <f>IF($B$53="","",SUMIFS(tblMRP[Planned release (units)],tblMRP[Item],$B$53,tblMRP[Week],$I$51))</f>
        <v>0</v>
      </c>
      <c r="J53" s="52">
        <f>IF($B$53="","",SUMIFS(tblMRP[Planned release (units)],tblMRP[Item],$B$53,tblMRP[Week],$J$51))</f>
        <v>0</v>
      </c>
      <c r="K53" s="52">
        <f>IF($B$53="","",SUMIFS(tblMRP[Planned release (units)],tblMRP[Item],$B$53,tblMRP[Week],$K$51))</f>
        <v>0</v>
      </c>
      <c r="L53" s="52">
        <f>IF($B$53="","",SUMIFS(tblMRP[Planned release (units)],tblMRP[Item],$B$53,tblMRP[Week],$L$51))</f>
        <v>0</v>
      </c>
      <c r="M53" s="52">
        <f>IF($B$53="","",SUMIFS(tblMRP[Planned release (units)],tblMRP[Item],$B$53,tblMRP[Week],$M$51))</f>
        <v>0</v>
      </c>
      <c r="N53" s="52">
        <f>IF($B$53="","",SUMIFS(tblMRP[Planned release (units)],tblMRP[Item],$B$53,tblMRP[Week],$N$51))</f>
        <v>0</v>
      </c>
      <c r="O53" s="47">
        <f>IF($B$53="","",SUM($C$53:$N$53))</f>
        <v>2300</v>
      </c>
    </row>
    <row r="54" spans="2:15">
      <c r="B54" s="49" t="str">
        <f>IFERROR(INDEX(tblItems[Item],3)&amp;"","")</f>
        <v>HSG-300</v>
      </c>
      <c r="C54" s="52">
        <f>IF($B$54="","",SUMIFS(tblMRP[Planned release (units)],tblMRP[Item],$B$54,tblMRP[Week],$C$51))</f>
        <v>270</v>
      </c>
      <c r="D54" s="52">
        <f>IF($B$54="","",SUMIFS(tblMRP[Planned release (units)],tblMRP[Item],$B$54,tblMRP[Week],$D$51))</f>
        <v>300</v>
      </c>
      <c r="E54" s="52">
        <f>IF($B$54="","",SUMIFS(tblMRP[Planned release (units)],tblMRP[Item],$B$54,tblMRP[Week],$E$51))</f>
        <v>340</v>
      </c>
      <c r="F54" s="52">
        <f>IF($B$54="","",SUMIFS(tblMRP[Planned release (units)],tblMRP[Item],$B$54,tblMRP[Week],$F$51))</f>
        <v>360</v>
      </c>
      <c r="G54" s="52">
        <f>IF($B$54="","",SUMIFS(tblMRP[Planned release (units)],tblMRP[Item],$B$54,tblMRP[Week],$G$51))</f>
        <v>380</v>
      </c>
      <c r="H54" s="52">
        <f>IF($B$54="","",SUMIFS(tblMRP[Planned release (units)],tblMRP[Item],$B$54,tblMRP[Week],$H$51))</f>
        <v>400</v>
      </c>
      <c r="I54" s="52">
        <f>IF($B$54="","",SUMIFS(tblMRP[Planned release (units)],tblMRP[Item],$B$54,tblMRP[Week],$I$51))</f>
        <v>400</v>
      </c>
      <c r="J54" s="52">
        <f>IF($B$54="","",SUMIFS(tblMRP[Planned release (units)],tblMRP[Item],$B$54,tblMRP[Week],$J$51))</f>
        <v>380</v>
      </c>
      <c r="K54" s="52">
        <f>IF($B$54="","",SUMIFS(tblMRP[Planned release (units)],tblMRP[Item],$B$54,tblMRP[Week],$K$51))</f>
        <v>360</v>
      </c>
      <c r="L54" s="52">
        <f>IF($B$54="","",SUMIFS(tblMRP[Planned release (units)],tblMRP[Item],$B$54,tblMRP[Week],$L$51))</f>
        <v>340</v>
      </c>
      <c r="M54" s="52">
        <f>IF($B$54="","",SUMIFS(tblMRP[Planned release (units)],tblMRP[Item],$B$54,tblMRP[Week],$M$51))</f>
        <v>320</v>
      </c>
      <c r="N54" s="52">
        <f>IF($B$54="","",SUMIFS(tblMRP[Planned release (units)],tblMRP[Item],$B$54,tblMRP[Week],$N$51))</f>
        <v>0</v>
      </c>
      <c r="O54" s="47">
        <f>IF($B$54="","",SUM($C$54:$N$54))</f>
        <v>3850</v>
      </c>
    </row>
    <row r="55" spans="2:15">
      <c r="B55" s="49" t="str">
        <f>IFERROR(INDEX(tblItems[Item],4)&amp;"","")</f>
        <v>BLD-5</v>
      </c>
      <c r="C55" s="52">
        <f>IF($B$55="","",SUMIFS(tblMRP[Planned release (units)],tblMRP[Item],$B$55,tblMRP[Week],$C$51))</f>
        <v>0</v>
      </c>
      <c r="D55" s="52">
        <f>IF($B$55="","",SUMIFS(tblMRP[Planned release (units)],tblMRP[Item],$B$55,tblMRP[Week],$D$51))</f>
        <v>150</v>
      </c>
      <c r="E55" s="52">
        <f>IF($B$55="","",SUMIFS(tblMRP[Planned release (units)],tblMRP[Item],$B$55,tblMRP[Week],$E$51))</f>
        <v>350</v>
      </c>
      <c r="F55" s="52">
        <f>IF($B$55="","",SUMIFS(tblMRP[Planned release (units)],tblMRP[Item],$B$55,tblMRP[Week],$F$51))</f>
        <v>350</v>
      </c>
      <c r="G55" s="52">
        <f>IF($B$55="","",SUMIFS(tblMRP[Planned release (units)],tblMRP[Item],$B$55,tblMRP[Week],$G$51))</f>
        <v>350</v>
      </c>
      <c r="H55" s="52">
        <f>IF($B$55="","",SUMIFS(tblMRP[Planned release (units)],tblMRP[Item],$B$55,tblMRP[Week],$H$51))</f>
        <v>400</v>
      </c>
      <c r="I55" s="52">
        <f>IF($B$55="","",SUMIFS(tblMRP[Planned release (units)],tblMRP[Item],$B$55,tblMRP[Week],$I$51))</f>
        <v>400</v>
      </c>
      <c r="J55" s="52">
        <f>IF($B$55="","",SUMIFS(tblMRP[Planned release (units)],tblMRP[Item],$B$55,tblMRP[Week],$J$51))</f>
        <v>400</v>
      </c>
      <c r="K55" s="52">
        <f>IF($B$55="","",SUMIFS(tblMRP[Planned release (units)],tblMRP[Item],$B$55,tblMRP[Week],$K$51))</f>
        <v>350</v>
      </c>
      <c r="L55" s="52">
        <f>IF($B$55="","",SUMIFS(tblMRP[Planned release (units)],tblMRP[Item],$B$55,tblMRP[Week],$L$51))</f>
        <v>350</v>
      </c>
      <c r="M55" s="52">
        <f>IF($B$55="","",SUMIFS(tblMRP[Planned release (units)],tblMRP[Item],$B$55,tblMRP[Week],$M$51))</f>
        <v>300</v>
      </c>
      <c r="N55" s="52">
        <f>IF($B$55="","",SUMIFS(tblMRP[Planned release (units)],tblMRP[Item],$B$55,tblMRP[Week],$N$51))</f>
        <v>0</v>
      </c>
      <c r="O55" s="47">
        <f>IF($B$55="","",SUM($C$55:$N$55))</f>
        <v>3400</v>
      </c>
    </row>
    <row r="56" spans="2:15">
      <c r="B56" s="49" t="str">
        <f>IFERROR(INDEX(tblItems[Item],5)&amp;"","")</f>
        <v>STL-12</v>
      </c>
      <c r="C56" s="52">
        <f>IF($B$56="","",SUMIFS(tblMRP[Planned release (units)],tblMRP[Item],$B$56,tblMRP[Week],$C$51))</f>
        <v>0</v>
      </c>
      <c r="D56" s="52">
        <f>IF($B$56="","",SUMIFS(tblMRP[Planned release (units)],tblMRP[Item],$B$56,tblMRP[Week],$D$51))</f>
        <v>4000</v>
      </c>
      <c r="E56" s="52">
        <f>IF($B$56="","",SUMIFS(tblMRP[Planned release (units)],tblMRP[Item],$B$56,tblMRP[Week],$E$51))</f>
        <v>2000</v>
      </c>
      <c r="F56" s="52">
        <f>IF($B$56="","",SUMIFS(tblMRP[Planned release (units)],tblMRP[Item],$B$56,tblMRP[Week],$F$51))</f>
        <v>2000</v>
      </c>
      <c r="G56" s="52">
        <f>IF($B$56="","",SUMIFS(tblMRP[Planned release (units)],tblMRP[Item],$B$56,tblMRP[Week],$G$51))</f>
        <v>2000</v>
      </c>
      <c r="H56" s="52">
        <f>IF($B$56="","",SUMIFS(tblMRP[Planned release (units)],tblMRP[Item],$B$56,tblMRP[Week],$H$51))</f>
        <v>4000</v>
      </c>
      <c r="I56" s="52">
        <f>IF($B$56="","",SUMIFS(tblMRP[Planned release (units)],tblMRP[Item],$B$56,tblMRP[Week],$I$51))</f>
        <v>2000</v>
      </c>
      <c r="J56" s="52">
        <f>IF($B$56="","",SUMIFS(tblMRP[Planned release (units)],tblMRP[Item],$B$56,tblMRP[Week],$J$51))</f>
        <v>2000</v>
      </c>
      <c r="K56" s="52">
        <f>IF($B$56="","",SUMIFS(tblMRP[Planned release (units)],tblMRP[Item],$B$56,tblMRP[Week],$K$51))</f>
        <v>2000</v>
      </c>
      <c r="L56" s="52">
        <f>IF($B$56="","",SUMIFS(tblMRP[Planned release (units)],tblMRP[Item],$B$56,tblMRP[Week],$L$51))</f>
        <v>0</v>
      </c>
      <c r="M56" s="52">
        <f>IF($B$56="","",SUMIFS(tblMRP[Planned release (units)],tblMRP[Item],$B$56,tblMRP[Week],$M$51))</f>
        <v>0</v>
      </c>
      <c r="N56" s="52">
        <f>IF($B$56="","",SUMIFS(tblMRP[Planned release (units)],tblMRP[Item],$B$56,tblMRP[Week],$N$51))</f>
        <v>0</v>
      </c>
      <c r="O56" s="47">
        <f>IF($B$56="","",SUM($C$56:$N$56))</f>
        <v>20000</v>
      </c>
    </row>
    <row r="57" spans="2:15">
      <c r="B57" s="49" t="str">
        <f>IFERROR(INDEX(tblItems[Item],6)&amp;"","")</f>
        <v>FKT-12</v>
      </c>
      <c r="C57" s="52">
        <f>IF($B$57="","",SUMIFS(tblMRP[Planned release (units)],tblMRP[Item],$B$57,tblMRP[Week],$C$51))</f>
        <v>0</v>
      </c>
      <c r="D57" s="52">
        <f>IF($B$57="","",SUMIFS(tblMRP[Planned release (units)],tblMRP[Item],$B$57,tblMRP[Week],$D$51))</f>
        <v>0</v>
      </c>
      <c r="E57" s="52">
        <f>IF($B$57="","",SUMIFS(tblMRP[Planned release (units)],tblMRP[Item],$B$57,tblMRP[Week],$E$51))</f>
        <v>0</v>
      </c>
      <c r="F57" s="52">
        <f>IF($B$57="","",SUMIFS(tblMRP[Planned release (units)],tblMRP[Item],$B$57,tblMRP[Week],$F$51))</f>
        <v>0</v>
      </c>
      <c r="G57" s="52">
        <f>IF($B$57="","",SUMIFS(tblMRP[Planned release (units)],tblMRP[Item],$B$57,tblMRP[Week],$G$51))</f>
        <v>1000</v>
      </c>
      <c r="H57" s="52">
        <f>IF($B$57="","",SUMIFS(tblMRP[Planned release (units)],tblMRP[Item],$B$57,tblMRP[Week],$H$51))</f>
        <v>0</v>
      </c>
      <c r="I57" s="52">
        <f>IF($B$57="","",SUMIFS(tblMRP[Planned release (units)],tblMRP[Item],$B$57,tblMRP[Week],$I$51))</f>
        <v>1000</v>
      </c>
      <c r="J57" s="52">
        <f>IF($B$57="","",SUMIFS(tblMRP[Planned release (units)],tblMRP[Item],$B$57,tblMRP[Week],$J$51))</f>
        <v>0</v>
      </c>
      <c r="K57" s="52">
        <f>IF($B$57="","",SUMIFS(tblMRP[Planned release (units)],tblMRP[Item],$B$57,tblMRP[Week],$K$51))</f>
        <v>0</v>
      </c>
      <c r="L57" s="52">
        <f>IF($B$57="","",SUMIFS(tblMRP[Planned release (units)],tblMRP[Item],$B$57,tblMRP[Week],$L$51))</f>
        <v>1000</v>
      </c>
      <c r="M57" s="52">
        <f>IF($B$57="","",SUMIFS(tblMRP[Planned release (units)],tblMRP[Item],$B$57,tblMRP[Week],$M$51))</f>
        <v>0</v>
      </c>
      <c r="N57" s="52">
        <f>IF($B$57="","",SUMIFS(tblMRP[Planned release (units)],tblMRP[Item],$B$57,tblMRP[Week],$N$51))</f>
        <v>0</v>
      </c>
      <c r="O57" s="47">
        <f>IF($B$57="","",SUM($C$57:$N$57))</f>
        <v>3000</v>
      </c>
    </row>
    <row r="58" spans="2:15">
      <c r="B58" s="49" t="str">
        <f>IFERROR(INDEX(tblItems[Item],7)&amp;"","")</f>
        <v>CAP-10</v>
      </c>
      <c r="C58" s="52">
        <f>IF($B$58="","",SUMIFS(tblMRP[Planned release (units)],tblMRP[Item],$B$58,tblMRP[Week],$C$51))</f>
        <v>1000</v>
      </c>
      <c r="D58" s="52">
        <f>IF($B$58="","",SUMIFS(tblMRP[Planned release (units)],tblMRP[Item],$B$58,tblMRP[Week],$D$51))</f>
        <v>0</v>
      </c>
      <c r="E58" s="52">
        <f>IF($B$58="","",SUMIFS(tblMRP[Planned release (units)],tblMRP[Item],$B$58,tblMRP[Week],$E$51))</f>
        <v>1000</v>
      </c>
      <c r="F58" s="52">
        <f>IF($B$58="","",SUMIFS(tblMRP[Planned release (units)],tblMRP[Item],$B$58,tblMRP[Week],$F$51))</f>
        <v>0</v>
      </c>
      <c r="G58" s="52">
        <f>IF($B$58="","",SUMIFS(tblMRP[Planned release (units)],tblMRP[Item],$B$58,tblMRP[Week],$G$51))</f>
        <v>0</v>
      </c>
      <c r="H58" s="52">
        <f>IF($B$58="","",SUMIFS(tblMRP[Planned release (units)],tblMRP[Item],$B$58,tblMRP[Week],$H$51))</f>
        <v>0</v>
      </c>
      <c r="I58" s="52">
        <f>IF($B$58="","",SUMIFS(tblMRP[Planned release (units)],tblMRP[Item],$B$58,tblMRP[Week],$I$51))</f>
        <v>0</v>
      </c>
      <c r="J58" s="52">
        <f>IF($B$58="","",SUMIFS(tblMRP[Planned release (units)],tblMRP[Item],$B$58,tblMRP[Week],$J$51))</f>
        <v>0</v>
      </c>
      <c r="K58" s="52">
        <f>IF($B$58="","",SUMIFS(tblMRP[Planned release (units)],tblMRP[Item],$B$58,tblMRP[Week],$K$51))</f>
        <v>0</v>
      </c>
      <c r="L58" s="52">
        <f>IF($B$58="","",SUMIFS(tblMRP[Planned release (units)],tblMRP[Item],$B$58,tblMRP[Week],$L$51))</f>
        <v>0</v>
      </c>
      <c r="M58" s="52">
        <f>IF($B$58="","",SUMIFS(tblMRP[Planned release (units)],tblMRP[Item],$B$58,tblMRP[Week],$M$51))</f>
        <v>0</v>
      </c>
      <c r="N58" s="52">
        <f>IF($B$58="","",SUMIFS(tblMRP[Planned release (units)],tblMRP[Item],$B$58,tblMRP[Week],$N$51))</f>
        <v>0</v>
      </c>
      <c r="O58" s="47">
        <f>IF($B$58="","",SUM($C$58:$N$58))</f>
        <v>2000</v>
      </c>
    </row>
    <row r="59" spans="2:15">
      <c r="B59" s="49" t="str">
        <f>IFERROR(INDEX(tblItems[Item],8)&amp;"","")</f>
        <v>CTN-60</v>
      </c>
      <c r="C59" s="52">
        <f>IF($B$59="","",SUMIFS(tblMRP[Planned release (units)],tblMRP[Item],$B$59,tblMRP[Week],$C$51))</f>
        <v>0</v>
      </c>
      <c r="D59" s="52">
        <f>IF($B$59="","",SUMIFS(tblMRP[Planned release (units)],tblMRP[Item],$B$59,tblMRP[Week],$D$51))</f>
        <v>250</v>
      </c>
      <c r="E59" s="52">
        <f>IF($B$59="","",SUMIFS(tblMRP[Planned release (units)],tblMRP[Item],$B$59,tblMRP[Week],$E$51))</f>
        <v>250</v>
      </c>
      <c r="F59" s="52">
        <f>IF($B$59="","",SUMIFS(tblMRP[Planned release (units)],tblMRP[Item],$B$59,tblMRP[Week],$F$51))</f>
        <v>500</v>
      </c>
      <c r="G59" s="52">
        <f>IF($B$59="","",SUMIFS(tblMRP[Planned release (units)],tblMRP[Item],$B$59,tblMRP[Week],$G$51))</f>
        <v>250</v>
      </c>
      <c r="H59" s="52">
        <f>IF($B$59="","",SUMIFS(tblMRP[Planned release (units)],tblMRP[Item],$B$59,tblMRP[Week],$H$51))</f>
        <v>500</v>
      </c>
      <c r="I59" s="52">
        <f>IF($B$59="","",SUMIFS(tblMRP[Planned release (units)],tblMRP[Item],$B$59,tblMRP[Week],$I$51))</f>
        <v>250</v>
      </c>
      <c r="J59" s="52">
        <f>IF($B$59="","",SUMIFS(tblMRP[Planned release (units)],tblMRP[Item],$B$59,tblMRP[Week],$J$51))</f>
        <v>500</v>
      </c>
      <c r="K59" s="52">
        <f>IF($B$59="","",SUMIFS(tblMRP[Planned release (units)],tblMRP[Item],$B$59,tblMRP[Week],$K$51))</f>
        <v>250</v>
      </c>
      <c r="L59" s="52">
        <f>IF($B$59="","",SUMIFS(tblMRP[Planned release (units)],tblMRP[Item],$B$59,tblMRP[Week],$L$51))</f>
        <v>500</v>
      </c>
      <c r="M59" s="52">
        <f>IF($B$59="","",SUMIFS(tblMRP[Planned release (units)],tblMRP[Item],$B$59,tblMRP[Week],$M$51))</f>
        <v>250</v>
      </c>
      <c r="N59" s="52">
        <f>IF($B$59="","",SUMIFS(tblMRP[Planned release (units)],tblMRP[Item],$B$59,tblMRP[Week],$N$51))</f>
        <v>0</v>
      </c>
      <c r="O59" s="47">
        <f>IF($B$59="","",SUM($C$59:$N$59))</f>
        <v>3500</v>
      </c>
    </row>
    <row r="61" spans="2:15">
      <c r="B61" s="30" t="s">
        <v>144</v>
      </c>
      <c r="C61" s="30"/>
      <c r="D61" s="30"/>
      <c r="E61" s="30"/>
      <c r="F61" s="30"/>
      <c r="G61" s="30"/>
      <c r="H61" s="30"/>
      <c r="I61" s="30"/>
      <c r="J61" s="30"/>
      <c r="K61" s="30"/>
      <c r="L61" s="30"/>
      <c r="M61" s="30"/>
      <c r="N61" s="30"/>
    </row>
    <row r="62" spans="2:15">
      <c r="B62" s="45" t="s">
        <v>145</v>
      </c>
      <c r="C62" s="46">
        <f>INDEX($C$30:$N$30,1)</f>
        <v>46328</v>
      </c>
      <c r="D62" s="46">
        <f>INDEX($C$30:$N$30,2)</f>
        <v>46335</v>
      </c>
      <c r="E62" s="46">
        <f>INDEX($C$30:$N$30,3)</f>
        <v>46342</v>
      </c>
      <c r="F62" s="46">
        <f>INDEX($C$30:$N$30,4)</f>
        <v>46349</v>
      </c>
      <c r="G62" s="46">
        <f>INDEX($C$30:$N$30,5)</f>
        <v>46356</v>
      </c>
      <c r="H62" s="46">
        <f>INDEX($C$30:$N$30,6)</f>
        <v>46363</v>
      </c>
      <c r="I62" s="46">
        <f>INDEX($C$30:$N$30,7)</f>
        <v>46370</v>
      </c>
      <c r="J62" s="46">
        <f>INDEX($C$30:$N$30,8)</f>
        <v>46377</v>
      </c>
      <c r="K62" s="46">
        <f>INDEX($C$30:$N$30,9)</f>
        <v>46384</v>
      </c>
      <c r="L62" s="46">
        <f>INDEX($C$30:$N$30,10)</f>
        <v>46391</v>
      </c>
      <c r="M62" s="46">
        <f>INDEX($C$30:$N$30,11)</f>
        <v>46398</v>
      </c>
      <c r="N62" s="46">
        <f>INDEX($C$30:$N$30,12)</f>
        <v>46405</v>
      </c>
    </row>
    <row r="63" spans="2:15">
      <c r="B63" s="27" t="s">
        <v>146</v>
      </c>
      <c r="C63" s="35">
        <f>COUNTIFS(tblMRP[Release week],$C$62)</f>
        <v>4</v>
      </c>
      <c r="D63" s="35">
        <f>COUNTIFS(tblMRP[Release week],$D$62)</f>
        <v>6</v>
      </c>
      <c r="E63" s="35">
        <f>COUNTIFS(tblMRP[Release week],$E$62)</f>
        <v>7</v>
      </c>
      <c r="F63" s="35">
        <f>COUNTIFS(tblMRP[Release week],$F$62)</f>
        <v>6</v>
      </c>
      <c r="G63" s="35">
        <f>COUNTIFS(tblMRP[Release week],$G$62)</f>
        <v>7</v>
      </c>
      <c r="H63" s="35">
        <f>COUNTIFS(tblMRP[Release week],$H$62)</f>
        <v>6</v>
      </c>
      <c r="I63" s="35">
        <f>COUNTIFS(tblMRP[Release week],$I$62)</f>
        <v>6</v>
      </c>
      <c r="J63" s="35">
        <f>COUNTIFS(tblMRP[Release week],$J$62)</f>
        <v>5</v>
      </c>
      <c r="K63" s="35">
        <f>COUNTIFS(tblMRP[Release week],$K$62)</f>
        <v>4</v>
      </c>
      <c r="L63" s="35">
        <f>COUNTIFS(tblMRP[Release week],$L$62)</f>
        <v>4</v>
      </c>
      <c r="M63" s="35">
        <f>COUNTIFS(tblMRP[Release week],$M$62)</f>
        <v>3</v>
      </c>
      <c r="N63" s="35">
        <f>COUNTIFS(tblMRP[Release week],$N$62)</f>
        <v>0</v>
      </c>
    </row>
    <row r="64" spans="2:15" ht="8" customHeight="1"/>
    <row r="65" spans="2:15">
      <c r="B65" s="21" t="s">
        <v>147</v>
      </c>
      <c r="C65" s="21"/>
      <c r="D65" s="21"/>
      <c r="E65" s="21"/>
      <c r="F65" s="21"/>
      <c r="G65" s="21"/>
      <c r="H65" s="21"/>
      <c r="I65" s="21"/>
      <c r="J65" s="21"/>
      <c r="K65" s="21"/>
      <c r="L65" s="21"/>
      <c r="M65" s="21"/>
      <c r="N65" s="21"/>
      <c r="O65" s="21"/>
    </row>
    <row r="66" spans="2:15">
      <c r="B66" s="53">
        <f>IF(COUNTA(tblItems[Item])&gt;8,"Setup lists more items than the Dashboard shows: some are not included.","")</f>
        <v/>
      </c>
      <c r="C66" s="53"/>
      <c r="D66" s="53"/>
      <c r="E66" s="53"/>
      <c r="F66" s="53"/>
      <c r="G66" s="53"/>
      <c r="H66" s="53"/>
      <c r="I66" s="53"/>
      <c r="J66" s="53"/>
      <c r="K66" s="53"/>
      <c r="L66" s="53"/>
      <c r="M66" s="53"/>
      <c r="N66" s="53"/>
      <c r="O66" s="53"/>
    </row>
  </sheetData>
  <sheetProtection sheet="1" formatColumns="0" formatRows="0"/>
  <mergeCells count="37">
    <mergeCell ref="A1:O1"/>
    <mergeCell ref="B2:M2"/>
    <mergeCell ref="N2:O2"/>
    <mergeCell ref="B4:C4"/>
    <mergeCell ref="D4:E4"/>
    <mergeCell ref="B5:O5"/>
    <mergeCell ref="B7:D7"/>
    <mergeCell ref="B8:D9"/>
    <mergeCell ref="B10:D10"/>
    <mergeCell ref="B11:D11"/>
    <mergeCell ref="E7:G7"/>
    <mergeCell ref="E8:G9"/>
    <mergeCell ref="E10:G10"/>
    <mergeCell ref="E11:G11"/>
    <mergeCell ref="H7:K7"/>
    <mergeCell ref="H8:K9"/>
    <mergeCell ref="H10:K10"/>
    <mergeCell ref="H11:K11"/>
    <mergeCell ref="L7:O7"/>
    <mergeCell ref="L8:O9"/>
    <mergeCell ref="L10:O10"/>
    <mergeCell ref="L11:O11"/>
    <mergeCell ref="B29:N29"/>
    <mergeCell ref="B39:M39"/>
    <mergeCell ref="L40:M40"/>
    <mergeCell ref="L41:M41"/>
    <mergeCell ref="L42:M42"/>
    <mergeCell ref="L43:M43"/>
    <mergeCell ref="L44:M44"/>
    <mergeCell ref="L45:M45"/>
    <mergeCell ref="L46:M46"/>
    <mergeCell ref="L47:M47"/>
    <mergeCell ref="L48:M48"/>
    <mergeCell ref="B50:O50"/>
    <mergeCell ref="B61:N61"/>
    <mergeCell ref="B65:O65"/>
    <mergeCell ref="B66:O66"/>
  </mergeCells>
  <conditionalFormatting sqref="H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41:L48">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dataValidations count="1">
    <dataValidation type="list" allowBlank="1" showInputMessage="1" showErrorMessage="1" errorTitle="Check this entry" error="Pick from the list (edit the list on Setup: Items)." promptTitle="Item for the MRP record" prompt="Pick the item whose week-by-week MRP record and chart to show. Pick from the list (edit the list on Setup: Items)." sqref="D4">
      <formula1>Items</formula1>
    </dataValidation>
  </dataValidations>
  <hyperlinks>
    <hyperlink ref="N2" r:id="rId1" tooltip="Free manufacturing calculators and templates"/>
  </hyperlinks>
  <pageMargins left="0.4" right="0.4" top="0.7" bottom="0.65" header="0.3" footer="0.3"/>
  <pageSetup fitToHeight="0" orientation="landscape"/>
  <headerFooter>
    <oddHeader>&amp;L&amp;8MFG Calcs - MRP Planner&amp;R&amp;8&amp;A</oddHeader>
    <oddFooter>&amp;L&amp;8mfgcalcs.com - free manufacturing templates&amp;R&amp;8Page &amp;P of &amp;N</oddFooter>
  </headerFooter>
  <rowBreaks count="2" manualBreakCount="2">
    <brk id="28" max="16383" man="1"/>
    <brk id="5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148</v>
      </c>
      <c r="C4" s="8"/>
      <c r="D4" s="8"/>
    </row>
    <row r="5" spans="1:4" ht="5" customHeight="1"/>
    <row r="6" spans="1:4" ht="55.8" customHeight="1">
      <c r="B6" s="10" t="s">
        <v>149</v>
      </c>
      <c r="C6" s="10"/>
      <c r="D6" s="10"/>
    </row>
    <row r="8" spans="1:4" ht="21" customHeight="1">
      <c r="B8" s="8" t="s">
        <v>150</v>
      </c>
      <c r="C8" s="8"/>
      <c r="D8" s="8"/>
    </row>
    <row r="9" spans="1:4" ht="5" customHeight="1"/>
    <row r="10" spans="1:4" ht="20" customHeight="1">
      <c r="B10" s="45" t="s">
        <v>151</v>
      </c>
      <c r="C10" s="45" t="s">
        <v>152</v>
      </c>
      <c r="D10" s="31" t="s">
        <v>153</v>
      </c>
    </row>
    <row r="11" spans="1:4" ht="43.6" customHeight="1">
      <c r="B11" s="54" t="s">
        <v>154</v>
      </c>
      <c r="C11" s="55" t="s">
        <v>155</v>
      </c>
      <c r="D11" s="56" t="s">
        <v>156</v>
      </c>
    </row>
    <row r="12" spans="1:4" ht="30.4" customHeight="1">
      <c r="B12" s="54" t="s">
        <v>157</v>
      </c>
      <c r="C12" s="55" t="s">
        <v>158</v>
      </c>
      <c r="D12" s="56" t="s">
        <v>156</v>
      </c>
    </row>
    <row r="13" spans="1:4" ht="17.2" customHeight="1">
      <c r="B13" s="54" t="s">
        <v>129</v>
      </c>
      <c r="C13" s="55" t="s">
        <v>159</v>
      </c>
      <c r="D13" s="56" t="s">
        <v>156</v>
      </c>
    </row>
    <row r="14" spans="1:4" ht="30.4" customHeight="1">
      <c r="B14" s="54" t="s">
        <v>128</v>
      </c>
      <c r="C14" s="55" t="s">
        <v>160</v>
      </c>
      <c r="D14" s="56" t="s">
        <v>156</v>
      </c>
    </row>
    <row r="15" spans="1:4" ht="43.6" customHeight="1">
      <c r="B15" s="54" t="s">
        <v>127</v>
      </c>
      <c r="C15" s="55" t="s">
        <v>161</v>
      </c>
      <c r="D15" s="56" t="s">
        <v>156</v>
      </c>
    </row>
    <row r="16" spans="1:4" ht="30.4" customHeight="1">
      <c r="B16" s="54" t="s">
        <v>106</v>
      </c>
      <c r="C16" s="55" t="s">
        <v>162</v>
      </c>
      <c r="D16" s="56" t="s">
        <v>163</v>
      </c>
    </row>
    <row r="17" spans="2:4" ht="17.2" customHeight="1">
      <c r="B17" s="54" t="s">
        <v>130</v>
      </c>
      <c r="C17" s="55" t="s">
        <v>164</v>
      </c>
      <c r="D17" s="56" t="s">
        <v>156</v>
      </c>
    </row>
    <row r="18" spans="2:4" ht="17.2" customHeight="1">
      <c r="B18" s="54" t="s">
        <v>165</v>
      </c>
      <c r="C18" s="55" t="s">
        <v>166</v>
      </c>
      <c r="D18" s="56" t="s">
        <v>156</v>
      </c>
    </row>
    <row r="19" spans="2:4" ht="30.4" customHeight="1">
      <c r="B19" s="54" t="s">
        <v>167</v>
      </c>
      <c r="C19" s="55" t="s">
        <v>168</v>
      </c>
      <c r="D19" s="56" t="s">
        <v>169</v>
      </c>
    </row>
    <row r="21" spans="2:4" ht="21" customHeight="1">
      <c r="B21" s="8" t="s">
        <v>170</v>
      </c>
      <c r="C21" s="8"/>
      <c r="D21" s="8"/>
    </row>
    <row r="22" spans="2:4" ht="5" customHeight="1"/>
    <row r="23" spans="2:4" ht="29.4" customHeight="1">
      <c r="B23" s="26" t="s">
        <v>53</v>
      </c>
      <c r="C23" s="10" t="s">
        <v>171</v>
      </c>
      <c r="D23" s="10"/>
    </row>
    <row r="24" spans="2:4" ht="16.2" customHeight="1">
      <c r="B24" s="26" t="s">
        <v>53</v>
      </c>
      <c r="C24" s="10" t="s">
        <v>172</v>
      </c>
      <c r="D24" s="10"/>
    </row>
    <row r="25" spans="2:4" ht="29.4" customHeight="1">
      <c r="B25" s="26" t="s">
        <v>53</v>
      </c>
      <c r="C25" s="10" t="s">
        <v>173</v>
      </c>
      <c r="D25" s="10"/>
    </row>
    <row r="26" spans="2:4" ht="16.2" customHeight="1">
      <c r="B26" s="26" t="s">
        <v>53</v>
      </c>
      <c r="C26" s="10" t="s">
        <v>174</v>
      </c>
      <c r="D26" s="10"/>
    </row>
    <row r="28" spans="2:4" ht="21" customHeight="1">
      <c r="B28" s="8" t="s">
        <v>175</v>
      </c>
      <c r="C28" s="8"/>
      <c r="D28" s="8"/>
    </row>
    <row r="29" spans="2:4" ht="5" customHeight="1"/>
    <row r="30" spans="2:4" ht="29.4" customHeight="1">
      <c r="B30" s="26" t="s">
        <v>53</v>
      </c>
      <c r="C30" s="10" t="s">
        <v>176</v>
      </c>
      <c r="D30" s="10"/>
    </row>
    <row r="31" spans="2:4" ht="29.4" customHeight="1">
      <c r="B31" s="26" t="s">
        <v>53</v>
      </c>
      <c r="C31" s="10" t="s">
        <v>177</v>
      </c>
      <c r="D31" s="10"/>
    </row>
    <row r="32" spans="2:4" ht="29.4" customHeight="1">
      <c r="B32" s="26" t="s">
        <v>53</v>
      </c>
      <c r="C32" s="10" t="s">
        <v>178</v>
      </c>
      <c r="D32" s="10"/>
    </row>
    <row r="33" spans="2:4" ht="29.4" customHeight="1">
      <c r="B33" s="26" t="s">
        <v>53</v>
      </c>
      <c r="C33" s="10" t="s">
        <v>179</v>
      </c>
      <c r="D33" s="10"/>
    </row>
    <row r="35" spans="2:4" ht="21" customHeight="1">
      <c r="B35" s="8" t="s">
        <v>180</v>
      </c>
      <c r="C35" s="8"/>
      <c r="D35" s="8"/>
    </row>
    <row r="36" spans="2:4" ht="5" customHeight="1"/>
    <row r="37" spans="2:4" ht="82.2" customHeight="1">
      <c r="B37" s="10" t="s">
        <v>181</v>
      </c>
      <c r="C37" s="10"/>
      <c r="D37" s="10"/>
    </row>
    <row r="38" spans="2:4">
      <c r="B38" s="24" t="s">
        <v>182</v>
      </c>
      <c r="C38" s="24"/>
      <c r="D38" s="24"/>
    </row>
    <row r="40" spans="2:4" ht="21" customHeight="1">
      <c r="B40" s="8" t="s">
        <v>40</v>
      </c>
      <c r="C40" s="8"/>
      <c r="D40" s="8"/>
    </row>
    <row r="41" spans="2:4" ht="5" customHeight="1"/>
    <row r="42" spans="2:4" ht="42.6" customHeight="1">
      <c r="B42" s="10" t="s">
        <v>183</v>
      </c>
      <c r="C42" s="10"/>
      <c r="D42" s="10"/>
    </row>
    <row r="44" spans="2:4" ht="21" customHeight="1">
      <c r="B44" s="8" t="s">
        <v>184</v>
      </c>
      <c r="C44" s="8"/>
      <c r="D44" s="8"/>
    </row>
    <row r="45" spans="2:4" ht="5" customHeight="1"/>
    <row r="46" spans="2:4" ht="16.2" customHeight="1">
      <c r="B46" s="26" t="s">
        <v>53</v>
      </c>
      <c r="C46" s="10" t="s">
        <v>185</v>
      </c>
      <c r="D46" s="10"/>
    </row>
    <row r="47" spans="2:4" ht="29.4" customHeight="1">
      <c r="B47" s="26" t="s">
        <v>53</v>
      </c>
      <c r="C47" s="10" t="s">
        <v>186</v>
      </c>
      <c r="D47" s="10"/>
    </row>
    <row r="48" spans="2:4" ht="29.4" customHeight="1">
      <c r="B48" s="26" t="s">
        <v>53</v>
      </c>
      <c r="C48" s="10" t="s">
        <v>187</v>
      </c>
      <c r="D48" s="10"/>
    </row>
    <row r="49" spans="2:4" ht="29.4" customHeight="1">
      <c r="B49" s="26" t="s">
        <v>53</v>
      </c>
      <c r="C49" s="10" t="s">
        <v>188</v>
      </c>
      <c r="D49" s="10"/>
    </row>
    <row r="50" spans="2:4">
      <c r="B50" s="21" t="s">
        <v>189</v>
      </c>
      <c r="C50" s="21"/>
      <c r="D50" s="21"/>
    </row>
    <row r="52" spans="2:4" ht="21" customHeight="1">
      <c r="B52" s="8" t="s">
        <v>190</v>
      </c>
      <c r="C52" s="8"/>
      <c r="D52" s="8"/>
    </row>
    <row r="53" spans="2:4" ht="5" customHeight="1"/>
    <row r="54" spans="2:4">
      <c r="B54" s="45" t="s">
        <v>48</v>
      </c>
      <c r="C54" s="45" t="s">
        <v>191</v>
      </c>
      <c r="D54" s="31" t="s">
        <v>192</v>
      </c>
    </row>
    <row r="55" spans="2:4" ht="16.2" customHeight="1">
      <c r="B55" s="57" t="s">
        <v>193</v>
      </c>
      <c r="C55" s="58" t="s">
        <v>194</v>
      </c>
      <c r="D55" s="59" t="s">
        <v>195</v>
      </c>
    </row>
    <row r="57" spans="2:4">
      <c r="B57" s="21" t="s">
        <v>59</v>
      </c>
      <c r="C57" s="21"/>
      <c r="D57" s="21"/>
    </row>
  </sheetData>
  <sheetProtection sheet="1" formatColumns="0" formatRows="0"/>
  <mergeCells count="28">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C48:D48"/>
    <mergeCell ref="C49:D49"/>
    <mergeCell ref="B50:D50"/>
    <mergeCell ref="B52:D52"/>
    <mergeCell ref="B57:D57"/>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MRP Planner&amp;R&amp;8&amp;A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T62"/>
  <sheetViews>
    <sheetView showGridLines="0" workbookViewId="0"/>
  </sheetViews>
  <sheetFormatPr defaultRowHeight="15"/>
  <cols>
    <col min="1" max="1" width="2.7109375" customWidth="1"/>
    <col min="2" max="19" width="12.7109375" customWidth="1"/>
    <col min="20" max="20" width="18.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26</v>
      </c>
      <c r="C2" s="2"/>
      <c r="D2" s="2"/>
      <c r="E2" s="2"/>
      <c r="F2" s="2"/>
      <c r="G2" s="2"/>
      <c r="H2" s="2"/>
      <c r="I2" s="2"/>
      <c r="J2" s="2"/>
      <c r="K2" s="2"/>
      <c r="L2" s="2"/>
      <c r="M2" s="2"/>
      <c r="N2" s="2"/>
      <c r="O2" s="2"/>
      <c r="P2" s="2"/>
      <c r="Q2" s="2"/>
      <c r="R2" s="2"/>
      <c r="S2" s="2"/>
      <c r="T2" s="3" t="s">
        <v>2</v>
      </c>
    </row>
    <row r="3" spans="1:20" ht="6" customHeight="1"/>
    <row r="4" spans="1:20" ht="30" customHeight="1">
      <c r="B4" s="60" t="s">
        <v>196</v>
      </c>
      <c r="C4" s="60"/>
      <c r="D4" s="22" t="str">
        <f>IF(COUNTIF($K$11:$K$29,"PASS")=19,"PASS","FAIL")</f>
        <v>PASS</v>
      </c>
      <c r="E4" s="22"/>
      <c r="F4" s="23" t="str">
        <f>COUNTIF($K$11:$K$29,"PASS")&amp;" of 19 checks pass"</f>
        <v>19 of 19 checks pass</v>
      </c>
      <c r="G4" s="23"/>
      <c r="H4" s="23"/>
      <c r="I4" s="23"/>
      <c r="J4" s="23"/>
    </row>
    <row r="6" spans="1:20" ht="29.4" customHeight="1">
      <c r="B6" s="10" t="s">
        <v>197</v>
      </c>
      <c r="C6" s="10"/>
      <c r="D6" s="10"/>
      <c r="E6" s="10"/>
      <c r="F6" s="10"/>
      <c r="G6" s="10"/>
      <c r="H6" s="10"/>
      <c r="I6" s="10"/>
      <c r="J6" s="10"/>
      <c r="K6" s="10"/>
      <c r="L6" s="10"/>
    </row>
    <row r="8" spans="1:20" ht="21" customHeight="1">
      <c r="B8" s="8" t="s">
        <v>198</v>
      </c>
      <c r="C8" s="8"/>
      <c r="D8" s="8"/>
      <c r="E8" s="8"/>
      <c r="F8" s="8"/>
      <c r="G8" s="8"/>
      <c r="H8" s="8"/>
      <c r="I8" s="8"/>
      <c r="J8" s="8"/>
      <c r="K8" s="8"/>
      <c r="L8" s="8"/>
    </row>
    <row r="9" spans="1:20" ht="5" customHeight="1"/>
    <row r="10" spans="1:20" ht="30" customHeight="1">
      <c r="B10" s="31" t="s">
        <v>199</v>
      </c>
      <c r="C10" s="45" t="s">
        <v>109</v>
      </c>
      <c r="D10" s="45"/>
      <c r="E10" s="45"/>
      <c r="F10" s="45"/>
      <c r="G10" s="31" t="s">
        <v>200</v>
      </c>
      <c r="H10" s="31" t="s">
        <v>201</v>
      </c>
      <c r="I10" s="31" t="s">
        <v>202</v>
      </c>
      <c r="J10" s="31" t="s">
        <v>203</v>
      </c>
      <c r="K10" s="31" t="s">
        <v>204</v>
      </c>
    </row>
    <row r="11" spans="1:20" ht="16.2" customHeight="1">
      <c r="B11" s="61">
        <v>1</v>
      </c>
      <c r="C11" s="58" t="s">
        <v>205</v>
      </c>
      <c r="D11" s="58"/>
      <c r="E11" s="58"/>
      <c r="F11" s="58"/>
      <c r="G11" s="48">
        <v>550</v>
      </c>
      <c r="H11" s="35">
        <f>$N$45</f>
        <v>550</v>
      </c>
      <c r="I11" s="62">
        <f>IF(AND(ISNUMBER($G$11),ISNUMBER($H$11)),ABS($H$11-$G$11),"")</f>
        <v>0</v>
      </c>
      <c r="J11" s="63">
        <v>1E-09</v>
      </c>
      <c r="K11" s="37" t="str">
        <f>IF(AND(ISNUMBER($G$11),ISNUMBER($H$11)),IF(ABS($H$11-$G$11)&lt;=$J$11,"PASS","FAIL"),"FAIL")</f>
        <v>PASS</v>
      </c>
    </row>
    <row r="12" spans="1:20" ht="16.2" customHeight="1">
      <c r="B12" s="61">
        <v>2</v>
      </c>
      <c r="C12" s="58" t="s">
        <v>206</v>
      </c>
      <c r="D12" s="58"/>
      <c r="E12" s="58"/>
      <c r="F12" s="58"/>
      <c r="G12" s="48">
        <v>550</v>
      </c>
      <c r="H12" s="35">
        <f>$M$45</f>
        <v>550</v>
      </c>
      <c r="I12" s="62">
        <f>IF(AND(ISNUMBER($G$12),ISNUMBER($H$12)),ABS($H$12-$G$12),"")</f>
        <v>0</v>
      </c>
      <c r="J12" s="63">
        <v>1E-09</v>
      </c>
      <c r="K12" s="37" t="str">
        <f>IF(AND(ISNUMBER($G$12),ISNUMBER($H$12)),IF(ABS($H$12-$G$12)&lt;=$J$12,"PASS","FAIL"),"FAIL")</f>
        <v>PASS</v>
      </c>
    </row>
    <row r="13" spans="1:20" ht="16.2" customHeight="1">
      <c r="B13" s="61">
        <v>3</v>
      </c>
      <c r="C13" s="58" t="s">
        <v>207</v>
      </c>
      <c r="D13" s="58"/>
      <c r="E13" s="58"/>
      <c r="F13" s="58"/>
      <c r="G13" s="57" t="s">
        <v>208</v>
      </c>
      <c r="H13" s="64" t="str">
        <f>$R$45</f>
        <v>Due soon</v>
      </c>
      <c r="I13" s="64"/>
      <c r="J13" s="59" t="s">
        <v>209</v>
      </c>
      <c r="K13" s="37" t="str">
        <f>IF($H$13&amp;""=$G$13&amp;"","PASS","FAIL")</f>
        <v>PASS</v>
      </c>
    </row>
    <row r="14" spans="1:20" ht="16.2" customHeight="1">
      <c r="B14" s="61">
        <v>4</v>
      </c>
      <c r="C14" s="58" t="s">
        <v>210</v>
      </c>
      <c r="D14" s="58"/>
      <c r="E14" s="58"/>
      <c r="F14" s="58"/>
      <c r="G14" s="48">
        <v>0</v>
      </c>
      <c r="H14" s="35">
        <f>$M$46</f>
        <v>0</v>
      </c>
      <c r="I14" s="62">
        <f>IF(AND(ISNUMBER($G$14),ISNUMBER($H$14)),ABS($H$14-$G$14),"")</f>
        <v>0</v>
      </c>
      <c r="J14" s="63">
        <v>1E-09</v>
      </c>
      <c r="K14" s="37" t="str">
        <f>IF(AND(ISNUMBER($G$14),ISNUMBER($H$14)),IF(ABS($H$14-$G$14)&lt;=$J$14,"PASS","FAIL"),"FAIL")</f>
        <v>PASS</v>
      </c>
    </row>
    <row r="15" spans="1:20" ht="16.2" customHeight="1">
      <c r="B15" s="61">
        <v>5</v>
      </c>
      <c r="C15" s="58" t="s">
        <v>211</v>
      </c>
      <c r="D15" s="58"/>
      <c r="E15" s="58"/>
      <c r="F15" s="58"/>
      <c r="G15" s="48">
        <v>0</v>
      </c>
      <c r="H15" s="35">
        <f>$M$47</f>
        <v>0</v>
      </c>
      <c r="I15" s="62">
        <f>IF(AND(ISNUMBER($G$15),ISNUMBER($H$15)),ABS($H$15-$G$15),"")</f>
        <v>0</v>
      </c>
      <c r="J15" s="63">
        <v>1E-09</v>
      </c>
      <c r="K15" s="37" t="str">
        <f>IF(AND(ISNUMBER($G$15),ISNUMBER($H$15)),IF(ABS($H$15-$G$15)&lt;=$J$15,"PASS","FAIL"),"FAIL")</f>
        <v>PASS</v>
      </c>
    </row>
    <row r="16" spans="1:20" ht="16.2" customHeight="1">
      <c r="B16" s="61">
        <v>6</v>
      </c>
      <c r="C16" s="58" t="s">
        <v>212</v>
      </c>
      <c r="D16" s="58"/>
      <c r="E16" s="58"/>
      <c r="F16" s="58"/>
      <c r="G16" s="48">
        <v>0</v>
      </c>
      <c r="H16" s="35">
        <f>$M$48</f>
        <v>0</v>
      </c>
      <c r="I16" s="62">
        <f>IF(AND(ISNUMBER($G$16),ISNUMBER($H$16)),ABS($H$16-$G$16),"")</f>
        <v>0</v>
      </c>
      <c r="J16" s="63">
        <v>1E-09</v>
      </c>
      <c r="K16" s="37" t="str">
        <f>IF(AND(ISNUMBER($G$16),ISNUMBER($H$16)),IF(ABS($H$16-$G$16)&lt;=$J$16,"PASS","FAIL"),"FAIL")</f>
        <v>PASS</v>
      </c>
    </row>
    <row r="17" spans="2:12" ht="16.2" customHeight="1">
      <c r="B17" s="61">
        <v>7</v>
      </c>
      <c r="C17" s="58" t="s">
        <v>213</v>
      </c>
      <c r="D17" s="58"/>
      <c r="E17" s="58"/>
      <c r="F17" s="58"/>
      <c r="G17" s="48">
        <v>250</v>
      </c>
      <c r="H17" s="35">
        <f>$M$49</f>
        <v>250</v>
      </c>
      <c r="I17" s="62">
        <f>IF(AND(ISNUMBER($G$17),ISNUMBER($H$17)),ABS($H$17-$G$17),"")</f>
        <v>0</v>
      </c>
      <c r="J17" s="63">
        <v>1E-09</v>
      </c>
      <c r="K17" s="37" t="str">
        <f>IF(AND(ISNUMBER($G$17),ISNUMBER($H$17)),IF(ABS($H$17-$G$17)&lt;=$J$17,"PASS","FAIL"),"FAIL")</f>
        <v>PASS</v>
      </c>
    </row>
    <row r="18" spans="2:12" ht="16.2" customHeight="1">
      <c r="B18" s="61">
        <v>8</v>
      </c>
      <c r="C18" s="58" t="s">
        <v>214</v>
      </c>
      <c r="D18" s="58"/>
      <c r="E18" s="58"/>
      <c r="F18" s="58"/>
      <c r="G18" s="48">
        <v>250</v>
      </c>
      <c r="H18" s="35">
        <f>$M$50</f>
        <v>250</v>
      </c>
      <c r="I18" s="62">
        <f>IF(AND(ISNUMBER($G$18),ISNUMBER($H$18)),ABS($H$18-$G$18),"")</f>
        <v>0</v>
      </c>
      <c r="J18" s="63">
        <v>1E-09</v>
      </c>
      <c r="K18" s="37" t="str">
        <f>IF(AND(ISNUMBER($G$18),ISNUMBER($H$18)),IF(ABS($H$18-$G$18)&lt;=$J$18,"PASS","FAIL"),"FAIL")</f>
        <v>PASS</v>
      </c>
    </row>
    <row r="19" spans="2:12" ht="16.2" customHeight="1">
      <c r="B19" s="61">
        <v>9</v>
      </c>
      <c r="C19" s="58" t="s">
        <v>215</v>
      </c>
      <c r="D19" s="58"/>
      <c r="E19" s="58"/>
      <c r="F19" s="58"/>
      <c r="G19" s="48">
        <v>0</v>
      </c>
      <c r="H19" s="35">
        <f>$M$51</f>
        <v>0</v>
      </c>
      <c r="I19" s="62">
        <f>IF(AND(ISNUMBER($G$19),ISNUMBER($H$19)),ABS($H$19-$G$19),"")</f>
        <v>0</v>
      </c>
      <c r="J19" s="63">
        <v>1E-09</v>
      </c>
      <c r="K19" s="37" t="str">
        <f>IF(AND(ISNUMBER($G$19),ISNUMBER($H$19)),IF(ABS($H$19-$G$19)&lt;=$J$19,"PASS","FAIL"),"FAIL")</f>
        <v>PASS</v>
      </c>
    </row>
    <row r="20" spans="2:12" ht="16.2" customHeight="1">
      <c r="B20" s="61">
        <v>10</v>
      </c>
      <c r="C20" s="58" t="s">
        <v>216</v>
      </c>
      <c r="D20" s="58"/>
      <c r="E20" s="58"/>
      <c r="F20" s="58"/>
      <c r="G20" s="48">
        <v>130</v>
      </c>
      <c r="H20" s="35">
        <f>$O$47</f>
        <v>130</v>
      </c>
      <c r="I20" s="62">
        <f>IF(AND(ISNUMBER($G$20),ISNUMBER($H$20)),ABS($H$20-$G$20),"")</f>
        <v>0</v>
      </c>
      <c r="J20" s="63">
        <v>1E-09</v>
      </c>
      <c r="K20" s="37" t="str">
        <f>IF(AND(ISNUMBER($G$20),ISNUMBER($H$20)),IF(ABS($H$20-$G$20)&lt;=$J$20,"PASS","FAIL"),"FAIL")</f>
        <v>PASS</v>
      </c>
    </row>
    <row r="21" spans="2:12" ht="16.2" customHeight="1">
      <c r="B21" s="61">
        <v>11</v>
      </c>
      <c r="C21" s="58" t="s">
        <v>217</v>
      </c>
      <c r="D21" s="58"/>
      <c r="E21" s="58"/>
      <c r="F21" s="58"/>
      <c r="G21" s="48">
        <v>0</v>
      </c>
      <c r="H21" s="35">
        <f>$N$47</f>
        <v>0</v>
      </c>
      <c r="I21" s="62">
        <f>IF(AND(ISNUMBER($G$21),ISNUMBER($H$21)),ABS($H$21-$G$21),"")</f>
        <v>0</v>
      </c>
      <c r="J21" s="63">
        <v>1E-09</v>
      </c>
      <c r="K21" s="37" t="str">
        <f>IF(AND(ISNUMBER($G$21),ISNUMBER($H$21)),IF(ABS($H$21-$G$21)&lt;=$J$21,"PASS","FAIL"),"FAIL")</f>
        <v>PASS</v>
      </c>
    </row>
    <row r="22" spans="2:12" ht="16.2" customHeight="1">
      <c r="B22" s="61">
        <v>12</v>
      </c>
      <c r="C22" s="58" t="s">
        <v>218</v>
      </c>
      <c r="D22" s="58"/>
      <c r="E22" s="58"/>
      <c r="F22" s="58"/>
      <c r="G22" s="48">
        <v>180</v>
      </c>
      <c r="H22" s="35">
        <f>$O$49</f>
        <v>180</v>
      </c>
      <c r="I22" s="62">
        <f>IF(AND(ISNUMBER($G$22),ISNUMBER($H$22)),ABS($H$22-$G$22),"")</f>
        <v>0</v>
      </c>
      <c r="J22" s="63">
        <v>1E-09</v>
      </c>
      <c r="K22" s="37" t="str">
        <f>IF(AND(ISNUMBER($G$22),ISNUMBER($H$22)),IF(ABS($H$22-$G$22)&lt;=$J$22,"PASS","FAIL"),"FAIL")</f>
        <v>PASS</v>
      </c>
    </row>
    <row r="23" spans="2:12" ht="16.2" customHeight="1">
      <c r="B23" s="61">
        <v>13</v>
      </c>
      <c r="C23" s="58" t="s">
        <v>219</v>
      </c>
      <c r="D23" s="58"/>
      <c r="E23" s="58"/>
      <c r="F23" s="58"/>
      <c r="G23" s="48">
        <v>120</v>
      </c>
      <c r="H23" s="35">
        <f>$N$49</f>
        <v>120</v>
      </c>
      <c r="I23" s="62">
        <f>IF(AND(ISNUMBER($G$23),ISNUMBER($H$23)),ABS($H$23-$G$23),"")</f>
        <v>0</v>
      </c>
      <c r="J23" s="63">
        <v>1E-09</v>
      </c>
      <c r="K23" s="37" t="str">
        <f>IF(AND(ISNUMBER($G$23),ISNUMBER($H$23)),IF(ABS($H$23-$G$23)&lt;=$J$23,"PASS","FAIL"),"FAIL")</f>
        <v>PASS</v>
      </c>
    </row>
    <row r="24" spans="2:12" ht="16.2" customHeight="1">
      <c r="B24" s="61">
        <v>14</v>
      </c>
      <c r="C24" s="58" t="s">
        <v>220</v>
      </c>
      <c r="D24" s="58"/>
      <c r="E24" s="58"/>
      <c r="F24" s="58"/>
      <c r="G24" s="48">
        <v>160</v>
      </c>
      <c r="H24" s="35">
        <f>$O$51</f>
        <v>160</v>
      </c>
      <c r="I24" s="62">
        <f>IF(AND(ISNUMBER($G$24),ISNUMBER($H$24)),ABS($H$24-$G$24),"")</f>
        <v>0</v>
      </c>
      <c r="J24" s="63">
        <v>1E-09</v>
      </c>
      <c r="K24" s="37" t="str">
        <f>IF(AND(ISNUMBER($G$24),ISNUMBER($H$24)),IF(ABS($H$24-$G$24)&lt;=$J$24,"PASS","FAIL"),"FAIL")</f>
        <v>PASS</v>
      </c>
    </row>
    <row r="25" spans="2:12" ht="16.2" customHeight="1">
      <c r="B25" s="61">
        <v>15</v>
      </c>
      <c r="C25" s="58" t="s">
        <v>221</v>
      </c>
      <c r="D25" s="58"/>
      <c r="E25" s="58"/>
      <c r="F25" s="58"/>
      <c r="G25" s="48">
        <v>0</v>
      </c>
      <c r="H25" s="35">
        <f>$N$51</f>
        <v>0</v>
      </c>
      <c r="I25" s="62">
        <f>IF(AND(ISNUMBER($G$25),ISNUMBER($H$25)),ABS($H$25-$G$25),"")</f>
        <v>0</v>
      </c>
      <c r="J25" s="63">
        <v>1E-09</v>
      </c>
      <c r="K25" s="37" t="str">
        <f>IF(AND(ISNUMBER($G$25),ISNUMBER($H$25)),IF(ABS($H$25-$G$25)&lt;=$J$25,"PASS","FAIL"),"FAIL")</f>
        <v>PASS</v>
      </c>
    </row>
    <row r="26" spans="2:12" ht="16.2" customHeight="1">
      <c r="B26" s="61">
        <v>16</v>
      </c>
      <c r="C26" s="58" t="s">
        <v>222</v>
      </c>
      <c r="D26" s="58"/>
      <c r="E26" s="58"/>
      <c r="F26" s="58"/>
      <c r="G26" s="57" t="s">
        <v>223</v>
      </c>
      <c r="H26" s="64" t="str">
        <f>$R$49</f>
        <v>OK</v>
      </c>
      <c r="I26" s="64"/>
      <c r="J26" s="59" t="s">
        <v>209</v>
      </c>
      <c r="K26" s="37" t="str">
        <f>IF($H$26&amp;""=$G$26&amp;"","PASS","FAIL")</f>
        <v>PASS</v>
      </c>
    </row>
    <row r="27" spans="2:12" ht="16.2" customHeight="1">
      <c r="B27" s="61">
        <v>17</v>
      </c>
      <c r="C27" s="58" t="s">
        <v>224</v>
      </c>
      <c r="D27" s="58"/>
      <c r="E27" s="58"/>
      <c r="F27" s="58"/>
      <c r="G27" s="48">
        <v>250</v>
      </c>
      <c r="H27" s="35">
        <f>$Q$47</f>
        <v>250</v>
      </c>
      <c r="I27" s="62">
        <f>IF(AND(ISNUMBER($G$27),ISNUMBER($H$27)),ABS($H$27-$G$27),"")</f>
        <v>0</v>
      </c>
      <c r="J27" s="63">
        <v>1E-09</v>
      </c>
      <c r="K27" s="37" t="str">
        <f>IF(AND(ISNUMBER($G$27),ISNUMBER($H$27)),IF(ABS($H$27-$G$27)&lt;=$J$27,"PASS","FAIL"),"FAIL")</f>
        <v>PASS</v>
      </c>
    </row>
    <row r="28" spans="2:12" ht="16.2" customHeight="1">
      <c r="B28" s="61">
        <v>18</v>
      </c>
      <c r="C28" s="58" t="s">
        <v>225</v>
      </c>
      <c r="D28" s="58"/>
      <c r="E28" s="58"/>
      <c r="F28" s="58"/>
      <c r="G28" s="57" t="s">
        <v>226</v>
      </c>
      <c r="H28" s="64" t="str">
        <f>$S$52</f>
        <v>Not a plan Monday</v>
      </c>
      <c r="I28" s="64"/>
      <c r="J28" s="59" t="s">
        <v>209</v>
      </c>
      <c r="K28" s="37" t="str">
        <f>IF($H$28&amp;""=$G$28&amp;"","PASS","FAIL")</f>
        <v>PASS</v>
      </c>
    </row>
    <row r="29" spans="2:12" ht="16.2" customHeight="1">
      <c r="B29" s="61">
        <v>19</v>
      </c>
      <c r="C29" s="58" t="s">
        <v>227</v>
      </c>
      <c r="D29" s="58"/>
      <c r="E29" s="58"/>
      <c r="F29" s="58"/>
      <c r="G29" s="48">
        <v>180</v>
      </c>
      <c r="H29" s="35">
        <f>$H$58</f>
        <v>180</v>
      </c>
      <c r="I29" s="62">
        <f>IF(AND(ISNUMBER($G$29),ISNUMBER($H$29)),ABS($H$29-$G$29),"")</f>
        <v>0</v>
      </c>
      <c r="J29" s="63">
        <v>1E-09</v>
      </c>
      <c r="K29" s="37" t="str">
        <f>IF(AND(ISNUMBER($G$29),ISNUMBER($H$29)),IF(ABS($H$29-$G$29)&lt;=$J$29,"PASS","FAIL"),"FAIL")</f>
        <v>PASS</v>
      </c>
    </row>
    <row r="31" spans="2:12" ht="21" customHeight="1">
      <c r="B31" s="8" t="s">
        <v>228</v>
      </c>
      <c r="C31" s="8"/>
      <c r="D31" s="8"/>
      <c r="E31" s="8"/>
      <c r="F31" s="8"/>
      <c r="G31" s="8"/>
      <c r="H31" s="8"/>
      <c r="I31" s="8"/>
      <c r="J31" s="8"/>
      <c r="K31" s="8"/>
      <c r="L31" s="8"/>
    </row>
    <row r="32" spans="2:12" ht="5" customHeight="1"/>
    <row r="33" spans="2:20">
      <c r="B33" s="21" t="s">
        <v>229</v>
      </c>
      <c r="C33" s="21"/>
      <c r="D33" s="21"/>
      <c r="E33" s="21"/>
      <c r="F33" s="21"/>
      <c r="G33" s="21"/>
      <c r="H33" s="21"/>
      <c r="I33" s="21"/>
      <c r="J33" s="21"/>
      <c r="K33" s="21"/>
      <c r="L33" s="21"/>
    </row>
    <row r="34" spans="2:20">
      <c r="B34" s="30" t="s">
        <v>230</v>
      </c>
      <c r="C34" s="30"/>
      <c r="D34" s="30"/>
      <c r="E34" s="30"/>
      <c r="F34" s="30"/>
    </row>
    <row r="35" spans="2:20">
      <c r="B35" s="27" t="s">
        <v>231</v>
      </c>
      <c r="C35" s="27"/>
      <c r="D35" s="27"/>
      <c r="E35" s="65">
        <v>46328</v>
      </c>
      <c r="F35" s="7"/>
    </row>
    <row r="36" spans="2:20">
      <c r="B36" s="27" t="s">
        <v>115</v>
      </c>
      <c r="C36" s="27"/>
      <c r="D36" s="27"/>
      <c r="E36" s="57" t="s">
        <v>232</v>
      </c>
      <c r="F36" s="57"/>
    </row>
    <row r="38" spans="2:20">
      <c r="B38" s="30" t="s">
        <v>233</v>
      </c>
      <c r="C38" s="30"/>
      <c r="D38" s="30"/>
      <c r="E38" s="30"/>
      <c r="F38" s="30"/>
      <c r="G38" s="30"/>
      <c r="H38" s="30"/>
      <c r="I38" s="30"/>
      <c r="J38" s="30"/>
      <c r="K38" s="30"/>
      <c r="L38" s="30"/>
    </row>
    <row r="39" spans="2:20" ht="32" customHeight="1">
      <c r="B39" s="31" t="s">
        <v>60</v>
      </c>
      <c r="C39" s="31" t="s">
        <v>61</v>
      </c>
      <c r="D39" s="31" t="s">
        <v>62</v>
      </c>
      <c r="E39" s="31" t="s">
        <v>63</v>
      </c>
      <c r="F39" s="31" t="s">
        <v>64</v>
      </c>
      <c r="G39" s="31" t="s">
        <v>65</v>
      </c>
      <c r="H39" s="31" t="s">
        <v>66</v>
      </c>
      <c r="I39" s="31" t="s">
        <v>67</v>
      </c>
    </row>
    <row r="40" spans="2:20">
      <c r="B40" s="57" t="s">
        <v>234</v>
      </c>
      <c r="C40" s="57" t="s">
        <v>235</v>
      </c>
      <c r="D40" s="57" t="s">
        <v>77</v>
      </c>
      <c r="E40" s="57" t="s">
        <v>78</v>
      </c>
      <c r="F40" s="48">
        <v>420</v>
      </c>
      <c r="G40" s="48">
        <v>100</v>
      </c>
      <c r="H40" s="48">
        <v>0</v>
      </c>
      <c r="I40" s="48">
        <v>1</v>
      </c>
    </row>
    <row r="41" spans="2:20">
      <c r="B41" s="57" t="s">
        <v>232</v>
      </c>
      <c r="C41" s="57" t="s">
        <v>236</v>
      </c>
      <c r="D41" s="57" t="s">
        <v>77</v>
      </c>
      <c r="E41" s="57" t="s">
        <v>78</v>
      </c>
      <c r="F41" s="48">
        <v>300</v>
      </c>
      <c r="G41" s="48">
        <v>50</v>
      </c>
      <c r="H41" s="48">
        <v>2</v>
      </c>
      <c r="I41" s="48">
        <v>250</v>
      </c>
    </row>
    <row r="43" spans="2:20">
      <c r="B43" s="30" t="s">
        <v>237</v>
      </c>
      <c r="C43" s="30"/>
      <c r="D43" s="30"/>
      <c r="E43" s="30"/>
      <c r="F43" s="30"/>
      <c r="G43" s="30"/>
      <c r="H43" s="30"/>
      <c r="I43" s="30"/>
      <c r="J43" s="30"/>
      <c r="K43" s="30"/>
      <c r="L43" s="30"/>
    </row>
    <row r="44" spans="2:20" ht="45.5" customHeight="1">
      <c r="B44" s="31" t="s">
        <v>60</v>
      </c>
      <c r="C44" s="31" t="s">
        <v>97</v>
      </c>
      <c r="D44" s="31" t="s">
        <v>98</v>
      </c>
      <c r="E44" s="31" t="s">
        <v>99</v>
      </c>
      <c r="F44" s="31" t="s">
        <v>100</v>
      </c>
      <c r="G44" s="31" t="s">
        <v>64</v>
      </c>
      <c r="H44" s="31" t="s">
        <v>65</v>
      </c>
      <c r="I44" s="31" t="s">
        <v>66</v>
      </c>
      <c r="J44" s="31" t="s">
        <v>67</v>
      </c>
      <c r="K44" s="31" t="s">
        <v>101</v>
      </c>
      <c r="L44" s="31" t="s">
        <v>102</v>
      </c>
      <c r="M44" s="31" t="s">
        <v>103</v>
      </c>
      <c r="N44" s="31" t="s">
        <v>104</v>
      </c>
      <c r="O44" s="31" t="s">
        <v>105</v>
      </c>
      <c r="P44" s="31" t="s">
        <v>106</v>
      </c>
      <c r="Q44" s="31" t="s">
        <v>107</v>
      </c>
      <c r="R44" s="31" t="s">
        <v>108</v>
      </c>
      <c r="S44" s="31" t="s">
        <v>109</v>
      </c>
      <c r="T44" s="31" t="s">
        <v>110</v>
      </c>
    </row>
    <row r="45" spans="2:20">
      <c r="B45" s="57" t="s">
        <v>234</v>
      </c>
      <c r="C45" s="65">
        <v>46328</v>
      </c>
      <c r="D45" s="48">
        <v>1250</v>
      </c>
      <c r="E45" s="48">
        <v>380</v>
      </c>
      <c r="F45" s="35">
        <f>IF(tblVerifyMRP[[#This Row],[Item]]="","",(tblVerifyMRP[[#This Row],[Week]]-$E$35)/7+1)</f>
        <v>1</v>
      </c>
      <c r="G45" s="48">
        <v>420</v>
      </c>
      <c r="H45" s="48">
        <v>100</v>
      </c>
      <c r="I45" s="48">
        <v>0</v>
      </c>
      <c r="J45" s="48">
        <v>1</v>
      </c>
      <c r="K45"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550</v>
      </c>
      <c r="L45"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550</v>
      </c>
      <c r="M45"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550</v>
      </c>
      <c r="N45" s="35">
        <f>IF(tblVerifyMRP[[#This Row],[Item]]="","",IF(tblVerifyMRP[[#This Row],[Order multiple (units)]]="","",MAX(0,tblVerifyMRP[[#This Row],[Uncovered (units)]]-(tblVerifyMRP[[#This Row],[Cum. planned (units)]]-tblVerifyMRP[[#This Row],[Planned receipt (units)]]))))</f>
        <v>550</v>
      </c>
      <c r="O45" s="35">
        <f>IF(tblVerifyMRP[[#This Row],[Item]]="","",IF(tblVerifyMRP[[#This Row],[Order multiple (units)]]="","",tblVerifyMRP[[#This Row],[Safety stock (units)]]-tblVerifyMRP[[#This Row],[Uncovered (units)]]+tblVerifyMRP[[#This Row],[Cum. planned (units)]]))</f>
        <v>100</v>
      </c>
      <c r="P45" s="36">
        <f>IF(tblVerifyMRP[[#This Row],[Item]]="","",IF(N(tblVerifyMRP[[#This Row],[Planned receipt (units)]])&gt;0,tblVerifyMRP[[#This Row],[Week]]-7*tblVerifyMRP[[#This Row],[Lead time (wk)]],""))</f>
        <v>46328</v>
      </c>
      <c r="Q45" s="35">
        <f>IF(tblVerifyMRP[[#This Row],[Item]]="","",SUMIFS(tblVerifyMRP[Planned receipt (units)],tblVerifyMRP[Item],tblVerifyMRP[[#This Row],[Item]],tblVerifyMRP[Week],tblVerifyMRP[[#This Row],[Week]]+7*N(tblVerifyMRP[[#This Row],[Lead time (wk)]])))</f>
        <v>550</v>
      </c>
      <c r="R45" s="37" t="str">
        <f>IF(tblVerifyMRP[[#This Row],[Item]]="","",IF(N(tblVerifyMRP[[#This Row],[Planned receipt (units)]])=0,"",IF(tblVerifyMRP[[#This Row],[Release week]]&lt;$E$35,"Overdue",IF(tblVerifyMRP[[#This Row],[Release week]]&lt;$E$35+7,"Due soon","OK"))))</f>
        <v>Due soon</v>
      </c>
      <c r="S45"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45" s="57"/>
    </row>
    <row r="46" spans="2:20">
      <c r="B46" s="57" t="s">
        <v>232</v>
      </c>
      <c r="C46" s="65">
        <v>46328</v>
      </c>
      <c r="D46" s="48">
        <v>120</v>
      </c>
      <c r="E46" s="48">
        <v>0</v>
      </c>
      <c r="F46" s="35">
        <f>IF(tblVerifyMRP[[#This Row],[Item]]="","",(tblVerifyMRP[[#This Row],[Week]]-$E$35)/7+1)</f>
        <v>1</v>
      </c>
      <c r="G46" s="48">
        <v>300</v>
      </c>
      <c r="H46" s="48">
        <v>50</v>
      </c>
      <c r="I46" s="48">
        <v>2</v>
      </c>
      <c r="J46" s="48">
        <v>250</v>
      </c>
      <c r="K46"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-130</v>
      </c>
      <c r="L46"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0</v>
      </c>
      <c r="M46"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0</v>
      </c>
      <c r="N46" s="35">
        <f>IF(tblVerifyMRP[[#This Row],[Item]]="","",IF(tblVerifyMRP[[#This Row],[Order multiple (units)]]="","",MAX(0,tblVerifyMRP[[#This Row],[Uncovered (units)]]-(tblVerifyMRP[[#This Row],[Cum. planned (units)]]-tblVerifyMRP[[#This Row],[Planned receipt (units)]]))))</f>
        <v>0</v>
      </c>
      <c r="O46" s="35">
        <f>IF(tblVerifyMRP[[#This Row],[Item]]="","",IF(tblVerifyMRP[[#This Row],[Order multiple (units)]]="","",tblVerifyMRP[[#This Row],[Safety stock (units)]]-tblVerifyMRP[[#This Row],[Uncovered (units)]]+tblVerifyMRP[[#This Row],[Cum. planned (units)]]))</f>
        <v>180</v>
      </c>
      <c r="P46" s="36">
        <f>IF(tblVerifyMRP[[#This Row],[Item]]="","",IF(N(tblVerifyMRP[[#This Row],[Planned receipt (units)]])&gt;0,tblVerifyMRP[[#This Row],[Week]]-7*tblVerifyMRP[[#This Row],[Lead time (wk)]],""))</f>
        <v/>
      </c>
      <c r="Q46" s="35">
        <f>IF(tblVerifyMRP[[#This Row],[Item]]="","",SUMIFS(tblVerifyMRP[Planned receipt (units)],tblVerifyMRP[Item],tblVerifyMRP[[#This Row],[Item]],tblVerifyMRP[Week],tblVerifyMRP[[#This Row],[Week]]+7*N(tblVerifyMRP[[#This Row],[Lead time (wk)]])))</f>
        <v>0</v>
      </c>
      <c r="R46" s="37">
        <f>IF(tblVerifyMRP[[#This Row],[Item]]="","",IF(N(tblVerifyMRP[[#This Row],[Planned receipt (units)]])=0,"",IF(tblVerifyMRP[[#This Row],[Release week]]&lt;$E$35,"Overdue",IF(tblVerifyMRP[[#This Row],[Release week]]&lt;$E$35+7,"Due soon","OK"))))</f>
        <v/>
      </c>
      <c r="S46"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46" s="57"/>
    </row>
    <row r="47" spans="2:20">
      <c r="B47" s="57" t="s">
        <v>232</v>
      </c>
      <c r="C47" s="65">
        <v>46335</v>
      </c>
      <c r="D47" s="48">
        <v>150</v>
      </c>
      <c r="E47" s="48">
        <v>100</v>
      </c>
      <c r="F47" s="35">
        <f>IF(tblVerifyMRP[[#This Row],[Item]]="","",(tblVerifyMRP[[#This Row],[Week]]-$E$35)/7+1)</f>
        <v>2</v>
      </c>
      <c r="G47" s="48">
        <v>300</v>
      </c>
      <c r="H47" s="48">
        <v>50</v>
      </c>
      <c r="I47" s="48">
        <v>2</v>
      </c>
      <c r="J47" s="48">
        <v>250</v>
      </c>
      <c r="K47"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-80</v>
      </c>
      <c r="L47"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0</v>
      </c>
      <c r="M47"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0</v>
      </c>
      <c r="N47" s="35">
        <f>IF(tblVerifyMRP[[#This Row],[Item]]="","",IF(tblVerifyMRP[[#This Row],[Order multiple (units)]]="","",MAX(0,tblVerifyMRP[[#This Row],[Uncovered (units)]]-(tblVerifyMRP[[#This Row],[Cum. planned (units)]]-tblVerifyMRP[[#This Row],[Planned receipt (units)]]))))</f>
        <v>0</v>
      </c>
      <c r="O47" s="35">
        <f>IF(tblVerifyMRP[[#This Row],[Item]]="","",IF(tblVerifyMRP[[#This Row],[Order multiple (units)]]="","",tblVerifyMRP[[#This Row],[Safety stock (units)]]-tblVerifyMRP[[#This Row],[Uncovered (units)]]+tblVerifyMRP[[#This Row],[Cum. planned (units)]]))</f>
        <v>130</v>
      </c>
      <c r="P47" s="36">
        <f>IF(tblVerifyMRP[[#This Row],[Item]]="","",IF(N(tblVerifyMRP[[#This Row],[Planned receipt (units)]])&gt;0,tblVerifyMRP[[#This Row],[Week]]-7*tblVerifyMRP[[#This Row],[Lead time (wk)]],""))</f>
        <v/>
      </c>
      <c r="Q47" s="35">
        <f>IF(tblVerifyMRP[[#This Row],[Item]]="","",SUMIFS(tblVerifyMRP[Planned receipt (units)],tblVerifyMRP[Item],tblVerifyMRP[[#This Row],[Item]],tblVerifyMRP[Week],tblVerifyMRP[[#This Row],[Week]]+7*N(tblVerifyMRP[[#This Row],[Lead time (wk)]])))</f>
        <v>250</v>
      </c>
      <c r="R47" s="37">
        <f>IF(tblVerifyMRP[[#This Row],[Item]]="","",IF(N(tblVerifyMRP[[#This Row],[Planned receipt (units)]])=0,"",IF(tblVerifyMRP[[#This Row],[Release week]]&lt;$E$35,"Overdue",IF(tblVerifyMRP[[#This Row],[Release week]]&lt;$E$35+7,"Due soon","OK"))))</f>
        <v/>
      </c>
      <c r="S47"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47" s="57"/>
    </row>
    <row r="48" spans="2:20">
      <c r="B48" s="57" t="s">
        <v>232</v>
      </c>
      <c r="C48" s="65">
        <v>46342</v>
      </c>
      <c r="D48" s="48">
        <v>0</v>
      </c>
      <c r="E48" s="48">
        <v>0</v>
      </c>
      <c r="F48" s="35">
        <f>IF(tblVerifyMRP[[#This Row],[Item]]="","",(tblVerifyMRP[[#This Row],[Week]]-$E$35)/7+1)</f>
        <v>3</v>
      </c>
      <c r="G48" s="48">
        <v>300</v>
      </c>
      <c r="H48" s="48">
        <v>50</v>
      </c>
      <c r="I48" s="48">
        <v>2</v>
      </c>
      <c r="J48" s="48">
        <v>250</v>
      </c>
      <c r="K48"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-80</v>
      </c>
      <c r="L48"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0</v>
      </c>
      <c r="M48"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0</v>
      </c>
      <c r="N48" s="35">
        <f>IF(tblVerifyMRP[[#This Row],[Item]]="","",IF(tblVerifyMRP[[#This Row],[Order multiple (units)]]="","",MAX(0,tblVerifyMRP[[#This Row],[Uncovered (units)]]-(tblVerifyMRP[[#This Row],[Cum. planned (units)]]-tblVerifyMRP[[#This Row],[Planned receipt (units)]]))))</f>
        <v>0</v>
      </c>
      <c r="O48" s="35">
        <f>IF(tblVerifyMRP[[#This Row],[Item]]="","",IF(tblVerifyMRP[[#This Row],[Order multiple (units)]]="","",tblVerifyMRP[[#This Row],[Safety stock (units)]]-tblVerifyMRP[[#This Row],[Uncovered (units)]]+tblVerifyMRP[[#This Row],[Cum. planned (units)]]))</f>
        <v>130</v>
      </c>
      <c r="P48" s="36">
        <f>IF(tblVerifyMRP[[#This Row],[Item]]="","",IF(N(tblVerifyMRP[[#This Row],[Planned receipt (units)]])&gt;0,tblVerifyMRP[[#This Row],[Week]]-7*tblVerifyMRP[[#This Row],[Lead time (wk)]],""))</f>
        <v/>
      </c>
      <c r="Q48" s="35">
        <f>IF(tblVerifyMRP[[#This Row],[Item]]="","",SUMIFS(tblVerifyMRP[Planned receipt (units)],tblVerifyMRP[Item],tblVerifyMRP[[#This Row],[Item]],tblVerifyMRP[Week],tblVerifyMRP[[#This Row],[Week]]+7*N(tblVerifyMRP[[#This Row],[Lead time (wk)]])))</f>
        <v>250</v>
      </c>
      <c r="R48" s="37">
        <f>IF(tblVerifyMRP[[#This Row],[Item]]="","",IF(N(tblVerifyMRP[[#This Row],[Planned receipt (units)]])=0,"",IF(tblVerifyMRP[[#This Row],[Release week]]&lt;$E$35,"Overdue",IF(tblVerifyMRP[[#This Row],[Release week]]&lt;$E$35+7,"Due soon","OK"))))</f>
        <v/>
      </c>
      <c r="S48"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48" s="57"/>
    </row>
    <row r="49" spans="2:20">
      <c r="B49" s="57" t="s">
        <v>232</v>
      </c>
      <c r="C49" s="65">
        <v>46349</v>
      </c>
      <c r="D49" s="48">
        <v>200</v>
      </c>
      <c r="E49" s="48">
        <v>0</v>
      </c>
      <c r="F49" s="35">
        <f>IF(tblVerifyMRP[[#This Row],[Item]]="","",(tblVerifyMRP[[#This Row],[Week]]-$E$35)/7+1)</f>
        <v>4</v>
      </c>
      <c r="G49" s="48">
        <v>300</v>
      </c>
      <c r="H49" s="48">
        <v>50</v>
      </c>
      <c r="I49" s="48">
        <v>2</v>
      </c>
      <c r="J49" s="48">
        <v>250</v>
      </c>
      <c r="K49"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120</v>
      </c>
      <c r="L49"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250</v>
      </c>
      <c r="M49"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250</v>
      </c>
      <c r="N49" s="35">
        <f>IF(tblVerifyMRP[[#This Row],[Item]]="","",IF(tblVerifyMRP[[#This Row],[Order multiple (units)]]="","",MAX(0,tblVerifyMRP[[#This Row],[Uncovered (units)]]-(tblVerifyMRP[[#This Row],[Cum. planned (units)]]-tblVerifyMRP[[#This Row],[Planned receipt (units)]]))))</f>
        <v>120</v>
      </c>
      <c r="O49" s="35">
        <f>IF(tblVerifyMRP[[#This Row],[Item]]="","",IF(tblVerifyMRP[[#This Row],[Order multiple (units)]]="","",tblVerifyMRP[[#This Row],[Safety stock (units)]]-tblVerifyMRP[[#This Row],[Uncovered (units)]]+tblVerifyMRP[[#This Row],[Cum. planned (units)]]))</f>
        <v>180</v>
      </c>
      <c r="P49" s="36">
        <f>IF(tblVerifyMRP[[#This Row],[Item]]="","",IF(N(tblVerifyMRP[[#This Row],[Planned receipt (units)]])&gt;0,tblVerifyMRP[[#This Row],[Week]]-7*tblVerifyMRP[[#This Row],[Lead time (wk)]],""))</f>
        <v>46335</v>
      </c>
      <c r="Q49" s="35">
        <f>IF(tblVerifyMRP[[#This Row],[Item]]="","",SUMIFS(tblVerifyMRP[Planned receipt (units)],tblVerifyMRP[Item],tblVerifyMRP[[#This Row],[Item]],tblVerifyMRP[Week],tblVerifyMRP[[#This Row],[Week]]+7*N(tblVerifyMRP[[#This Row],[Lead time (wk)]])))</f>
        <v>0</v>
      </c>
      <c r="R49" s="37" t="str">
        <f>IF(tblVerifyMRP[[#This Row],[Item]]="","",IF(N(tblVerifyMRP[[#This Row],[Planned receipt (units)]])=0,"",IF(tblVerifyMRP[[#This Row],[Release week]]&lt;$E$35,"Overdue",IF(tblVerifyMRP[[#This Row],[Release week]]&lt;$E$35+7,"Due soon","OK"))))</f>
        <v>OK</v>
      </c>
      <c r="S49"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49" s="57"/>
    </row>
    <row r="50" spans="2:20">
      <c r="B50" s="57" t="s">
        <v>232</v>
      </c>
      <c r="C50" s="65">
        <v>46356</v>
      </c>
      <c r="D50" s="48">
        <v>180</v>
      </c>
      <c r="E50" s="48">
        <v>0</v>
      </c>
      <c r="F50" s="35">
        <f>IF(tblVerifyMRP[[#This Row],[Item]]="","",(tblVerifyMRP[[#This Row],[Week]]-$E$35)/7+1)</f>
        <v>5</v>
      </c>
      <c r="G50" s="48">
        <v>300</v>
      </c>
      <c r="H50" s="48">
        <v>50</v>
      </c>
      <c r="I50" s="48">
        <v>2</v>
      </c>
      <c r="J50" s="48">
        <v>250</v>
      </c>
      <c r="K50"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300</v>
      </c>
      <c r="L50"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500</v>
      </c>
      <c r="M50"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250</v>
      </c>
      <c r="N50" s="35">
        <f>IF(tblVerifyMRP[[#This Row],[Item]]="","",IF(tblVerifyMRP[[#This Row],[Order multiple (units)]]="","",MAX(0,tblVerifyMRP[[#This Row],[Uncovered (units)]]-(tblVerifyMRP[[#This Row],[Cum. planned (units)]]-tblVerifyMRP[[#This Row],[Planned receipt (units)]]))))</f>
        <v>50</v>
      </c>
      <c r="O50" s="35">
        <f>IF(tblVerifyMRP[[#This Row],[Item]]="","",IF(tblVerifyMRP[[#This Row],[Order multiple (units)]]="","",tblVerifyMRP[[#This Row],[Safety stock (units)]]-tblVerifyMRP[[#This Row],[Uncovered (units)]]+tblVerifyMRP[[#This Row],[Cum. planned (units)]]))</f>
        <v>250</v>
      </c>
      <c r="P50" s="36">
        <f>IF(tblVerifyMRP[[#This Row],[Item]]="","",IF(N(tblVerifyMRP[[#This Row],[Planned receipt (units)]])&gt;0,tblVerifyMRP[[#This Row],[Week]]-7*tblVerifyMRP[[#This Row],[Lead time (wk)]],""))</f>
        <v>46342</v>
      </c>
      <c r="Q50" s="35">
        <f>IF(tblVerifyMRP[[#This Row],[Item]]="","",SUMIFS(tblVerifyMRP[Planned receipt (units)],tblVerifyMRP[Item],tblVerifyMRP[[#This Row],[Item]],tblVerifyMRP[Week],tblVerifyMRP[[#This Row],[Week]]+7*N(tblVerifyMRP[[#This Row],[Lead time (wk)]])))</f>
        <v>0</v>
      </c>
      <c r="R50" s="37" t="str">
        <f>IF(tblVerifyMRP[[#This Row],[Item]]="","",IF(N(tblVerifyMRP[[#This Row],[Planned receipt (units)]])=0,"",IF(tblVerifyMRP[[#This Row],[Release week]]&lt;$E$35,"Overdue",IF(tblVerifyMRP[[#This Row],[Release week]]&lt;$E$35+7,"Due soon","OK"))))</f>
        <v>OK</v>
      </c>
      <c r="S50"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50" s="57"/>
    </row>
    <row r="51" spans="2:20">
      <c r="B51" s="57" t="s">
        <v>232</v>
      </c>
      <c r="C51" s="65">
        <v>46363</v>
      </c>
      <c r="D51" s="48">
        <v>90</v>
      </c>
      <c r="E51" s="48">
        <v>0</v>
      </c>
      <c r="F51" s="35">
        <f>IF(tblVerifyMRP[[#This Row],[Item]]="","",(tblVerifyMRP[[#This Row],[Week]]-$E$35)/7+1)</f>
        <v>6</v>
      </c>
      <c r="G51" s="48">
        <v>300</v>
      </c>
      <c r="H51" s="48">
        <v>50</v>
      </c>
      <c r="I51" s="48">
        <v>2</v>
      </c>
      <c r="J51" s="48">
        <v>250</v>
      </c>
      <c r="K51"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390</v>
      </c>
      <c r="L51"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500</v>
      </c>
      <c r="M51"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0</v>
      </c>
      <c r="N51" s="35">
        <f>IF(tblVerifyMRP[[#This Row],[Item]]="","",IF(tblVerifyMRP[[#This Row],[Order multiple (units)]]="","",MAX(0,tblVerifyMRP[[#This Row],[Uncovered (units)]]-(tblVerifyMRP[[#This Row],[Cum. planned (units)]]-tblVerifyMRP[[#This Row],[Planned receipt (units)]]))))</f>
        <v>0</v>
      </c>
      <c r="O51" s="35">
        <f>IF(tblVerifyMRP[[#This Row],[Item]]="","",IF(tblVerifyMRP[[#This Row],[Order multiple (units)]]="","",tblVerifyMRP[[#This Row],[Safety stock (units)]]-tblVerifyMRP[[#This Row],[Uncovered (units)]]+tblVerifyMRP[[#This Row],[Cum. planned (units)]]))</f>
        <v>160</v>
      </c>
      <c r="P51" s="36">
        <f>IF(tblVerifyMRP[[#This Row],[Item]]="","",IF(N(tblVerifyMRP[[#This Row],[Planned receipt (units)]])&gt;0,tblVerifyMRP[[#This Row],[Week]]-7*tblVerifyMRP[[#This Row],[Lead time (wk)]],""))</f>
        <v/>
      </c>
      <c r="Q51" s="35">
        <f>IF(tblVerifyMRP[[#This Row],[Item]]="","",SUMIFS(tblVerifyMRP[Planned receipt (units)],tblVerifyMRP[Item],tblVerifyMRP[[#This Row],[Item]],tblVerifyMRP[Week],tblVerifyMRP[[#This Row],[Week]]+7*N(tblVerifyMRP[[#This Row],[Lead time (wk)]])))</f>
        <v>0</v>
      </c>
      <c r="R51" s="37">
        <f>IF(tblVerifyMRP[[#This Row],[Item]]="","",IF(N(tblVerifyMRP[[#This Row],[Planned receipt (units)]])=0,"",IF(tblVerifyMRP[[#This Row],[Release week]]&lt;$E$35,"Overdue",IF(tblVerifyMRP[[#This Row],[Release week]]&lt;$E$35+7,"Due soon","OK"))))</f>
        <v/>
      </c>
      <c r="S51"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OK</v>
      </c>
      <c r="T51" s="57"/>
    </row>
    <row r="52" spans="2:20">
      <c r="B52" s="57" t="s">
        <v>232</v>
      </c>
      <c r="C52" s="65">
        <v>46331</v>
      </c>
      <c r="D52" s="48">
        <v>0</v>
      </c>
      <c r="E52" s="48">
        <v>0</v>
      </c>
      <c r="F52" s="35">
        <f>IF(tblVerifyMRP[[#This Row],[Item]]="","",(tblVerifyMRP[[#This Row],[Week]]-$E$35)/7+1)</f>
        <v>1.42857142857143</v>
      </c>
      <c r="G52" s="48">
        <v>300</v>
      </c>
      <c r="H52" s="48">
        <v>50</v>
      </c>
      <c r="I52" s="48">
        <v>2</v>
      </c>
      <c r="J52" s="48">
        <v>250</v>
      </c>
      <c r="K52" s="35">
        <f>IF(OR(tblVerifyMRP[[#This Row],[Item]]="",tblVerifyMRP[[#This Row],[On hand (units)]]=""),0,tblVerifyMRP[[#This Row],[Safety stock (units)]]+SUMIFS(tblVerifyMRP[Gross req. (units)],tblVerifyMRP[Item],tblVerifyMRP[[#This Row],[Item]],tblVerifyMRP[Week],"&lt;="&amp;tblVerifyMRP[[#This Row],[Week]])-tblVerifyMRP[[#This Row],[On hand (units)]]-SUMIFS(tblVerifyMRP[Sched. receipts (units)],tblVerifyMRP[Item],tblVerifyMRP[[#This Row],[Item]],tblVerifyMRP[Week],"&lt;="&amp;tblVerifyMRP[[#This Row],[Week]]))</f>
        <v>-130</v>
      </c>
      <c r="L52" s="35">
        <f>IF(tblVerifyMRP[[#This Row],[Item]]="","",IF(tblVerifyMRP[[#This Row],[Order multiple (units)]]="","",tblVerifyMRP[[#This Row],[Order multiple (units)]]*CEILING(SUMPRODUCT(MAX((tblVerifyMRP[Item]=tblVerifyMRP[[#This Row],[Item]])*(tblVerifyMRP[Week]&lt;=tblVerifyMRP[[#This Row],[Week]])*tblVerifyMRP[Uncovered (units)]))/tblVerifyMRP[[#This Row],[Order multiple (units)]],1)))</f>
        <v>0</v>
      </c>
      <c r="M52" s="35">
        <f>IF(tblVerifyMRP[[#This Row],[Item]]="","",IF(tblVerifyMRP[[#This Row],[Order multiple (units)]]="","",tblVerifyMRP[[#This Row],[Cum. planned (units)]]-tblVerifyMRP[[#This Row],[Order multiple (units)]]*CEILING(SUMPRODUCT(MAX((tblVerifyMRP[Item]=tblVerifyMRP[[#This Row],[Item]])*(tblVerifyMRP[Week]&lt;tblVerifyMRP[[#This Row],[Week]])*tblVerifyMRP[Uncovered (units)]))/tblVerifyMRP[[#This Row],[Order multiple (units)]],1)))</f>
        <v>0</v>
      </c>
      <c r="N52" s="35">
        <f>IF(tblVerifyMRP[[#This Row],[Item]]="","",IF(tblVerifyMRP[[#This Row],[Order multiple (units)]]="","",MAX(0,tblVerifyMRP[[#This Row],[Uncovered (units)]]-(tblVerifyMRP[[#This Row],[Cum. planned (units)]]-tblVerifyMRP[[#This Row],[Planned receipt (units)]]))))</f>
        <v>0</v>
      </c>
      <c r="O52" s="35">
        <f>IF(tblVerifyMRP[[#This Row],[Item]]="","",IF(tblVerifyMRP[[#This Row],[Order multiple (units)]]="","",tblVerifyMRP[[#This Row],[Safety stock (units)]]-tblVerifyMRP[[#This Row],[Uncovered (units)]]+tblVerifyMRP[[#This Row],[Cum. planned (units)]]))</f>
        <v>180</v>
      </c>
      <c r="P52" s="36">
        <f>IF(tblVerifyMRP[[#This Row],[Item]]="","",IF(N(tblVerifyMRP[[#This Row],[Planned receipt (units)]])&gt;0,tblVerifyMRP[[#This Row],[Week]]-7*tblVerifyMRP[[#This Row],[Lead time (wk)]],""))</f>
        <v/>
      </c>
      <c r="Q52" s="35">
        <f>IF(tblVerifyMRP[[#This Row],[Item]]="","",SUMIFS(tblVerifyMRP[Planned receipt (units)],tblVerifyMRP[Item],tblVerifyMRP[[#This Row],[Item]],tblVerifyMRP[Week],tblVerifyMRP[[#This Row],[Week]]+7*N(tblVerifyMRP[[#This Row],[Lead time (wk)]])))</f>
        <v>0</v>
      </c>
      <c r="R52" s="37">
        <f>IF(tblVerifyMRP[[#This Row],[Item]]="","",IF(N(tblVerifyMRP[[#This Row],[Planned receipt (units)]])=0,"",IF(tblVerifyMRP[[#This Row],[Release week]]&lt;$E$35,"Overdue",IF(tblVerifyMRP[[#This Row],[Release week]]&lt;$E$35+7,"Due soon","OK"))))</f>
        <v/>
      </c>
      <c r="S52" s="38" t="str">
        <f>IF(tblVerifyMRP[[#This Row],[Item]]="","",IF(tblVerifyMRP[[#This Row],[Gross req. (units)]]="","Missing gross req.",IF(tblVerifyMRP[[#This Row],[On hand (units)]]="","Item not on Setup list",IF(OR(tblVerifyMRP[[#This Row],[Week]]&lt;$E$35,MOD(tblVerifyMRP[[#This Row],[Week]]-$E$35,7)&lt;&gt;0),"Not a plan Monday",IF(COUNTIFS(tblVerifyMRP[Item],tblVerifyMRP[[#This Row],[Item]],tblVerifyMRP[Week],tblVerifyMRP[[#This Row],[Week]])&gt;1,"Duplicate item week","OK")))))</f>
        <v>Not a plan Monday</v>
      </c>
      <c r="T52" s="57"/>
    </row>
    <row r="54" spans="2:20">
      <c r="B54" s="30" t="s">
        <v>238</v>
      </c>
      <c r="C54" s="30"/>
      <c r="D54" s="30"/>
      <c r="E54" s="30"/>
      <c r="F54" s="30"/>
      <c r="G54" s="30"/>
      <c r="H54" s="30"/>
      <c r="I54" s="30"/>
      <c r="J54" s="30"/>
      <c r="K54" s="30"/>
      <c r="L54" s="30"/>
    </row>
    <row r="55" spans="2:20">
      <c r="B55" s="45" t="s">
        <v>124</v>
      </c>
      <c r="C55" s="45"/>
      <c r="D55" s="45"/>
      <c r="E55" s="46">
        <f>$E$35</f>
        <v>46328</v>
      </c>
      <c r="F55" s="46">
        <f>$E$55+7</f>
        <v>46335</v>
      </c>
      <c r="G55" s="46">
        <f>$F$55+7</f>
        <v>46342</v>
      </c>
      <c r="H55" s="46">
        <f>$G$55+7</f>
        <v>46349</v>
      </c>
      <c r="I55" s="46">
        <f>$H$55+7</f>
        <v>46356</v>
      </c>
      <c r="J55" s="46">
        <f>$I$55+7</f>
        <v>46363</v>
      </c>
      <c r="K55" s="46">
        <f>$J$55+7</f>
        <v>46370</v>
      </c>
      <c r="L55" s="46">
        <f>$K$55+7</f>
        <v>46377</v>
      </c>
      <c r="M55" s="46">
        <f>$L$55+7</f>
        <v>46384</v>
      </c>
      <c r="N55" s="46">
        <f>$M$55+7</f>
        <v>46391</v>
      </c>
      <c r="O55" s="46">
        <f>$N$55+7</f>
        <v>46398</v>
      </c>
      <c r="P55" s="46">
        <f>$O$55+7</f>
        <v>46405</v>
      </c>
    </row>
    <row r="56" spans="2:20">
      <c r="B56" s="27" t="s">
        <v>125</v>
      </c>
      <c r="C56" s="27"/>
      <c r="D56" s="27"/>
      <c r="E56" s="35">
        <f>SUMIFS(tblVerifyMRP[Gross req. (units)],tblVerifyMRP[Item],$E$36,tblVerifyMRP[Week],$E$55)</f>
        <v>120</v>
      </c>
      <c r="F56" s="35">
        <f>SUMIFS(tblVerifyMRP[Gross req. (units)],tblVerifyMRP[Item],$E$36,tblVerifyMRP[Week],$F$55)</f>
        <v>150</v>
      </c>
      <c r="G56" s="35">
        <f>SUMIFS(tblVerifyMRP[Gross req. (units)],tblVerifyMRP[Item],$E$36,tblVerifyMRP[Week],$G$55)</f>
        <v>0</v>
      </c>
      <c r="H56" s="35">
        <f>SUMIFS(tblVerifyMRP[Gross req. (units)],tblVerifyMRP[Item],$E$36,tblVerifyMRP[Week],$H$55)</f>
        <v>200</v>
      </c>
      <c r="I56" s="35">
        <f>SUMIFS(tblVerifyMRP[Gross req. (units)],tblVerifyMRP[Item],$E$36,tblVerifyMRP[Week],$I$55)</f>
        <v>180</v>
      </c>
      <c r="J56" s="35">
        <f>SUMIFS(tblVerifyMRP[Gross req. (units)],tblVerifyMRP[Item],$E$36,tblVerifyMRP[Week],$J$55)</f>
        <v>90</v>
      </c>
      <c r="K56" s="35">
        <f>SUMIFS(tblVerifyMRP[Gross req. (units)],tblVerifyMRP[Item],$E$36,tblVerifyMRP[Week],$K$55)</f>
        <v>0</v>
      </c>
      <c r="L56" s="35">
        <f>SUMIFS(tblVerifyMRP[Gross req. (units)],tblVerifyMRP[Item],$E$36,tblVerifyMRP[Week],$L$55)</f>
        <v>0</v>
      </c>
      <c r="M56" s="35">
        <f>SUMIFS(tblVerifyMRP[Gross req. (units)],tblVerifyMRP[Item],$E$36,tblVerifyMRP[Week],$M$55)</f>
        <v>0</v>
      </c>
      <c r="N56" s="35">
        <f>SUMIFS(tblVerifyMRP[Gross req. (units)],tblVerifyMRP[Item],$E$36,tblVerifyMRP[Week],$N$55)</f>
        <v>0</v>
      </c>
      <c r="O56" s="35">
        <f>SUMIFS(tblVerifyMRP[Gross req. (units)],tblVerifyMRP[Item],$E$36,tblVerifyMRP[Week],$O$55)</f>
        <v>0</v>
      </c>
      <c r="P56" s="35">
        <f>SUMIFS(tblVerifyMRP[Gross req. (units)],tblVerifyMRP[Item],$E$36,tblVerifyMRP[Week],$P$55)</f>
        <v>0</v>
      </c>
    </row>
    <row r="57" spans="2:20">
      <c r="B57" s="27" t="s">
        <v>126</v>
      </c>
      <c r="C57" s="27"/>
      <c r="D57" s="27"/>
      <c r="E57" s="35">
        <f>SUMIFS(tblVerifyMRP[Sched. receipts (units)],tblVerifyMRP[Item],$E$36,tblVerifyMRP[Week],$E$55)</f>
        <v>0</v>
      </c>
      <c r="F57" s="35">
        <f>SUMIFS(tblVerifyMRP[Sched. receipts (units)],tblVerifyMRP[Item],$E$36,tblVerifyMRP[Week],$F$55)</f>
        <v>100</v>
      </c>
      <c r="G57" s="35">
        <f>SUMIFS(tblVerifyMRP[Sched. receipts (units)],tblVerifyMRP[Item],$E$36,tblVerifyMRP[Week],$G$55)</f>
        <v>0</v>
      </c>
      <c r="H57" s="35">
        <f>SUMIFS(tblVerifyMRP[Sched. receipts (units)],tblVerifyMRP[Item],$E$36,tblVerifyMRP[Week],$H$55)</f>
        <v>0</v>
      </c>
      <c r="I57" s="35">
        <f>SUMIFS(tblVerifyMRP[Sched. receipts (units)],tblVerifyMRP[Item],$E$36,tblVerifyMRP[Week],$I$55)</f>
        <v>0</v>
      </c>
      <c r="J57" s="35">
        <f>SUMIFS(tblVerifyMRP[Sched. receipts (units)],tblVerifyMRP[Item],$E$36,tblVerifyMRP[Week],$J$55)</f>
        <v>0</v>
      </c>
      <c r="K57" s="35">
        <f>SUMIFS(tblVerifyMRP[Sched. receipts (units)],tblVerifyMRP[Item],$E$36,tblVerifyMRP[Week],$K$55)</f>
        <v>0</v>
      </c>
      <c r="L57" s="35">
        <f>SUMIFS(tblVerifyMRP[Sched. receipts (units)],tblVerifyMRP[Item],$E$36,tblVerifyMRP[Week],$L$55)</f>
        <v>0</v>
      </c>
      <c r="M57" s="35">
        <f>SUMIFS(tblVerifyMRP[Sched. receipts (units)],tblVerifyMRP[Item],$E$36,tblVerifyMRP[Week],$M$55)</f>
        <v>0</v>
      </c>
      <c r="N57" s="35">
        <f>SUMIFS(tblVerifyMRP[Sched. receipts (units)],tblVerifyMRP[Item],$E$36,tblVerifyMRP[Week],$N$55)</f>
        <v>0</v>
      </c>
      <c r="O57" s="35">
        <f>SUMIFS(tblVerifyMRP[Sched. receipts (units)],tblVerifyMRP[Item],$E$36,tblVerifyMRP[Week],$O$55)</f>
        <v>0</v>
      </c>
      <c r="P57" s="35">
        <f>SUMIFS(tblVerifyMRP[Sched. receipts (units)],tblVerifyMRP[Item],$E$36,tblVerifyMRP[Week],$P$55)</f>
        <v>0</v>
      </c>
    </row>
    <row r="58" spans="2:20">
      <c r="B58" s="27" t="s">
        <v>127</v>
      </c>
      <c r="C58" s="27"/>
      <c r="D58" s="27"/>
      <c r="E58" s="47">
        <f>IF(COUNTIFS(tblVerifyMRP[Item],$E$36,tblVerifyMRP[Week],$E$55)=0,"",SUMIFS(tblVerifyMRP[Proj. on hand (units)],tblVerifyMRP[Item],$E$36,tblVerifyMRP[Week],$E$55))</f>
        <v>180</v>
      </c>
      <c r="F58" s="47">
        <f>IF(COUNTIFS(tblVerifyMRP[Item],$E$36,tblVerifyMRP[Week],$F$55)=0,"",SUMIFS(tblVerifyMRP[Proj. on hand (units)],tblVerifyMRP[Item],$E$36,tblVerifyMRP[Week],$F$55))</f>
        <v>130</v>
      </c>
      <c r="G58" s="47">
        <f>IF(COUNTIFS(tblVerifyMRP[Item],$E$36,tblVerifyMRP[Week],$G$55)=0,"",SUMIFS(tblVerifyMRP[Proj. on hand (units)],tblVerifyMRP[Item],$E$36,tblVerifyMRP[Week],$G$55))</f>
        <v>130</v>
      </c>
      <c r="H58" s="47">
        <f>IF(COUNTIFS(tblVerifyMRP[Item],$E$36,tblVerifyMRP[Week],$H$55)=0,"",SUMIFS(tblVerifyMRP[Proj. on hand (units)],tblVerifyMRP[Item],$E$36,tblVerifyMRP[Week],$H$55))</f>
        <v>180</v>
      </c>
      <c r="I58" s="47">
        <f>IF(COUNTIFS(tblVerifyMRP[Item],$E$36,tblVerifyMRP[Week],$I$55)=0,"",SUMIFS(tblVerifyMRP[Proj. on hand (units)],tblVerifyMRP[Item],$E$36,tblVerifyMRP[Week],$I$55))</f>
        <v>250</v>
      </c>
      <c r="J58" s="47">
        <f>IF(COUNTIFS(tblVerifyMRP[Item],$E$36,tblVerifyMRP[Week],$J$55)=0,"",SUMIFS(tblVerifyMRP[Proj. on hand (units)],tblVerifyMRP[Item],$E$36,tblVerifyMRP[Week],$J$55))</f>
        <v>160</v>
      </c>
      <c r="K58" s="47">
        <f>IF(COUNTIFS(tblVerifyMRP[Item],$E$36,tblVerifyMRP[Week],$K$55)=0,"",SUMIFS(tblVerifyMRP[Proj. on hand (units)],tblVerifyMRP[Item],$E$36,tblVerifyMRP[Week],$K$55))</f>
        <v/>
      </c>
      <c r="L58" s="47">
        <f>IF(COUNTIFS(tblVerifyMRP[Item],$E$36,tblVerifyMRP[Week],$L$55)=0,"",SUMIFS(tblVerifyMRP[Proj. on hand (units)],tblVerifyMRP[Item],$E$36,tblVerifyMRP[Week],$L$55))</f>
        <v/>
      </c>
      <c r="M58" s="47">
        <f>IF(COUNTIFS(tblVerifyMRP[Item],$E$36,tblVerifyMRP[Week],$M$55)=0,"",SUMIFS(tblVerifyMRP[Proj. on hand (units)],tblVerifyMRP[Item],$E$36,tblVerifyMRP[Week],$M$55))</f>
        <v/>
      </c>
      <c r="N58" s="47">
        <f>IF(COUNTIFS(tblVerifyMRP[Item],$E$36,tblVerifyMRP[Week],$N$55)=0,"",SUMIFS(tblVerifyMRP[Proj. on hand (units)],tblVerifyMRP[Item],$E$36,tblVerifyMRP[Week],$N$55))</f>
        <v/>
      </c>
      <c r="O58" s="47">
        <f>IF(COUNTIFS(tblVerifyMRP[Item],$E$36,tblVerifyMRP[Week],$O$55)=0,"",SUMIFS(tblVerifyMRP[Proj. on hand (units)],tblVerifyMRP[Item],$E$36,tblVerifyMRP[Week],$O$55))</f>
        <v/>
      </c>
      <c r="P58" s="47">
        <f>IF(COUNTIFS(tblVerifyMRP[Item],$E$36,tblVerifyMRP[Week],$P$55)=0,"",SUMIFS(tblVerifyMRP[Proj. on hand (units)],tblVerifyMRP[Item],$E$36,tblVerifyMRP[Week],$P$55))</f>
        <v/>
      </c>
    </row>
    <row r="59" spans="2:20">
      <c r="B59" s="27" t="s">
        <v>128</v>
      </c>
      <c r="C59" s="27"/>
      <c r="D59" s="27"/>
      <c r="E59" s="35">
        <f>SUMIFS(tblVerifyMRP[Net req. (units)],tblVerifyMRP[Item],$E$36,tblVerifyMRP[Week],$E$55)</f>
        <v>0</v>
      </c>
      <c r="F59" s="35">
        <f>SUMIFS(tblVerifyMRP[Net req. (units)],tblVerifyMRP[Item],$E$36,tblVerifyMRP[Week],$F$55)</f>
        <v>0</v>
      </c>
      <c r="G59" s="35">
        <f>SUMIFS(tblVerifyMRP[Net req. (units)],tblVerifyMRP[Item],$E$36,tblVerifyMRP[Week],$G$55)</f>
        <v>0</v>
      </c>
      <c r="H59" s="35">
        <f>SUMIFS(tblVerifyMRP[Net req. (units)],tblVerifyMRP[Item],$E$36,tblVerifyMRP[Week],$H$55)</f>
        <v>120</v>
      </c>
      <c r="I59" s="35">
        <f>SUMIFS(tblVerifyMRP[Net req. (units)],tblVerifyMRP[Item],$E$36,tblVerifyMRP[Week],$I$55)</f>
        <v>50</v>
      </c>
      <c r="J59" s="35">
        <f>SUMIFS(tblVerifyMRP[Net req. (units)],tblVerifyMRP[Item],$E$36,tblVerifyMRP[Week],$J$55)</f>
        <v>0</v>
      </c>
      <c r="K59" s="35">
        <f>SUMIFS(tblVerifyMRP[Net req. (units)],tblVerifyMRP[Item],$E$36,tblVerifyMRP[Week],$K$55)</f>
        <v>0</v>
      </c>
      <c r="L59" s="35">
        <f>SUMIFS(tblVerifyMRP[Net req. (units)],tblVerifyMRP[Item],$E$36,tblVerifyMRP[Week],$L$55)</f>
        <v>0</v>
      </c>
      <c r="M59" s="35">
        <f>SUMIFS(tblVerifyMRP[Net req. (units)],tblVerifyMRP[Item],$E$36,tblVerifyMRP[Week],$M$55)</f>
        <v>0</v>
      </c>
      <c r="N59" s="35">
        <f>SUMIFS(tblVerifyMRP[Net req. (units)],tblVerifyMRP[Item],$E$36,tblVerifyMRP[Week],$N$55)</f>
        <v>0</v>
      </c>
      <c r="O59" s="35">
        <f>SUMIFS(tblVerifyMRP[Net req. (units)],tblVerifyMRP[Item],$E$36,tblVerifyMRP[Week],$O$55)</f>
        <v>0</v>
      </c>
      <c r="P59" s="35">
        <f>SUMIFS(tblVerifyMRP[Net req. (units)],tblVerifyMRP[Item],$E$36,tblVerifyMRP[Week],$P$55)</f>
        <v>0</v>
      </c>
    </row>
    <row r="60" spans="2:20">
      <c r="B60" s="27" t="s">
        <v>129</v>
      </c>
      <c r="C60" s="27"/>
      <c r="D60" s="27"/>
      <c r="E60" s="35">
        <f>SUMIFS(tblVerifyMRP[Planned receipt (units)],tblVerifyMRP[Item],$E$36,tblVerifyMRP[Week],$E$55)</f>
        <v>0</v>
      </c>
      <c r="F60" s="35">
        <f>SUMIFS(tblVerifyMRP[Planned receipt (units)],tblVerifyMRP[Item],$E$36,tblVerifyMRP[Week],$F$55)</f>
        <v>0</v>
      </c>
      <c r="G60" s="35">
        <f>SUMIFS(tblVerifyMRP[Planned receipt (units)],tblVerifyMRP[Item],$E$36,tblVerifyMRP[Week],$G$55)</f>
        <v>0</v>
      </c>
      <c r="H60" s="35">
        <f>SUMIFS(tblVerifyMRP[Planned receipt (units)],tblVerifyMRP[Item],$E$36,tblVerifyMRP[Week],$H$55)</f>
        <v>250</v>
      </c>
      <c r="I60" s="35">
        <f>SUMIFS(tblVerifyMRP[Planned receipt (units)],tblVerifyMRP[Item],$E$36,tblVerifyMRP[Week],$I$55)</f>
        <v>250</v>
      </c>
      <c r="J60" s="35">
        <f>SUMIFS(tblVerifyMRP[Planned receipt (units)],tblVerifyMRP[Item],$E$36,tblVerifyMRP[Week],$J$55)</f>
        <v>0</v>
      </c>
      <c r="K60" s="35">
        <f>SUMIFS(tblVerifyMRP[Planned receipt (units)],tblVerifyMRP[Item],$E$36,tblVerifyMRP[Week],$K$55)</f>
        <v>0</v>
      </c>
      <c r="L60" s="35">
        <f>SUMIFS(tblVerifyMRP[Planned receipt (units)],tblVerifyMRP[Item],$E$36,tblVerifyMRP[Week],$L$55)</f>
        <v>0</v>
      </c>
      <c r="M60" s="35">
        <f>SUMIFS(tblVerifyMRP[Planned receipt (units)],tblVerifyMRP[Item],$E$36,tblVerifyMRP[Week],$M$55)</f>
        <v>0</v>
      </c>
      <c r="N60" s="35">
        <f>SUMIFS(tblVerifyMRP[Planned receipt (units)],tblVerifyMRP[Item],$E$36,tblVerifyMRP[Week],$N$55)</f>
        <v>0</v>
      </c>
      <c r="O60" s="35">
        <f>SUMIFS(tblVerifyMRP[Planned receipt (units)],tblVerifyMRP[Item],$E$36,tblVerifyMRP[Week],$O$55)</f>
        <v>0</v>
      </c>
      <c r="P60" s="35">
        <f>SUMIFS(tblVerifyMRP[Planned receipt (units)],tblVerifyMRP[Item],$E$36,tblVerifyMRP[Week],$P$55)</f>
        <v>0</v>
      </c>
    </row>
    <row r="61" spans="2:20">
      <c r="B61" s="27" t="s">
        <v>130</v>
      </c>
      <c r="C61" s="27"/>
      <c r="D61" s="27"/>
      <c r="E61" s="47">
        <f>SUMIFS(tblVerifyMRP[Planned release (units)],tblVerifyMRP[Item],$E$36,tblVerifyMRP[Week],$E$55)</f>
        <v>0</v>
      </c>
      <c r="F61" s="47">
        <f>SUMIFS(tblVerifyMRP[Planned release (units)],tblVerifyMRP[Item],$E$36,tblVerifyMRP[Week],$F$55)</f>
        <v>250</v>
      </c>
      <c r="G61" s="47">
        <f>SUMIFS(tblVerifyMRP[Planned release (units)],tblVerifyMRP[Item],$E$36,tblVerifyMRP[Week],$G$55)</f>
        <v>250</v>
      </c>
      <c r="H61" s="47">
        <f>SUMIFS(tblVerifyMRP[Planned release (units)],tblVerifyMRP[Item],$E$36,tblVerifyMRP[Week],$H$55)</f>
        <v>0</v>
      </c>
      <c r="I61" s="47">
        <f>SUMIFS(tblVerifyMRP[Planned release (units)],tblVerifyMRP[Item],$E$36,tblVerifyMRP[Week],$I$55)</f>
        <v>0</v>
      </c>
      <c r="J61" s="47">
        <f>SUMIFS(tblVerifyMRP[Planned release (units)],tblVerifyMRP[Item],$E$36,tblVerifyMRP[Week],$J$55)</f>
        <v>0</v>
      </c>
      <c r="K61" s="47">
        <f>SUMIFS(tblVerifyMRP[Planned release (units)],tblVerifyMRP[Item],$E$36,tblVerifyMRP[Week],$K$55)</f>
        <v>0</v>
      </c>
      <c r="L61" s="47">
        <f>SUMIFS(tblVerifyMRP[Planned release (units)],tblVerifyMRP[Item],$E$36,tblVerifyMRP[Week],$L$55)</f>
        <v>0</v>
      </c>
      <c r="M61" s="47">
        <f>SUMIFS(tblVerifyMRP[Planned release (units)],tblVerifyMRP[Item],$E$36,tblVerifyMRP[Week],$M$55)</f>
        <v>0</v>
      </c>
      <c r="N61" s="47">
        <f>SUMIFS(tblVerifyMRP[Planned release (units)],tblVerifyMRP[Item],$E$36,tblVerifyMRP[Week],$N$55)</f>
        <v>0</v>
      </c>
      <c r="O61" s="47">
        <f>SUMIFS(tblVerifyMRP[Planned release (units)],tblVerifyMRP[Item],$E$36,tblVerifyMRP[Week],$O$55)</f>
        <v>0</v>
      </c>
      <c r="P61" s="47">
        <f>SUMIFS(tblVerifyMRP[Planned release (units)],tblVerifyMRP[Item],$E$36,tblVerifyMRP[Week],$P$55)</f>
        <v>0</v>
      </c>
    </row>
    <row r="62" spans="2:20">
      <c r="B62" s="27" t="s">
        <v>131</v>
      </c>
      <c r="C62" s="27"/>
      <c r="D62" s="27"/>
      <c r="E62" s="48">
        <f>IFERROR(INDEX(tblVerifyItems[Safety stock (units)],MATCH($E$36,tblVerifyItems[Item],0)),"")</f>
        <v>50</v>
      </c>
      <c r="F62" s="48">
        <f>IFERROR(INDEX(tblVerifyItems[Safety stock (units)],MATCH($E$36,tblVerifyItems[Item],0)),"")</f>
        <v>50</v>
      </c>
      <c r="G62" s="48">
        <f>IFERROR(INDEX(tblVerifyItems[Safety stock (units)],MATCH($E$36,tblVerifyItems[Item],0)),"")</f>
        <v>50</v>
      </c>
      <c r="H62" s="48">
        <f>IFERROR(INDEX(tblVerifyItems[Safety stock (units)],MATCH($E$36,tblVerifyItems[Item],0)),"")</f>
        <v>50</v>
      </c>
      <c r="I62" s="48">
        <f>IFERROR(INDEX(tblVerifyItems[Safety stock (units)],MATCH($E$36,tblVerifyItems[Item],0)),"")</f>
        <v>50</v>
      </c>
      <c r="J62" s="48">
        <f>IFERROR(INDEX(tblVerifyItems[Safety stock (units)],MATCH($E$36,tblVerifyItems[Item],0)),"")</f>
        <v>50</v>
      </c>
      <c r="K62" s="48">
        <f>IFERROR(INDEX(tblVerifyItems[Safety stock (units)],MATCH($E$36,tblVerifyItems[Item],0)),"")</f>
        <v>50</v>
      </c>
      <c r="L62" s="48">
        <f>IFERROR(INDEX(tblVerifyItems[Safety stock (units)],MATCH($E$36,tblVerifyItems[Item],0)),"")</f>
        <v>50</v>
      </c>
      <c r="M62" s="48">
        <f>IFERROR(INDEX(tblVerifyItems[Safety stock (units)],MATCH($E$36,tblVerifyItems[Item],0)),"")</f>
        <v>50</v>
      </c>
      <c r="N62" s="48">
        <f>IFERROR(INDEX(tblVerifyItems[Safety stock (units)],MATCH($E$36,tblVerifyItems[Item],0)),"")</f>
        <v>50</v>
      </c>
      <c r="O62" s="48">
        <f>IFERROR(INDEX(tblVerifyItems[Safety stock (units)],MATCH($E$36,tblVerifyItems[Item],0)),"")</f>
        <v>50</v>
      </c>
      <c r="P62" s="48">
        <f>IFERROR(INDEX(tblVerifyItems[Safety stock (units)],MATCH($E$36,tblVerifyItems[Item],0)),"")</f>
        <v>50</v>
      </c>
    </row>
  </sheetData>
  <sheetProtection sheet="1" formatColumns="0" formatRows="0"/>
  <mergeCells count="44">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E36:F36"/>
    <mergeCell ref="B38:L38"/>
    <mergeCell ref="B43:L43"/>
    <mergeCell ref="B54:L54"/>
    <mergeCell ref="B55:D55"/>
    <mergeCell ref="B56:D56"/>
    <mergeCell ref="B57:D57"/>
    <mergeCell ref="B58:D58"/>
    <mergeCell ref="B59:D59"/>
    <mergeCell ref="B60:D60"/>
    <mergeCell ref="B61:D61"/>
    <mergeCell ref="B62:D6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S45:S52">
    <cfRule type="expression" dxfId="3" priority="41">
      <formula>$S45="OK"</formula>
    </cfRule>
    <cfRule type="expression" dxfId="1" priority="42">
      <formula>AND($S45&lt;&gt;"",$S45&lt;&gt;"OK")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MRP Planner&amp;R&amp;8&amp;A</oddHeader>
    <oddFooter>&amp;L&amp;8mfgcalcs.com - free manufacturing templates&amp;R&amp;8Page &amp;P of &amp;N</oddFooter>
  </headerFooter>
  <rowBreaks count="1" manualBreakCount="1">
    <brk id="42"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vt:i4>
      </vt:variant>
    </vt:vector>
  </HeadingPairs>
  <TitlesOfParts>
    <vt:vector size="23" baseType="lpstr">
      <vt:lpstr>Start Here</vt:lpstr>
      <vt:lpstr>Setup</vt:lpstr>
      <vt:lpstr>MRP Lines</vt:lpstr>
      <vt:lpstr>Dashboard</vt:lpstr>
      <vt:lpstr>Method</vt:lpstr>
      <vt:lpstr>Verify</vt:lpstr>
      <vt:lpstr>DashItem</vt:lpstr>
      <vt:lpstr>KpiDue</vt:lpstr>
      <vt:lpstr>KpiOrders</vt:lpstr>
      <vt:lpstr>KpiOverdue</vt:lpstr>
      <vt:lpstr>KpiOverItems</vt:lpstr>
      <vt:lpstr>PlanStart</vt:lpstr>
      <vt:lpstr>PlantName</vt:lpstr>
      <vt:lpstr>Dashboard!Print_Area</vt:lpstr>
      <vt:lpstr>Method!Print_Area</vt:lpstr>
      <vt:lpstr>'MRP Lines'!Print_Area</vt:lpstr>
      <vt:lpstr>Setup!Print_Area</vt:lpstr>
      <vt:lpstr>'Start Here'!Print_Area</vt:lpstr>
      <vt:lpstr>Verify!Print_Area</vt:lpstr>
      <vt:lpstr>Method!Print_Titles</vt:lpstr>
      <vt:lpstr>'MRP Lines'!Print_Titles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MRP Planner - free Excel template from MFG Calcs</dc:title>
  <dc:subject>Net weekly gross requirements against stock, open orders and safety stock, and get planned orders, release weeks and the releases that are already late.</dc:subject>
  <dc:creator>MFG Calcs</dc:creator>
  <cp:keywords>MRP, material requirements planning, net requirements, planned orders, lead time offset, safety stock, lot sizing, order release</cp:keywords>
  <dc:description>https://www.mfgcalcs.com/templates/mrp-planner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mrp-planner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https://www.mfgcalcs.com/templates/mrp-planner</vt:lpwstr>
  </property>
  <property fmtid="{D5CDD505-2E9C-101B-9397-08002B2CF9AE}" pid="7" name="Template sheet roles">
    <vt:lpwstr>Start Here=start;Setup=setup;MRP Lines=work;Dashboard=dashboard;Method=method;Verify=verify</vt:lpwstr>
  </property>
</Properties>
</file>