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NCR Log" sheetId="3" r:id="rId3"/>
    <sheet name="Dashboard" sheetId="4" r:id="rId4"/>
    <sheet name="Method" sheetId="5" r:id="rId5"/>
    <sheet name="Verify" sheetId="6" r:id="rId6"/>
  </sheets>
  <definedNames>
    <definedName name="AdminCost">Setup!$C$11</definedName>
    <definedName name="AsOf">Setup!$C$8</definedName>
    <definedName name="CloseDays">Setup!$C$9</definedName>
    <definedName name="Currency">Setup!$C$7</definedName>
    <definedName name="DashFrom">Dashboard!$H$4</definedName>
    <definedName name="DashOrigin">Dashboard!$C$5</definedName>
    <definedName name="DashSource">Dashboard!$C$4</definedName>
    <definedName name="DashTo">Dashboard!$H$5</definedName>
    <definedName name="Defects">tblDefects[Defect type]</definedName>
    <definedName name="DueSoonDays">Setup!$C$10</definedName>
    <definedName name="FFrom">IF(DashFrom="",0,DashFrom)</definedName>
    <definedName name="FTo">IF(DashTo="",AsOf,DashTo)</definedName>
    <definedName name="KpiAvgClose">Dashboard!$G$31</definedName>
    <definedName name="KpiClear">Dashboard!$G$9</definedName>
    <definedName name="KpiCost">Dashboard!$D$9</definedName>
    <definedName name="KpiOpen">Dashboard!$D$31</definedName>
    <definedName name="KpiOverdue">Dashboard!$J$9</definedName>
    <definedName name="KpiQty">Dashboard!$B$31</definedName>
    <definedName name="KpiRaised">Dashboard!$B$9</definedName>
    <definedName name="KpiTop">Dashboard!$J$31</definedName>
    <definedName name="Origins">tblOrigins[Origin]</definedName>
    <definedName name="_xlnm.Print_Area" localSheetId="3">Dashboard!$A$1:$L$72</definedName>
    <definedName name="_xlnm.Print_Area" localSheetId="4">Method!$A$1:$D$57</definedName>
    <definedName name="_xlnm.Print_Area" localSheetId="2">'NCR Log'!$A$1:$X$102</definedName>
    <definedName name="_xlnm.Print_Area" localSheetId="1">Setup!$A$1:$E$47</definedName>
    <definedName name="_xlnm.Print_Area" localSheetId="0">'Start Here'!$A$1:$F$56</definedName>
    <definedName name="_xlnm.Print_Area" localSheetId="5">Verify!$A$1:$X$60</definedName>
    <definedName name="_xlnm.Print_Titles" localSheetId="4">Method!$1:$2</definedName>
    <definedName name="_xlnm.Print_Titles" localSheetId="2">'NCR Log'!$1:$6</definedName>
    <definedName name="SelfCheck">Verify!$D$4</definedName>
    <definedName name="SelfCheckSummary">Verify!$F$4</definedName>
    <definedName name="ShopName">Setup!$C$6</definedName>
    <definedName name="Sources">tblSources[Source]</definedName>
    <definedName name="TargetClear">Setup!$C$12</definedName>
  </definedNames>
  <calcPr calcId="124519" fullCalcOnLoad="1"/>
</workbook>
</file>

<file path=xl/sharedStrings.xml><?xml version="1.0" encoding="utf-8"?>
<sst xmlns="http://schemas.openxmlformats.org/spreadsheetml/2006/main" count="1419" uniqueCount="530">
  <si>
    <t>Nonconformance (NCR) Log</t>
  </si>
  <si>
    <t>Read this first: what the workbook does and how to use it.</t>
  </si>
  <si>
    <t>mfgcalcs.com</t>
  </si>
  <si>
    <t>Log every nonconformance with its disposition and cost, and see what it costs, where it comes from and whether NCRs are being closed as fast as they are raised.</t>
  </si>
  <si>
    <t>For: Quality engineers and inspectors, MRB members, supplier quality engineers and owners of machine shops and fabrication shops.</t>
  </si>
  <si>
    <t>Version 1.0.0  ·  updated 15 October 2026</t>
  </si>
  <si>
    <t>Quick start</t>
  </si>
  <si>
    <t>1.</t>
  </si>
  <si>
    <t>On Setup, type your company, currency, status date, closure window, handling cost per NCR and clearance target, then replace the example sources, origins and defect types.</t>
  </si>
  <si>
    <t>2.</t>
  </si>
  <si>
    <t>On NCR Log, add one row per nonconformance report: number, date, source, part, lot, origin, defect type, description and quantity.</t>
  </si>
  <si>
    <t>3.</t>
  </si>
  <si>
    <t>When the MRB decides, enter the disposition, the unit cost of the part, any rework or repair cost and any amount recovered from the supplier.</t>
  </si>
  <si>
    <t>4.</t>
  </si>
  <si>
    <t>Type the closed date when the NCR is closed; read the Check column and fix anything that is not OK.</t>
  </si>
  <si>
    <t>5.</t>
  </si>
  <si>
    <t>Open the Dashboard; use the source, origin and date filters for a supplier review or a monthly quality report.</t>
  </si>
  <si>
    <t>What is in this workbook</t>
  </si>
  <si>
    <t>Start Here</t>
  </si>
  <si>
    <t>Setup</t>
  </si>
  <si>
    <t>Company, currency, status date, closure window, handling cost, and the source, origin and defect-type lists.</t>
  </si>
  <si>
    <t>NCR Log</t>
  </si>
  <si>
    <t>One row per nonconformance report: what, where found, where made, how many, the disposition and its cost.</t>
  </si>
  <si>
    <t>Dashboard</t>
  </si>
  <si>
    <t>What nonconformance costs, where it comes from, and whether NCRs are closed as fast as they are raised.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</si>
  <si>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</si>
  <si>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</si>
  <si>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</si>
  <si>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</si>
  <si>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</si>
  <si>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</si>
  <si>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</si>
  <si>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</si>
  <si>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</si>
  <si>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</si>
  <si>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</si>
  <si>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</si>
  <si>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</si>
  <si>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</si>
  <si>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</si>
  <si>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</si>
  <si>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</si>
  <si>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</si>
  <si>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</si>
  <si>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</si>
  <si>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Nonconformance Clearance Ratio Calculator on mfgcalcs.com</t>
  </si>
  <si>
    <t>Latest version</t>
  </si>
  <si>
    <t>mfgcalcs.com/templates/nonconformance-ncr-log</t>
  </si>
  <si>
    <t>More free templates</t>
  </si>
  <si>
    <t>mfgcalcs.com/templates</t>
  </si>
  <si>
    <t>Version</t>
  </si>
  <si>
    <t>1.0.0 (updated 15 October 2026)</t>
  </si>
  <si>
    <t>About the example data</t>
  </si>
  <si>
    <t>Every number already in this workbook is example data for Ashgrove Precision, a fictional business invented for this template, so the dashboard and charts show something meaningful on day one. It holds 96 NCRs raised between April and October 2026 at a fictional machine shop making aerospace brackets and fittings, with the status date 9 Oct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</si>
  <si>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</si>
  <si>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</si>
  <si>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</si>
  <si>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</si>
  <si>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</si>
  <si>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</si>
  <si>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</si>
  <si>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</si>
  <si>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Source</t>
  </si>
  <si>
    <t>Description</t>
  </si>
  <si>
    <t>Origin</t>
  </si>
  <si>
    <t>Type</t>
  </si>
  <si>
    <t>Defect type</t>
  </si>
  <si>
    <t>Examples</t>
  </si>
  <si>
    <t>Company, status date and targets</t>
  </si>
  <si>
    <t>Company or site</t>
  </si>
  <si>
    <t>Ashgrove Precision (example)</t>
  </si>
  <si>
    <t>Currency label</t>
  </si>
  <si>
    <t>USD</t>
  </si>
  <si>
    <t>Status as of</t>
  </si>
  <si>
    <t>Close NCRs within</t>
  </si>
  <si>
    <t>days</t>
  </si>
  <si>
    <t>'Due soon' warning</t>
  </si>
  <si>
    <t>Handling cost per NCR (est.)</t>
  </si>
  <si>
    <t>Clearance ratio target</t>
  </si>
  <si>
    <t>Targets, the closure window and the handling cost are yours to set; nothing in this workbook assumes an industry benchmark. Unit costs and the example handling cost are examples: use your own costing.</t>
  </si>
  <si>
    <t>Lists that feed the dropdowns</t>
  </si>
  <si>
    <t>Edit, add or remove rows; the NCR Log's dropdowns read these lists. Keep names unique. Origin is where the nonconformance was made (an internal work centre or a supplier); source is where it was found.</t>
  </si>
  <si>
    <t>Sources (where it was found)</t>
  </si>
  <si>
    <t>Receiving inspection</t>
  </si>
  <si>
    <t>Purchased material or outside processing checked on arrival</t>
  </si>
  <si>
    <t>In-process inspection</t>
  </si>
  <si>
    <t>First-off, patrol or operator checks during production</t>
  </si>
  <si>
    <t>Final inspection</t>
  </si>
  <si>
    <t>Inspection before packing and shipment</t>
  </si>
  <si>
    <t>Customer return</t>
  </si>
  <si>
    <t>Rejected or returned by the customer</t>
  </si>
  <si>
    <t>Audit or other</t>
  </si>
  <si>
    <t>Found in an audit, a stock check or anywhere else</t>
  </si>
  <si>
    <t>Origins (where it was made: work centres and suppliers)</t>
  </si>
  <si>
    <t>Mill 1</t>
  </si>
  <si>
    <t>Internal</t>
  </si>
  <si>
    <t>5-axis machining centre</t>
  </si>
  <si>
    <t>Mill 2</t>
  </si>
  <si>
    <t>3-axis vertical machining centre</t>
  </si>
  <si>
    <t>Lathe 1</t>
  </si>
  <si>
    <t>CNC lathe with live tooling</t>
  </si>
  <si>
    <t>Deburr and finish</t>
  </si>
  <si>
    <t>Manual deburr, edge break, wash</t>
  </si>
  <si>
    <t>Apex Plating</t>
  </si>
  <si>
    <t>Supplier</t>
  </si>
  <si>
    <t>Anodising and passivation (example supplier)</t>
  </si>
  <si>
    <t>Metro Metals</t>
  </si>
  <si>
    <t>Bar and plate stock (example supplier)</t>
  </si>
  <si>
    <t>Defect types</t>
  </si>
  <si>
    <t>Dimensional</t>
  </si>
  <si>
    <t>Bore, position, thickness or length outside drawing limits</t>
  </si>
  <si>
    <t>Surface finish</t>
  </si>
  <si>
    <t>Roughness, chatter, tool marks</t>
  </si>
  <si>
    <t>Burr or edge</t>
  </si>
  <si>
    <t>Edge break not to drawing</t>
  </si>
  <si>
    <t>Coating</t>
  </si>
  <si>
    <t>Anodise colour, thickness, burning, bare spots</t>
  </si>
  <si>
    <t>Material or cert</t>
  </si>
  <si>
    <t>Wrong alloy or temper, missing or wrong certificate</t>
  </si>
  <si>
    <t>Handling damage</t>
  </si>
  <si>
    <t>Dents, scratches, dropped parts</t>
  </si>
  <si>
    <t>Missing operation</t>
  </si>
  <si>
    <t>Feature, thread or marking not made</t>
  </si>
  <si>
    <t>Documentation</t>
  </si>
  <si>
    <t>Traveller, traceability or inspection record incomplete</t>
  </si>
  <si>
    <t>Dispositions are fixed words (Use as is, Rework, Repair, Scrap, Return to supplier) because the cost formula reads them: only Scrap counts the parts' value as lost. Under AS9100 or a customer's rules, Use as is and Repair of a major nonconformance may need customer approval: record it in your MRB record.</t>
  </si>
  <si>
    <t>NCR no.</t>
  </si>
  <si>
    <t>Date</t>
  </si>
  <si>
    <t>Part number</t>
  </si>
  <si>
    <t>Lot or job</t>
  </si>
  <si>
    <t>Qty nonconforming</t>
  </si>
  <si>
    <t>Unit cost</t>
  </si>
  <si>
    <t>Disposition</t>
  </si>
  <si>
    <t>Rework or repair cost</t>
  </si>
  <si>
    <t>Recovered</t>
  </si>
  <si>
    <t>CAPA needed</t>
  </si>
  <si>
    <t>CAPA no.</t>
  </si>
  <si>
    <t>Closed</t>
  </si>
  <si>
    <t>Origin type</t>
  </si>
  <si>
    <t>Scrap cost</t>
  </si>
  <si>
    <t>Cost (est.)</t>
  </si>
  <si>
    <t>Days open</t>
  </si>
  <si>
    <t>Status</t>
  </si>
  <si>
    <t>In view</t>
  </si>
  <si>
    <t>Check</t>
  </si>
  <si>
    <t>Example data for Ashgrove Precision (fictional; unit costs are examples). Replace it with your own: select the example rows, right-click, Delete &gt; Table Rows. Yellow = you type; blue = calculated.</t>
  </si>
  <si>
    <t>parts</t>
  </si>
  <si>
    <t>NCR-26-0141</t>
  </si>
  <si>
    <t>FT-2210</t>
  </si>
  <si>
    <t>J26340</t>
  </si>
  <si>
    <t>Dents from parts touching in tote</t>
  </si>
  <si>
    <t>Use as is</t>
  </si>
  <si>
    <t>Yes</t>
  </si>
  <si>
    <t>CA-26-047</t>
  </si>
  <si>
    <t>NCR-26-0142</t>
  </si>
  <si>
    <t>BR-1187</t>
  </si>
  <si>
    <t>J26178</t>
  </si>
  <si>
    <t>Burr on cross-hole intersection</t>
  </si>
  <si>
    <t>Rework</t>
  </si>
  <si>
    <t>CA-26-056</t>
  </si>
  <si>
    <t>NCR-26-0143</t>
  </si>
  <si>
    <t>HG-3305</t>
  </si>
  <si>
    <t>J26447</t>
  </si>
  <si>
    <t>Bore 12.00 H7 measured above upper limit</t>
  </si>
  <si>
    <t>Scrap</t>
  </si>
  <si>
    <t>CA-26-058</t>
  </si>
  <si>
    <t>NCR-26-0144</t>
  </si>
  <si>
    <t>J26611</t>
  </si>
  <si>
    <t>NCR-26-0145</t>
  </si>
  <si>
    <t>J26230</t>
  </si>
  <si>
    <t>Chatter marks on flange face, Ra above drawing</t>
  </si>
  <si>
    <t>CA-26-032</t>
  </si>
  <si>
    <t>NCR-26-0146</t>
  </si>
  <si>
    <t>SP-0918</t>
  </si>
  <si>
    <t>J26615</t>
  </si>
  <si>
    <t>No</t>
  </si>
  <si>
    <t>NCR-26-0147</t>
  </si>
  <si>
    <t>FT-2236</t>
  </si>
  <si>
    <t>J26707</t>
  </si>
  <si>
    <t>CA-26-009</t>
  </si>
  <si>
    <t>NCR-26-0148</t>
  </si>
  <si>
    <t>J26497</t>
  </si>
  <si>
    <t>CA-26-013</t>
  </si>
  <si>
    <t>NCR-26-0149</t>
  </si>
  <si>
    <t>J26150</t>
  </si>
  <si>
    <t>NCR-26-0150</t>
  </si>
  <si>
    <t>J26742</t>
  </si>
  <si>
    <t>Mill certificate shows wrong temper</t>
  </si>
  <si>
    <t>Return to supplier</t>
  </si>
  <si>
    <t>CA-26-039</t>
  </si>
  <si>
    <t>NCR-26-0151</t>
  </si>
  <si>
    <t>J26895</t>
  </si>
  <si>
    <t>Traveller missing inspection stamp at Op 30</t>
  </si>
  <si>
    <t>NCR-26-0152</t>
  </si>
  <si>
    <t>J26913</t>
  </si>
  <si>
    <t>Repair</t>
  </si>
  <si>
    <t>NCR-26-0153</t>
  </si>
  <si>
    <t>BR-1042</t>
  </si>
  <si>
    <t>J26344</t>
  </si>
  <si>
    <t>Anodise thickness below minimum on edges</t>
  </si>
  <si>
    <t>NCR-26-0154</t>
  </si>
  <si>
    <t>J26916</t>
  </si>
  <si>
    <t>CA-26-046</t>
  </si>
  <si>
    <t>NCR-26-0155</t>
  </si>
  <si>
    <t>J26348</t>
  </si>
  <si>
    <t>CA-26-006</t>
  </si>
  <si>
    <t>NCR-26-0156</t>
  </si>
  <si>
    <t>J26635</t>
  </si>
  <si>
    <t>NCR-26-0157</t>
  </si>
  <si>
    <t>J26216</t>
  </si>
  <si>
    <t>NCR-26-0158</t>
  </si>
  <si>
    <t>J26777</t>
  </si>
  <si>
    <t>NCR-26-0159</t>
  </si>
  <si>
    <t>J26302</t>
  </si>
  <si>
    <t>NCR-26-0160</t>
  </si>
  <si>
    <t>J26763</t>
  </si>
  <si>
    <t>CA-26-050</t>
  </si>
  <si>
    <t>NCR-26-0161</t>
  </si>
  <si>
    <t>J26149</t>
  </si>
  <si>
    <t>CA-26-044</t>
  </si>
  <si>
    <t>NCR-26-0162</t>
  </si>
  <si>
    <t>J26870</t>
  </si>
  <si>
    <t>NCR-26-0163</t>
  </si>
  <si>
    <t>J26284</t>
  </si>
  <si>
    <t>CA-26-002</t>
  </si>
  <si>
    <t>NCR-26-0164</t>
  </si>
  <si>
    <t>J26161</t>
  </si>
  <si>
    <t>NCR-26-0165</t>
  </si>
  <si>
    <t>J26433</t>
  </si>
  <si>
    <t>CA-26-051</t>
  </si>
  <si>
    <t>NCR-26-0166</t>
  </si>
  <si>
    <t>J26270</t>
  </si>
  <si>
    <t>Thread M6 not tapped on one face</t>
  </si>
  <si>
    <t>NCR-26-0167</t>
  </si>
  <si>
    <t>J26605</t>
  </si>
  <si>
    <t>NCR-26-0168</t>
  </si>
  <si>
    <t>J26802</t>
  </si>
  <si>
    <t>CA-26-030</t>
  </si>
  <si>
    <t>NCR-26-0169</t>
  </si>
  <si>
    <t>J26941</t>
  </si>
  <si>
    <t>NCR-26-0170</t>
  </si>
  <si>
    <t>J26749</t>
  </si>
  <si>
    <t>CA-26-023</t>
  </si>
  <si>
    <t>NCR-26-0171</t>
  </si>
  <si>
    <t>J26517</t>
  </si>
  <si>
    <t>NCR-26-0172</t>
  </si>
  <si>
    <t>J26653</t>
  </si>
  <si>
    <t>CA-26-034</t>
  </si>
  <si>
    <t>NCR-26-0173</t>
  </si>
  <si>
    <t>J26735</t>
  </si>
  <si>
    <t>CA-26-049</t>
  </si>
  <si>
    <t>NCR-26-0174</t>
  </si>
  <si>
    <t>J26887</t>
  </si>
  <si>
    <t>NCR-26-0175</t>
  </si>
  <si>
    <t>J26877</t>
  </si>
  <si>
    <t>CA-26-025</t>
  </si>
  <si>
    <t>NCR-26-0176</t>
  </si>
  <si>
    <t>J26927</t>
  </si>
  <si>
    <t>NCR-26-0177</t>
  </si>
  <si>
    <t>CA-26-021</t>
  </si>
  <si>
    <t>NCR-26-0178</t>
  </si>
  <si>
    <t>J26439</t>
  </si>
  <si>
    <t>CA-26-005</t>
  </si>
  <si>
    <t>NCR-26-0179</t>
  </si>
  <si>
    <t>J26824</t>
  </si>
  <si>
    <t>NCR-26-0180</t>
  </si>
  <si>
    <t>J26768</t>
  </si>
  <si>
    <t>NCR-26-0181</t>
  </si>
  <si>
    <t>J26996</t>
  </si>
  <si>
    <t>CA-26-018</t>
  </si>
  <si>
    <t>NCR-26-0182</t>
  </si>
  <si>
    <t>J26684</t>
  </si>
  <si>
    <t>NCR-26-0183</t>
  </si>
  <si>
    <t>J26785</t>
  </si>
  <si>
    <t>NCR-26-0184</t>
  </si>
  <si>
    <t>J26438</t>
  </si>
  <si>
    <t>CA-26-019</t>
  </si>
  <si>
    <t>NCR-26-0185</t>
  </si>
  <si>
    <t>J26661</t>
  </si>
  <si>
    <t>NCR-26-0186</t>
  </si>
  <si>
    <t>J26474</t>
  </si>
  <si>
    <t>NCR-26-0187</t>
  </si>
  <si>
    <t>J26118</t>
  </si>
  <si>
    <t>NCR-26-0188</t>
  </si>
  <si>
    <t>J26531</t>
  </si>
  <si>
    <t>NCR-26-0189</t>
  </si>
  <si>
    <t>J26260</t>
  </si>
  <si>
    <t>CA-26-059</t>
  </si>
  <si>
    <t>NCR-26-0190</t>
  </si>
  <si>
    <t>J26261</t>
  </si>
  <si>
    <t>NCR-26-0191</t>
  </si>
  <si>
    <t>J26365</t>
  </si>
  <si>
    <t>NCR-26-0192</t>
  </si>
  <si>
    <t>J26309</t>
  </si>
  <si>
    <t>CA-26-008</t>
  </si>
  <si>
    <t>NCR-26-0193</t>
  </si>
  <si>
    <t>J26873</t>
  </si>
  <si>
    <t>NCR-26-0194</t>
  </si>
  <si>
    <t>J26360</t>
  </si>
  <si>
    <t>CA-26-001</t>
  </si>
  <si>
    <t>NCR-26-0195</t>
  </si>
  <si>
    <t>J26490</t>
  </si>
  <si>
    <t>NCR-26-0196</t>
  </si>
  <si>
    <t>J26733</t>
  </si>
  <si>
    <t>NCR-26-0197</t>
  </si>
  <si>
    <t>NCR-26-0198</t>
  </si>
  <si>
    <t>J26582</t>
  </si>
  <si>
    <t>CA-26-007</t>
  </si>
  <si>
    <t>NCR-26-0199</t>
  </si>
  <si>
    <t>J26771</t>
  </si>
  <si>
    <t>NCR-26-0200</t>
  </si>
  <si>
    <t>J26725</t>
  </si>
  <si>
    <t>NCR-26-0201</t>
  </si>
  <si>
    <t>J26721</t>
  </si>
  <si>
    <t>NCR-26-0202</t>
  </si>
  <si>
    <t>J26443</t>
  </si>
  <si>
    <t>NCR-26-0203</t>
  </si>
  <si>
    <t>J26810</t>
  </si>
  <si>
    <t>CA-26-004</t>
  </si>
  <si>
    <t>NCR-26-0204</t>
  </si>
  <si>
    <t>J26198</t>
  </si>
  <si>
    <t>NCR-26-0205</t>
  </si>
  <si>
    <t>J26291</t>
  </si>
  <si>
    <t>NCR-26-0206</t>
  </si>
  <si>
    <t>J26952</t>
  </si>
  <si>
    <t>NCR-26-0207</t>
  </si>
  <si>
    <t>J26593</t>
  </si>
  <si>
    <t>CA-26-036</t>
  </si>
  <si>
    <t>NCR-26-0208</t>
  </si>
  <si>
    <t>J26677</t>
  </si>
  <si>
    <t>CA-26-024</t>
  </si>
  <si>
    <t>NCR-26-0209</t>
  </si>
  <si>
    <t>J26925</t>
  </si>
  <si>
    <t>NCR-26-0210</t>
  </si>
  <si>
    <t>J26942</t>
  </si>
  <si>
    <t>NCR-26-0211</t>
  </si>
  <si>
    <t>J26981</t>
  </si>
  <si>
    <t>CA-26-026</t>
  </si>
  <si>
    <t>NCR-26-0212</t>
  </si>
  <si>
    <t>J26464</t>
  </si>
  <si>
    <t>NCR-26-0213</t>
  </si>
  <si>
    <t>J26910</t>
  </si>
  <si>
    <t>NCR-26-0214</t>
  </si>
  <si>
    <t>NCR-26-0215</t>
  </si>
  <si>
    <t>J26804</t>
  </si>
  <si>
    <t>NCR-26-0216</t>
  </si>
  <si>
    <t>J26292</t>
  </si>
  <si>
    <t>NCR-26-0217</t>
  </si>
  <si>
    <t>NCR-26-0218</t>
  </si>
  <si>
    <t>J26632</t>
  </si>
  <si>
    <t>NCR-26-0219</t>
  </si>
  <si>
    <t>J26700</t>
  </si>
  <si>
    <t>NCR-26-0220</t>
  </si>
  <si>
    <t>NCR-26-0221</t>
  </si>
  <si>
    <t>J26422</t>
  </si>
  <si>
    <t>NCR-26-0222</t>
  </si>
  <si>
    <t>J26778</t>
  </si>
  <si>
    <t>CA-26-043</t>
  </si>
  <si>
    <t>NCR-26-0223</t>
  </si>
  <si>
    <t>J26655</t>
  </si>
  <si>
    <t>NCR-26-0224</t>
  </si>
  <si>
    <t>J26776</t>
  </si>
  <si>
    <t>NCR-26-0225</t>
  </si>
  <si>
    <t>NCR-26-0226</t>
  </si>
  <si>
    <t>J26516</t>
  </si>
  <si>
    <t>NCR-26-0227</t>
  </si>
  <si>
    <t>J26231</t>
  </si>
  <si>
    <t>NCR-26-0228</t>
  </si>
  <si>
    <t>J26552</t>
  </si>
  <si>
    <t>NCR-26-0229</t>
  </si>
  <si>
    <t>J26799</t>
  </si>
  <si>
    <t>NCR-26-0230</t>
  </si>
  <si>
    <t>J26514</t>
  </si>
  <si>
    <t>NCR-26-0231</t>
  </si>
  <si>
    <t>J26754</t>
  </si>
  <si>
    <t>NCR-26-0232</t>
  </si>
  <si>
    <t>J26384</t>
  </si>
  <si>
    <t>NCR-26-0233</t>
  </si>
  <si>
    <t>J26467</t>
  </si>
  <si>
    <t>NCR-26-0234</t>
  </si>
  <si>
    <t>J26713</t>
  </si>
  <si>
    <t>NCR-26-0235</t>
  </si>
  <si>
    <t>J26112</t>
  </si>
  <si>
    <t>NCR-26-0236</t>
  </si>
  <si>
    <t>J26814</t>
  </si>
  <si>
    <t>From</t>
  </si>
  <si>
    <t>To</t>
  </si>
  <si>
    <t>NCRS RAISED</t>
  </si>
  <si>
    <t>CLEARANCE RATIO</t>
  </si>
  <si>
    <t>OPEN NCRS OVERDUE</t>
  </si>
  <si>
    <t>In the dates in view</t>
  </si>
  <si>
    <t>Scrap + rework + handling - recovered</t>
  </si>
  <si>
    <t>PARTS NONCONFORMING</t>
  </si>
  <si>
    <t>OPEN NCRS</t>
  </si>
  <si>
    <t>AVERAGE DAYS TO CLOSE</t>
  </si>
  <si>
    <t>BIGGEST COST DRIVER</t>
  </si>
  <si>
    <t>On NCRs raised in view</t>
  </si>
  <si>
    <t>Raised and not closed, at the status date</t>
  </si>
  <si>
    <t>NCRs closed in view</t>
  </si>
  <si>
    <t>Defect type, ranked by cost</t>
  </si>
  <si>
    <t>By origin (work centre or supplier)</t>
  </si>
  <si>
    <t>NCRs</t>
  </si>
  <si>
    <t>Parts</t>
  </si>
  <si>
    <t>Open now</t>
  </si>
  <si>
    <t>By disposition</t>
  </si>
  <si>
    <t>Cost of nonconformance by defect type (Pareto)</t>
  </si>
  <si>
    <t>Rank</t>
  </si>
  <si>
    <t>Share</t>
  </si>
  <si>
    <t>Cumulative</t>
  </si>
  <si>
    <t>Helper: Defect type (list order)</t>
  </si>
  <si>
    <t>Helper: value (-1 = unused slot)</t>
  </si>
  <si>
    <t>Helper: rank, ties by list order</t>
  </si>
  <si>
    <t>%</t>
  </si>
  <si>
    <t>Awaiting disposition</t>
  </si>
  <si>
    <t>Total</t>
  </si>
  <si>
    <t>By month (the 6 months to the end of the dates in view)</t>
  </si>
  <si>
    <t>Month</t>
  </si>
  <si>
    <t>Raised</t>
  </si>
  <si>
    <t>Clearance ratio</t>
  </si>
  <si>
    <t>Open at month end</t>
  </si>
  <si>
    <t>The Dashboard shows the 6 origins and 8 defect types of the Setup lists. If you add more, extend the 'By origin' and Pareto blocks (see Method) or they will not appear here.</t>
  </si>
  <si>
    <t>What this workbook calculates</t>
  </si>
  <si>
    <t>Each nonconformance report is one row. The workbook estimates what each one cost (parts scrapped at their cost, rework or repair, and your handling cost per NCR, less anything recovered from a supplier), tracks it to closure against your closure window, and compares NCRs closed with NCRs raised over the same dates: a clearance ratio below 100% means the open backlog is growing.</t>
  </si>
  <si>
    <t>Calculations</t>
  </si>
  <si>
    <t>Quantity</t>
  </si>
  <si>
    <t>How it is calculated</t>
  </si>
  <si>
    <t>Units</t>
  </si>
  <si>
    <t>Quantity nonconforming x unit cost when the disposition is Scrap; 0 for any other disposition.</t>
  </si>
  <si>
    <t>currency</t>
  </si>
  <si>
    <t>Scrap cost + rework or repair cost + handling cost per NCR (Setup) - amount recovered. An estimate: it leaves out lost capacity, expediting and customer penalties.</t>
  </si>
  <si>
    <t>Closed - raised; for an open NCR, status date - raised.</t>
  </si>
  <si>
    <t>Complete when closed; Overdue when raised + closure window &lt; status date; Due soon when the window ends within the warning days; else In progress.</t>
  </si>
  <si>
    <t>-</t>
  </si>
  <si>
    <t>NCRs closed in the dates in view / NCRs raised in the same dates. Closures count even if the NCR was raised earlier, as in the live calculator.</t>
  </si>
  <si>
    <t>Open NCRs</t>
  </si>
  <si>
    <t>Raised on or before the status date with no closed date (source and origin filters apply, the date filter does not).</t>
  </si>
  <si>
    <t>Average days to close</t>
  </si>
  <si>
    <t>Sum of days open / count, over NCRs closed in the dates in view.</t>
  </si>
  <si>
    <t>NCRs raised by the month end (or status date) minus NCRs closed by then.</t>
  </si>
  <si>
    <t>Pareto</t>
  </si>
  <si>
    <t>Estimated cost per defect type, ranked with COUNTIF (ties keep list order). Hidden helper columns AO:AQ hold the unsorted values and ranks.</t>
  </si>
  <si>
    <t>currency, %</t>
  </si>
  <si>
    <t>Dashboard filters</t>
  </si>
  <si>
    <t>Every figure counts rows whose In view column is 1 (inside the source and origin filters); raised and closed dates are tested against From and To (To defaults to the status date).</t>
  </si>
  <si>
    <t>Assumptions</t>
  </si>
  <si>
    <t>Unit cost is the cost of the part at the point it was found; scrapped parts are a loss at that cost. Parts returned to a supplier are not counted as scrap.</t>
  </si>
  <si>
    <t>Rework or repair cost is the total for the NCR, typed by you (labour x rate + material + outside work + sorting).</t>
  </si>
  <si>
    <t>The handling cost per NCR is the same for every NCR; set it to 0 to see direct costs only.</t>
  </si>
  <si>
    <t>Dates are calendar days.</t>
  </si>
  <si>
    <t>Limitations</t>
  </si>
  <si>
    <t>It is a log, not an MRB system: approvals, signatures and customer concessions stay in your controlled records.</t>
  </si>
  <si>
    <t>Cost is an estimate for ranking and trend, not an accounting figure; it does not include lost capacity or customer penalties (see the COPQ tracker for a full cost of poor quality).</t>
  </si>
  <si>
    <t>The Dashboard has fixed blocks for 6 origins and 8 defect types; longer lists need the blocks extended (a warning appears on the Dashboard).</t>
  </si>
  <si>
    <t>The monthly table shows the 6 months that end with the To date (or the status date).</t>
  </si>
  <si>
    <t>Agreement with the live calculator</t>
  </si>
  <si>
    <t>The live Nonconformance Clearance Ratio calculator divides reports closed by reports opened and compares the result with a target. The Dashboard's clearance ratio is the same ratio over the dates in view (closures counted by closed date, raised NCRs by raised date). The reference implementation is checked against the calculator's engine for its default example (230 closed, 250 opened: 92.0%, 3.0 points below a 95% target) and for the example data on every build. The cost estimate, statuses and roll-ups are this template's own model.</t>
  </si>
  <si>
    <t>Open the Nonconformance Clearance Ratio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</si>
  <si>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</si>
  <si>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</si>
  <si>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9001:2015, clause 8.7 (control of nonconforming outputs) and clause 10.2; AS9100D, clause 8.7 (dispositions, including use as is and repair, and customer approval).</t>
  </si>
  <si>
    <t>ASQ, Juran's Quality Handbook: cost of poor quality categories (internal and external failure costs).</t>
  </si>
  <si>
    <t>MFG Calcs Nonconformance Clearance Ratio calculator (nonconformance-closure-rate): the same clearance definition.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</si>
  <si>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</si>
  <si>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</si>
  <si>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</si>
  <si>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</si>
  <si>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</si>
  <si>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</si>
  <si>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</si>
  <si>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</si>
  <si>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</si>
  <si>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</si>
  <si>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</si>
  <si>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</si>
  <si>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</si>
  <si>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</si>
  <si>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</si>
  <si>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NCR 1 (Scrap): scrap cost</t>
  </si>
  <si>
    <t>NCR 1: cost (est.)</t>
  </si>
  <si>
    <t>NCR 1: status</t>
  </si>
  <si>
    <t>Complete</t>
  </si>
  <si>
    <t>exact</t>
  </si>
  <si>
    <t>NCR 2 (Rework): scrap cost</t>
  </si>
  <si>
    <t>NCR 2: cost (est.)</t>
  </si>
  <si>
    <t>NCR 2: status</t>
  </si>
  <si>
    <t>NCR 3 (Return to supplier): scrap cost</t>
  </si>
  <si>
    <t>NCR 3: cost (est.)</t>
  </si>
  <si>
    <t>NCR 3: status</t>
  </si>
  <si>
    <t>Overdue</t>
  </si>
  <si>
    <t>NCR 4 (no disposition): scrap cost</t>
  </si>
  <si>
    <t>NCR 4: cost (est.)</t>
  </si>
  <si>
    <t>NCR 4: status</t>
  </si>
  <si>
    <t>NCR 5 (Use as is): scrap cost</t>
  </si>
  <si>
    <t>NCR 5: cost (est.)</t>
  </si>
  <si>
    <t>NCR 5: status</t>
  </si>
  <si>
    <t>NCR 2: days open (closed)</t>
  </si>
  <si>
    <t>NCR 4: days open (open, to the status date)</t>
  </si>
  <si>
    <t>NCR 6: Check reports closed without disposition</t>
  </si>
  <si>
    <t>Closed without disposition</t>
  </si>
  <si>
    <t>NCR 7: Check reports recovered above cost</t>
  </si>
  <si>
    <t>Recovered above cost</t>
  </si>
  <si>
    <t>All rows: NCRs raised</t>
  </si>
  <si>
    <t>All rows: NCRs closed</t>
  </si>
  <si>
    <t>All rows: clearance ratio</t>
  </si>
  <si>
    <t>All rows: cost of nonconformance (est.)</t>
  </si>
  <si>
    <t>All rows: open NCRs</t>
  </si>
  <si>
    <t>All rows: overdue</t>
  </si>
  <si>
    <t>All rows: average days to close</t>
  </si>
  <si>
    <t>Fixed test inputs</t>
  </si>
  <si>
    <t>White cells are fixed test inputs; blue cells are the workbook's formulas evaluated on them.</t>
  </si>
  <si>
    <t>Parameters</t>
  </si>
  <si>
    <t>Close NCRs within (days)</t>
  </si>
  <si>
    <t>'Due soon' warning (days)</t>
  </si>
  <si>
    <t>Handling cost per NCR</t>
  </si>
  <si>
    <t>Filter: source (blank = all)</t>
  </si>
  <si>
    <t/>
  </si>
  <si>
    <t>Filter: origin (blank = all)</t>
  </si>
  <si>
    <t>Filter: from (0 = no limit)</t>
  </si>
  <si>
    <t>Filter: to (the status date)</t>
  </si>
  <si>
    <t>Test table: Ncrs</t>
  </si>
  <si>
    <t>T-1</t>
  </si>
  <si>
    <t>P-1</t>
  </si>
  <si>
    <t>J1</t>
  </si>
  <si>
    <t>Test</t>
  </si>
  <si>
    <t>T-2</t>
  </si>
  <si>
    <t>T-3</t>
  </si>
  <si>
    <t>T-4</t>
  </si>
  <si>
    <t>T-5</t>
  </si>
  <si>
    <t>T-6</t>
  </si>
  <si>
    <t>T-7</t>
  </si>
</sst>
</file>

<file path=xl/styles.xml><?xml version="1.0" encoding="utf-8"?>
<styleSheet xmlns="http://schemas.openxmlformats.org/spreadsheetml/2006/main">
  <numFmts count="10">
    <numFmt numFmtId="164" formatCode="d mmm yyyy"/>
    <numFmt numFmtId="165" formatCode="#,##0"/>
    <numFmt numFmtId="166" formatCode="#,##0.00"/>
    <numFmt numFmtId="167" formatCode="0%"/>
    <numFmt numFmtId="168" formatCode="&quot;Target &quot;0%"/>
    <numFmt numFmtId="169" formatCode="&quot;Target &quot;#,##0"/>
    <numFmt numFmtId="170" formatCode="#,##0.0"/>
    <numFmt numFmtId="171" formatCode="0.0%"/>
    <numFmt numFmtId="172" formatCode="mmm yyyy"/>
    <numFmt numFmtId="173"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64"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8" fontId="23"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70"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5" fontId="9" fillId="0" borderId="9" xfId="0" applyNumberFormat="1" applyFont="1" applyBorder="1" applyAlignment="1">
      <alignment horizontal="center" vertical="center"/>
    </xf>
    <xf numFmtId="171" fontId="10" fillId="4" borderId="3" xfId="0" applyNumberFormat="1" applyFont="1" applyFill="1" applyBorder="1" applyAlignment="1">
      <alignment vertical="center"/>
    </xf>
    <xf numFmtId="165" fontId="10" fillId="0" borderId="0" xfId="0" applyNumberFormat="1" applyFont="1" applyAlignment="1">
      <alignment vertical="center"/>
    </xf>
    <xf numFmtId="0" fontId="9" fillId="4" borderId="10" xfId="0" applyFont="1" applyFill="1" applyBorder="1" applyAlignment="1">
      <alignment vertical="center"/>
    </xf>
    <xf numFmtId="165" fontId="9" fillId="4" borderId="10" xfId="0" applyNumberFormat="1" applyFont="1" applyFill="1" applyBorder="1" applyAlignment="1">
      <alignment vertical="center"/>
    </xf>
    <xf numFmtId="172" fontId="9" fillId="0" borderId="9" xfId="0" applyNumberFormat="1" applyFont="1" applyBorder="1" applyAlignment="1">
      <alignment vertical="center"/>
    </xf>
    <xf numFmtId="167"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5" fontId="10" fillId="0" borderId="9" xfId="0" applyNumberFormat="1" applyFont="1" applyBorder="1" applyAlignment="1">
      <alignment vertical="center"/>
    </xf>
    <xf numFmtId="171" fontId="10" fillId="0" borderId="9" xfId="0" applyNumberFormat="1" applyFont="1" applyBorder="1" applyAlignment="1">
      <alignment vertical="center"/>
    </xf>
    <xf numFmtId="164"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of nonconformance by defect type</a:t>
            </a:r>
          </a:p>
        </c:rich>
      </c:tx>
      <c:layout/>
    </c:title>
    <c:plotArea>
      <c:layout/>
      <c:barChart>
        <c:barDir val="col"/>
        <c:grouping val="clustered"/>
        <c:ser>
          <c:idx val="0"/>
          <c:order val="0"/>
          <c:tx>
            <c:v>Cost (est.)</c:v>
          </c:tx>
          <c:spPr>
            <a:solidFill>
              <a:srgbClr val="3B64D8"/>
            </a:solidFill>
            <a:ln w="9525">
              <a:solidFill>
                <a:srgbClr val="FFFFFF"/>
              </a:solidFill>
            </a:ln>
          </c:spPr>
          <c:cat>
            <c:strRef>
              <c:f>Dashboard!$H$51:$H$58</c:f>
              <c:strCache>
                <c:ptCount val="8"/>
                <c:pt idx="0">
                  <c:v>Dimensional</c:v>
                </c:pt>
                <c:pt idx="1">
                  <c:v>Handling damage</c:v>
                </c:pt>
                <c:pt idx="2">
                  <c:v>Surface finish</c:v>
                </c:pt>
                <c:pt idx="3">
                  <c:v>Burr or edge</c:v>
                </c:pt>
                <c:pt idx="4">
                  <c:v>Coating</c:v>
                </c:pt>
                <c:pt idx="5">
                  <c:v>Missing operation</c:v>
                </c:pt>
                <c:pt idx="6">
                  <c:v>Documentation</c:v>
                </c:pt>
                <c:pt idx="7">
                  <c:v>Material or cert</c:v>
                </c:pt>
              </c:strCache>
            </c:strRef>
          </c:cat>
          <c:val>
            <c:numRef>
              <c:f>Dashboard!$J$51:$J$58</c:f>
              <c:numCache>
                <c:formatCode>General</c:formatCode>
                <c:ptCount val="8"/>
                <c:pt idx="0">
                  <c:v>21618.5</c:v>
                </c:pt>
                <c:pt idx="1">
                  <c:v>8862</c:v>
                </c:pt>
                <c:pt idx="2">
                  <c:v>2813.5</c:v>
                </c:pt>
                <c:pt idx="3">
                  <c:v>2790</c:v>
                </c:pt>
                <c:pt idx="4">
                  <c:v>1715</c:v>
                </c:pt>
                <c:pt idx="5">
                  <c:v>920</c:v>
                </c:pt>
                <c:pt idx="6">
                  <c:v>595</c:v>
                </c:pt>
                <c:pt idx="7">
                  <c:v>340</c:v>
                </c:pt>
              </c:numCache>
            </c:numRef>
          </c:val>
        </c:ser>
        <c:gapWidth val="40"/>
        <c:axId val="50010001"/>
        <c:axId val="5001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Dashboard!$H$51:$H$58</c:f>
              <c:strCache>
                <c:ptCount val="8"/>
                <c:pt idx="0">
                  <c:v>Dimensional</c:v>
                </c:pt>
                <c:pt idx="1">
                  <c:v>Handling damage</c:v>
                </c:pt>
                <c:pt idx="2">
                  <c:v>Surface finish</c:v>
                </c:pt>
                <c:pt idx="3">
                  <c:v>Burr or edge</c:v>
                </c:pt>
                <c:pt idx="4">
                  <c:v>Coating</c:v>
                </c:pt>
                <c:pt idx="5">
                  <c:v>Missing operation</c:v>
                </c:pt>
                <c:pt idx="6">
                  <c:v>Documentation</c:v>
                </c:pt>
                <c:pt idx="7">
                  <c:v>Material or cert</c:v>
                </c:pt>
              </c:strCache>
            </c:strRef>
          </c:cat>
          <c:val>
            <c:numRef>
              <c:f>Dashboard!$L$51:$L$58</c:f>
              <c:numCache>
                <c:formatCode>General</c:formatCode>
                <c:ptCount val="8"/>
                <c:pt idx="0">
                  <c:v>0.54517829222777</c:v>
                </c:pt>
                <c:pt idx="1">
                  <c:v>0.768661421294195</c:v>
                </c:pt>
                <c:pt idx="2">
                  <c:v>0.839612649417461</c:v>
                </c:pt>
                <c:pt idx="3">
                  <c:v>0.909971251323952</c:v>
                </c:pt>
                <c:pt idx="4">
                  <c:v>0.953220356080093</c:v>
                </c:pt>
                <c:pt idx="5">
                  <c:v>0.976421042013416</c:v>
                </c:pt>
                <c:pt idx="6">
                  <c:v>0.991425833459424</c:v>
                </c:pt>
                <c:pt idx="7">
                  <c:v>1</c:v>
                </c:pt>
              </c:numCache>
            </c:numRef>
          </c:val>
        </c:ser>
        <c:marker val="1"/>
        <c:axId val="60010001"/>
        <c:axId val="6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valAx>
        <c:axId val="6001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10001"/>
        <c:crosses val="max"/>
        <c:crossBetween val="between"/>
        <c:majorUnit val="0.2"/>
      </c:valAx>
      <c:catAx>
        <c:axId val="60010001"/>
        <c:scaling>
          <c:orientation val="minMax"/>
        </c:scaling>
        <c:delete val="1"/>
        <c:axPos val="b"/>
        <c:tickLblPos val="none"/>
        <c:crossAx val="6001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NCRs raised, closed and open by month</a:t>
            </a:r>
          </a:p>
        </c:rich>
      </c:tx>
      <c:layout/>
    </c:title>
    <c:plotArea>
      <c:layout/>
      <c:barChart>
        <c:barDir val="col"/>
        <c:grouping val="clustered"/>
        <c:ser>
          <c:idx val="0"/>
          <c:order val="0"/>
          <c:tx>
            <c:v>Raised</c:v>
          </c:tx>
          <c:spPr>
            <a:solidFill>
              <a:srgbClr val="3B64D8"/>
            </a:solidFill>
            <a:ln w="9525">
              <a:solidFill>
                <a:srgbClr val="FFFFFF"/>
              </a:solidFill>
            </a:ln>
          </c:spPr>
          <c:cat>
            <c:numRef>
              <c:f>Dashboard!$B$64:$B$69</c:f>
              <c:numCache>
                <c:formatCode>General</c:formatCode>
                <c:ptCount val="6"/>
                <c:pt idx="0">
                  <c:v>46143</c:v>
                </c:pt>
                <c:pt idx="1">
                  <c:v>46174</c:v>
                </c:pt>
                <c:pt idx="2">
                  <c:v>46204</c:v>
                </c:pt>
                <c:pt idx="3">
                  <c:v>46235</c:v>
                </c:pt>
                <c:pt idx="4">
                  <c:v>46266</c:v>
                </c:pt>
                <c:pt idx="5">
                  <c:v>46296</c:v>
                </c:pt>
              </c:numCache>
            </c:numRef>
          </c:cat>
          <c:val>
            <c:numRef>
              <c:f>Dashboard!$C$64:$C$69</c:f>
              <c:numCache>
                <c:formatCode>General</c:formatCode>
                <c:ptCount val="6"/>
                <c:pt idx="0">
                  <c:v>19</c:v>
                </c:pt>
                <c:pt idx="1">
                  <c:v>11</c:v>
                </c:pt>
                <c:pt idx="2">
                  <c:v>19</c:v>
                </c:pt>
                <c:pt idx="3">
                  <c:v>13</c:v>
                </c:pt>
                <c:pt idx="4">
                  <c:v>16</c:v>
                </c:pt>
                <c:pt idx="5">
                  <c:v>6</c:v>
                </c:pt>
              </c:numCache>
            </c:numRef>
          </c:val>
        </c:ser>
        <c:ser>
          <c:idx val="1"/>
          <c:order val="1"/>
          <c:tx>
            <c:v>Closed</c:v>
          </c:tx>
          <c:spPr>
            <a:solidFill>
              <a:srgbClr val="E8702A"/>
            </a:solidFill>
            <a:ln w="9525">
              <a:solidFill>
                <a:srgbClr val="FFFFFF"/>
              </a:solidFill>
            </a:ln>
          </c:spPr>
          <c:cat>
            <c:numRef>
              <c:f>Dashboard!$B$64:$B$69</c:f>
              <c:numCache>
                <c:formatCode>General</c:formatCode>
                <c:ptCount val="6"/>
                <c:pt idx="0">
                  <c:v>46143</c:v>
                </c:pt>
                <c:pt idx="1">
                  <c:v>46174</c:v>
                </c:pt>
                <c:pt idx="2">
                  <c:v>46204</c:v>
                </c:pt>
                <c:pt idx="3">
                  <c:v>46235</c:v>
                </c:pt>
                <c:pt idx="4">
                  <c:v>46266</c:v>
                </c:pt>
                <c:pt idx="5">
                  <c:v>46296</c:v>
                </c:pt>
              </c:numCache>
            </c:numRef>
          </c:cat>
          <c:val>
            <c:numRef>
              <c:f>Dashboard!$D$64:$D$69</c:f>
              <c:numCache>
                <c:formatCode>General</c:formatCode>
                <c:ptCount val="6"/>
                <c:pt idx="0">
                  <c:v>14</c:v>
                </c:pt>
                <c:pt idx="1">
                  <c:v>22</c:v>
                </c:pt>
                <c:pt idx="2">
                  <c:v>10</c:v>
                </c:pt>
                <c:pt idx="3">
                  <c:v>13</c:v>
                </c:pt>
                <c:pt idx="4">
                  <c:v>11</c:v>
                </c:pt>
                <c:pt idx="5">
                  <c:v>5</c:v>
                </c:pt>
              </c:numCache>
            </c:numRef>
          </c:val>
        </c:ser>
        <c:gapWidth val="60"/>
        <c:overlap val="-10"/>
        <c:axId val="50020001"/>
        <c:axId val="50020002"/>
      </c:barChart>
      <c:lineChart>
        <c:grouping val="standard"/>
        <c:ser>
          <c:idx val="2"/>
          <c:order val="2"/>
          <c:tx>
            <c:v>Open at month end</c:v>
          </c:tx>
          <c:spPr>
            <a:ln w="28575">
              <a:solidFill>
                <a:srgbClr val="1BA37A"/>
              </a:solidFill>
            </a:ln>
          </c:spPr>
          <c:marker>
            <c:symbol val="circle"/>
            <c:size val="5"/>
            <c:spPr>
              <a:solidFill>
                <a:srgbClr val="1BA37A"/>
              </a:solidFill>
              <a:ln>
                <a:solidFill>
                  <a:srgbClr val="1BA37A"/>
                </a:solidFill>
              </a:ln>
            </c:spPr>
          </c:marker>
          <c:cat>
            <c:numRef>
              <c:f>Dashboard!$B$64:$B$69</c:f>
              <c:numCache>
                <c:formatCode>General</c:formatCode>
                <c:ptCount val="6"/>
                <c:pt idx="0">
                  <c:v>46143</c:v>
                </c:pt>
                <c:pt idx="1">
                  <c:v>46174</c:v>
                </c:pt>
                <c:pt idx="2">
                  <c:v>46204</c:v>
                </c:pt>
                <c:pt idx="3">
                  <c:v>46235</c:v>
                </c:pt>
                <c:pt idx="4">
                  <c:v>46266</c:v>
                </c:pt>
                <c:pt idx="5">
                  <c:v>46296</c:v>
                </c:pt>
              </c:numCache>
            </c:numRef>
          </c:cat>
          <c:val>
            <c:numRef>
              <c:f>Dashboard!$G$64:$G$69</c:f>
              <c:numCache>
                <c:formatCode>General</c:formatCode>
                <c:ptCount val="6"/>
                <c:pt idx="0">
                  <c:v>11</c:v>
                </c:pt>
                <c:pt idx="1">
                  <c:v>0</c:v>
                </c:pt>
                <c:pt idx="2">
                  <c:v>9</c:v>
                </c:pt>
                <c:pt idx="3">
                  <c:v>9</c:v>
                </c:pt>
                <c:pt idx="4">
                  <c:v>14</c:v>
                </c:pt>
                <c:pt idx="5">
                  <c:v>15</c:v>
                </c:pt>
              </c:numCache>
            </c:numRef>
          </c:val>
        </c:ser>
        <c:marker val="1"/>
        <c:axId val="50020001"/>
        <c:axId val="50020002"/>
      </c:lineChart>
      <c:catAx>
        <c:axId val="50020001"/>
        <c:scaling>
          <c:orientation val="minMax"/>
        </c:scaling>
        <c:axPos val="b"/>
        <c:numFmt formatCode="mmm 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by origin</a:t>
            </a:r>
          </a:p>
        </c:rich>
      </c:tx>
      <c:layout/>
    </c:title>
    <c:plotArea>
      <c:layout/>
      <c:barChart>
        <c:barDir val="bar"/>
        <c:grouping val="clustered"/>
        <c:ser>
          <c:idx val="0"/>
          <c:order val="0"/>
          <c:tx>
            <c:v>Cost (est.)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Dashboard!$B$39:$B$44</c:f>
              <c:strCache>
                <c:ptCount val="6"/>
                <c:pt idx="0">
                  <c:v>Mill 1</c:v>
                </c:pt>
                <c:pt idx="1">
                  <c:v>Mill 2</c:v>
                </c:pt>
                <c:pt idx="2">
                  <c:v>Lathe 1</c:v>
                </c:pt>
                <c:pt idx="3">
                  <c:v>Deburr and finish</c:v>
                </c:pt>
                <c:pt idx="4">
                  <c:v>Apex Plating</c:v>
                </c:pt>
                <c:pt idx="5">
                  <c:v>Metro Metals</c:v>
                </c:pt>
              </c:strCache>
            </c:strRef>
          </c:cat>
          <c:val>
            <c:numRef>
              <c:f>Dashboard!$F$39:$F$44</c:f>
              <c:numCache>
                <c:formatCode>General</c:formatCode>
                <c:ptCount val="6"/>
                <c:pt idx="0">
                  <c:v>9429.5</c:v>
                </c:pt>
                <c:pt idx="1">
                  <c:v>11277</c:v>
                </c:pt>
                <c:pt idx="2">
                  <c:v>6452.5</c:v>
                </c:pt>
                <c:pt idx="3">
                  <c:v>5055</c:v>
                </c:pt>
                <c:pt idx="4">
                  <c:v>6810</c:v>
                </c:pt>
                <c:pt idx="5">
                  <c:v>630</c:v>
                </c:pt>
              </c:numCache>
            </c:numRef>
          </c:val>
        </c:ser>
        <c:gapWidth val="60"/>
        <c:overlap val="-1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27</xdr:row>
      <xdr:rowOff>152400</xdr:rowOff>
    </xdr:to>
    <xdr:graphicFrame macro="">
      <xdr:nvGraphicFramePr>
        <xdr:cNvPr id="2" name="Chart 1" descr="Pareto chart of the estimated cost of nonconformance by defect typ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27</xdr:row>
      <xdr:rowOff>152400</xdr:rowOff>
    </xdr:to>
    <xdr:graphicFrame macro="">
      <xdr:nvGraphicFramePr>
        <xdr:cNvPr id="3" name="Chart 2" descr="Column chart of NCRs raised and closed each month for six months, with the number open at each month end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38100</xdr:colOff>
      <xdr:row>35</xdr:row>
      <xdr:rowOff>38100</xdr:rowOff>
    </xdr:from>
    <xdr:to>
      <xdr:col>11</xdr:col>
      <xdr:colOff>676275</xdr:colOff>
      <xdr:row>45</xdr:row>
      <xdr:rowOff>171450</xdr:rowOff>
    </xdr:to>
    <xdr:graphicFrame macro="">
      <xdr:nvGraphicFramePr>
        <xdr:cNvPr id="4" name="Chart 3" descr="Bar chart of the estimated cost of nonconformance for each work centre and supplier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Sources" displayName="tblSources" ref="B20:C25" totalsRowShown="0">
  <autoFilter ref="B20:C25"/>
  <tableColumns count="2">
    <tableColumn id="1" name="Source"/>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Origins" displayName="tblOrigins" ref="B28:D34" totalsRowShown="0">
  <autoFilter ref="B28:D34"/>
  <tableColumns count="3">
    <tableColumn id="1" name="Origin"/>
    <tableColumn id="2" name="Type"/>
    <tableColumn id="3" name="Description"/>
  </tableColumns>
  <tableStyleInfo name="TableStyleLight1" showFirstColumn="0" showLastColumn="0" showRowStripes="0" showColumnStripes="0"/>
</table>
</file>

<file path=xl/tables/table3.xml><?xml version="1.0" encoding="utf-8"?>
<table xmlns="http://schemas.openxmlformats.org/spreadsheetml/2006/main" id="3" name="tblDefects" displayName="tblDefects" ref="B37:C45" totalsRowShown="0">
  <autoFilter ref="B37:C45"/>
  <tableColumns count="2">
    <tableColumn id="1" name="Defect type"/>
    <tableColumn id="2" name="Examples"/>
  </tableColumns>
  <tableStyleInfo name="TableStyleLight1" showFirstColumn="0" showLastColumn="0" showRowStripes="0" showColumnStripes="0"/>
</table>
</file>

<file path=xl/tables/table4.xml><?xml version="1.0" encoding="utf-8"?>
<table xmlns="http://schemas.openxmlformats.org/spreadsheetml/2006/main" id="4" name="tblNcrs" displayName="tblNcrs" ref="B6:X102" totalsRowShown="0">
  <autoFilter ref="B6:X102"/>
  <tableColumns count="23">
    <tableColumn id="1" name="NCR no."/>
    <tableColumn id="2" name="Date"/>
    <tableColumn id="3" name="Source"/>
    <tableColumn id="4" name="Part number"/>
    <tableColumn id="5" name="Lot or job"/>
    <tableColumn id="6" name="Origin"/>
    <tableColumn id="7" name="Defect type"/>
    <tableColumn id="8" name="Description"/>
    <tableColumn id="9" name="Qty nonconforming"/>
    <tableColumn id="10" name="Unit cost"/>
    <tableColumn id="11" name="Disposition"/>
    <tableColumn id="12" name="Rework or repair cost"/>
    <tableColumn id="13" name="Recovered"/>
    <tableColumn id="14" name="CAPA needed"/>
    <tableColumn id="15" name="CAPA no."/>
    <tableColumn id="16" name="Closed"/>
    <tableColumn id="17" name="Origin type">
      <calculatedColumnFormula>IF(tblNcrs[[#This Row],[Date]]="","",IFERROR(INDEX(tblOrigins[Type],MATCH(tblNcrs[[#This Row],[Origin]],tblOrigins[Origin],0)),""))</calculatedColumnFormula>
    </tableColumn>
    <tableColumn id="18" name="Scrap cost">
      <calculatedColumnFormula>IF(tblNcrs[[#This Row],[Date]]="","",IF(tblNcrs[[#This Row],[Disposition]]="Scrap",tblNcrs[[#This Row],[Qty nonconforming]]*tblNcrs[[#This Row],[Unit cost]],0))</calculatedColumnFormula>
    </tableColumn>
    <tableColumn id="19" name="Cost (est.)">
      <calculatedColumnFormula>IF(tblNcrs[[#This Row],[Date]]="","",tblNcrs[[#This Row],[Scrap cost]]+N(tblNcrs[[#This Row],[Rework or repair cost]])+AdminCost-N(tblNcrs[[#This Row],[Recovered]]))</calculatedColumnFormula>
    </tableColumn>
    <tableColumn id="20" name="Days open">
      <calculatedColumnFormula>IF(tblNcrs[[#This Row],[Date]]="","",IF(N(tblNcrs[[#This Row],[Closed]])&gt;0,tblNcrs[[#This Row],[Closed]],AsOf)-tblNcrs[[#This Row],[Date]])</calculatedColumnFormula>
    </tableColumn>
    <tableColumn id="21" name="Status">
      <calculatedColumnFormula>IF(tblNcrs[[#This Row],[Date]]="","",IF(N(tblNcrs[[#This Row],[Closed]])&gt;0,"Complete",IF(tblNcrs[[#This Row],[Date]]+CloseDays&lt;AsOf,"Overdue",IF(tblNcrs[[#This Row],[Date]]+CloseDays-AsOf&lt;=DueSoonDays,"Due soon","In progress"))))</calculatedColumnFormula>
    </tableColumn>
    <tableColumn id="22" name="In view">
      <calculatedColumnFormula>IF(tblNcrs[[#This Row],[Date]]="","",IF(AND(OR(DashSource="",tblNcrs[[#This Row],[Source]]=DashSource),OR(DashOrigin="",tblNcrs[[#This Row],[Origin]]=DashOrigin)),1,0))</calculatedColumnFormula>
    </tableColumn>
    <tableColumn id="23" name="Check">
      <calculatedColumnFormula>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Ncrs" displayName="tblVerifyNcrs" ref="B53:X60" totalsRowShown="0">
  <tableColumns count="23">
    <tableColumn id="1" name="NCR no."/>
    <tableColumn id="2" name="Date"/>
    <tableColumn id="3" name="Source"/>
    <tableColumn id="4" name="Part number"/>
    <tableColumn id="5" name="Lot or job"/>
    <tableColumn id="6" name="Origin"/>
    <tableColumn id="7" name="Defect type"/>
    <tableColumn id="8" name="Description"/>
    <tableColumn id="9" name="Qty nonconforming"/>
    <tableColumn id="10" name="Unit cost"/>
    <tableColumn id="11" name="Disposition"/>
    <tableColumn id="12" name="Rework or repair cost"/>
    <tableColumn id="13" name="Recovered"/>
    <tableColumn id="14" name="CAPA needed"/>
    <tableColumn id="15" name="CAPA no."/>
    <tableColumn id="16" name="Closed"/>
    <tableColumn id="17" name="Origin type"/>
    <tableColumn id="18" name="Scrap cost">
      <calculatedColumnFormula>IF(tblVerifyNcrs[[#This Row],[Date]]="","",IF(tblVerifyNcrs[[#This Row],[Disposition]]="Scrap",tblVerifyNcrs[[#This Row],[Qty nonconforming]]*tblVerifyNcrs[[#This Row],[Unit cost]],0))</calculatedColumnFormula>
    </tableColumn>
    <tableColumn id="19" name="Cost (est.)">
      <calculatedColumnFormula>IF(tblVerifyNcrs[[#This Row],[Date]]="","",tblVerifyNcrs[[#This Row],[Scrap cost]]+N(tblVerifyNcrs[[#This Row],[Rework or repair cost]])+$E$45-N(tblVerifyNcrs[[#This Row],[Recovered]]))</calculatedColumnFormula>
    </tableColumn>
    <tableColumn id="20" name="Days open">
      <calculatedColumnFormula>IF(tblVerifyNcrs[[#This Row],[Date]]="","",IF(N(tblVerifyNcrs[[#This Row],[Closed]])&gt;0,tblVerifyNcrs[[#This Row],[Closed]],$E$42)-tblVerifyNcrs[[#This Row],[Date]])</calculatedColumnFormula>
    </tableColumn>
    <tableColumn id="21" name="Status">
      <calculatedColumnFormula>IF(tblVerifyNcrs[[#This Row],[Date]]="","",IF(N(tblVerifyNcrs[[#This Row],[Closed]])&gt;0,"Complete",IF(tblVerifyNcrs[[#This Row],[Date]]+$E$43&lt;$E$42,"Overdue",IF(tblVerifyNcrs[[#This Row],[Date]]+$E$43-$E$42&lt;=$E$44,"Due soon","In progress"))))</calculatedColumnFormula>
    </tableColumn>
    <tableColumn id="22" name="In view">
      <calculatedColumnFormula>IF(tblVerifyNcrs[[#This Row],[Date]]="","",IF(AND(OR($E$46="",tblVerifyNcrs[[#This Row],[Source]]=$E$46),OR($E$47="",tblVerifyNcrs[[#This Row],[Origin]]=$E$47)),1,0))</calculatedColumnFormula>
    </tableColumn>
    <tableColumn id="23" name="Check">
      <calculatedColumnFormula>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hyperlink" Target="https://www.mfgcalcs.com/calculators/qms-capa-quality-system-management/nonconformance-closure-rate?utm_source=mfgcalcs-template&amp;utm_medium=xlsx&amp;utm_campaign=nonconformance-ncr-log" TargetMode="External"/><Relationship Id="rId3" Type="http://schemas.openxmlformats.org/officeDocument/2006/relationships/hyperlink" Target="https://www.mfgcalcs.com/templates/nonconformance-ncr-log?utm_source=mfgcalcs-template&amp;utm_medium=xlsx&amp;utm_campaign=nonconformance-ncr-log" TargetMode="External"/><Relationship Id="rId4" Type="http://schemas.openxmlformats.org/officeDocument/2006/relationships/hyperlink" Target="https://www.mfgcalcs.com/templates?utm_source=mfgcalcs-template&amp;utm_medium=xlsx&amp;utm_campaign=nonconformance-ncr-lo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hyperlink" Target="https://www.mfgcalcs.com/calculators/qms-capa-quality-system-management/nonconformance-closure-rate?utm_source=mfgcalcs-template&amp;utm_medium=xlsx&amp;utm_campaign=nonconformance-ncr-lo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nonconformance-ncr-log" TargetMode="External"/><Relationship Id="rId2"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26 of 26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NCR Log'!A1" tooltip="Go to NCR Log" display="NCR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Nonconformance (NCR) Log&amp;R&amp;8&amp;A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7"/>
  <sheetViews>
    <sheetView showGridLines="0" workbookViewId="0"/>
  </sheetViews>
  <sheetFormatPr defaultRowHeight="15"/>
  <cols>
    <col min="1" max="1" width="2.7109375" customWidth="1"/>
    <col min="2" max="2" width="30.7109375" customWidth="1"/>
    <col min="3" max="4" width="18.7109375" customWidth="1"/>
    <col min="5" max="5" width="52.7109375" customWidth="1"/>
  </cols>
  <sheetData>
    <row r="1" spans="1:5" ht="30" customHeight="1">
      <c r="A1" s="1" t="s">
        <v>0</v>
      </c>
      <c r="B1" s="1"/>
      <c r="C1" s="1"/>
      <c r="D1" s="1"/>
      <c r="E1" s="1"/>
    </row>
    <row r="2" spans="1:5" ht="32.4" customHeight="1">
      <c r="B2" s="2" t="s">
        <v>20</v>
      </c>
      <c r="C2" s="2"/>
      <c r="D2" s="2"/>
      <c r="E2" s="3" t="s">
        <v>2</v>
      </c>
    </row>
    <row r="3" spans="1:5" ht="6" customHeight="1"/>
    <row r="4" spans="1:5" ht="21" customHeight="1">
      <c r="B4" s="8" t="s">
        <v>68</v>
      </c>
      <c r="C4" s="8"/>
      <c r="D4" s="8"/>
      <c r="E4" s="8"/>
    </row>
    <row r="5" spans="1:5" ht="5" customHeight="1"/>
    <row r="6" spans="1:5">
      <c r="B6" s="27" t="s">
        <v>69</v>
      </c>
      <c r="C6" s="28" t="s">
        <v>70</v>
      </c>
      <c r="D6" s="28"/>
    </row>
    <row r="7" spans="1:5">
      <c r="B7" s="27" t="s">
        <v>71</v>
      </c>
      <c r="C7" s="28" t="s">
        <v>72</v>
      </c>
      <c r="D7" s="28"/>
    </row>
    <row r="8" spans="1:5">
      <c r="B8" s="27" t="s">
        <v>73</v>
      </c>
      <c r="C8" s="29">
        <v>46304</v>
      </c>
      <c r="D8" s="7"/>
    </row>
    <row r="9" spans="1:5">
      <c r="B9" s="27" t="s">
        <v>74</v>
      </c>
      <c r="C9" s="30">
        <v>30</v>
      </c>
      <c r="D9" s="7" t="s">
        <v>75</v>
      </c>
    </row>
    <row r="10" spans="1:5">
      <c r="B10" s="27" t="s">
        <v>76</v>
      </c>
      <c r="C10" s="30">
        <v>5</v>
      </c>
      <c r="D10" s="7" t="s">
        <v>75</v>
      </c>
    </row>
    <row r="11" spans="1:5">
      <c r="B11" s="27" t="s">
        <v>77</v>
      </c>
      <c r="C11" s="31">
        <v>85</v>
      </c>
      <c r="D11" s="7" t="str">
        <f>Currency&amp;" per NCR"</f>
        <v>USD per NCR</v>
      </c>
    </row>
    <row r="12" spans="1:5">
      <c r="B12" s="27" t="s">
        <v>78</v>
      </c>
      <c r="C12" s="32">
        <v>0.95</v>
      </c>
      <c r="D12" s="7"/>
    </row>
    <row r="14" spans="1:5" ht="35.4" customHeight="1">
      <c r="B14" s="25" t="s">
        <v>79</v>
      </c>
      <c r="C14" s="25"/>
      <c r="D14" s="25"/>
      <c r="E14" s="25"/>
    </row>
    <row r="16" spans="1:5" ht="21" customHeight="1">
      <c r="B16" s="8" t="s">
        <v>80</v>
      </c>
      <c r="C16" s="8"/>
      <c r="D16" s="8"/>
      <c r="E16" s="8"/>
    </row>
    <row r="17" spans="2:5" ht="5" customHeight="1"/>
    <row r="18" spans="2:5" ht="26.76" customHeight="1">
      <c r="B18" s="21" t="s">
        <v>81</v>
      </c>
      <c r="C18" s="21"/>
      <c r="D18" s="21"/>
      <c r="E18" s="21"/>
    </row>
    <row r="19" spans="2:5">
      <c r="B19" s="33" t="s">
        <v>82</v>
      </c>
      <c r="C19" s="33"/>
    </row>
    <row r="20" spans="2:5" ht="20" customHeight="1">
      <c r="B20" s="34" t="s">
        <v>62</v>
      </c>
      <c r="C20" s="34" t="s">
        <v>63</v>
      </c>
    </row>
    <row r="21" spans="2:5">
      <c r="B21" s="28" t="s">
        <v>83</v>
      </c>
      <c r="C21" s="28" t="s">
        <v>84</v>
      </c>
    </row>
    <row r="22" spans="2:5">
      <c r="B22" s="28" t="s">
        <v>85</v>
      </c>
      <c r="C22" s="28" t="s">
        <v>86</v>
      </c>
    </row>
    <row r="23" spans="2:5">
      <c r="B23" s="28" t="s">
        <v>87</v>
      </c>
      <c r="C23" s="28" t="s">
        <v>88</v>
      </c>
    </row>
    <row r="24" spans="2:5">
      <c r="B24" s="28" t="s">
        <v>89</v>
      </c>
      <c r="C24" s="28" t="s">
        <v>90</v>
      </c>
    </row>
    <row r="25" spans="2:5">
      <c r="B25" s="28" t="s">
        <v>91</v>
      </c>
      <c r="C25" s="28" t="s">
        <v>92</v>
      </c>
    </row>
    <row r="27" spans="2:5">
      <c r="B27" s="33" t="s">
        <v>93</v>
      </c>
      <c r="C27" s="33"/>
      <c r="D27" s="33"/>
    </row>
    <row r="28" spans="2:5" ht="20" customHeight="1">
      <c r="B28" s="34" t="s">
        <v>64</v>
      </c>
      <c r="C28" s="34" t="s">
        <v>65</v>
      </c>
      <c r="D28" s="34" t="s">
        <v>63</v>
      </c>
    </row>
    <row r="29" spans="2:5">
      <c r="B29" s="28" t="s">
        <v>94</v>
      </c>
      <c r="C29" s="28" t="s">
        <v>95</v>
      </c>
      <c r="D29" s="28" t="s">
        <v>96</v>
      </c>
    </row>
    <row r="30" spans="2:5">
      <c r="B30" s="28" t="s">
        <v>97</v>
      </c>
      <c r="C30" s="28" t="s">
        <v>95</v>
      </c>
      <c r="D30" s="28" t="s">
        <v>98</v>
      </c>
    </row>
    <row r="31" spans="2:5">
      <c r="B31" s="28" t="s">
        <v>99</v>
      </c>
      <c r="C31" s="28" t="s">
        <v>95</v>
      </c>
      <c r="D31" s="28" t="s">
        <v>100</v>
      </c>
    </row>
    <row r="32" spans="2:5">
      <c r="B32" s="28" t="s">
        <v>101</v>
      </c>
      <c r="C32" s="28" t="s">
        <v>95</v>
      </c>
      <c r="D32" s="28" t="s">
        <v>102</v>
      </c>
    </row>
    <row r="33" spans="2:5">
      <c r="B33" s="28" t="s">
        <v>103</v>
      </c>
      <c r="C33" s="28" t="s">
        <v>104</v>
      </c>
      <c r="D33" s="28" t="s">
        <v>105</v>
      </c>
    </row>
    <row r="34" spans="2:5">
      <c r="B34" s="28" t="s">
        <v>106</v>
      </c>
      <c r="C34" s="28" t="s">
        <v>104</v>
      </c>
      <c r="D34" s="28" t="s">
        <v>107</v>
      </c>
    </row>
    <row r="36" spans="2:5">
      <c r="B36" s="33" t="s">
        <v>108</v>
      </c>
      <c r="C36" s="33"/>
    </row>
    <row r="37" spans="2:5" ht="20" customHeight="1">
      <c r="B37" s="34" t="s">
        <v>66</v>
      </c>
      <c r="C37" s="34" t="s">
        <v>67</v>
      </c>
    </row>
    <row r="38" spans="2:5">
      <c r="B38" s="28" t="s">
        <v>109</v>
      </c>
      <c r="C38" s="28" t="s">
        <v>110</v>
      </c>
    </row>
    <row r="39" spans="2:5">
      <c r="B39" s="28" t="s">
        <v>111</v>
      </c>
      <c r="C39" s="28" t="s">
        <v>112</v>
      </c>
    </row>
    <row r="40" spans="2:5">
      <c r="B40" s="28" t="s">
        <v>113</v>
      </c>
      <c r="C40" s="28" t="s">
        <v>114</v>
      </c>
    </row>
    <row r="41" spans="2:5">
      <c r="B41" s="28" t="s">
        <v>115</v>
      </c>
      <c r="C41" s="28" t="s">
        <v>116</v>
      </c>
    </row>
    <row r="42" spans="2:5">
      <c r="B42" s="28" t="s">
        <v>117</v>
      </c>
      <c r="C42" s="28" t="s">
        <v>118</v>
      </c>
    </row>
    <row r="43" spans="2:5">
      <c r="B43" s="28" t="s">
        <v>119</v>
      </c>
      <c r="C43" s="28" t="s">
        <v>120</v>
      </c>
    </row>
    <row r="44" spans="2:5">
      <c r="B44" s="28" t="s">
        <v>121</v>
      </c>
      <c r="C44" s="28" t="s">
        <v>122</v>
      </c>
    </row>
    <row r="45" spans="2:5">
      <c r="B45" s="28" t="s">
        <v>123</v>
      </c>
      <c r="C45" s="28" t="s">
        <v>124</v>
      </c>
    </row>
    <row r="47" spans="2:5" ht="26.76" customHeight="1">
      <c r="B47" s="21" t="s">
        <v>125</v>
      </c>
      <c r="C47" s="21"/>
      <c r="D47" s="21"/>
      <c r="E47" s="21"/>
    </row>
  </sheetData>
  <mergeCells count="12">
    <mergeCell ref="A1:E1"/>
    <mergeCell ref="B2:D2"/>
    <mergeCell ref="B4:E4"/>
    <mergeCell ref="C6:D6"/>
    <mergeCell ref="C7:D7"/>
    <mergeCell ref="B14:E14"/>
    <mergeCell ref="B16:E16"/>
    <mergeCell ref="B18:E18"/>
    <mergeCell ref="B19:C19"/>
    <mergeCell ref="B27:D27"/>
    <mergeCell ref="B36:C36"/>
    <mergeCell ref="B47:E47"/>
  </mergeCells>
  <dataValidations count="14">
    <dataValidation type="textLength" allowBlank="1" showInputMessage="1" showErrorMessage="1" errorTitle="Check this entry" error="Text up to 80 characters." promptTitle="Company or site"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Status as of" prompt="Open, overdue and days-open figures are judged at this date. A typed date, so the file never changes by itself: update it when you review. Enter a date between 01 Jan 2000 and 31 Dec 2100." sqref="C8">
      <formula1>36526</formula1>
      <formula2>73415</formula2>
    </dataValidation>
    <dataValidation type="whole" allowBlank="1" showInputMessage="1" showErrorMessage="1" errorTitle="Check this entry" error="Enter a whole number from 1 to 3,650." promptTitle="Close NCRs within" prompt="Your own closure window: an open NCR is Overdue when it is older than this at the status date. Enter a whole number from 1 to 3,650." sqref="C9">
      <formula1>1</formula1>
      <formula2>3650</formula2>
    </dataValidation>
    <dataValidation type="whole" allowBlank="1" showInputMessage="1" showErrorMessage="1" errorTitle="Check this entry" error="Enter a whole number from 0 to 365." promptTitle="'Due soon' warning" prompt="An open NCR is Due soon when it reaches its closure window within this many days. Enter a whole number from 0 to 365." sqref="C10">
      <formula1>0</formula1>
      <formula2>365</formula2>
    </dataValidation>
    <dataValidation type="decimal" allowBlank="1" showInputMessage="1" showErrorMessage="1" errorTitle="Check this entry" error="Enter a number from 0 to 1,000,000." promptTitle="Handling cost per NCR (est.)" prompt="Your own estimate of the time to raise, review (MRB), document and close one NCR, at your labour rate. Set 0 to leave it out. Enter a number from 0 to 1,000,000." sqref="C11">
      <formula1>0</formula1>
      <formula2>1000000.0</formula2>
    </dataValidation>
    <dataValidation type="decimal" allowBlank="1" showInputMessage="1" showErrorMessage="1" errorTitle="Check this entry" error="Enter a percentage from 0% to 100% (type 85% or 0.85)." promptTitle="Clearance ratio target" prompt="Your own target for NCRs closed / NCRs raised over the dates in view. Enter a percentage from 0% to 100% (type 85% or 0.85)." sqref="C12">
      <formula1>0</formula1>
      <formula2>1</formula2>
    </dataValidation>
    <dataValidation type="textLength" allowBlank="1" showInputMessage="1" showErrorMessage="1" errorTitle="Check this entry" error="Text up to 40 characters." promptTitle="Source" prompt="Text up to 40 characters." sqref="B21:B125">
      <formula1>0</formula1>
      <formula2>40</formula2>
    </dataValidation>
    <dataValidation type="textLength" allowBlank="1" showInputMessage="1" showErrorMessage="1" errorTitle="Check this entry" error="Text up to 160 characters." promptTitle="Description" prompt="Text up to 160 characters." sqref="C21:C125">
      <formula1>0</formula1>
      <formula2>160</formula2>
    </dataValidation>
    <dataValidation type="textLength" allowBlank="1" showInputMessage="1" showErrorMessage="1" errorTitle="Check this entry" error="Text up to 40 characters." promptTitle="Origin" prompt="Text up to 40 characters." sqref="B29:B134">
      <formula1>0</formula1>
      <formula2>40</formula2>
    </dataValidation>
    <dataValidation type="list" allowBlank="1" showInputMessage="1" showErrorMessage="1" errorTitle="Check this entry" error="Pick one of: Internal, Supplier." promptTitle="Type" prompt="Pick one of: Internal, Supplier." sqref="C29:C134">
      <formula1>"Internal,Supplier"</formula1>
    </dataValidation>
    <dataValidation type="textLength" allowBlank="1" showInputMessage="1" showErrorMessage="1" errorTitle="Check this entry" error="Text up to 160 characters." promptTitle="Description" prompt="Text up to 160 characters." sqref="D29:D134">
      <formula1>0</formula1>
      <formula2>160</formula2>
    </dataValidation>
    <dataValidation type="textLength" allowBlank="1" showInputMessage="1" showErrorMessage="1" errorTitle="Check this entry" error="Text up to 40 characters." promptTitle="Defect type" prompt="Text up to 40 characters." sqref="B38:B145">
      <formula1>0</formula1>
      <formula2>40</formula2>
    </dataValidation>
    <dataValidation type="textLength" allowBlank="1" showInputMessage="1" showErrorMessage="1" errorTitle="Check this entry" error="Text up to 160 characters." promptTitle="Examples" prompt="Text up to 160 characters." sqref="C38:C145">
      <formula1>0</formula1>
      <formula2>160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Nonconformance (NCR) Log&amp;R&amp;8&amp;A</oddHeader>
    <oddFooter>&amp;L&amp;8mfgcalcs.com - free manufacturing templates&amp;R&amp;8Page &amp;P of &amp;N</oddFooter>
  </headerFooter>
  <rowBreaks count="1" manualBreakCount="1">
    <brk id="26"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X102"/>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3.28515625" customWidth="1"/>
    <col min="3" max="3" width="11.7109375" customWidth="1"/>
    <col min="4" max="4" width="17.7109375" customWidth="1"/>
    <col min="5" max="5" width="11.28515625" customWidth="1"/>
    <col min="6" max="6" width="9.7109375" customWidth="1"/>
    <col min="7" max="7" width="15.7109375" customWidth="1"/>
    <col min="8" max="8" width="22.7109375" customWidth="1"/>
    <col min="9" max="9" width="38.7109375" customWidth="1"/>
    <col min="10" max="10" width="12.7109375" customWidth="1"/>
    <col min="11" max="11" width="10.28515625" customWidth="1"/>
    <col min="12" max="12" width="16.28515625" customWidth="1"/>
    <col min="13" max="13" width="12.28515625" customWidth="1"/>
    <col min="14" max="14" width="10.7109375" customWidth="1"/>
    <col min="15" max="15" width="9.7109375" customWidth="1"/>
    <col min="16" max="16" width="10.7109375" customWidth="1"/>
    <col min="17" max="17" width="11.7109375" customWidth="1"/>
    <col min="18" max="18" width="10.28515625" customWidth="1"/>
    <col min="19" max="19" width="11.28515625" customWidth="1"/>
    <col min="20" max="20" width="11.7109375" customWidth="1"/>
    <col min="21" max="21" width="8.7109375" customWidth="1"/>
    <col min="22" max="22" width="12.28515625" customWidth="1"/>
    <col min="23" max="23" width="7.7109375" customWidth="1"/>
    <col min="24" max="24" width="24.7109375" customWidth="1"/>
  </cols>
  <sheetData>
    <row r="1" spans="1:24" ht="30" customHeight="1" x14ac:dyDescent="0.25">
      <c r="A1" s="1" t="s">
        <v>0</v>
      </c>
      <c r="B1" s="1"/>
      <c r="C1" s="1"/>
      <c r="D1" s="1"/>
      <c r="E1" s="1"/>
      <c r="F1" s="1"/>
      <c r="G1" s="1"/>
      <c r="H1" s="1"/>
      <c r="I1" s="1"/>
      <c r="J1" s="1"/>
      <c r="K1" s="1"/>
      <c r="L1" s="1"/>
      <c r="M1" s="1"/>
      <c r="N1" s="1"/>
      <c r="O1" s="1"/>
      <c r="P1" s="1"/>
      <c r="Q1" s="1"/>
      <c r="R1" s="1"/>
      <c r="S1" s="1"/>
      <c r="T1" s="1"/>
      <c r="U1" s="1"/>
      <c r="V1" s="1"/>
      <c r="W1" s="1"/>
      <c r="X1" s="1"/>
    </row>
    <row r="2" spans="1:24" ht="21" customHeight="1" x14ac:dyDescent="0.25">
      <c r="B2" s="2" t="s">
        <v>22</v>
      </c>
      <c r="C2" s="2"/>
      <c r="D2" s="2"/>
      <c r="E2" s="2"/>
      <c r="F2" s="2"/>
      <c r="G2" s="2"/>
      <c r="H2" s="2"/>
      <c r="I2" s="2"/>
      <c r="J2" s="2"/>
      <c r="K2" s="2"/>
      <c r="L2" s="2"/>
      <c r="M2" s="2"/>
      <c r="N2" s="2"/>
      <c r="O2" s="2"/>
      <c r="P2" s="2"/>
      <c r="Q2" s="2"/>
      <c r="R2" s="2"/>
      <c r="S2" s="2"/>
      <c r="T2" s="2"/>
      <c r="U2" s="2"/>
      <c r="V2" s="2"/>
      <c r="W2" s="2"/>
      <c r="X2" s="3" t="s">
        <v>2</v>
      </c>
    </row>
    <row r="3" spans="1:24" ht="6" customHeight="1" x14ac:dyDescent="0.25"/>
    <row r="4" spans="1:24" ht="18" customHeight="1" x14ac:dyDescent="0.25">
      <c r="B4" s="35" t="s">
        <v>145</v>
      </c>
      <c r="C4" s="35"/>
      <c r="D4" s="35"/>
      <c r="E4" s="35"/>
      <c r="F4" s="35"/>
      <c r="G4" s="35"/>
      <c r="H4" s="35"/>
      <c r="I4" s="35"/>
      <c r="J4" s="35"/>
      <c r="K4" s="35"/>
      <c r="L4" s="35"/>
      <c r="M4" s="35"/>
      <c r="N4" s="35"/>
      <c r="O4" s="35"/>
      <c r="P4" s="35"/>
      <c r="Q4" s="35"/>
      <c r="R4" s="35"/>
      <c r="S4" s="35"/>
      <c r="T4" s="35"/>
      <c r="U4" s="35"/>
      <c r="V4" s="35"/>
      <c r="W4" s="35"/>
      <c r="X4" s="35"/>
    </row>
    <row r="5" spans="1:24" ht="14" customHeight="1" x14ac:dyDescent="0.25">
      <c r="B5" s="36"/>
      <c r="C5" s="36"/>
      <c r="D5" s="36"/>
      <c r="E5" s="36"/>
      <c r="F5" s="36"/>
      <c r="G5" s="36"/>
      <c r="H5" s="36"/>
      <c r="I5" s="36"/>
      <c r="J5" s="36" t="s">
        <v>146</v>
      </c>
      <c r="K5" s="36" t="str">
        <f>Currency&amp;"/part"</f>
        <v>USD/part</v>
      </c>
      <c r="L5" s="36"/>
      <c r="M5" s="36" t="str">
        <f>Currency</f>
        <v>USD</v>
      </c>
      <c r="N5" s="36" t="str">
        <f>Currency</f>
        <v>USD</v>
      </c>
      <c r="O5" s="36"/>
      <c r="P5" s="36"/>
      <c r="Q5" s="36"/>
      <c r="R5" s="36"/>
      <c r="S5" s="36" t="str">
        <f>Currency</f>
        <v>USD</v>
      </c>
      <c r="T5" s="36" t="str">
        <f>Currency</f>
        <v>USD</v>
      </c>
      <c r="U5" s="36" t="s">
        <v>75</v>
      </c>
      <c r="V5" s="36"/>
      <c r="W5" s="36"/>
      <c r="X5" s="36"/>
    </row>
    <row r="6" spans="1:24" ht="32" customHeight="1" x14ac:dyDescent="0.25">
      <c r="B6" s="34" t="s">
        <v>126</v>
      </c>
      <c r="C6" s="34" t="s">
        <v>127</v>
      </c>
      <c r="D6" s="34" t="s">
        <v>62</v>
      </c>
      <c r="E6" s="34" t="s">
        <v>128</v>
      </c>
      <c r="F6" s="34" t="s">
        <v>129</v>
      </c>
      <c r="G6" s="34" t="s">
        <v>64</v>
      </c>
      <c r="H6" s="34" t="s">
        <v>66</v>
      </c>
      <c r="I6" s="34" t="s">
        <v>63</v>
      </c>
      <c r="J6" s="34" t="s">
        <v>130</v>
      </c>
      <c r="K6" s="34" t="s">
        <v>131</v>
      </c>
      <c r="L6" s="34" t="s">
        <v>132</v>
      </c>
      <c r="M6" s="34" t="s">
        <v>133</v>
      </c>
      <c r="N6" s="34" t="s">
        <v>134</v>
      </c>
      <c r="O6" s="34" t="s">
        <v>135</v>
      </c>
      <c r="P6" s="34" t="s">
        <v>136</v>
      </c>
      <c r="Q6" s="34" t="s">
        <v>137</v>
      </c>
      <c r="R6" s="34" t="s">
        <v>138</v>
      </c>
      <c r="S6" s="34" t="s">
        <v>139</v>
      </c>
      <c r="T6" s="34" t="s">
        <v>140</v>
      </c>
      <c r="U6" s="34" t="s">
        <v>141</v>
      </c>
      <c r="V6" s="34" t="s">
        <v>142</v>
      </c>
      <c r="W6" s="34" t="s">
        <v>143</v>
      </c>
      <c r="X6" s="34" t="s">
        <v>144</v>
      </c>
    </row>
    <row r="7" spans="1:24" x14ac:dyDescent="0.25">
      <c r="B7" s="28" t="s">
        <v>147</v>
      </c>
      <c r="C7" s="29">
        <v>46118</v>
      </c>
      <c r="D7" s="28" t="s">
        <v>83</v>
      </c>
      <c r="E7" s="28" t="s">
        <v>148</v>
      </c>
      <c r="F7" s="28" t="s">
        <v>149</v>
      </c>
      <c r="G7" s="28" t="s">
        <v>106</v>
      </c>
      <c r="H7" s="28" t="s">
        <v>119</v>
      </c>
      <c r="I7" s="37" t="s">
        <v>150</v>
      </c>
      <c r="J7" s="30">
        <v>10</v>
      </c>
      <c r="K7" s="31">
        <v>42.5</v>
      </c>
      <c r="L7" s="28" t="s">
        <v>151</v>
      </c>
      <c r="M7" s="31"/>
      <c r="N7" s="31"/>
      <c r="O7" s="28" t="s">
        <v>152</v>
      </c>
      <c r="P7" s="28" t="s">
        <v>153</v>
      </c>
      <c r="Q7" s="29">
        <v>46139</v>
      </c>
      <c r="R7" s="38" t="str">
        <f>IF(tblNcrs[[#This Row],[Date]]="","",IFERROR(INDEX(tblOrigins[Type],MATCH(tblNcrs[[#This Row],[Origin]],tblOrigins[Origin],0)),""))</f>
        <v>Supplier</v>
      </c>
      <c r="S7" s="39">
        <f>IF(tblNcrs[[#This Row],[Date]]="","",IF(tblNcrs[[#This Row],[Disposition]]="Scrap",tblNcrs[[#This Row],[Qty nonconforming]]*tblNcrs[[#This Row],[Unit cost]],0))</f>
        <v>0</v>
      </c>
      <c r="T7" s="39">
        <f>IF(tblNcrs[[#This Row],[Date]]="","",tblNcrs[[#This Row],[Scrap cost]]+N(tblNcrs[[#This Row],[Rework or repair cost]])+AdminCost-N(tblNcrs[[#This Row],[Recovered]]))</f>
        <v>85</v>
      </c>
      <c r="U7" s="40">
        <f>IF(tblNcrs[[#This Row],[Date]]="","",IF(N(tblNcrs[[#This Row],[Closed]])&gt;0,tblNcrs[[#This Row],[Closed]],AsOf)-tblNcrs[[#This Row],[Date]])</f>
        <v>21</v>
      </c>
      <c r="V7" s="41" t="str">
        <f>IF(tblNcrs[[#This Row],[Date]]="","",IF(N(tblNcrs[[#This Row],[Closed]])&gt;0,"Complete",IF(tblNcrs[[#This Row],[Date]]+CloseDays&lt;AsOf,"Overdue",IF(tblNcrs[[#This Row],[Date]]+CloseDays-AsOf&lt;=DueSoonDays,"Due soon","In progress"))))</f>
        <v>Complete</v>
      </c>
      <c r="W7" s="40">
        <f>IF(tblNcrs[[#This Row],[Date]]="","",IF(AND(OR(DashSource="",tblNcrs[[#This Row],[Source]]=DashSource),OR(DashOrigin="",tblNcrs[[#This Row],[Origin]]=DashOrigin)),1,0))</f>
        <v>1</v>
      </c>
      <c r="X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 spans="1:24" x14ac:dyDescent="0.25">
      <c r="B8" s="28" t="s">
        <v>154</v>
      </c>
      <c r="C8" s="29">
        <v>46120</v>
      </c>
      <c r="D8" s="28" t="s">
        <v>87</v>
      </c>
      <c r="E8" s="28" t="s">
        <v>155</v>
      </c>
      <c r="F8" s="28" t="s">
        <v>156</v>
      </c>
      <c r="G8" s="28" t="s">
        <v>101</v>
      </c>
      <c r="H8" s="28" t="s">
        <v>113</v>
      </c>
      <c r="I8" s="37" t="s">
        <v>157</v>
      </c>
      <c r="J8" s="30">
        <v>20</v>
      </c>
      <c r="K8" s="31">
        <v>118</v>
      </c>
      <c r="L8" s="28" t="s">
        <v>158</v>
      </c>
      <c r="M8" s="31">
        <v>405</v>
      </c>
      <c r="N8" s="31"/>
      <c r="O8" s="28" t="s">
        <v>152</v>
      </c>
      <c r="P8" s="28" t="s">
        <v>159</v>
      </c>
      <c r="Q8" s="29">
        <v>46131</v>
      </c>
      <c r="R8" s="38" t="str">
        <f>IF(tblNcrs[[#This Row],[Date]]="","",IFERROR(INDEX(tblOrigins[Type],MATCH(tblNcrs[[#This Row],[Origin]],tblOrigins[Origin],0)),""))</f>
        <v>Internal</v>
      </c>
      <c r="S8" s="39">
        <f>IF(tblNcrs[[#This Row],[Date]]="","",IF(tblNcrs[[#This Row],[Disposition]]="Scrap",tblNcrs[[#This Row],[Qty nonconforming]]*tblNcrs[[#This Row],[Unit cost]],0))</f>
        <v>0</v>
      </c>
      <c r="T8" s="39">
        <f>IF(tblNcrs[[#This Row],[Date]]="","",tblNcrs[[#This Row],[Scrap cost]]+N(tblNcrs[[#This Row],[Rework or repair cost]])+AdminCost-N(tblNcrs[[#This Row],[Recovered]]))</f>
        <v>490</v>
      </c>
      <c r="U8" s="40">
        <f>IF(tblNcrs[[#This Row],[Date]]="","",IF(N(tblNcrs[[#This Row],[Closed]])&gt;0,tblNcrs[[#This Row],[Closed]],AsOf)-tblNcrs[[#This Row],[Date]])</f>
        <v>11</v>
      </c>
      <c r="V8" s="41" t="str">
        <f>IF(tblNcrs[[#This Row],[Date]]="","",IF(N(tblNcrs[[#This Row],[Closed]])&gt;0,"Complete",IF(tblNcrs[[#This Row],[Date]]+CloseDays&lt;AsOf,"Overdue",IF(tblNcrs[[#This Row],[Date]]+CloseDays-AsOf&lt;=DueSoonDays,"Due soon","In progress"))))</f>
        <v>Complete</v>
      </c>
      <c r="W8" s="40">
        <f>IF(tblNcrs[[#This Row],[Date]]="","",IF(AND(OR(DashSource="",tblNcrs[[#This Row],[Source]]=DashSource),OR(DashOrigin="",tblNcrs[[#This Row],[Origin]]=DashOrigin)),1,0))</f>
        <v>1</v>
      </c>
      <c r="X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 spans="1:24" x14ac:dyDescent="0.25">
      <c r="B9" s="28" t="s">
        <v>160</v>
      </c>
      <c r="C9" s="29">
        <v>46120</v>
      </c>
      <c r="D9" s="28" t="s">
        <v>85</v>
      </c>
      <c r="E9" s="28" t="s">
        <v>161</v>
      </c>
      <c r="F9" s="28" t="s">
        <v>162</v>
      </c>
      <c r="G9" s="28" t="s">
        <v>94</v>
      </c>
      <c r="H9" s="28" t="s">
        <v>109</v>
      </c>
      <c r="I9" s="37" t="s">
        <v>163</v>
      </c>
      <c r="J9" s="30">
        <v>12</v>
      </c>
      <c r="K9" s="31">
        <v>236</v>
      </c>
      <c r="L9" s="28" t="s">
        <v>164</v>
      </c>
      <c r="M9" s="31"/>
      <c r="N9" s="31"/>
      <c r="O9" s="28" t="s">
        <v>152</v>
      </c>
      <c r="P9" s="28" t="s">
        <v>165</v>
      </c>
      <c r="Q9" s="29">
        <v>46124</v>
      </c>
      <c r="R9" s="38" t="str">
        <f>IF(tblNcrs[[#This Row],[Date]]="","",IFERROR(INDEX(tblOrigins[Type],MATCH(tblNcrs[[#This Row],[Origin]],tblOrigins[Origin],0)),""))</f>
        <v>Internal</v>
      </c>
      <c r="S9" s="39">
        <f>IF(tblNcrs[[#This Row],[Date]]="","",IF(tblNcrs[[#This Row],[Disposition]]="Scrap",tblNcrs[[#This Row],[Qty nonconforming]]*tblNcrs[[#This Row],[Unit cost]],0))</f>
        <v>2832</v>
      </c>
      <c r="T9" s="39">
        <f>IF(tblNcrs[[#This Row],[Date]]="","",tblNcrs[[#This Row],[Scrap cost]]+N(tblNcrs[[#This Row],[Rework or repair cost]])+AdminCost-N(tblNcrs[[#This Row],[Recovered]]))</f>
        <v>2917</v>
      </c>
      <c r="U9" s="40">
        <f>IF(tblNcrs[[#This Row],[Date]]="","",IF(N(tblNcrs[[#This Row],[Closed]])&gt;0,tblNcrs[[#This Row],[Closed]],AsOf)-tblNcrs[[#This Row],[Date]])</f>
        <v>4</v>
      </c>
      <c r="V9" s="41" t="str">
        <f>IF(tblNcrs[[#This Row],[Date]]="","",IF(N(tblNcrs[[#This Row],[Closed]])&gt;0,"Complete",IF(tblNcrs[[#This Row],[Date]]+CloseDays&lt;AsOf,"Overdue",IF(tblNcrs[[#This Row],[Date]]+CloseDays-AsOf&lt;=DueSoonDays,"Due soon","In progress"))))</f>
        <v>Complete</v>
      </c>
      <c r="W9" s="40">
        <f>IF(tblNcrs[[#This Row],[Date]]="","",IF(AND(OR(DashSource="",tblNcrs[[#This Row],[Source]]=DashSource),OR(DashOrigin="",tblNcrs[[#This Row],[Origin]]=DashOrigin)),1,0))</f>
        <v>1</v>
      </c>
      <c r="X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0" spans="1:24" x14ac:dyDescent="0.25">
      <c r="B10" s="28" t="s">
        <v>166</v>
      </c>
      <c r="C10" s="29">
        <v>46122</v>
      </c>
      <c r="D10" s="28" t="s">
        <v>89</v>
      </c>
      <c r="E10" s="28" t="s">
        <v>148</v>
      </c>
      <c r="F10" s="28" t="s">
        <v>167</v>
      </c>
      <c r="G10" s="28" t="s">
        <v>97</v>
      </c>
      <c r="H10" s="28" t="s">
        <v>109</v>
      </c>
      <c r="I10" s="37" t="s">
        <v>163</v>
      </c>
      <c r="J10" s="30">
        <v>15</v>
      </c>
      <c r="K10" s="31">
        <v>42.5</v>
      </c>
      <c r="L10" s="28" t="s">
        <v>164</v>
      </c>
      <c r="M10" s="31"/>
      <c r="N10" s="31"/>
      <c r="O10" s="28" t="s">
        <v>152</v>
      </c>
      <c r="P10" s="28" t="s">
        <v>153</v>
      </c>
      <c r="Q10" s="29">
        <v>46151</v>
      </c>
      <c r="R10" s="38" t="str">
        <f>IF(tblNcrs[[#This Row],[Date]]="","",IFERROR(INDEX(tblOrigins[Type],MATCH(tblNcrs[[#This Row],[Origin]],tblOrigins[Origin],0)),""))</f>
        <v>Internal</v>
      </c>
      <c r="S10" s="39">
        <f>IF(tblNcrs[[#This Row],[Date]]="","",IF(tblNcrs[[#This Row],[Disposition]]="Scrap",tblNcrs[[#This Row],[Qty nonconforming]]*tblNcrs[[#This Row],[Unit cost]],0))</f>
        <v>637.5</v>
      </c>
      <c r="T10" s="39">
        <f>IF(tblNcrs[[#This Row],[Date]]="","",tblNcrs[[#This Row],[Scrap cost]]+N(tblNcrs[[#This Row],[Rework or repair cost]])+AdminCost-N(tblNcrs[[#This Row],[Recovered]]))</f>
        <v>722.5</v>
      </c>
      <c r="U10" s="40">
        <f>IF(tblNcrs[[#This Row],[Date]]="","",IF(N(tblNcrs[[#This Row],[Closed]])&gt;0,tblNcrs[[#This Row],[Closed]],AsOf)-tblNcrs[[#This Row],[Date]])</f>
        <v>29</v>
      </c>
      <c r="V10" s="41" t="str">
        <f>IF(tblNcrs[[#This Row],[Date]]="","",IF(N(tblNcrs[[#This Row],[Closed]])&gt;0,"Complete",IF(tblNcrs[[#This Row],[Date]]+CloseDays&lt;AsOf,"Overdue",IF(tblNcrs[[#This Row],[Date]]+CloseDays-AsOf&lt;=DueSoonDays,"Due soon","In progress"))))</f>
        <v>Complete</v>
      </c>
      <c r="W10" s="40">
        <f>IF(tblNcrs[[#This Row],[Date]]="","",IF(AND(OR(DashSource="",tblNcrs[[#This Row],[Source]]=DashSource),OR(DashOrigin="",tblNcrs[[#This Row],[Origin]]=DashOrigin)),1,0))</f>
        <v>1</v>
      </c>
      <c r="X1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1" spans="1:24" x14ac:dyDescent="0.25">
      <c r="B11" s="28" t="s">
        <v>168</v>
      </c>
      <c r="C11" s="29">
        <v>46128</v>
      </c>
      <c r="D11" s="28" t="s">
        <v>87</v>
      </c>
      <c r="E11" s="28" t="s">
        <v>161</v>
      </c>
      <c r="F11" s="28" t="s">
        <v>169</v>
      </c>
      <c r="G11" s="28" t="s">
        <v>94</v>
      </c>
      <c r="H11" s="28" t="s">
        <v>111</v>
      </c>
      <c r="I11" s="37" t="s">
        <v>170</v>
      </c>
      <c r="J11" s="30">
        <v>5</v>
      </c>
      <c r="K11" s="31">
        <v>236</v>
      </c>
      <c r="L11" s="28" t="s">
        <v>158</v>
      </c>
      <c r="M11" s="31">
        <v>40</v>
      </c>
      <c r="N11" s="31"/>
      <c r="O11" s="28" t="s">
        <v>152</v>
      </c>
      <c r="P11" s="28" t="s">
        <v>171</v>
      </c>
      <c r="Q11" s="29">
        <v>46138</v>
      </c>
      <c r="R11" s="38" t="str">
        <f>IF(tblNcrs[[#This Row],[Date]]="","",IFERROR(INDEX(tblOrigins[Type],MATCH(tblNcrs[[#This Row],[Origin]],tblOrigins[Origin],0)),""))</f>
        <v>Internal</v>
      </c>
      <c r="S11" s="39">
        <f>IF(tblNcrs[[#This Row],[Date]]="","",IF(tblNcrs[[#This Row],[Disposition]]="Scrap",tblNcrs[[#This Row],[Qty nonconforming]]*tblNcrs[[#This Row],[Unit cost]],0))</f>
        <v>0</v>
      </c>
      <c r="T11" s="39">
        <f>IF(tblNcrs[[#This Row],[Date]]="","",tblNcrs[[#This Row],[Scrap cost]]+N(tblNcrs[[#This Row],[Rework or repair cost]])+AdminCost-N(tblNcrs[[#This Row],[Recovered]]))</f>
        <v>125</v>
      </c>
      <c r="U11" s="40">
        <f>IF(tblNcrs[[#This Row],[Date]]="","",IF(N(tblNcrs[[#This Row],[Closed]])&gt;0,tblNcrs[[#This Row],[Closed]],AsOf)-tblNcrs[[#This Row],[Date]])</f>
        <v>10</v>
      </c>
      <c r="V11" s="41" t="str">
        <f>IF(tblNcrs[[#This Row],[Date]]="","",IF(N(tblNcrs[[#This Row],[Closed]])&gt;0,"Complete",IF(tblNcrs[[#This Row],[Date]]+CloseDays&lt;AsOf,"Overdue",IF(tblNcrs[[#This Row],[Date]]+CloseDays-AsOf&lt;=DueSoonDays,"Due soon","In progress"))))</f>
        <v>Complete</v>
      </c>
      <c r="W11" s="40">
        <f>IF(tblNcrs[[#This Row],[Date]]="","",IF(AND(OR(DashSource="",tblNcrs[[#This Row],[Source]]=DashSource),OR(DashOrigin="",tblNcrs[[#This Row],[Origin]]=DashOrigin)),1,0))</f>
        <v>1</v>
      </c>
      <c r="X1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2" spans="1:24" x14ac:dyDescent="0.25">
      <c r="B12" s="28" t="s">
        <v>172</v>
      </c>
      <c r="C12" s="29">
        <v>46129</v>
      </c>
      <c r="D12" s="28" t="s">
        <v>85</v>
      </c>
      <c r="E12" s="28" t="s">
        <v>173</v>
      </c>
      <c r="F12" s="28" t="s">
        <v>174</v>
      </c>
      <c r="G12" s="28" t="s">
        <v>94</v>
      </c>
      <c r="H12" s="28" t="s">
        <v>109</v>
      </c>
      <c r="I12" s="37" t="s">
        <v>163</v>
      </c>
      <c r="J12" s="30">
        <v>3</v>
      </c>
      <c r="K12" s="31">
        <v>18.5</v>
      </c>
      <c r="L12" s="28" t="s">
        <v>158</v>
      </c>
      <c r="M12" s="31">
        <v>40</v>
      </c>
      <c r="N12" s="31"/>
      <c r="O12" s="28" t="s">
        <v>175</v>
      </c>
      <c r="P12" s="28"/>
      <c r="Q12" s="29">
        <v>46133</v>
      </c>
      <c r="R12" s="38" t="str">
        <f>IF(tblNcrs[[#This Row],[Date]]="","",IFERROR(INDEX(tblOrigins[Type],MATCH(tblNcrs[[#This Row],[Origin]],tblOrigins[Origin],0)),""))</f>
        <v>Internal</v>
      </c>
      <c r="S12" s="39">
        <f>IF(tblNcrs[[#This Row],[Date]]="","",IF(tblNcrs[[#This Row],[Disposition]]="Scrap",tblNcrs[[#This Row],[Qty nonconforming]]*tblNcrs[[#This Row],[Unit cost]],0))</f>
        <v>0</v>
      </c>
      <c r="T12" s="39">
        <f>IF(tblNcrs[[#This Row],[Date]]="","",tblNcrs[[#This Row],[Scrap cost]]+N(tblNcrs[[#This Row],[Rework or repair cost]])+AdminCost-N(tblNcrs[[#This Row],[Recovered]]))</f>
        <v>125</v>
      </c>
      <c r="U12" s="40">
        <f>IF(tblNcrs[[#This Row],[Date]]="","",IF(N(tblNcrs[[#This Row],[Closed]])&gt;0,tblNcrs[[#This Row],[Closed]],AsOf)-tblNcrs[[#This Row],[Date]])</f>
        <v>4</v>
      </c>
      <c r="V12" s="41" t="str">
        <f>IF(tblNcrs[[#This Row],[Date]]="","",IF(N(tblNcrs[[#This Row],[Closed]])&gt;0,"Complete",IF(tblNcrs[[#This Row],[Date]]+CloseDays&lt;AsOf,"Overdue",IF(tblNcrs[[#This Row],[Date]]+CloseDays-AsOf&lt;=DueSoonDays,"Due soon","In progress"))))</f>
        <v>Complete</v>
      </c>
      <c r="W12" s="40">
        <f>IF(tblNcrs[[#This Row],[Date]]="","",IF(AND(OR(DashSource="",tblNcrs[[#This Row],[Source]]=DashSource),OR(DashOrigin="",tblNcrs[[#This Row],[Origin]]=DashOrigin)),1,0))</f>
        <v>1</v>
      </c>
      <c r="X1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3" spans="1:24" x14ac:dyDescent="0.25">
      <c r="B13" s="28" t="s">
        <v>176</v>
      </c>
      <c r="C13" s="29">
        <v>46129</v>
      </c>
      <c r="D13" s="28" t="s">
        <v>85</v>
      </c>
      <c r="E13" s="28" t="s">
        <v>177</v>
      </c>
      <c r="F13" s="28" t="s">
        <v>178</v>
      </c>
      <c r="G13" s="28" t="s">
        <v>101</v>
      </c>
      <c r="H13" s="28" t="s">
        <v>113</v>
      </c>
      <c r="I13" s="37" t="s">
        <v>157</v>
      </c>
      <c r="J13" s="30">
        <v>20</v>
      </c>
      <c r="K13" s="31">
        <v>27</v>
      </c>
      <c r="L13" s="28" t="s">
        <v>158</v>
      </c>
      <c r="M13" s="31">
        <v>120</v>
      </c>
      <c r="N13" s="31"/>
      <c r="O13" s="28" t="s">
        <v>152</v>
      </c>
      <c r="P13" s="28" t="s">
        <v>179</v>
      </c>
      <c r="Q13" s="29">
        <v>46143</v>
      </c>
      <c r="R13" s="38" t="str">
        <f>IF(tblNcrs[[#This Row],[Date]]="","",IFERROR(INDEX(tblOrigins[Type],MATCH(tblNcrs[[#This Row],[Origin]],tblOrigins[Origin],0)),""))</f>
        <v>Internal</v>
      </c>
      <c r="S13" s="39">
        <f>IF(tblNcrs[[#This Row],[Date]]="","",IF(tblNcrs[[#This Row],[Disposition]]="Scrap",tblNcrs[[#This Row],[Qty nonconforming]]*tblNcrs[[#This Row],[Unit cost]],0))</f>
        <v>0</v>
      </c>
      <c r="T13" s="39">
        <f>IF(tblNcrs[[#This Row],[Date]]="","",tblNcrs[[#This Row],[Scrap cost]]+N(tblNcrs[[#This Row],[Rework or repair cost]])+AdminCost-N(tblNcrs[[#This Row],[Recovered]]))</f>
        <v>205</v>
      </c>
      <c r="U13" s="40">
        <f>IF(tblNcrs[[#This Row],[Date]]="","",IF(N(tblNcrs[[#This Row],[Closed]])&gt;0,tblNcrs[[#This Row],[Closed]],AsOf)-tblNcrs[[#This Row],[Date]])</f>
        <v>14</v>
      </c>
      <c r="V13" s="41" t="str">
        <f>IF(tblNcrs[[#This Row],[Date]]="","",IF(N(tblNcrs[[#This Row],[Closed]])&gt;0,"Complete",IF(tblNcrs[[#This Row],[Date]]+CloseDays&lt;AsOf,"Overdue",IF(tblNcrs[[#This Row],[Date]]+CloseDays-AsOf&lt;=DueSoonDays,"Due soon","In progress"))))</f>
        <v>Complete</v>
      </c>
      <c r="W13" s="40">
        <f>IF(tblNcrs[[#This Row],[Date]]="","",IF(AND(OR(DashSource="",tblNcrs[[#This Row],[Source]]=DashSource),OR(DashOrigin="",tblNcrs[[#This Row],[Origin]]=DashOrigin)),1,0))</f>
        <v>1</v>
      </c>
      <c r="X1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4" spans="1:24" x14ac:dyDescent="0.25">
      <c r="B14" s="28" t="s">
        <v>180</v>
      </c>
      <c r="C14" s="29">
        <v>46129</v>
      </c>
      <c r="D14" s="28" t="s">
        <v>89</v>
      </c>
      <c r="E14" s="28" t="s">
        <v>155</v>
      </c>
      <c r="F14" s="28" t="s">
        <v>181</v>
      </c>
      <c r="G14" s="28" t="s">
        <v>99</v>
      </c>
      <c r="H14" s="28" t="s">
        <v>111</v>
      </c>
      <c r="I14" s="37" t="s">
        <v>170</v>
      </c>
      <c r="J14" s="30">
        <v>20</v>
      </c>
      <c r="K14" s="31">
        <v>118</v>
      </c>
      <c r="L14" s="28" t="s">
        <v>158</v>
      </c>
      <c r="M14" s="31">
        <v>390</v>
      </c>
      <c r="N14" s="31"/>
      <c r="O14" s="28" t="s">
        <v>152</v>
      </c>
      <c r="P14" s="28" t="s">
        <v>182</v>
      </c>
      <c r="Q14" s="29">
        <v>46153</v>
      </c>
      <c r="R14" s="38" t="str">
        <f>IF(tblNcrs[[#This Row],[Date]]="","",IFERROR(INDEX(tblOrigins[Type],MATCH(tblNcrs[[#This Row],[Origin]],tblOrigins[Origin],0)),""))</f>
        <v>Internal</v>
      </c>
      <c r="S14" s="39">
        <f>IF(tblNcrs[[#This Row],[Date]]="","",IF(tblNcrs[[#This Row],[Disposition]]="Scrap",tblNcrs[[#This Row],[Qty nonconforming]]*tblNcrs[[#This Row],[Unit cost]],0))</f>
        <v>0</v>
      </c>
      <c r="T14" s="39">
        <f>IF(tblNcrs[[#This Row],[Date]]="","",tblNcrs[[#This Row],[Scrap cost]]+N(tblNcrs[[#This Row],[Rework or repair cost]])+AdminCost-N(tblNcrs[[#This Row],[Recovered]]))</f>
        <v>475</v>
      </c>
      <c r="U14" s="40">
        <f>IF(tblNcrs[[#This Row],[Date]]="","",IF(N(tblNcrs[[#This Row],[Closed]])&gt;0,tblNcrs[[#This Row],[Closed]],AsOf)-tblNcrs[[#This Row],[Date]])</f>
        <v>24</v>
      </c>
      <c r="V14" s="41" t="str">
        <f>IF(tblNcrs[[#This Row],[Date]]="","",IF(N(tblNcrs[[#This Row],[Closed]])&gt;0,"Complete",IF(tblNcrs[[#This Row],[Date]]+CloseDays&lt;AsOf,"Overdue",IF(tblNcrs[[#This Row],[Date]]+CloseDays-AsOf&lt;=DueSoonDays,"Due soon","In progress"))))</f>
        <v>Complete</v>
      </c>
      <c r="W14" s="40">
        <f>IF(tblNcrs[[#This Row],[Date]]="","",IF(AND(OR(DashSource="",tblNcrs[[#This Row],[Source]]=DashSource),OR(DashOrigin="",tblNcrs[[#This Row],[Origin]]=DashOrigin)),1,0))</f>
        <v>1</v>
      </c>
      <c r="X1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5" spans="1:24" x14ac:dyDescent="0.25">
      <c r="B15" s="28" t="s">
        <v>183</v>
      </c>
      <c r="C15" s="29">
        <v>46132</v>
      </c>
      <c r="D15" s="28" t="s">
        <v>87</v>
      </c>
      <c r="E15" s="28" t="s">
        <v>155</v>
      </c>
      <c r="F15" s="28" t="s">
        <v>184</v>
      </c>
      <c r="G15" s="28" t="s">
        <v>94</v>
      </c>
      <c r="H15" s="28" t="s">
        <v>109</v>
      </c>
      <c r="I15" s="37" t="s">
        <v>163</v>
      </c>
      <c r="J15" s="30">
        <v>24</v>
      </c>
      <c r="K15" s="31">
        <v>118</v>
      </c>
      <c r="L15" s="28" t="s">
        <v>164</v>
      </c>
      <c r="M15" s="31"/>
      <c r="N15" s="31"/>
      <c r="O15" s="28" t="s">
        <v>152</v>
      </c>
      <c r="P15" s="28" t="s">
        <v>165</v>
      </c>
      <c r="Q15" s="29">
        <v>46140</v>
      </c>
      <c r="R15" s="38" t="str">
        <f>IF(tblNcrs[[#This Row],[Date]]="","",IFERROR(INDEX(tblOrigins[Type],MATCH(tblNcrs[[#This Row],[Origin]],tblOrigins[Origin],0)),""))</f>
        <v>Internal</v>
      </c>
      <c r="S15" s="39">
        <f>IF(tblNcrs[[#This Row],[Date]]="","",IF(tblNcrs[[#This Row],[Disposition]]="Scrap",tblNcrs[[#This Row],[Qty nonconforming]]*tblNcrs[[#This Row],[Unit cost]],0))</f>
        <v>2832</v>
      </c>
      <c r="T15" s="39">
        <f>IF(tblNcrs[[#This Row],[Date]]="","",tblNcrs[[#This Row],[Scrap cost]]+N(tblNcrs[[#This Row],[Rework or repair cost]])+AdminCost-N(tblNcrs[[#This Row],[Recovered]]))</f>
        <v>2917</v>
      </c>
      <c r="U15" s="40">
        <f>IF(tblNcrs[[#This Row],[Date]]="","",IF(N(tblNcrs[[#This Row],[Closed]])&gt;0,tblNcrs[[#This Row],[Closed]],AsOf)-tblNcrs[[#This Row],[Date]])</f>
        <v>8</v>
      </c>
      <c r="V15" s="41" t="str">
        <f>IF(tblNcrs[[#This Row],[Date]]="","",IF(N(tblNcrs[[#This Row],[Closed]])&gt;0,"Complete",IF(tblNcrs[[#This Row],[Date]]+CloseDays&lt;AsOf,"Overdue",IF(tblNcrs[[#This Row],[Date]]+CloseDays-AsOf&lt;=DueSoonDays,"Due soon","In progress"))))</f>
        <v>Complete</v>
      </c>
      <c r="W15" s="40">
        <f>IF(tblNcrs[[#This Row],[Date]]="","",IF(AND(OR(DashSource="",tblNcrs[[#This Row],[Source]]=DashSource),OR(DashOrigin="",tblNcrs[[#This Row],[Origin]]=DashOrigin)),1,0))</f>
        <v>1</v>
      </c>
      <c r="X1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6" spans="1:24" x14ac:dyDescent="0.25">
      <c r="B16" s="28" t="s">
        <v>185</v>
      </c>
      <c r="C16" s="29">
        <v>46139</v>
      </c>
      <c r="D16" s="28" t="s">
        <v>83</v>
      </c>
      <c r="E16" s="28" t="s">
        <v>161</v>
      </c>
      <c r="F16" s="28" t="s">
        <v>186</v>
      </c>
      <c r="G16" s="28" t="s">
        <v>106</v>
      </c>
      <c r="H16" s="28" t="s">
        <v>117</v>
      </c>
      <c r="I16" s="37" t="s">
        <v>187</v>
      </c>
      <c r="J16" s="30">
        <v>15</v>
      </c>
      <c r="K16" s="31">
        <v>236</v>
      </c>
      <c r="L16" s="28" t="s">
        <v>188</v>
      </c>
      <c r="M16" s="31"/>
      <c r="N16" s="31"/>
      <c r="O16" s="28" t="s">
        <v>152</v>
      </c>
      <c r="P16" s="28" t="s">
        <v>189</v>
      </c>
      <c r="Q16" s="29">
        <v>46166</v>
      </c>
      <c r="R16" s="38" t="str">
        <f>IF(tblNcrs[[#This Row],[Date]]="","",IFERROR(INDEX(tblOrigins[Type],MATCH(tblNcrs[[#This Row],[Origin]],tblOrigins[Origin],0)),""))</f>
        <v>Supplier</v>
      </c>
      <c r="S16" s="39">
        <f>IF(tblNcrs[[#This Row],[Date]]="","",IF(tblNcrs[[#This Row],[Disposition]]="Scrap",tblNcrs[[#This Row],[Qty nonconforming]]*tblNcrs[[#This Row],[Unit cost]],0))</f>
        <v>0</v>
      </c>
      <c r="T16" s="39">
        <f>IF(tblNcrs[[#This Row],[Date]]="","",tblNcrs[[#This Row],[Scrap cost]]+N(tblNcrs[[#This Row],[Rework or repair cost]])+AdminCost-N(tblNcrs[[#This Row],[Recovered]]))</f>
        <v>85</v>
      </c>
      <c r="U16" s="40">
        <f>IF(tblNcrs[[#This Row],[Date]]="","",IF(N(tblNcrs[[#This Row],[Closed]])&gt;0,tblNcrs[[#This Row],[Closed]],AsOf)-tblNcrs[[#This Row],[Date]])</f>
        <v>27</v>
      </c>
      <c r="V16" s="41" t="str">
        <f>IF(tblNcrs[[#This Row],[Date]]="","",IF(N(tblNcrs[[#This Row],[Closed]])&gt;0,"Complete",IF(tblNcrs[[#This Row],[Date]]+CloseDays&lt;AsOf,"Overdue",IF(tblNcrs[[#This Row],[Date]]+CloseDays-AsOf&lt;=DueSoonDays,"Due soon","In progress"))))</f>
        <v>Complete</v>
      </c>
      <c r="W16" s="40">
        <f>IF(tblNcrs[[#This Row],[Date]]="","",IF(AND(OR(DashSource="",tblNcrs[[#This Row],[Source]]=DashSource),OR(DashOrigin="",tblNcrs[[#This Row],[Origin]]=DashOrigin)),1,0))</f>
        <v>1</v>
      </c>
      <c r="X1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7" spans="2:24" x14ac:dyDescent="0.25">
      <c r="B17" s="28" t="s">
        <v>190</v>
      </c>
      <c r="C17" s="29">
        <v>46140</v>
      </c>
      <c r="D17" s="28" t="s">
        <v>89</v>
      </c>
      <c r="E17" s="28" t="s">
        <v>177</v>
      </c>
      <c r="F17" s="28" t="s">
        <v>191</v>
      </c>
      <c r="G17" s="28" t="s">
        <v>97</v>
      </c>
      <c r="H17" s="28" t="s">
        <v>123</v>
      </c>
      <c r="I17" s="37" t="s">
        <v>192</v>
      </c>
      <c r="J17" s="30">
        <v>15</v>
      </c>
      <c r="K17" s="31">
        <v>27</v>
      </c>
      <c r="L17" s="28" t="s">
        <v>151</v>
      </c>
      <c r="M17" s="31"/>
      <c r="N17" s="31"/>
      <c r="O17" s="28" t="s">
        <v>152</v>
      </c>
      <c r="P17" s="28" t="s">
        <v>182</v>
      </c>
      <c r="Q17" s="29">
        <v>46179</v>
      </c>
      <c r="R17" s="38" t="str">
        <f>IF(tblNcrs[[#This Row],[Date]]="","",IFERROR(INDEX(tblOrigins[Type],MATCH(tblNcrs[[#This Row],[Origin]],tblOrigins[Origin],0)),""))</f>
        <v>Internal</v>
      </c>
      <c r="S17" s="39">
        <f>IF(tblNcrs[[#This Row],[Date]]="","",IF(tblNcrs[[#This Row],[Disposition]]="Scrap",tblNcrs[[#This Row],[Qty nonconforming]]*tblNcrs[[#This Row],[Unit cost]],0))</f>
        <v>0</v>
      </c>
      <c r="T17" s="39">
        <f>IF(tblNcrs[[#This Row],[Date]]="","",tblNcrs[[#This Row],[Scrap cost]]+N(tblNcrs[[#This Row],[Rework or repair cost]])+AdminCost-N(tblNcrs[[#This Row],[Recovered]]))</f>
        <v>85</v>
      </c>
      <c r="U17" s="40">
        <f>IF(tblNcrs[[#This Row],[Date]]="","",IF(N(tblNcrs[[#This Row],[Closed]])&gt;0,tblNcrs[[#This Row],[Closed]],AsOf)-tblNcrs[[#This Row],[Date]])</f>
        <v>39</v>
      </c>
      <c r="V17" s="41" t="str">
        <f>IF(tblNcrs[[#This Row],[Date]]="","",IF(N(tblNcrs[[#This Row],[Closed]])&gt;0,"Complete",IF(tblNcrs[[#This Row],[Date]]+CloseDays&lt;AsOf,"Overdue",IF(tblNcrs[[#This Row],[Date]]+CloseDays-AsOf&lt;=DueSoonDays,"Due soon","In progress"))))</f>
        <v>Complete</v>
      </c>
      <c r="W17" s="40">
        <f>IF(tblNcrs[[#This Row],[Date]]="","",IF(AND(OR(DashSource="",tblNcrs[[#This Row],[Source]]=DashSource),OR(DashOrigin="",tblNcrs[[#This Row],[Origin]]=DashOrigin)),1,0))</f>
        <v>1</v>
      </c>
      <c r="X1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8" spans="2:24" x14ac:dyDescent="0.25">
      <c r="B18" s="28" t="s">
        <v>193</v>
      </c>
      <c r="C18" s="29">
        <v>46141</v>
      </c>
      <c r="D18" s="28" t="s">
        <v>83</v>
      </c>
      <c r="E18" s="28" t="s">
        <v>177</v>
      </c>
      <c r="F18" s="28" t="s">
        <v>194</v>
      </c>
      <c r="G18" s="28" t="s">
        <v>106</v>
      </c>
      <c r="H18" s="28" t="s">
        <v>119</v>
      </c>
      <c r="I18" s="37" t="s">
        <v>150</v>
      </c>
      <c r="J18" s="30">
        <v>6</v>
      </c>
      <c r="K18" s="31">
        <v>27</v>
      </c>
      <c r="L18" s="28" t="s">
        <v>195</v>
      </c>
      <c r="M18" s="31">
        <v>120</v>
      </c>
      <c r="N18" s="31"/>
      <c r="O18" s="28" t="s">
        <v>175</v>
      </c>
      <c r="P18" s="28"/>
      <c r="Q18" s="29">
        <v>46155</v>
      </c>
      <c r="R18" s="38" t="str">
        <f>IF(tblNcrs[[#This Row],[Date]]="","",IFERROR(INDEX(tblOrigins[Type],MATCH(tblNcrs[[#This Row],[Origin]],tblOrigins[Origin],0)),""))</f>
        <v>Supplier</v>
      </c>
      <c r="S18" s="39">
        <f>IF(tblNcrs[[#This Row],[Date]]="","",IF(tblNcrs[[#This Row],[Disposition]]="Scrap",tblNcrs[[#This Row],[Qty nonconforming]]*tblNcrs[[#This Row],[Unit cost]],0))</f>
        <v>0</v>
      </c>
      <c r="T18" s="39">
        <f>IF(tblNcrs[[#This Row],[Date]]="","",tblNcrs[[#This Row],[Scrap cost]]+N(tblNcrs[[#This Row],[Rework or repair cost]])+AdminCost-N(tblNcrs[[#This Row],[Recovered]]))</f>
        <v>205</v>
      </c>
      <c r="U18" s="40">
        <f>IF(tblNcrs[[#This Row],[Date]]="","",IF(N(tblNcrs[[#This Row],[Closed]])&gt;0,tblNcrs[[#This Row],[Closed]],AsOf)-tblNcrs[[#This Row],[Date]])</f>
        <v>14</v>
      </c>
      <c r="V18" s="41" t="str">
        <f>IF(tblNcrs[[#This Row],[Date]]="","",IF(N(tblNcrs[[#This Row],[Closed]])&gt;0,"Complete",IF(tblNcrs[[#This Row],[Date]]+CloseDays&lt;AsOf,"Overdue",IF(tblNcrs[[#This Row],[Date]]+CloseDays-AsOf&lt;=DueSoonDays,"Due soon","In progress"))))</f>
        <v>Complete</v>
      </c>
      <c r="W18" s="40">
        <f>IF(tblNcrs[[#This Row],[Date]]="","",IF(AND(OR(DashSource="",tblNcrs[[#This Row],[Source]]=DashSource),OR(DashOrigin="",tblNcrs[[#This Row],[Origin]]=DashOrigin)),1,0))</f>
        <v>1</v>
      </c>
      <c r="X1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9" spans="2:24" x14ac:dyDescent="0.25">
      <c r="B19" s="28" t="s">
        <v>196</v>
      </c>
      <c r="C19" s="29">
        <v>46147</v>
      </c>
      <c r="D19" s="28" t="s">
        <v>83</v>
      </c>
      <c r="E19" s="28" t="s">
        <v>197</v>
      </c>
      <c r="F19" s="28" t="s">
        <v>198</v>
      </c>
      <c r="G19" s="28" t="s">
        <v>103</v>
      </c>
      <c r="H19" s="28" t="s">
        <v>115</v>
      </c>
      <c r="I19" s="37" t="s">
        <v>199</v>
      </c>
      <c r="J19" s="30">
        <v>3</v>
      </c>
      <c r="K19" s="31">
        <v>64</v>
      </c>
      <c r="L19" s="28" t="s">
        <v>188</v>
      </c>
      <c r="M19" s="31">
        <v>50</v>
      </c>
      <c r="N19" s="31"/>
      <c r="O19" s="28" t="s">
        <v>175</v>
      </c>
      <c r="P19" s="28"/>
      <c r="Q19" s="29">
        <v>46162</v>
      </c>
      <c r="R19" s="38" t="str">
        <f>IF(tblNcrs[[#This Row],[Date]]="","",IFERROR(INDEX(tblOrigins[Type],MATCH(tblNcrs[[#This Row],[Origin]],tblOrigins[Origin],0)),""))</f>
        <v>Supplier</v>
      </c>
      <c r="S19" s="39">
        <f>IF(tblNcrs[[#This Row],[Date]]="","",IF(tblNcrs[[#This Row],[Disposition]]="Scrap",tblNcrs[[#This Row],[Qty nonconforming]]*tblNcrs[[#This Row],[Unit cost]],0))</f>
        <v>0</v>
      </c>
      <c r="T19" s="39">
        <f>IF(tblNcrs[[#This Row],[Date]]="","",tblNcrs[[#This Row],[Scrap cost]]+N(tblNcrs[[#This Row],[Rework or repair cost]])+AdminCost-N(tblNcrs[[#This Row],[Recovered]]))</f>
        <v>135</v>
      </c>
      <c r="U19" s="40">
        <f>IF(tblNcrs[[#This Row],[Date]]="","",IF(N(tblNcrs[[#This Row],[Closed]])&gt;0,tblNcrs[[#This Row],[Closed]],AsOf)-tblNcrs[[#This Row],[Date]])</f>
        <v>15</v>
      </c>
      <c r="V19" s="41" t="str">
        <f>IF(tblNcrs[[#This Row],[Date]]="","",IF(N(tblNcrs[[#This Row],[Closed]])&gt;0,"Complete",IF(tblNcrs[[#This Row],[Date]]+CloseDays&lt;AsOf,"Overdue",IF(tblNcrs[[#This Row],[Date]]+CloseDays-AsOf&lt;=DueSoonDays,"Due soon","In progress"))))</f>
        <v>Complete</v>
      </c>
      <c r="W19" s="40">
        <f>IF(tblNcrs[[#This Row],[Date]]="","",IF(AND(OR(DashSource="",tblNcrs[[#This Row],[Source]]=DashSource),OR(DashOrigin="",tblNcrs[[#This Row],[Origin]]=DashOrigin)),1,0))</f>
        <v>1</v>
      </c>
      <c r="X1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0" spans="2:24" x14ac:dyDescent="0.25">
      <c r="B20" s="28" t="s">
        <v>200</v>
      </c>
      <c r="C20" s="29">
        <v>46149</v>
      </c>
      <c r="D20" s="28" t="s">
        <v>89</v>
      </c>
      <c r="E20" s="28" t="s">
        <v>161</v>
      </c>
      <c r="F20" s="28" t="s">
        <v>201</v>
      </c>
      <c r="G20" s="28" t="s">
        <v>97</v>
      </c>
      <c r="H20" s="28" t="s">
        <v>109</v>
      </c>
      <c r="I20" s="37" t="s">
        <v>163</v>
      </c>
      <c r="J20" s="30">
        <v>3</v>
      </c>
      <c r="K20" s="31">
        <v>236</v>
      </c>
      <c r="L20" s="28" t="s">
        <v>158</v>
      </c>
      <c r="M20" s="31">
        <v>25</v>
      </c>
      <c r="N20" s="31"/>
      <c r="O20" s="28" t="s">
        <v>152</v>
      </c>
      <c r="P20" s="28" t="s">
        <v>202</v>
      </c>
      <c r="Q20" s="29">
        <v>46202</v>
      </c>
      <c r="R20" s="38" t="str">
        <f>IF(tblNcrs[[#This Row],[Date]]="","",IFERROR(INDEX(tblOrigins[Type],MATCH(tblNcrs[[#This Row],[Origin]],tblOrigins[Origin],0)),""))</f>
        <v>Internal</v>
      </c>
      <c r="S20" s="39">
        <f>IF(tblNcrs[[#This Row],[Date]]="","",IF(tblNcrs[[#This Row],[Disposition]]="Scrap",tblNcrs[[#This Row],[Qty nonconforming]]*tblNcrs[[#This Row],[Unit cost]],0))</f>
        <v>0</v>
      </c>
      <c r="T20" s="39">
        <f>IF(tblNcrs[[#This Row],[Date]]="","",tblNcrs[[#This Row],[Scrap cost]]+N(tblNcrs[[#This Row],[Rework or repair cost]])+AdminCost-N(tblNcrs[[#This Row],[Recovered]]))</f>
        <v>110</v>
      </c>
      <c r="U20" s="40">
        <f>IF(tblNcrs[[#This Row],[Date]]="","",IF(N(tblNcrs[[#This Row],[Closed]])&gt;0,tblNcrs[[#This Row],[Closed]],AsOf)-tblNcrs[[#This Row],[Date]])</f>
        <v>53</v>
      </c>
      <c r="V20" s="41" t="str">
        <f>IF(tblNcrs[[#This Row],[Date]]="","",IF(N(tblNcrs[[#This Row],[Closed]])&gt;0,"Complete",IF(tblNcrs[[#This Row],[Date]]+CloseDays&lt;AsOf,"Overdue",IF(tblNcrs[[#This Row],[Date]]+CloseDays-AsOf&lt;=DueSoonDays,"Due soon","In progress"))))</f>
        <v>Complete</v>
      </c>
      <c r="W20" s="40">
        <f>IF(tblNcrs[[#This Row],[Date]]="","",IF(AND(OR(DashSource="",tblNcrs[[#This Row],[Source]]=DashSource),OR(DashOrigin="",tblNcrs[[#This Row],[Origin]]=DashOrigin)),1,0))</f>
        <v>1</v>
      </c>
      <c r="X2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1" spans="2:24" x14ac:dyDescent="0.25">
      <c r="B21" s="28" t="s">
        <v>203</v>
      </c>
      <c r="C21" s="29">
        <v>46149</v>
      </c>
      <c r="D21" s="28" t="s">
        <v>85</v>
      </c>
      <c r="E21" s="28" t="s">
        <v>161</v>
      </c>
      <c r="F21" s="28" t="s">
        <v>204</v>
      </c>
      <c r="G21" s="28" t="s">
        <v>94</v>
      </c>
      <c r="H21" s="28" t="s">
        <v>109</v>
      </c>
      <c r="I21" s="37" t="s">
        <v>163</v>
      </c>
      <c r="J21" s="30">
        <v>2</v>
      </c>
      <c r="K21" s="31">
        <v>236</v>
      </c>
      <c r="L21" s="28" t="s">
        <v>158</v>
      </c>
      <c r="M21" s="31">
        <v>15</v>
      </c>
      <c r="N21" s="31"/>
      <c r="O21" s="28" t="s">
        <v>152</v>
      </c>
      <c r="P21" s="28" t="s">
        <v>205</v>
      </c>
      <c r="Q21" s="29">
        <v>46169</v>
      </c>
      <c r="R21" s="38" t="str">
        <f>IF(tblNcrs[[#This Row],[Date]]="","",IFERROR(INDEX(tblOrigins[Type],MATCH(tblNcrs[[#This Row],[Origin]],tblOrigins[Origin],0)),""))</f>
        <v>Internal</v>
      </c>
      <c r="S21" s="39">
        <f>IF(tblNcrs[[#This Row],[Date]]="","",IF(tblNcrs[[#This Row],[Disposition]]="Scrap",tblNcrs[[#This Row],[Qty nonconforming]]*tblNcrs[[#This Row],[Unit cost]],0))</f>
        <v>0</v>
      </c>
      <c r="T21" s="39">
        <f>IF(tblNcrs[[#This Row],[Date]]="","",tblNcrs[[#This Row],[Scrap cost]]+N(tblNcrs[[#This Row],[Rework or repair cost]])+AdminCost-N(tblNcrs[[#This Row],[Recovered]]))</f>
        <v>100</v>
      </c>
      <c r="U21" s="40">
        <f>IF(tblNcrs[[#This Row],[Date]]="","",IF(N(tblNcrs[[#This Row],[Closed]])&gt;0,tblNcrs[[#This Row],[Closed]],AsOf)-tblNcrs[[#This Row],[Date]])</f>
        <v>20</v>
      </c>
      <c r="V21" s="41" t="str">
        <f>IF(tblNcrs[[#This Row],[Date]]="","",IF(N(tblNcrs[[#This Row],[Closed]])&gt;0,"Complete",IF(tblNcrs[[#This Row],[Date]]+CloseDays&lt;AsOf,"Overdue",IF(tblNcrs[[#This Row],[Date]]+CloseDays-AsOf&lt;=DueSoonDays,"Due soon","In progress"))))</f>
        <v>Complete</v>
      </c>
      <c r="W21" s="40">
        <f>IF(tblNcrs[[#This Row],[Date]]="","",IF(AND(OR(DashSource="",tblNcrs[[#This Row],[Source]]=DashSource),OR(DashOrigin="",tblNcrs[[#This Row],[Origin]]=DashOrigin)),1,0))</f>
        <v>1</v>
      </c>
      <c r="X2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2" spans="2:24" x14ac:dyDescent="0.25">
      <c r="B22" s="28" t="s">
        <v>206</v>
      </c>
      <c r="C22" s="29">
        <v>46153</v>
      </c>
      <c r="D22" s="28" t="s">
        <v>85</v>
      </c>
      <c r="E22" s="28" t="s">
        <v>197</v>
      </c>
      <c r="F22" s="28" t="s">
        <v>207</v>
      </c>
      <c r="G22" s="28" t="s">
        <v>103</v>
      </c>
      <c r="H22" s="28" t="s">
        <v>123</v>
      </c>
      <c r="I22" s="37" t="s">
        <v>192</v>
      </c>
      <c r="J22" s="30">
        <v>1</v>
      </c>
      <c r="K22" s="31">
        <v>64</v>
      </c>
      <c r="L22" s="28" t="s">
        <v>151</v>
      </c>
      <c r="M22" s="31"/>
      <c r="N22" s="31"/>
      <c r="O22" s="28" t="s">
        <v>175</v>
      </c>
      <c r="P22" s="28"/>
      <c r="Q22" s="29">
        <v>46167</v>
      </c>
      <c r="R22" s="38" t="str">
        <f>IF(tblNcrs[[#This Row],[Date]]="","",IFERROR(INDEX(tblOrigins[Type],MATCH(tblNcrs[[#This Row],[Origin]],tblOrigins[Origin],0)),""))</f>
        <v>Supplier</v>
      </c>
      <c r="S22" s="39">
        <f>IF(tblNcrs[[#This Row],[Date]]="","",IF(tblNcrs[[#This Row],[Disposition]]="Scrap",tblNcrs[[#This Row],[Qty nonconforming]]*tblNcrs[[#This Row],[Unit cost]],0))</f>
        <v>0</v>
      </c>
      <c r="T22" s="39">
        <f>IF(tblNcrs[[#This Row],[Date]]="","",tblNcrs[[#This Row],[Scrap cost]]+N(tblNcrs[[#This Row],[Rework or repair cost]])+AdminCost-N(tblNcrs[[#This Row],[Recovered]]))</f>
        <v>85</v>
      </c>
      <c r="U22" s="40">
        <f>IF(tblNcrs[[#This Row],[Date]]="","",IF(N(tblNcrs[[#This Row],[Closed]])&gt;0,tblNcrs[[#This Row],[Closed]],AsOf)-tblNcrs[[#This Row],[Date]])</f>
        <v>14</v>
      </c>
      <c r="V22" s="41" t="str">
        <f>IF(tblNcrs[[#This Row],[Date]]="","",IF(N(tblNcrs[[#This Row],[Closed]])&gt;0,"Complete",IF(tblNcrs[[#This Row],[Date]]+CloseDays&lt;AsOf,"Overdue",IF(tblNcrs[[#This Row],[Date]]+CloseDays-AsOf&lt;=DueSoonDays,"Due soon","In progress"))))</f>
        <v>Complete</v>
      </c>
      <c r="W22" s="40">
        <f>IF(tblNcrs[[#This Row],[Date]]="","",IF(AND(OR(DashSource="",tblNcrs[[#This Row],[Source]]=DashSource),OR(DashOrigin="",tblNcrs[[#This Row],[Origin]]=DashOrigin)),1,0))</f>
        <v>1</v>
      </c>
      <c r="X2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3" spans="2:24" x14ac:dyDescent="0.25">
      <c r="B23" s="28" t="s">
        <v>208</v>
      </c>
      <c r="C23" s="29">
        <v>46153</v>
      </c>
      <c r="D23" s="28" t="s">
        <v>85</v>
      </c>
      <c r="E23" s="28" t="s">
        <v>177</v>
      </c>
      <c r="F23" s="28" t="s">
        <v>209</v>
      </c>
      <c r="G23" s="28" t="s">
        <v>101</v>
      </c>
      <c r="H23" s="28" t="s">
        <v>113</v>
      </c>
      <c r="I23" s="37" t="s">
        <v>157</v>
      </c>
      <c r="J23" s="30">
        <v>12</v>
      </c>
      <c r="K23" s="31">
        <v>27</v>
      </c>
      <c r="L23" s="28" t="s">
        <v>158</v>
      </c>
      <c r="M23" s="31">
        <v>240</v>
      </c>
      <c r="N23" s="31"/>
      <c r="O23" s="28" t="s">
        <v>175</v>
      </c>
      <c r="P23" s="28"/>
      <c r="Q23" s="29">
        <v>46171</v>
      </c>
      <c r="R23" s="38" t="str">
        <f>IF(tblNcrs[[#This Row],[Date]]="","",IFERROR(INDEX(tblOrigins[Type],MATCH(tblNcrs[[#This Row],[Origin]],tblOrigins[Origin],0)),""))</f>
        <v>Internal</v>
      </c>
      <c r="S23" s="39">
        <f>IF(tblNcrs[[#This Row],[Date]]="","",IF(tblNcrs[[#This Row],[Disposition]]="Scrap",tblNcrs[[#This Row],[Qty nonconforming]]*tblNcrs[[#This Row],[Unit cost]],0))</f>
        <v>0</v>
      </c>
      <c r="T23" s="39">
        <f>IF(tblNcrs[[#This Row],[Date]]="","",tblNcrs[[#This Row],[Scrap cost]]+N(tblNcrs[[#This Row],[Rework or repair cost]])+AdminCost-N(tblNcrs[[#This Row],[Recovered]]))</f>
        <v>325</v>
      </c>
      <c r="U23" s="40">
        <f>IF(tblNcrs[[#This Row],[Date]]="","",IF(N(tblNcrs[[#This Row],[Closed]])&gt;0,tblNcrs[[#This Row],[Closed]],AsOf)-tblNcrs[[#This Row],[Date]])</f>
        <v>18</v>
      </c>
      <c r="V23" s="41" t="str">
        <f>IF(tblNcrs[[#This Row],[Date]]="","",IF(N(tblNcrs[[#This Row],[Closed]])&gt;0,"Complete",IF(tblNcrs[[#This Row],[Date]]+CloseDays&lt;AsOf,"Overdue",IF(tblNcrs[[#This Row],[Date]]+CloseDays-AsOf&lt;=DueSoonDays,"Due soon","In progress"))))</f>
        <v>Complete</v>
      </c>
      <c r="W23" s="40">
        <f>IF(tblNcrs[[#This Row],[Date]]="","",IF(AND(OR(DashSource="",tblNcrs[[#This Row],[Source]]=DashSource),OR(DashOrigin="",tblNcrs[[#This Row],[Origin]]=DashOrigin)),1,0))</f>
        <v>1</v>
      </c>
      <c r="X2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4" spans="2:24" x14ac:dyDescent="0.25">
      <c r="B24" s="28" t="s">
        <v>210</v>
      </c>
      <c r="C24" s="29">
        <v>46154</v>
      </c>
      <c r="D24" s="28" t="s">
        <v>85</v>
      </c>
      <c r="E24" s="28" t="s">
        <v>155</v>
      </c>
      <c r="F24" s="28" t="s">
        <v>211</v>
      </c>
      <c r="G24" s="28" t="s">
        <v>97</v>
      </c>
      <c r="H24" s="28" t="s">
        <v>109</v>
      </c>
      <c r="I24" s="37" t="s">
        <v>163</v>
      </c>
      <c r="J24" s="30">
        <v>10</v>
      </c>
      <c r="K24" s="31">
        <v>118</v>
      </c>
      <c r="L24" s="28" t="s">
        <v>164</v>
      </c>
      <c r="M24" s="31"/>
      <c r="N24" s="31"/>
      <c r="O24" s="28" t="s">
        <v>152</v>
      </c>
      <c r="P24" s="28" t="s">
        <v>202</v>
      </c>
      <c r="Q24" s="29">
        <v>46174</v>
      </c>
      <c r="R24" s="38" t="str">
        <f>IF(tblNcrs[[#This Row],[Date]]="","",IFERROR(INDEX(tblOrigins[Type],MATCH(tblNcrs[[#This Row],[Origin]],tblOrigins[Origin],0)),""))</f>
        <v>Internal</v>
      </c>
      <c r="S24" s="39">
        <f>IF(tblNcrs[[#This Row],[Date]]="","",IF(tblNcrs[[#This Row],[Disposition]]="Scrap",tblNcrs[[#This Row],[Qty nonconforming]]*tblNcrs[[#This Row],[Unit cost]],0))</f>
        <v>1180</v>
      </c>
      <c r="T24" s="39">
        <f>IF(tblNcrs[[#This Row],[Date]]="","",tblNcrs[[#This Row],[Scrap cost]]+N(tblNcrs[[#This Row],[Rework or repair cost]])+AdminCost-N(tblNcrs[[#This Row],[Recovered]]))</f>
        <v>1265</v>
      </c>
      <c r="U24" s="40">
        <f>IF(tblNcrs[[#This Row],[Date]]="","",IF(N(tblNcrs[[#This Row],[Closed]])&gt;0,tblNcrs[[#This Row],[Closed]],AsOf)-tblNcrs[[#This Row],[Date]])</f>
        <v>20</v>
      </c>
      <c r="V24" s="41" t="str">
        <f>IF(tblNcrs[[#This Row],[Date]]="","",IF(N(tblNcrs[[#This Row],[Closed]])&gt;0,"Complete",IF(tblNcrs[[#This Row],[Date]]+CloseDays&lt;AsOf,"Overdue",IF(tblNcrs[[#This Row],[Date]]+CloseDays-AsOf&lt;=DueSoonDays,"Due soon","In progress"))))</f>
        <v>Complete</v>
      </c>
      <c r="W24" s="40">
        <f>IF(tblNcrs[[#This Row],[Date]]="","",IF(AND(OR(DashSource="",tblNcrs[[#This Row],[Source]]=DashSource),OR(DashOrigin="",tblNcrs[[#This Row],[Origin]]=DashOrigin)),1,0))</f>
        <v>1</v>
      </c>
      <c r="X2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5" spans="2:24" x14ac:dyDescent="0.25">
      <c r="B25" s="28" t="s">
        <v>212</v>
      </c>
      <c r="C25" s="29">
        <v>46155</v>
      </c>
      <c r="D25" s="28" t="s">
        <v>83</v>
      </c>
      <c r="E25" s="28" t="s">
        <v>177</v>
      </c>
      <c r="F25" s="28" t="s">
        <v>213</v>
      </c>
      <c r="G25" s="28" t="s">
        <v>106</v>
      </c>
      <c r="H25" s="28" t="s">
        <v>117</v>
      </c>
      <c r="I25" s="37" t="s">
        <v>187</v>
      </c>
      <c r="J25" s="30">
        <v>5</v>
      </c>
      <c r="K25" s="31">
        <v>27</v>
      </c>
      <c r="L25" s="28" t="s">
        <v>188</v>
      </c>
      <c r="M25" s="31"/>
      <c r="N25" s="31"/>
      <c r="O25" s="28" t="s">
        <v>175</v>
      </c>
      <c r="P25" s="28"/>
      <c r="Q25" s="29">
        <v>46165</v>
      </c>
      <c r="R25" s="38" t="str">
        <f>IF(tblNcrs[[#This Row],[Date]]="","",IFERROR(INDEX(tblOrigins[Type],MATCH(tblNcrs[[#This Row],[Origin]],tblOrigins[Origin],0)),""))</f>
        <v>Supplier</v>
      </c>
      <c r="S25" s="39">
        <f>IF(tblNcrs[[#This Row],[Date]]="","",IF(tblNcrs[[#This Row],[Disposition]]="Scrap",tblNcrs[[#This Row],[Qty nonconforming]]*tblNcrs[[#This Row],[Unit cost]],0))</f>
        <v>0</v>
      </c>
      <c r="T25" s="39">
        <f>IF(tblNcrs[[#This Row],[Date]]="","",tblNcrs[[#This Row],[Scrap cost]]+N(tblNcrs[[#This Row],[Rework or repair cost]])+AdminCost-N(tblNcrs[[#This Row],[Recovered]]))</f>
        <v>85</v>
      </c>
      <c r="U25" s="40">
        <f>IF(tblNcrs[[#This Row],[Date]]="","",IF(N(tblNcrs[[#This Row],[Closed]])&gt;0,tblNcrs[[#This Row],[Closed]],AsOf)-tblNcrs[[#This Row],[Date]])</f>
        <v>10</v>
      </c>
      <c r="V25" s="41" t="str">
        <f>IF(tblNcrs[[#This Row],[Date]]="","",IF(N(tblNcrs[[#This Row],[Closed]])&gt;0,"Complete",IF(tblNcrs[[#This Row],[Date]]+CloseDays&lt;AsOf,"Overdue",IF(tblNcrs[[#This Row],[Date]]+CloseDays-AsOf&lt;=DueSoonDays,"Due soon","In progress"))))</f>
        <v>Complete</v>
      </c>
      <c r="W25" s="40">
        <f>IF(tblNcrs[[#This Row],[Date]]="","",IF(AND(OR(DashSource="",tblNcrs[[#This Row],[Source]]=DashSource),OR(DashOrigin="",tblNcrs[[#This Row],[Origin]]=DashOrigin)),1,0))</f>
        <v>1</v>
      </c>
      <c r="X2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6" spans="2:24" x14ac:dyDescent="0.25">
      <c r="B26" s="28" t="s">
        <v>214</v>
      </c>
      <c r="C26" s="29">
        <v>46156</v>
      </c>
      <c r="D26" s="28" t="s">
        <v>87</v>
      </c>
      <c r="E26" s="28" t="s">
        <v>148</v>
      </c>
      <c r="F26" s="28" t="s">
        <v>215</v>
      </c>
      <c r="G26" s="28" t="s">
        <v>94</v>
      </c>
      <c r="H26" s="28" t="s">
        <v>109</v>
      </c>
      <c r="I26" s="37" t="s">
        <v>163</v>
      </c>
      <c r="J26" s="30">
        <v>15</v>
      </c>
      <c r="K26" s="31">
        <v>42.5</v>
      </c>
      <c r="L26" s="28" t="s">
        <v>164</v>
      </c>
      <c r="M26" s="31"/>
      <c r="N26" s="31"/>
      <c r="O26" s="28" t="s">
        <v>152</v>
      </c>
      <c r="P26" s="28" t="s">
        <v>216</v>
      </c>
      <c r="Q26" s="29">
        <v>46160</v>
      </c>
      <c r="R26" s="38" t="str">
        <f>IF(tblNcrs[[#This Row],[Date]]="","",IFERROR(INDEX(tblOrigins[Type],MATCH(tblNcrs[[#This Row],[Origin]],tblOrigins[Origin],0)),""))</f>
        <v>Internal</v>
      </c>
      <c r="S26" s="39">
        <f>IF(tblNcrs[[#This Row],[Date]]="","",IF(tblNcrs[[#This Row],[Disposition]]="Scrap",tblNcrs[[#This Row],[Qty nonconforming]]*tblNcrs[[#This Row],[Unit cost]],0))</f>
        <v>637.5</v>
      </c>
      <c r="T26" s="39">
        <f>IF(tblNcrs[[#This Row],[Date]]="","",tblNcrs[[#This Row],[Scrap cost]]+N(tblNcrs[[#This Row],[Rework or repair cost]])+AdminCost-N(tblNcrs[[#This Row],[Recovered]]))</f>
        <v>722.5</v>
      </c>
      <c r="U26" s="40">
        <f>IF(tblNcrs[[#This Row],[Date]]="","",IF(N(tblNcrs[[#This Row],[Closed]])&gt;0,tblNcrs[[#This Row],[Closed]],AsOf)-tblNcrs[[#This Row],[Date]])</f>
        <v>4</v>
      </c>
      <c r="V26" s="41" t="str">
        <f>IF(tblNcrs[[#This Row],[Date]]="","",IF(N(tblNcrs[[#This Row],[Closed]])&gt;0,"Complete",IF(tblNcrs[[#This Row],[Date]]+CloseDays&lt;AsOf,"Overdue",IF(tblNcrs[[#This Row],[Date]]+CloseDays-AsOf&lt;=DueSoonDays,"Due soon","In progress"))))</f>
        <v>Complete</v>
      </c>
      <c r="W26" s="40">
        <f>IF(tblNcrs[[#This Row],[Date]]="","",IF(AND(OR(DashSource="",tblNcrs[[#This Row],[Source]]=DashSource),OR(DashOrigin="",tblNcrs[[#This Row],[Origin]]=DashOrigin)),1,0))</f>
        <v>1</v>
      </c>
      <c r="X2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7" spans="2:24" x14ac:dyDescent="0.25">
      <c r="B27" s="28" t="s">
        <v>217</v>
      </c>
      <c r="C27" s="29">
        <v>46156</v>
      </c>
      <c r="D27" s="28" t="s">
        <v>87</v>
      </c>
      <c r="E27" s="28" t="s">
        <v>161</v>
      </c>
      <c r="F27" s="28" t="s">
        <v>218</v>
      </c>
      <c r="G27" s="28" t="s">
        <v>94</v>
      </c>
      <c r="H27" s="28" t="s">
        <v>119</v>
      </c>
      <c r="I27" s="37" t="s">
        <v>150</v>
      </c>
      <c r="J27" s="30">
        <v>15</v>
      </c>
      <c r="K27" s="31">
        <v>236</v>
      </c>
      <c r="L27" s="28" t="s">
        <v>151</v>
      </c>
      <c r="M27" s="31"/>
      <c r="N27" s="31"/>
      <c r="O27" s="28" t="s">
        <v>152</v>
      </c>
      <c r="P27" s="28" t="s">
        <v>219</v>
      </c>
      <c r="Q27" s="29">
        <v>46175</v>
      </c>
      <c r="R27" s="38" t="str">
        <f>IF(tblNcrs[[#This Row],[Date]]="","",IFERROR(INDEX(tblOrigins[Type],MATCH(tblNcrs[[#This Row],[Origin]],tblOrigins[Origin],0)),""))</f>
        <v>Internal</v>
      </c>
      <c r="S27" s="39">
        <f>IF(tblNcrs[[#This Row],[Date]]="","",IF(tblNcrs[[#This Row],[Disposition]]="Scrap",tblNcrs[[#This Row],[Qty nonconforming]]*tblNcrs[[#This Row],[Unit cost]],0))</f>
        <v>0</v>
      </c>
      <c r="T27" s="39">
        <f>IF(tblNcrs[[#This Row],[Date]]="","",tblNcrs[[#This Row],[Scrap cost]]+N(tblNcrs[[#This Row],[Rework or repair cost]])+AdminCost-N(tblNcrs[[#This Row],[Recovered]]))</f>
        <v>85</v>
      </c>
      <c r="U27" s="40">
        <f>IF(tblNcrs[[#This Row],[Date]]="","",IF(N(tblNcrs[[#This Row],[Closed]])&gt;0,tblNcrs[[#This Row],[Closed]],AsOf)-tblNcrs[[#This Row],[Date]])</f>
        <v>19</v>
      </c>
      <c r="V27" s="41" t="str">
        <f>IF(tblNcrs[[#This Row],[Date]]="","",IF(N(tblNcrs[[#This Row],[Closed]])&gt;0,"Complete",IF(tblNcrs[[#This Row],[Date]]+CloseDays&lt;AsOf,"Overdue",IF(tblNcrs[[#This Row],[Date]]+CloseDays-AsOf&lt;=DueSoonDays,"Due soon","In progress"))))</f>
        <v>Complete</v>
      </c>
      <c r="W27" s="40">
        <f>IF(tblNcrs[[#This Row],[Date]]="","",IF(AND(OR(DashSource="",tblNcrs[[#This Row],[Source]]=DashSource),OR(DashOrigin="",tblNcrs[[#This Row],[Origin]]=DashOrigin)),1,0))</f>
        <v>1</v>
      </c>
      <c r="X2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8" spans="2:24" x14ac:dyDescent="0.25">
      <c r="B28" s="28" t="s">
        <v>220</v>
      </c>
      <c r="C28" s="29">
        <v>46156</v>
      </c>
      <c r="D28" s="28" t="s">
        <v>89</v>
      </c>
      <c r="E28" s="28" t="s">
        <v>173</v>
      </c>
      <c r="F28" s="28" t="s">
        <v>221</v>
      </c>
      <c r="G28" s="28" t="s">
        <v>99</v>
      </c>
      <c r="H28" s="28" t="s">
        <v>111</v>
      </c>
      <c r="I28" s="37" t="s">
        <v>170</v>
      </c>
      <c r="J28" s="30">
        <v>8</v>
      </c>
      <c r="K28" s="31">
        <v>18.5</v>
      </c>
      <c r="L28" s="28" t="s">
        <v>158</v>
      </c>
      <c r="M28" s="31">
        <v>130</v>
      </c>
      <c r="N28" s="31"/>
      <c r="O28" s="28" t="s">
        <v>152</v>
      </c>
      <c r="P28" s="28" t="s">
        <v>179</v>
      </c>
      <c r="Q28" s="29">
        <v>46187</v>
      </c>
      <c r="R28" s="38" t="str">
        <f>IF(tblNcrs[[#This Row],[Date]]="","",IFERROR(INDEX(tblOrigins[Type],MATCH(tblNcrs[[#This Row],[Origin]],tblOrigins[Origin],0)),""))</f>
        <v>Internal</v>
      </c>
      <c r="S28" s="39">
        <f>IF(tblNcrs[[#This Row],[Date]]="","",IF(tblNcrs[[#This Row],[Disposition]]="Scrap",tblNcrs[[#This Row],[Qty nonconforming]]*tblNcrs[[#This Row],[Unit cost]],0))</f>
        <v>0</v>
      </c>
      <c r="T28" s="39">
        <f>IF(tblNcrs[[#This Row],[Date]]="","",tblNcrs[[#This Row],[Scrap cost]]+N(tblNcrs[[#This Row],[Rework or repair cost]])+AdminCost-N(tblNcrs[[#This Row],[Recovered]]))</f>
        <v>215</v>
      </c>
      <c r="U28" s="40">
        <f>IF(tblNcrs[[#This Row],[Date]]="","",IF(N(tblNcrs[[#This Row],[Closed]])&gt;0,tblNcrs[[#This Row],[Closed]],AsOf)-tblNcrs[[#This Row],[Date]])</f>
        <v>31</v>
      </c>
      <c r="V28" s="41" t="str">
        <f>IF(tblNcrs[[#This Row],[Date]]="","",IF(N(tblNcrs[[#This Row],[Closed]])&gt;0,"Complete",IF(tblNcrs[[#This Row],[Date]]+CloseDays&lt;AsOf,"Overdue",IF(tblNcrs[[#This Row],[Date]]+CloseDays-AsOf&lt;=DueSoonDays,"Due soon","In progress"))))</f>
        <v>Complete</v>
      </c>
      <c r="W28" s="40">
        <f>IF(tblNcrs[[#This Row],[Date]]="","",IF(AND(OR(DashSource="",tblNcrs[[#This Row],[Source]]=DashSource),OR(DashOrigin="",tblNcrs[[#This Row],[Origin]]=DashOrigin)),1,0))</f>
        <v>1</v>
      </c>
      <c r="X2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29" spans="2:24" x14ac:dyDescent="0.25">
      <c r="B29" s="28" t="s">
        <v>222</v>
      </c>
      <c r="C29" s="29">
        <v>46156</v>
      </c>
      <c r="D29" s="28" t="s">
        <v>87</v>
      </c>
      <c r="E29" s="28" t="s">
        <v>161</v>
      </c>
      <c r="F29" s="28" t="s">
        <v>223</v>
      </c>
      <c r="G29" s="28" t="s">
        <v>99</v>
      </c>
      <c r="H29" s="28" t="s">
        <v>123</v>
      </c>
      <c r="I29" s="37" t="s">
        <v>192</v>
      </c>
      <c r="J29" s="30">
        <v>2</v>
      </c>
      <c r="K29" s="31">
        <v>236</v>
      </c>
      <c r="L29" s="28" t="s">
        <v>151</v>
      </c>
      <c r="M29" s="31"/>
      <c r="N29" s="31"/>
      <c r="O29" s="28" t="s">
        <v>152</v>
      </c>
      <c r="P29" s="28" t="s">
        <v>224</v>
      </c>
      <c r="Q29" s="29">
        <v>46165</v>
      </c>
      <c r="R29" s="38" t="str">
        <f>IF(tblNcrs[[#This Row],[Date]]="","",IFERROR(INDEX(tblOrigins[Type],MATCH(tblNcrs[[#This Row],[Origin]],tblOrigins[Origin],0)),""))</f>
        <v>Internal</v>
      </c>
      <c r="S29" s="39">
        <f>IF(tblNcrs[[#This Row],[Date]]="","",IF(tblNcrs[[#This Row],[Disposition]]="Scrap",tblNcrs[[#This Row],[Qty nonconforming]]*tblNcrs[[#This Row],[Unit cost]],0))</f>
        <v>0</v>
      </c>
      <c r="T29" s="39">
        <f>IF(tblNcrs[[#This Row],[Date]]="","",tblNcrs[[#This Row],[Scrap cost]]+N(tblNcrs[[#This Row],[Rework or repair cost]])+AdminCost-N(tblNcrs[[#This Row],[Recovered]]))</f>
        <v>85</v>
      </c>
      <c r="U29" s="40">
        <f>IF(tblNcrs[[#This Row],[Date]]="","",IF(N(tblNcrs[[#This Row],[Closed]])&gt;0,tblNcrs[[#This Row],[Closed]],AsOf)-tblNcrs[[#This Row],[Date]])</f>
        <v>9</v>
      </c>
      <c r="V29" s="41" t="str">
        <f>IF(tblNcrs[[#This Row],[Date]]="","",IF(N(tblNcrs[[#This Row],[Closed]])&gt;0,"Complete",IF(tblNcrs[[#This Row],[Date]]+CloseDays&lt;AsOf,"Overdue",IF(tblNcrs[[#This Row],[Date]]+CloseDays-AsOf&lt;=DueSoonDays,"Due soon","In progress"))))</f>
        <v>Complete</v>
      </c>
      <c r="W29" s="40">
        <f>IF(tblNcrs[[#This Row],[Date]]="","",IF(AND(OR(DashSource="",tblNcrs[[#This Row],[Source]]=DashSource),OR(DashOrigin="",tblNcrs[[#This Row],[Origin]]=DashOrigin)),1,0))</f>
        <v>1</v>
      </c>
      <c r="X2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0" spans="2:24" x14ac:dyDescent="0.25">
      <c r="B30" s="28" t="s">
        <v>225</v>
      </c>
      <c r="C30" s="29">
        <v>46160</v>
      </c>
      <c r="D30" s="28" t="s">
        <v>89</v>
      </c>
      <c r="E30" s="28" t="s">
        <v>177</v>
      </c>
      <c r="F30" s="28" t="s">
        <v>226</v>
      </c>
      <c r="G30" s="28" t="s">
        <v>101</v>
      </c>
      <c r="H30" s="28" t="s">
        <v>119</v>
      </c>
      <c r="I30" s="37" t="s">
        <v>150</v>
      </c>
      <c r="J30" s="30">
        <v>20</v>
      </c>
      <c r="K30" s="31">
        <v>27</v>
      </c>
      <c r="L30" s="28" t="s">
        <v>164</v>
      </c>
      <c r="M30" s="31"/>
      <c r="N30" s="31"/>
      <c r="O30" s="28" t="s">
        <v>152</v>
      </c>
      <c r="P30" s="28" t="s">
        <v>159</v>
      </c>
      <c r="Q30" s="29">
        <v>46189</v>
      </c>
      <c r="R30" s="38" t="str">
        <f>IF(tblNcrs[[#This Row],[Date]]="","",IFERROR(INDEX(tblOrigins[Type],MATCH(tblNcrs[[#This Row],[Origin]],tblOrigins[Origin],0)),""))</f>
        <v>Internal</v>
      </c>
      <c r="S30" s="39">
        <f>IF(tblNcrs[[#This Row],[Date]]="","",IF(tblNcrs[[#This Row],[Disposition]]="Scrap",tblNcrs[[#This Row],[Qty nonconforming]]*tblNcrs[[#This Row],[Unit cost]],0))</f>
        <v>540</v>
      </c>
      <c r="T30" s="39">
        <f>IF(tblNcrs[[#This Row],[Date]]="","",tblNcrs[[#This Row],[Scrap cost]]+N(tblNcrs[[#This Row],[Rework or repair cost]])+AdminCost-N(tblNcrs[[#This Row],[Recovered]]))</f>
        <v>625</v>
      </c>
      <c r="U30" s="40">
        <f>IF(tblNcrs[[#This Row],[Date]]="","",IF(N(tblNcrs[[#This Row],[Closed]])&gt;0,tblNcrs[[#This Row],[Closed]],AsOf)-tblNcrs[[#This Row],[Date]])</f>
        <v>29</v>
      </c>
      <c r="V30" s="41" t="str">
        <f>IF(tblNcrs[[#This Row],[Date]]="","",IF(N(tblNcrs[[#This Row],[Closed]])&gt;0,"Complete",IF(tblNcrs[[#This Row],[Date]]+CloseDays&lt;AsOf,"Overdue",IF(tblNcrs[[#This Row],[Date]]+CloseDays-AsOf&lt;=DueSoonDays,"Due soon","In progress"))))</f>
        <v>Complete</v>
      </c>
      <c r="W30" s="40">
        <f>IF(tblNcrs[[#This Row],[Date]]="","",IF(AND(OR(DashSource="",tblNcrs[[#This Row],[Source]]=DashSource),OR(DashOrigin="",tblNcrs[[#This Row],[Origin]]=DashOrigin)),1,0))</f>
        <v>1</v>
      </c>
      <c r="X3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1" spans="2:24" x14ac:dyDescent="0.25">
      <c r="B31" s="28" t="s">
        <v>227</v>
      </c>
      <c r="C31" s="29">
        <v>46162</v>
      </c>
      <c r="D31" s="28" t="s">
        <v>85</v>
      </c>
      <c r="E31" s="28" t="s">
        <v>177</v>
      </c>
      <c r="F31" s="28" t="s">
        <v>228</v>
      </c>
      <c r="G31" s="28" t="s">
        <v>99</v>
      </c>
      <c r="H31" s="28" t="s">
        <v>119</v>
      </c>
      <c r="I31" s="37" t="s">
        <v>150</v>
      </c>
      <c r="J31" s="30">
        <v>15</v>
      </c>
      <c r="K31" s="31">
        <v>27</v>
      </c>
      <c r="L31" s="28" t="s">
        <v>195</v>
      </c>
      <c r="M31" s="31">
        <v>180</v>
      </c>
      <c r="N31" s="31"/>
      <c r="O31" s="28" t="s">
        <v>152</v>
      </c>
      <c r="P31" s="28" t="s">
        <v>229</v>
      </c>
      <c r="Q31" s="29">
        <v>46178</v>
      </c>
      <c r="R31" s="38" t="str">
        <f>IF(tblNcrs[[#This Row],[Date]]="","",IFERROR(INDEX(tblOrigins[Type],MATCH(tblNcrs[[#This Row],[Origin]],tblOrigins[Origin],0)),""))</f>
        <v>Internal</v>
      </c>
      <c r="S31" s="39">
        <f>IF(tblNcrs[[#This Row],[Date]]="","",IF(tblNcrs[[#This Row],[Disposition]]="Scrap",tblNcrs[[#This Row],[Qty nonconforming]]*tblNcrs[[#This Row],[Unit cost]],0))</f>
        <v>0</v>
      </c>
      <c r="T31" s="39">
        <f>IF(tblNcrs[[#This Row],[Date]]="","",tblNcrs[[#This Row],[Scrap cost]]+N(tblNcrs[[#This Row],[Rework or repair cost]])+AdminCost-N(tblNcrs[[#This Row],[Recovered]]))</f>
        <v>265</v>
      </c>
      <c r="U31" s="40">
        <f>IF(tblNcrs[[#This Row],[Date]]="","",IF(N(tblNcrs[[#This Row],[Closed]])&gt;0,tblNcrs[[#This Row],[Closed]],AsOf)-tblNcrs[[#This Row],[Date]])</f>
        <v>16</v>
      </c>
      <c r="V31" s="41" t="str">
        <f>IF(tblNcrs[[#This Row],[Date]]="","",IF(N(tblNcrs[[#This Row],[Closed]])&gt;0,"Complete",IF(tblNcrs[[#This Row],[Date]]+CloseDays&lt;AsOf,"Overdue",IF(tblNcrs[[#This Row],[Date]]+CloseDays-AsOf&lt;=DueSoonDays,"Due soon","In progress"))))</f>
        <v>Complete</v>
      </c>
      <c r="W31" s="40">
        <f>IF(tblNcrs[[#This Row],[Date]]="","",IF(AND(OR(DashSource="",tblNcrs[[#This Row],[Source]]=DashSource),OR(DashOrigin="",tblNcrs[[#This Row],[Origin]]=DashOrigin)),1,0))</f>
        <v>1</v>
      </c>
      <c r="X3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2" spans="2:24" x14ac:dyDescent="0.25">
      <c r="B32" s="28" t="s">
        <v>230</v>
      </c>
      <c r="C32" s="29">
        <v>46163</v>
      </c>
      <c r="D32" s="28" t="s">
        <v>87</v>
      </c>
      <c r="E32" s="28" t="s">
        <v>197</v>
      </c>
      <c r="F32" s="28" t="s">
        <v>231</v>
      </c>
      <c r="G32" s="28" t="s">
        <v>99</v>
      </c>
      <c r="H32" s="28" t="s">
        <v>121</v>
      </c>
      <c r="I32" s="37" t="s">
        <v>232</v>
      </c>
      <c r="J32" s="30">
        <v>1</v>
      </c>
      <c r="K32" s="31">
        <v>64</v>
      </c>
      <c r="L32" s="28" t="s">
        <v>158</v>
      </c>
      <c r="M32" s="31">
        <v>5</v>
      </c>
      <c r="N32" s="31"/>
      <c r="O32" s="28" t="s">
        <v>175</v>
      </c>
      <c r="P32" s="28"/>
      <c r="Q32" s="29">
        <v>46167</v>
      </c>
      <c r="R32" s="38" t="str">
        <f>IF(tblNcrs[[#This Row],[Date]]="","",IFERROR(INDEX(tblOrigins[Type],MATCH(tblNcrs[[#This Row],[Origin]],tblOrigins[Origin],0)),""))</f>
        <v>Internal</v>
      </c>
      <c r="S32" s="39">
        <f>IF(tblNcrs[[#This Row],[Date]]="","",IF(tblNcrs[[#This Row],[Disposition]]="Scrap",tblNcrs[[#This Row],[Qty nonconforming]]*tblNcrs[[#This Row],[Unit cost]],0))</f>
        <v>0</v>
      </c>
      <c r="T32" s="39">
        <f>IF(tblNcrs[[#This Row],[Date]]="","",tblNcrs[[#This Row],[Scrap cost]]+N(tblNcrs[[#This Row],[Rework or repair cost]])+AdminCost-N(tblNcrs[[#This Row],[Recovered]]))</f>
        <v>90</v>
      </c>
      <c r="U32" s="40">
        <f>IF(tblNcrs[[#This Row],[Date]]="","",IF(N(tblNcrs[[#This Row],[Closed]])&gt;0,tblNcrs[[#This Row],[Closed]],AsOf)-tblNcrs[[#This Row],[Date]])</f>
        <v>4</v>
      </c>
      <c r="V32" s="41" t="str">
        <f>IF(tblNcrs[[#This Row],[Date]]="","",IF(N(tblNcrs[[#This Row],[Closed]])&gt;0,"Complete",IF(tblNcrs[[#This Row],[Date]]+CloseDays&lt;AsOf,"Overdue",IF(tblNcrs[[#This Row],[Date]]+CloseDays-AsOf&lt;=DueSoonDays,"Due soon","In progress"))))</f>
        <v>Complete</v>
      </c>
      <c r="W32" s="40">
        <f>IF(tblNcrs[[#This Row],[Date]]="","",IF(AND(OR(DashSource="",tblNcrs[[#This Row],[Source]]=DashSource),OR(DashOrigin="",tblNcrs[[#This Row],[Origin]]=DashOrigin)),1,0))</f>
        <v>1</v>
      </c>
      <c r="X3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3" spans="2:24" x14ac:dyDescent="0.25">
      <c r="B33" s="28" t="s">
        <v>233</v>
      </c>
      <c r="C33" s="29">
        <v>46164</v>
      </c>
      <c r="D33" s="28" t="s">
        <v>85</v>
      </c>
      <c r="E33" s="28" t="s">
        <v>177</v>
      </c>
      <c r="F33" s="28" t="s">
        <v>234</v>
      </c>
      <c r="G33" s="28" t="s">
        <v>97</v>
      </c>
      <c r="H33" s="28" t="s">
        <v>109</v>
      </c>
      <c r="I33" s="37" t="s">
        <v>163</v>
      </c>
      <c r="J33" s="30">
        <v>4</v>
      </c>
      <c r="K33" s="31">
        <v>27</v>
      </c>
      <c r="L33" s="28" t="s">
        <v>164</v>
      </c>
      <c r="M33" s="31"/>
      <c r="N33" s="31"/>
      <c r="O33" s="28" t="s">
        <v>175</v>
      </c>
      <c r="P33" s="28"/>
      <c r="Q33" s="29">
        <v>46170</v>
      </c>
      <c r="R33" s="38" t="str">
        <f>IF(tblNcrs[[#This Row],[Date]]="","",IFERROR(INDEX(tblOrigins[Type],MATCH(tblNcrs[[#This Row],[Origin]],tblOrigins[Origin],0)),""))</f>
        <v>Internal</v>
      </c>
      <c r="S33" s="39">
        <f>IF(tblNcrs[[#This Row],[Date]]="","",IF(tblNcrs[[#This Row],[Disposition]]="Scrap",tblNcrs[[#This Row],[Qty nonconforming]]*tblNcrs[[#This Row],[Unit cost]],0))</f>
        <v>108</v>
      </c>
      <c r="T33" s="39">
        <f>IF(tblNcrs[[#This Row],[Date]]="","",tblNcrs[[#This Row],[Scrap cost]]+N(tblNcrs[[#This Row],[Rework or repair cost]])+AdminCost-N(tblNcrs[[#This Row],[Recovered]]))</f>
        <v>193</v>
      </c>
      <c r="U33" s="40">
        <f>IF(tblNcrs[[#This Row],[Date]]="","",IF(N(tblNcrs[[#This Row],[Closed]])&gt;0,tblNcrs[[#This Row],[Closed]],AsOf)-tblNcrs[[#This Row],[Date]])</f>
        <v>6</v>
      </c>
      <c r="V33" s="41" t="str">
        <f>IF(tblNcrs[[#This Row],[Date]]="","",IF(N(tblNcrs[[#This Row],[Closed]])&gt;0,"Complete",IF(tblNcrs[[#This Row],[Date]]+CloseDays&lt;AsOf,"Overdue",IF(tblNcrs[[#This Row],[Date]]+CloseDays-AsOf&lt;=DueSoonDays,"Due soon","In progress"))))</f>
        <v>Complete</v>
      </c>
      <c r="W33" s="40">
        <f>IF(tblNcrs[[#This Row],[Date]]="","",IF(AND(OR(DashSource="",tblNcrs[[#This Row],[Source]]=DashSource),OR(DashOrigin="",tblNcrs[[#This Row],[Origin]]=DashOrigin)),1,0))</f>
        <v>1</v>
      </c>
      <c r="X3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4" spans="2:24" x14ac:dyDescent="0.25">
      <c r="B34" s="28" t="s">
        <v>235</v>
      </c>
      <c r="C34" s="29">
        <v>46164</v>
      </c>
      <c r="D34" s="28" t="s">
        <v>85</v>
      </c>
      <c r="E34" s="28" t="s">
        <v>155</v>
      </c>
      <c r="F34" s="28" t="s">
        <v>236</v>
      </c>
      <c r="G34" s="28" t="s">
        <v>99</v>
      </c>
      <c r="H34" s="28" t="s">
        <v>109</v>
      </c>
      <c r="I34" s="37" t="s">
        <v>163</v>
      </c>
      <c r="J34" s="30">
        <v>24</v>
      </c>
      <c r="K34" s="31">
        <v>118</v>
      </c>
      <c r="L34" s="28" t="s">
        <v>164</v>
      </c>
      <c r="M34" s="31"/>
      <c r="N34" s="31"/>
      <c r="O34" s="28" t="s">
        <v>152</v>
      </c>
      <c r="P34" s="28" t="s">
        <v>237</v>
      </c>
      <c r="Q34" s="29">
        <v>46175</v>
      </c>
      <c r="R34" s="38" t="str">
        <f>IF(tblNcrs[[#This Row],[Date]]="","",IFERROR(INDEX(tblOrigins[Type],MATCH(tblNcrs[[#This Row],[Origin]],tblOrigins[Origin],0)),""))</f>
        <v>Internal</v>
      </c>
      <c r="S34" s="39">
        <f>IF(tblNcrs[[#This Row],[Date]]="","",IF(tblNcrs[[#This Row],[Disposition]]="Scrap",tblNcrs[[#This Row],[Qty nonconforming]]*tblNcrs[[#This Row],[Unit cost]],0))</f>
        <v>2832</v>
      </c>
      <c r="T34" s="39">
        <f>IF(tblNcrs[[#This Row],[Date]]="","",tblNcrs[[#This Row],[Scrap cost]]+N(tblNcrs[[#This Row],[Rework or repair cost]])+AdminCost-N(tblNcrs[[#This Row],[Recovered]]))</f>
        <v>2917</v>
      </c>
      <c r="U34" s="40">
        <f>IF(tblNcrs[[#This Row],[Date]]="","",IF(N(tblNcrs[[#This Row],[Closed]])&gt;0,tblNcrs[[#This Row],[Closed]],AsOf)-tblNcrs[[#This Row],[Date]])</f>
        <v>11</v>
      </c>
      <c r="V34" s="41" t="str">
        <f>IF(tblNcrs[[#This Row],[Date]]="","",IF(N(tblNcrs[[#This Row],[Closed]])&gt;0,"Complete",IF(tblNcrs[[#This Row],[Date]]+CloseDays&lt;AsOf,"Overdue",IF(tblNcrs[[#This Row],[Date]]+CloseDays-AsOf&lt;=DueSoonDays,"Due soon","In progress"))))</f>
        <v>Complete</v>
      </c>
      <c r="W34" s="40">
        <f>IF(tblNcrs[[#This Row],[Date]]="","",IF(AND(OR(DashSource="",tblNcrs[[#This Row],[Source]]=DashSource),OR(DashOrigin="",tblNcrs[[#This Row],[Origin]]=DashOrigin)),1,0))</f>
        <v>1</v>
      </c>
      <c r="X3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5" spans="2:24" x14ac:dyDescent="0.25">
      <c r="B35" s="28" t="s">
        <v>238</v>
      </c>
      <c r="C35" s="29">
        <v>46167</v>
      </c>
      <c r="D35" s="28" t="s">
        <v>83</v>
      </c>
      <c r="E35" s="28" t="s">
        <v>148</v>
      </c>
      <c r="F35" s="28" t="s">
        <v>239</v>
      </c>
      <c r="G35" s="28" t="s">
        <v>106</v>
      </c>
      <c r="H35" s="28" t="s">
        <v>117</v>
      </c>
      <c r="I35" s="37" t="s">
        <v>187</v>
      </c>
      <c r="J35" s="30">
        <v>4</v>
      </c>
      <c r="K35" s="31">
        <v>42.5</v>
      </c>
      <c r="L35" s="28" t="s">
        <v>188</v>
      </c>
      <c r="M35" s="31"/>
      <c r="N35" s="31"/>
      <c r="O35" s="28" t="s">
        <v>175</v>
      </c>
      <c r="P35" s="28"/>
      <c r="Q35" s="29">
        <v>46182</v>
      </c>
      <c r="R35" s="38" t="str">
        <f>IF(tblNcrs[[#This Row],[Date]]="","",IFERROR(INDEX(tblOrigins[Type],MATCH(tblNcrs[[#This Row],[Origin]],tblOrigins[Origin],0)),""))</f>
        <v>Supplier</v>
      </c>
      <c r="S35" s="39">
        <f>IF(tblNcrs[[#This Row],[Date]]="","",IF(tblNcrs[[#This Row],[Disposition]]="Scrap",tblNcrs[[#This Row],[Qty nonconforming]]*tblNcrs[[#This Row],[Unit cost]],0))</f>
        <v>0</v>
      </c>
      <c r="T35" s="39">
        <f>IF(tblNcrs[[#This Row],[Date]]="","",tblNcrs[[#This Row],[Scrap cost]]+N(tblNcrs[[#This Row],[Rework or repair cost]])+AdminCost-N(tblNcrs[[#This Row],[Recovered]]))</f>
        <v>85</v>
      </c>
      <c r="U35" s="40">
        <f>IF(tblNcrs[[#This Row],[Date]]="","",IF(N(tblNcrs[[#This Row],[Closed]])&gt;0,tblNcrs[[#This Row],[Closed]],AsOf)-tblNcrs[[#This Row],[Date]])</f>
        <v>15</v>
      </c>
      <c r="V35" s="41" t="str">
        <f>IF(tblNcrs[[#This Row],[Date]]="","",IF(N(tblNcrs[[#This Row],[Closed]])&gt;0,"Complete",IF(tblNcrs[[#This Row],[Date]]+CloseDays&lt;AsOf,"Overdue",IF(tblNcrs[[#This Row],[Date]]+CloseDays-AsOf&lt;=DueSoonDays,"Due soon","In progress"))))</f>
        <v>Complete</v>
      </c>
      <c r="W35" s="40">
        <f>IF(tblNcrs[[#This Row],[Date]]="","",IF(AND(OR(DashSource="",tblNcrs[[#This Row],[Source]]=DashSource),OR(DashOrigin="",tblNcrs[[#This Row],[Origin]]=DashOrigin)),1,0))</f>
        <v>1</v>
      </c>
      <c r="X3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6" spans="2:24" x14ac:dyDescent="0.25">
      <c r="B36" s="28" t="s">
        <v>240</v>
      </c>
      <c r="C36" s="29">
        <v>46168</v>
      </c>
      <c r="D36" s="28" t="s">
        <v>85</v>
      </c>
      <c r="E36" s="28" t="s">
        <v>161</v>
      </c>
      <c r="F36" s="28" t="s">
        <v>241</v>
      </c>
      <c r="G36" s="28" t="s">
        <v>97</v>
      </c>
      <c r="H36" s="28" t="s">
        <v>109</v>
      </c>
      <c r="I36" s="37" t="s">
        <v>163</v>
      </c>
      <c r="J36" s="30">
        <v>6</v>
      </c>
      <c r="K36" s="31">
        <v>236</v>
      </c>
      <c r="L36" s="28" t="s">
        <v>158</v>
      </c>
      <c r="M36" s="31">
        <v>90</v>
      </c>
      <c r="N36" s="31"/>
      <c r="O36" s="28" t="s">
        <v>152</v>
      </c>
      <c r="P36" s="28" t="s">
        <v>242</v>
      </c>
      <c r="Q36" s="29">
        <v>46188</v>
      </c>
      <c r="R36" s="38" t="str">
        <f>IF(tblNcrs[[#This Row],[Date]]="","",IFERROR(INDEX(tblOrigins[Type],MATCH(tblNcrs[[#This Row],[Origin]],tblOrigins[Origin],0)),""))</f>
        <v>Internal</v>
      </c>
      <c r="S36" s="39">
        <f>IF(tblNcrs[[#This Row],[Date]]="","",IF(tblNcrs[[#This Row],[Disposition]]="Scrap",tblNcrs[[#This Row],[Qty nonconforming]]*tblNcrs[[#This Row],[Unit cost]],0))</f>
        <v>0</v>
      </c>
      <c r="T36" s="39">
        <f>IF(tblNcrs[[#This Row],[Date]]="","",tblNcrs[[#This Row],[Scrap cost]]+N(tblNcrs[[#This Row],[Rework or repair cost]])+AdminCost-N(tblNcrs[[#This Row],[Recovered]]))</f>
        <v>175</v>
      </c>
      <c r="U36" s="40">
        <f>IF(tblNcrs[[#This Row],[Date]]="","",IF(N(tblNcrs[[#This Row],[Closed]])&gt;0,tblNcrs[[#This Row],[Closed]],AsOf)-tblNcrs[[#This Row],[Date]])</f>
        <v>20</v>
      </c>
      <c r="V36" s="41" t="str">
        <f>IF(tblNcrs[[#This Row],[Date]]="","",IF(N(tblNcrs[[#This Row],[Closed]])&gt;0,"Complete",IF(tblNcrs[[#This Row],[Date]]+CloseDays&lt;AsOf,"Overdue",IF(tblNcrs[[#This Row],[Date]]+CloseDays-AsOf&lt;=DueSoonDays,"Due soon","In progress"))))</f>
        <v>Complete</v>
      </c>
      <c r="W36" s="40">
        <f>IF(tblNcrs[[#This Row],[Date]]="","",IF(AND(OR(DashSource="",tblNcrs[[#This Row],[Source]]=DashSource),OR(DashOrigin="",tblNcrs[[#This Row],[Origin]]=DashOrigin)),1,0))</f>
        <v>1</v>
      </c>
      <c r="X3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7" spans="2:24" x14ac:dyDescent="0.25">
      <c r="B37" s="28" t="s">
        <v>243</v>
      </c>
      <c r="C37" s="29">
        <v>46168</v>
      </c>
      <c r="D37" s="28" t="s">
        <v>83</v>
      </c>
      <c r="E37" s="28" t="s">
        <v>155</v>
      </c>
      <c r="F37" s="28" t="s">
        <v>244</v>
      </c>
      <c r="G37" s="28" t="s">
        <v>106</v>
      </c>
      <c r="H37" s="28" t="s">
        <v>117</v>
      </c>
      <c r="I37" s="37" t="s">
        <v>187</v>
      </c>
      <c r="J37" s="30">
        <v>1</v>
      </c>
      <c r="K37" s="31">
        <v>118</v>
      </c>
      <c r="L37" s="28" t="s">
        <v>151</v>
      </c>
      <c r="M37" s="31"/>
      <c r="N37" s="31"/>
      <c r="O37" s="28" t="s">
        <v>175</v>
      </c>
      <c r="P37" s="28"/>
      <c r="Q37" s="29">
        <v>46188</v>
      </c>
      <c r="R37" s="38" t="str">
        <f>IF(tblNcrs[[#This Row],[Date]]="","",IFERROR(INDEX(tblOrigins[Type],MATCH(tblNcrs[[#This Row],[Origin]],tblOrigins[Origin],0)),""))</f>
        <v>Supplier</v>
      </c>
      <c r="S37" s="39">
        <f>IF(tblNcrs[[#This Row],[Date]]="","",IF(tblNcrs[[#This Row],[Disposition]]="Scrap",tblNcrs[[#This Row],[Qty nonconforming]]*tblNcrs[[#This Row],[Unit cost]],0))</f>
        <v>0</v>
      </c>
      <c r="T37" s="39">
        <f>IF(tblNcrs[[#This Row],[Date]]="","",tblNcrs[[#This Row],[Scrap cost]]+N(tblNcrs[[#This Row],[Rework or repair cost]])+AdminCost-N(tblNcrs[[#This Row],[Recovered]]))</f>
        <v>85</v>
      </c>
      <c r="U37" s="40">
        <f>IF(tblNcrs[[#This Row],[Date]]="","",IF(N(tblNcrs[[#This Row],[Closed]])&gt;0,tblNcrs[[#This Row],[Closed]],AsOf)-tblNcrs[[#This Row],[Date]])</f>
        <v>20</v>
      </c>
      <c r="V37" s="41" t="str">
        <f>IF(tblNcrs[[#This Row],[Date]]="","",IF(N(tblNcrs[[#This Row],[Closed]])&gt;0,"Complete",IF(tblNcrs[[#This Row],[Date]]+CloseDays&lt;AsOf,"Overdue",IF(tblNcrs[[#This Row],[Date]]+CloseDays-AsOf&lt;=DueSoonDays,"Due soon","In progress"))))</f>
        <v>Complete</v>
      </c>
      <c r="W37" s="40">
        <f>IF(tblNcrs[[#This Row],[Date]]="","",IF(AND(OR(DashSource="",tblNcrs[[#This Row],[Source]]=DashSource),OR(DashOrigin="",tblNcrs[[#This Row],[Origin]]=DashOrigin)),1,0))</f>
        <v>1</v>
      </c>
      <c r="X3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8" spans="2:24" x14ac:dyDescent="0.25">
      <c r="B38" s="28" t="s">
        <v>245</v>
      </c>
      <c r="C38" s="29">
        <v>46174</v>
      </c>
      <c r="D38" s="28" t="s">
        <v>85</v>
      </c>
      <c r="E38" s="28" t="s">
        <v>197</v>
      </c>
      <c r="F38" s="28" t="s">
        <v>246</v>
      </c>
      <c r="G38" s="28" t="s">
        <v>99</v>
      </c>
      <c r="H38" s="28" t="s">
        <v>119</v>
      </c>
      <c r="I38" s="37" t="s">
        <v>150</v>
      </c>
      <c r="J38" s="30">
        <v>8</v>
      </c>
      <c r="K38" s="31">
        <v>64</v>
      </c>
      <c r="L38" s="28" t="s">
        <v>195</v>
      </c>
      <c r="M38" s="31">
        <v>135</v>
      </c>
      <c r="N38" s="31"/>
      <c r="O38" s="28" t="s">
        <v>152</v>
      </c>
      <c r="P38" s="28" t="s">
        <v>247</v>
      </c>
      <c r="Q38" s="29">
        <v>46183</v>
      </c>
      <c r="R38" s="38" t="str">
        <f>IF(tblNcrs[[#This Row],[Date]]="","",IFERROR(INDEX(tblOrigins[Type],MATCH(tblNcrs[[#This Row],[Origin]],tblOrigins[Origin],0)),""))</f>
        <v>Internal</v>
      </c>
      <c r="S38" s="39">
        <f>IF(tblNcrs[[#This Row],[Date]]="","",IF(tblNcrs[[#This Row],[Disposition]]="Scrap",tblNcrs[[#This Row],[Qty nonconforming]]*tblNcrs[[#This Row],[Unit cost]],0))</f>
        <v>0</v>
      </c>
      <c r="T38" s="39">
        <f>IF(tblNcrs[[#This Row],[Date]]="","",tblNcrs[[#This Row],[Scrap cost]]+N(tblNcrs[[#This Row],[Rework or repair cost]])+AdminCost-N(tblNcrs[[#This Row],[Recovered]]))</f>
        <v>220</v>
      </c>
      <c r="U38" s="40">
        <f>IF(tblNcrs[[#This Row],[Date]]="","",IF(N(tblNcrs[[#This Row],[Closed]])&gt;0,tblNcrs[[#This Row],[Closed]],AsOf)-tblNcrs[[#This Row],[Date]])</f>
        <v>9</v>
      </c>
      <c r="V38" s="41" t="str">
        <f>IF(tblNcrs[[#This Row],[Date]]="","",IF(N(tblNcrs[[#This Row],[Closed]])&gt;0,"Complete",IF(tblNcrs[[#This Row],[Date]]+CloseDays&lt;AsOf,"Overdue",IF(tblNcrs[[#This Row],[Date]]+CloseDays-AsOf&lt;=DueSoonDays,"Due soon","In progress"))))</f>
        <v>Complete</v>
      </c>
      <c r="W38" s="40">
        <f>IF(tblNcrs[[#This Row],[Date]]="","",IF(AND(OR(DashSource="",tblNcrs[[#This Row],[Source]]=DashSource),OR(DashOrigin="",tblNcrs[[#This Row],[Origin]]=DashOrigin)),1,0))</f>
        <v>1</v>
      </c>
      <c r="X3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39" spans="2:24" x14ac:dyDescent="0.25">
      <c r="B39" s="28" t="s">
        <v>248</v>
      </c>
      <c r="C39" s="29">
        <v>46174</v>
      </c>
      <c r="D39" s="28" t="s">
        <v>85</v>
      </c>
      <c r="E39" s="28" t="s">
        <v>173</v>
      </c>
      <c r="F39" s="28" t="s">
        <v>249</v>
      </c>
      <c r="G39" s="28" t="s">
        <v>99</v>
      </c>
      <c r="H39" s="28" t="s">
        <v>113</v>
      </c>
      <c r="I39" s="37" t="s">
        <v>157</v>
      </c>
      <c r="J39" s="30">
        <v>24</v>
      </c>
      <c r="K39" s="31">
        <v>18.5</v>
      </c>
      <c r="L39" s="28" t="s">
        <v>158</v>
      </c>
      <c r="M39" s="31">
        <v>335</v>
      </c>
      <c r="N39" s="31"/>
      <c r="O39" s="28" t="s">
        <v>152</v>
      </c>
      <c r="P39" s="28" t="s">
        <v>250</v>
      </c>
      <c r="Q39" s="29">
        <v>46193</v>
      </c>
      <c r="R39" s="38" t="str">
        <f>IF(tblNcrs[[#This Row],[Date]]="","",IFERROR(INDEX(tblOrigins[Type],MATCH(tblNcrs[[#This Row],[Origin]],tblOrigins[Origin],0)),""))</f>
        <v>Internal</v>
      </c>
      <c r="S39" s="39">
        <f>IF(tblNcrs[[#This Row],[Date]]="","",IF(tblNcrs[[#This Row],[Disposition]]="Scrap",tblNcrs[[#This Row],[Qty nonconforming]]*tblNcrs[[#This Row],[Unit cost]],0))</f>
        <v>0</v>
      </c>
      <c r="T39" s="39">
        <f>IF(tblNcrs[[#This Row],[Date]]="","",tblNcrs[[#This Row],[Scrap cost]]+N(tblNcrs[[#This Row],[Rework or repair cost]])+AdminCost-N(tblNcrs[[#This Row],[Recovered]]))</f>
        <v>420</v>
      </c>
      <c r="U39" s="40">
        <f>IF(tblNcrs[[#This Row],[Date]]="","",IF(N(tblNcrs[[#This Row],[Closed]])&gt;0,tblNcrs[[#This Row],[Closed]],AsOf)-tblNcrs[[#This Row],[Date]])</f>
        <v>19</v>
      </c>
      <c r="V39" s="41" t="str">
        <f>IF(tblNcrs[[#This Row],[Date]]="","",IF(N(tblNcrs[[#This Row],[Closed]])&gt;0,"Complete",IF(tblNcrs[[#This Row],[Date]]+CloseDays&lt;AsOf,"Overdue",IF(tblNcrs[[#This Row],[Date]]+CloseDays-AsOf&lt;=DueSoonDays,"Due soon","In progress"))))</f>
        <v>Complete</v>
      </c>
      <c r="W39" s="40">
        <f>IF(tblNcrs[[#This Row],[Date]]="","",IF(AND(OR(DashSource="",tblNcrs[[#This Row],[Source]]=DashSource),OR(DashOrigin="",tblNcrs[[#This Row],[Origin]]=DashOrigin)),1,0))</f>
        <v>1</v>
      </c>
      <c r="X3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0" spans="2:24" x14ac:dyDescent="0.25">
      <c r="B40" s="28" t="s">
        <v>251</v>
      </c>
      <c r="C40" s="29">
        <v>46176</v>
      </c>
      <c r="D40" s="28" t="s">
        <v>87</v>
      </c>
      <c r="E40" s="28" t="s">
        <v>148</v>
      </c>
      <c r="F40" s="28" t="s">
        <v>252</v>
      </c>
      <c r="G40" s="28" t="s">
        <v>97</v>
      </c>
      <c r="H40" s="28" t="s">
        <v>109</v>
      </c>
      <c r="I40" s="37" t="s">
        <v>163</v>
      </c>
      <c r="J40" s="30">
        <v>10</v>
      </c>
      <c r="K40" s="31">
        <v>42.5</v>
      </c>
      <c r="L40" s="28" t="s">
        <v>158</v>
      </c>
      <c r="M40" s="31">
        <v>95</v>
      </c>
      <c r="N40" s="31"/>
      <c r="O40" s="28" t="s">
        <v>152</v>
      </c>
      <c r="P40" s="28" t="s">
        <v>159</v>
      </c>
      <c r="Q40" s="29">
        <v>46183</v>
      </c>
      <c r="R40" s="38" t="str">
        <f>IF(tblNcrs[[#This Row],[Date]]="","",IFERROR(INDEX(tblOrigins[Type],MATCH(tblNcrs[[#This Row],[Origin]],tblOrigins[Origin],0)),""))</f>
        <v>Internal</v>
      </c>
      <c r="S40" s="39">
        <f>IF(tblNcrs[[#This Row],[Date]]="","",IF(tblNcrs[[#This Row],[Disposition]]="Scrap",tblNcrs[[#This Row],[Qty nonconforming]]*tblNcrs[[#This Row],[Unit cost]],0))</f>
        <v>0</v>
      </c>
      <c r="T40" s="39">
        <f>IF(tblNcrs[[#This Row],[Date]]="","",tblNcrs[[#This Row],[Scrap cost]]+N(tblNcrs[[#This Row],[Rework or repair cost]])+AdminCost-N(tblNcrs[[#This Row],[Recovered]]))</f>
        <v>180</v>
      </c>
      <c r="U40" s="40">
        <f>IF(tblNcrs[[#This Row],[Date]]="","",IF(N(tblNcrs[[#This Row],[Closed]])&gt;0,tblNcrs[[#This Row],[Closed]],AsOf)-tblNcrs[[#This Row],[Date]])</f>
        <v>7</v>
      </c>
      <c r="V40" s="41" t="str">
        <f>IF(tblNcrs[[#This Row],[Date]]="","",IF(N(tblNcrs[[#This Row],[Closed]])&gt;0,"Complete",IF(tblNcrs[[#This Row],[Date]]+CloseDays&lt;AsOf,"Overdue",IF(tblNcrs[[#This Row],[Date]]+CloseDays-AsOf&lt;=DueSoonDays,"Due soon","In progress"))))</f>
        <v>Complete</v>
      </c>
      <c r="W40" s="40">
        <f>IF(tblNcrs[[#This Row],[Date]]="","",IF(AND(OR(DashSource="",tblNcrs[[#This Row],[Source]]=DashSource),OR(DashOrigin="",tblNcrs[[#This Row],[Origin]]=DashOrigin)),1,0))</f>
        <v>1</v>
      </c>
      <c r="X4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1" spans="2:24" x14ac:dyDescent="0.25">
      <c r="B41" s="28" t="s">
        <v>253</v>
      </c>
      <c r="C41" s="29">
        <v>46182</v>
      </c>
      <c r="D41" s="28" t="s">
        <v>87</v>
      </c>
      <c r="E41" s="28" t="s">
        <v>155</v>
      </c>
      <c r="F41" s="28" t="s">
        <v>254</v>
      </c>
      <c r="G41" s="28" t="s">
        <v>101</v>
      </c>
      <c r="H41" s="28" t="s">
        <v>113</v>
      </c>
      <c r="I41" s="37" t="s">
        <v>157</v>
      </c>
      <c r="J41" s="30">
        <v>10</v>
      </c>
      <c r="K41" s="31">
        <v>118</v>
      </c>
      <c r="L41" s="28" t="s">
        <v>158</v>
      </c>
      <c r="M41" s="31">
        <v>145</v>
      </c>
      <c r="N41" s="31"/>
      <c r="O41" s="28" t="s">
        <v>152</v>
      </c>
      <c r="P41" s="28" t="s">
        <v>255</v>
      </c>
      <c r="Q41" s="29">
        <v>46186</v>
      </c>
      <c r="R41" s="38" t="str">
        <f>IF(tblNcrs[[#This Row],[Date]]="","",IFERROR(INDEX(tblOrigins[Type],MATCH(tblNcrs[[#This Row],[Origin]],tblOrigins[Origin],0)),""))</f>
        <v>Internal</v>
      </c>
      <c r="S41" s="39">
        <f>IF(tblNcrs[[#This Row],[Date]]="","",IF(tblNcrs[[#This Row],[Disposition]]="Scrap",tblNcrs[[#This Row],[Qty nonconforming]]*tblNcrs[[#This Row],[Unit cost]],0))</f>
        <v>0</v>
      </c>
      <c r="T41" s="39">
        <f>IF(tblNcrs[[#This Row],[Date]]="","",tblNcrs[[#This Row],[Scrap cost]]+N(tblNcrs[[#This Row],[Rework or repair cost]])+AdminCost-N(tblNcrs[[#This Row],[Recovered]]))</f>
        <v>230</v>
      </c>
      <c r="U41" s="40">
        <f>IF(tblNcrs[[#This Row],[Date]]="","",IF(N(tblNcrs[[#This Row],[Closed]])&gt;0,tblNcrs[[#This Row],[Closed]],AsOf)-tblNcrs[[#This Row],[Date]])</f>
        <v>4</v>
      </c>
      <c r="V41" s="41" t="str">
        <f>IF(tblNcrs[[#This Row],[Date]]="","",IF(N(tblNcrs[[#This Row],[Closed]])&gt;0,"Complete",IF(tblNcrs[[#This Row],[Date]]+CloseDays&lt;AsOf,"Overdue",IF(tblNcrs[[#This Row],[Date]]+CloseDays-AsOf&lt;=DueSoonDays,"Due soon","In progress"))))</f>
        <v>Complete</v>
      </c>
      <c r="W41" s="40">
        <f>IF(tblNcrs[[#This Row],[Date]]="","",IF(AND(OR(DashSource="",tblNcrs[[#This Row],[Source]]=DashSource),OR(DashOrigin="",tblNcrs[[#This Row],[Origin]]=DashOrigin)),1,0))</f>
        <v>1</v>
      </c>
      <c r="X4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2" spans="2:24" x14ac:dyDescent="0.25">
      <c r="B42" s="28" t="s">
        <v>256</v>
      </c>
      <c r="C42" s="29">
        <v>46182</v>
      </c>
      <c r="D42" s="28" t="s">
        <v>85</v>
      </c>
      <c r="E42" s="28" t="s">
        <v>177</v>
      </c>
      <c r="F42" s="28" t="s">
        <v>257</v>
      </c>
      <c r="G42" s="28" t="s">
        <v>97</v>
      </c>
      <c r="H42" s="28" t="s">
        <v>119</v>
      </c>
      <c r="I42" s="37" t="s">
        <v>150</v>
      </c>
      <c r="J42" s="30">
        <v>1</v>
      </c>
      <c r="K42" s="31">
        <v>27</v>
      </c>
      <c r="L42" s="28" t="s">
        <v>151</v>
      </c>
      <c r="M42" s="31"/>
      <c r="N42" s="31"/>
      <c r="O42" s="28" t="s">
        <v>175</v>
      </c>
      <c r="P42" s="28"/>
      <c r="Q42" s="29">
        <v>46201</v>
      </c>
      <c r="R42" s="38" t="str">
        <f>IF(tblNcrs[[#This Row],[Date]]="","",IFERROR(INDEX(tblOrigins[Type],MATCH(tblNcrs[[#This Row],[Origin]],tblOrigins[Origin],0)),""))</f>
        <v>Internal</v>
      </c>
      <c r="S42" s="39">
        <f>IF(tblNcrs[[#This Row],[Date]]="","",IF(tblNcrs[[#This Row],[Disposition]]="Scrap",tblNcrs[[#This Row],[Qty nonconforming]]*tblNcrs[[#This Row],[Unit cost]],0))</f>
        <v>0</v>
      </c>
      <c r="T42" s="39">
        <f>IF(tblNcrs[[#This Row],[Date]]="","",tblNcrs[[#This Row],[Scrap cost]]+N(tblNcrs[[#This Row],[Rework or repair cost]])+AdminCost-N(tblNcrs[[#This Row],[Recovered]]))</f>
        <v>85</v>
      </c>
      <c r="U42" s="40">
        <f>IF(tblNcrs[[#This Row],[Date]]="","",IF(N(tblNcrs[[#This Row],[Closed]])&gt;0,tblNcrs[[#This Row],[Closed]],AsOf)-tblNcrs[[#This Row],[Date]])</f>
        <v>19</v>
      </c>
      <c r="V42" s="41" t="str">
        <f>IF(tblNcrs[[#This Row],[Date]]="","",IF(N(tblNcrs[[#This Row],[Closed]])&gt;0,"Complete",IF(tblNcrs[[#This Row],[Date]]+CloseDays&lt;AsOf,"Overdue",IF(tblNcrs[[#This Row],[Date]]+CloseDays-AsOf&lt;=DueSoonDays,"Due soon","In progress"))))</f>
        <v>Complete</v>
      </c>
      <c r="W42" s="40">
        <f>IF(tblNcrs[[#This Row],[Date]]="","",IF(AND(OR(DashSource="",tblNcrs[[#This Row],[Source]]=DashSource),OR(DashOrigin="",tblNcrs[[#This Row],[Origin]]=DashOrigin)),1,0))</f>
        <v>1</v>
      </c>
      <c r="X4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3" spans="2:24" x14ac:dyDescent="0.25">
      <c r="B43" s="28" t="s">
        <v>258</v>
      </c>
      <c r="C43" s="29">
        <v>46183</v>
      </c>
      <c r="D43" s="28" t="s">
        <v>83</v>
      </c>
      <c r="E43" s="28" t="s">
        <v>155</v>
      </c>
      <c r="F43" s="28" t="s">
        <v>234</v>
      </c>
      <c r="G43" s="28" t="s">
        <v>103</v>
      </c>
      <c r="H43" s="28" t="s">
        <v>115</v>
      </c>
      <c r="I43" s="37" t="s">
        <v>199</v>
      </c>
      <c r="J43" s="30">
        <v>24</v>
      </c>
      <c r="K43" s="31">
        <v>118</v>
      </c>
      <c r="L43" s="28" t="s">
        <v>188</v>
      </c>
      <c r="M43" s="31">
        <v>710</v>
      </c>
      <c r="N43" s="31"/>
      <c r="O43" s="28" t="s">
        <v>152</v>
      </c>
      <c r="P43" s="28" t="s">
        <v>259</v>
      </c>
      <c r="Q43" s="29">
        <v>46195</v>
      </c>
      <c r="R43" s="38" t="str">
        <f>IF(tblNcrs[[#This Row],[Date]]="","",IFERROR(INDEX(tblOrigins[Type],MATCH(tblNcrs[[#This Row],[Origin]],tblOrigins[Origin],0)),""))</f>
        <v>Supplier</v>
      </c>
      <c r="S43" s="39">
        <f>IF(tblNcrs[[#This Row],[Date]]="","",IF(tblNcrs[[#This Row],[Disposition]]="Scrap",tblNcrs[[#This Row],[Qty nonconforming]]*tblNcrs[[#This Row],[Unit cost]],0))</f>
        <v>0</v>
      </c>
      <c r="T43" s="39">
        <f>IF(tblNcrs[[#This Row],[Date]]="","",tblNcrs[[#This Row],[Scrap cost]]+N(tblNcrs[[#This Row],[Rework or repair cost]])+AdminCost-N(tblNcrs[[#This Row],[Recovered]]))</f>
        <v>795</v>
      </c>
      <c r="U43" s="40">
        <f>IF(tblNcrs[[#This Row],[Date]]="","",IF(N(tblNcrs[[#This Row],[Closed]])&gt;0,tblNcrs[[#This Row],[Closed]],AsOf)-tblNcrs[[#This Row],[Date]])</f>
        <v>12</v>
      </c>
      <c r="V43" s="41" t="str">
        <f>IF(tblNcrs[[#This Row],[Date]]="","",IF(N(tblNcrs[[#This Row],[Closed]])&gt;0,"Complete",IF(tblNcrs[[#This Row],[Date]]+CloseDays&lt;AsOf,"Overdue",IF(tblNcrs[[#This Row],[Date]]+CloseDays-AsOf&lt;=DueSoonDays,"Due soon","In progress"))))</f>
        <v>Complete</v>
      </c>
      <c r="W43" s="40">
        <f>IF(tblNcrs[[#This Row],[Date]]="","",IF(AND(OR(DashSource="",tblNcrs[[#This Row],[Source]]=DashSource),OR(DashOrigin="",tblNcrs[[#This Row],[Origin]]=DashOrigin)),1,0))</f>
        <v>1</v>
      </c>
      <c r="X4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4" spans="2:24" x14ac:dyDescent="0.25">
      <c r="B44" s="28" t="s">
        <v>260</v>
      </c>
      <c r="C44" s="29">
        <v>46184</v>
      </c>
      <c r="D44" s="28" t="s">
        <v>85</v>
      </c>
      <c r="E44" s="28" t="s">
        <v>197</v>
      </c>
      <c r="F44" s="28" t="s">
        <v>261</v>
      </c>
      <c r="G44" s="28" t="s">
        <v>97</v>
      </c>
      <c r="H44" s="28" t="s">
        <v>109</v>
      </c>
      <c r="I44" s="37" t="s">
        <v>163</v>
      </c>
      <c r="J44" s="30">
        <v>12</v>
      </c>
      <c r="K44" s="31">
        <v>64</v>
      </c>
      <c r="L44" s="28" t="s">
        <v>164</v>
      </c>
      <c r="M44" s="31"/>
      <c r="N44" s="31"/>
      <c r="O44" s="28" t="s">
        <v>152</v>
      </c>
      <c r="P44" s="28" t="s">
        <v>262</v>
      </c>
      <c r="Q44" s="29">
        <v>46203</v>
      </c>
      <c r="R44" s="38" t="str">
        <f>IF(tblNcrs[[#This Row],[Date]]="","",IFERROR(INDEX(tblOrigins[Type],MATCH(tblNcrs[[#This Row],[Origin]],tblOrigins[Origin],0)),""))</f>
        <v>Internal</v>
      </c>
      <c r="S44" s="39">
        <f>IF(tblNcrs[[#This Row],[Date]]="","",IF(tblNcrs[[#This Row],[Disposition]]="Scrap",tblNcrs[[#This Row],[Qty nonconforming]]*tblNcrs[[#This Row],[Unit cost]],0))</f>
        <v>768</v>
      </c>
      <c r="T44" s="39">
        <f>IF(tblNcrs[[#This Row],[Date]]="","",tblNcrs[[#This Row],[Scrap cost]]+N(tblNcrs[[#This Row],[Rework or repair cost]])+AdminCost-N(tblNcrs[[#This Row],[Recovered]]))</f>
        <v>853</v>
      </c>
      <c r="U44" s="40">
        <f>IF(tblNcrs[[#This Row],[Date]]="","",IF(N(tblNcrs[[#This Row],[Closed]])&gt;0,tblNcrs[[#This Row],[Closed]],AsOf)-tblNcrs[[#This Row],[Date]])</f>
        <v>19</v>
      </c>
      <c r="V44" s="41" t="str">
        <f>IF(tblNcrs[[#This Row],[Date]]="","",IF(N(tblNcrs[[#This Row],[Closed]])&gt;0,"Complete",IF(tblNcrs[[#This Row],[Date]]+CloseDays&lt;AsOf,"Overdue",IF(tblNcrs[[#This Row],[Date]]+CloseDays-AsOf&lt;=DueSoonDays,"Due soon","In progress"))))</f>
        <v>Complete</v>
      </c>
      <c r="W44" s="40">
        <f>IF(tblNcrs[[#This Row],[Date]]="","",IF(AND(OR(DashSource="",tblNcrs[[#This Row],[Source]]=DashSource),OR(DashOrigin="",tblNcrs[[#This Row],[Origin]]=DashOrigin)),1,0))</f>
        <v>1</v>
      </c>
      <c r="X4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5" spans="2:24" x14ac:dyDescent="0.25">
      <c r="B45" s="28" t="s">
        <v>263</v>
      </c>
      <c r="C45" s="29">
        <v>46185</v>
      </c>
      <c r="D45" s="28" t="s">
        <v>85</v>
      </c>
      <c r="E45" s="28" t="s">
        <v>177</v>
      </c>
      <c r="F45" s="28" t="s">
        <v>264</v>
      </c>
      <c r="G45" s="28" t="s">
        <v>97</v>
      </c>
      <c r="H45" s="28" t="s">
        <v>111</v>
      </c>
      <c r="I45" s="37" t="s">
        <v>170</v>
      </c>
      <c r="J45" s="30">
        <v>10</v>
      </c>
      <c r="K45" s="31">
        <v>27</v>
      </c>
      <c r="L45" s="28" t="s">
        <v>158</v>
      </c>
      <c r="M45" s="31">
        <v>150</v>
      </c>
      <c r="N45" s="31"/>
      <c r="O45" s="28" t="s">
        <v>175</v>
      </c>
      <c r="P45" s="28"/>
      <c r="Q45" s="29">
        <v>46200</v>
      </c>
      <c r="R45" s="38" t="str">
        <f>IF(tblNcrs[[#This Row],[Date]]="","",IFERROR(INDEX(tblOrigins[Type],MATCH(tblNcrs[[#This Row],[Origin]],tblOrigins[Origin],0)),""))</f>
        <v>Internal</v>
      </c>
      <c r="S45" s="39">
        <f>IF(tblNcrs[[#This Row],[Date]]="","",IF(tblNcrs[[#This Row],[Disposition]]="Scrap",tblNcrs[[#This Row],[Qty nonconforming]]*tblNcrs[[#This Row],[Unit cost]],0))</f>
        <v>0</v>
      </c>
      <c r="T45" s="39">
        <f>IF(tblNcrs[[#This Row],[Date]]="","",tblNcrs[[#This Row],[Scrap cost]]+N(tblNcrs[[#This Row],[Rework or repair cost]])+AdminCost-N(tblNcrs[[#This Row],[Recovered]]))</f>
        <v>235</v>
      </c>
      <c r="U45" s="40">
        <f>IF(tblNcrs[[#This Row],[Date]]="","",IF(N(tblNcrs[[#This Row],[Closed]])&gt;0,tblNcrs[[#This Row],[Closed]],AsOf)-tblNcrs[[#This Row],[Date]])</f>
        <v>15</v>
      </c>
      <c r="V45" s="41" t="str">
        <f>IF(tblNcrs[[#This Row],[Date]]="","",IF(N(tblNcrs[[#This Row],[Closed]])&gt;0,"Complete",IF(tblNcrs[[#This Row],[Date]]+CloseDays&lt;AsOf,"Overdue",IF(tblNcrs[[#This Row],[Date]]+CloseDays-AsOf&lt;=DueSoonDays,"Due soon","In progress"))))</f>
        <v>Complete</v>
      </c>
      <c r="W45" s="40">
        <f>IF(tblNcrs[[#This Row],[Date]]="","",IF(AND(OR(DashSource="",tblNcrs[[#This Row],[Source]]=DashSource),OR(DashOrigin="",tblNcrs[[#This Row],[Origin]]=DashOrigin)),1,0))</f>
        <v>1</v>
      </c>
      <c r="X4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6" spans="2:24" x14ac:dyDescent="0.25">
      <c r="B46" s="28" t="s">
        <v>265</v>
      </c>
      <c r="C46" s="29">
        <v>46185</v>
      </c>
      <c r="D46" s="28" t="s">
        <v>87</v>
      </c>
      <c r="E46" s="28" t="s">
        <v>173</v>
      </c>
      <c r="F46" s="28" t="s">
        <v>266</v>
      </c>
      <c r="G46" s="28" t="s">
        <v>101</v>
      </c>
      <c r="H46" s="28" t="s">
        <v>119</v>
      </c>
      <c r="I46" s="37" t="s">
        <v>150</v>
      </c>
      <c r="J46" s="30">
        <v>6</v>
      </c>
      <c r="K46" s="31">
        <v>18.5</v>
      </c>
      <c r="L46" s="28" t="s">
        <v>151</v>
      </c>
      <c r="M46" s="31"/>
      <c r="N46" s="31"/>
      <c r="O46" s="28" t="s">
        <v>175</v>
      </c>
      <c r="P46" s="28"/>
      <c r="Q46" s="29">
        <v>46199</v>
      </c>
      <c r="R46" s="38" t="str">
        <f>IF(tblNcrs[[#This Row],[Date]]="","",IFERROR(INDEX(tblOrigins[Type],MATCH(tblNcrs[[#This Row],[Origin]],tblOrigins[Origin],0)),""))</f>
        <v>Internal</v>
      </c>
      <c r="S46" s="39">
        <f>IF(tblNcrs[[#This Row],[Date]]="","",IF(tblNcrs[[#This Row],[Disposition]]="Scrap",tblNcrs[[#This Row],[Qty nonconforming]]*tblNcrs[[#This Row],[Unit cost]],0))</f>
        <v>0</v>
      </c>
      <c r="T46" s="39">
        <f>IF(tblNcrs[[#This Row],[Date]]="","",tblNcrs[[#This Row],[Scrap cost]]+N(tblNcrs[[#This Row],[Rework or repair cost]])+AdminCost-N(tblNcrs[[#This Row],[Recovered]]))</f>
        <v>85</v>
      </c>
      <c r="U46" s="40">
        <f>IF(tblNcrs[[#This Row],[Date]]="","",IF(N(tblNcrs[[#This Row],[Closed]])&gt;0,tblNcrs[[#This Row],[Closed]],AsOf)-tblNcrs[[#This Row],[Date]])</f>
        <v>14</v>
      </c>
      <c r="V46" s="41" t="str">
        <f>IF(tblNcrs[[#This Row],[Date]]="","",IF(N(tblNcrs[[#This Row],[Closed]])&gt;0,"Complete",IF(tblNcrs[[#This Row],[Date]]+CloseDays&lt;AsOf,"Overdue",IF(tblNcrs[[#This Row],[Date]]+CloseDays-AsOf&lt;=DueSoonDays,"Due soon","In progress"))))</f>
        <v>Complete</v>
      </c>
      <c r="W46" s="40">
        <f>IF(tblNcrs[[#This Row],[Date]]="","",IF(AND(OR(DashSource="",tblNcrs[[#This Row],[Source]]=DashSource),OR(DashOrigin="",tblNcrs[[#This Row],[Origin]]=DashOrigin)),1,0))</f>
        <v>1</v>
      </c>
      <c r="X4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7" spans="2:24" x14ac:dyDescent="0.25">
      <c r="B47" s="28" t="s">
        <v>267</v>
      </c>
      <c r="C47" s="29">
        <v>46190</v>
      </c>
      <c r="D47" s="28" t="s">
        <v>91</v>
      </c>
      <c r="E47" s="28" t="s">
        <v>148</v>
      </c>
      <c r="F47" s="28" t="s">
        <v>268</v>
      </c>
      <c r="G47" s="28" t="s">
        <v>99</v>
      </c>
      <c r="H47" s="28" t="s">
        <v>111</v>
      </c>
      <c r="I47" s="37" t="s">
        <v>170</v>
      </c>
      <c r="J47" s="30">
        <v>10</v>
      </c>
      <c r="K47" s="31">
        <v>42.5</v>
      </c>
      <c r="L47" s="28" t="s">
        <v>158</v>
      </c>
      <c r="M47" s="31">
        <v>115</v>
      </c>
      <c r="N47" s="31"/>
      <c r="O47" s="28" t="s">
        <v>152</v>
      </c>
      <c r="P47" s="28" t="s">
        <v>269</v>
      </c>
      <c r="Q47" s="29">
        <v>46196</v>
      </c>
      <c r="R47" s="38" t="str">
        <f>IF(tblNcrs[[#This Row],[Date]]="","",IFERROR(INDEX(tblOrigins[Type],MATCH(tblNcrs[[#This Row],[Origin]],tblOrigins[Origin],0)),""))</f>
        <v>Internal</v>
      </c>
      <c r="S47" s="39">
        <f>IF(tblNcrs[[#This Row],[Date]]="","",IF(tblNcrs[[#This Row],[Disposition]]="Scrap",tblNcrs[[#This Row],[Qty nonconforming]]*tblNcrs[[#This Row],[Unit cost]],0))</f>
        <v>0</v>
      </c>
      <c r="T47" s="39">
        <f>IF(tblNcrs[[#This Row],[Date]]="","",tblNcrs[[#This Row],[Scrap cost]]+N(tblNcrs[[#This Row],[Rework or repair cost]])+AdminCost-N(tblNcrs[[#This Row],[Recovered]]))</f>
        <v>200</v>
      </c>
      <c r="U47" s="40">
        <f>IF(tblNcrs[[#This Row],[Date]]="","",IF(N(tblNcrs[[#This Row],[Closed]])&gt;0,tblNcrs[[#This Row],[Closed]],AsOf)-tblNcrs[[#This Row],[Date]])</f>
        <v>6</v>
      </c>
      <c r="V47" s="41" t="str">
        <f>IF(tblNcrs[[#This Row],[Date]]="","",IF(N(tblNcrs[[#This Row],[Closed]])&gt;0,"Complete",IF(tblNcrs[[#This Row],[Date]]+CloseDays&lt;AsOf,"Overdue",IF(tblNcrs[[#This Row],[Date]]+CloseDays-AsOf&lt;=DueSoonDays,"Due soon","In progress"))))</f>
        <v>Complete</v>
      </c>
      <c r="W47" s="40">
        <f>IF(tblNcrs[[#This Row],[Date]]="","",IF(AND(OR(DashSource="",tblNcrs[[#This Row],[Source]]=DashSource),OR(DashOrigin="",tblNcrs[[#This Row],[Origin]]=DashOrigin)),1,0))</f>
        <v>1</v>
      </c>
      <c r="X4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8" spans="2:24" x14ac:dyDescent="0.25">
      <c r="B48" s="28" t="s">
        <v>270</v>
      </c>
      <c r="C48" s="29">
        <v>46199</v>
      </c>
      <c r="D48" s="28" t="s">
        <v>85</v>
      </c>
      <c r="E48" s="28" t="s">
        <v>173</v>
      </c>
      <c r="F48" s="28" t="s">
        <v>271</v>
      </c>
      <c r="G48" s="28" t="s">
        <v>97</v>
      </c>
      <c r="H48" s="28" t="s">
        <v>111</v>
      </c>
      <c r="I48" s="37" t="s">
        <v>170</v>
      </c>
      <c r="J48" s="30">
        <v>1</v>
      </c>
      <c r="K48" s="31">
        <v>18.5</v>
      </c>
      <c r="L48" s="28" t="s">
        <v>164</v>
      </c>
      <c r="M48" s="31"/>
      <c r="N48" s="31"/>
      <c r="O48" s="28" t="s">
        <v>175</v>
      </c>
      <c r="P48" s="28"/>
      <c r="Q48" s="29">
        <v>46202</v>
      </c>
      <c r="R48" s="38" t="str">
        <f>IF(tblNcrs[[#This Row],[Date]]="","",IFERROR(INDEX(tblOrigins[Type],MATCH(tblNcrs[[#This Row],[Origin]],tblOrigins[Origin],0)),""))</f>
        <v>Internal</v>
      </c>
      <c r="S48" s="39">
        <f>IF(tblNcrs[[#This Row],[Date]]="","",IF(tblNcrs[[#This Row],[Disposition]]="Scrap",tblNcrs[[#This Row],[Qty nonconforming]]*tblNcrs[[#This Row],[Unit cost]],0))</f>
        <v>18.5</v>
      </c>
      <c r="T48" s="39">
        <f>IF(tblNcrs[[#This Row],[Date]]="","",tblNcrs[[#This Row],[Scrap cost]]+N(tblNcrs[[#This Row],[Rework or repair cost]])+AdminCost-N(tblNcrs[[#This Row],[Recovered]]))</f>
        <v>103.5</v>
      </c>
      <c r="U48" s="40">
        <f>IF(tblNcrs[[#This Row],[Date]]="","",IF(N(tblNcrs[[#This Row],[Closed]])&gt;0,tblNcrs[[#This Row],[Closed]],AsOf)-tblNcrs[[#This Row],[Date]])</f>
        <v>3</v>
      </c>
      <c r="V48" s="41" t="str">
        <f>IF(tblNcrs[[#This Row],[Date]]="","",IF(N(tblNcrs[[#This Row],[Closed]])&gt;0,"Complete",IF(tblNcrs[[#This Row],[Date]]+CloseDays&lt;AsOf,"Overdue",IF(tblNcrs[[#This Row],[Date]]+CloseDays-AsOf&lt;=DueSoonDays,"Due soon","In progress"))))</f>
        <v>Complete</v>
      </c>
      <c r="W48" s="40">
        <f>IF(tblNcrs[[#This Row],[Date]]="","",IF(AND(OR(DashSource="",tblNcrs[[#This Row],[Source]]=DashSource),OR(DashOrigin="",tblNcrs[[#This Row],[Origin]]=DashOrigin)),1,0))</f>
        <v>1</v>
      </c>
      <c r="X4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49" spans="2:24" x14ac:dyDescent="0.25">
      <c r="B49" s="28" t="s">
        <v>272</v>
      </c>
      <c r="C49" s="29">
        <v>46204</v>
      </c>
      <c r="D49" s="28" t="s">
        <v>85</v>
      </c>
      <c r="E49" s="28" t="s">
        <v>173</v>
      </c>
      <c r="F49" s="28" t="s">
        <v>273</v>
      </c>
      <c r="G49" s="28" t="s">
        <v>97</v>
      </c>
      <c r="H49" s="28" t="s">
        <v>111</v>
      </c>
      <c r="I49" s="37" t="s">
        <v>170</v>
      </c>
      <c r="J49" s="30">
        <v>5</v>
      </c>
      <c r="K49" s="31">
        <v>18.5</v>
      </c>
      <c r="L49" s="28" t="s">
        <v>158</v>
      </c>
      <c r="M49" s="31">
        <v>45</v>
      </c>
      <c r="N49" s="31"/>
      <c r="O49" s="28" t="s">
        <v>175</v>
      </c>
      <c r="P49" s="28"/>
      <c r="Q49" s="29">
        <v>46207</v>
      </c>
      <c r="R49" s="38" t="str">
        <f>IF(tblNcrs[[#This Row],[Date]]="","",IFERROR(INDEX(tblOrigins[Type],MATCH(tblNcrs[[#This Row],[Origin]],tblOrigins[Origin],0)),""))</f>
        <v>Internal</v>
      </c>
      <c r="S49" s="39">
        <f>IF(tblNcrs[[#This Row],[Date]]="","",IF(tblNcrs[[#This Row],[Disposition]]="Scrap",tblNcrs[[#This Row],[Qty nonconforming]]*tblNcrs[[#This Row],[Unit cost]],0))</f>
        <v>0</v>
      </c>
      <c r="T49" s="39">
        <f>IF(tblNcrs[[#This Row],[Date]]="","",tblNcrs[[#This Row],[Scrap cost]]+N(tblNcrs[[#This Row],[Rework or repair cost]])+AdminCost-N(tblNcrs[[#This Row],[Recovered]]))</f>
        <v>130</v>
      </c>
      <c r="U49" s="40">
        <f>IF(tblNcrs[[#This Row],[Date]]="","",IF(N(tblNcrs[[#This Row],[Closed]])&gt;0,tblNcrs[[#This Row],[Closed]],AsOf)-tblNcrs[[#This Row],[Date]])</f>
        <v>3</v>
      </c>
      <c r="V49" s="41" t="str">
        <f>IF(tblNcrs[[#This Row],[Date]]="","",IF(N(tblNcrs[[#This Row],[Closed]])&gt;0,"Complete",IF(tblNcrs[[#This Row],[Date]]+CloseDays&lt;AsOf,"Overdue",IF(tblNcrs[[#This Row],[Date]]+CloseDays-AsOf&lt;=DueSoonDays,"Due soon","In progress"))))</f>
        <v>Complete</v>
      </c>
      <c r="W49" s="40">
        <f>IF(tblNcrs[[#This Row],[Date]]="","",IF(AND(OR(DashSource="",tblNcrs[[#This Row],[Source]]=DashSource),OR(DashOrigin="",tblNcrs[[#This Row],[Origin]]=DashOrigin)),1,0))</f>
        <v>1</v>
      </c>
      <c r="X4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0" spans="2:24" x14ac:dyDescent="0.25">
      <c r="B50" s="28" t="s">
        <v>274</v>
      </c>
      <c r="C50" s="29">
        <v>46205</v>
      </c>
      <c r="D50" s="28" t="s">
        <v>91</v>
      </c>
      <c r="E50" s="28" t="s">
        <v>173</v>
      </c>
      <c r="F50" s="28" t="s">
        <v>275</v>
      </c>
      <c r="G50" s="28" t="s">
        <v>97</v>
      </c>
      <c r="H50" s="28" t="s">
        <v>109</v>
      </c>
      <c r="I50" s="37" t="s">
        <v>163</v>
      </c>
      <c r="J50" s="30">
        <v>24</v>
      </c>
      <c r="K50" s="31">
        <v>18.5</v>
      </c>
      <c r="L50" s="28" t="s">
        <v>164</v>
      </c>
      <c r="M50" s="31"/>
      <c r="N50" s="31"/>
      <c r="O50" s="28" t="s">
        <v>152</v>
      </c>
      <c r="P50" s="28" t="s">
        <v>276</v>
      </c>
      <c r="Q50" s="29">
        <v>46213</v>
      </c>
      <c r="R50" s="38" t="str">
        <f>IF(tblNcrs[[#This Row],[Date]]="","",IFERROR(INDEX(tblOrigins[Type],MATCH(tblNcrs[[#This Row],[Origin]],tblOrigins[Origin],0)),""))</f>
        <v>Internal</v>
      </c>
      <c r="S50" s="39">
        <f>IF(tblNcrs[[#This Row],[Date]]="","",IF(tblNcrs[[#This Row],[Disposition]]="Scrap",tblNcrs[[#This Row],[Qty nonconforming]]*tblNcrs[[#This Row],[Unit cost]],0))</f>
        <v>444</v>
      </c>
      <c r="T50" s="39">
        <f>IF(tblNcrs[[#This Row],[Date]]="","",tblNcrs[[#This Row],[Scrap cost]]+N(tblNcrs[[#This Row],[Rework or repair cost]])+AdminCost-N(tblNcrs[[#This Row],[Recovered]]))</f>
        <v>529</v>
      </c>
      <c r="U50" s="40">
        <f>IF(tblNcrs[[#This Row],[Date]]="","",IF(N(tblNcrs[[#This Row],[Closed]])&gt;0,tblNcrs[[#This Row],[Closed]],AsOf)-tblNcrs[[#This Row],[Date]])</f>
        <v>8</v>
      </c>
      <c r="V50" s="41" t="str">
        <f>IF(tblNcrs[[#This Row],[Date]]="","",IF(N(tblNcrs[[#This Row],[Closed]])&gt;0,"Complete",IF(tblNcrs[[#This Row],[Date]]+CloseDays&lt;AsOf,"Overdue",IF(tblNcrs[[#This Row],[Date]]+CloseDays-AsOf&lt;=DueSoonDays,"Due soon","In progress"))))</f>
        <v>Complete</v>
      </c>
      <c r="W50" s="40">
        <f>IF(tblNcrs[[#This Row],[Date]]="","",IF(AND(OR(DashSource="",tblNcrs[[#This Row],[Source]]=DashSource),OR(DashOrigin="",tblNcrs[[#This Row],[Origin]]=DashOrigin)),1,0))</f>
        <v>1</v>
      </c>
      <c r="X5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1" spans="2:24" x14ac:dyDescent="0.25">
      <c r="B51" s="28" t="s">
        <v>277</v>
      </c>
      <c r="C51" s="29">
        <v>46206</v>
      </c>
      <c r="D51" s="28" t="s">
        <v>87</v>
      </c>
      <c r="E51" s="28" t="s">
        <v>177</v>
      </c>
      <c r="F51" s="28" t="s">
        <v>278</v>
      </c>
      <c r="G51" s="28" t="s">
        <v>97</v>
      </c>
      <c r="H51" s="28" t="s">
        <v>109</v>
      </c>
      <c r="I51" s="37" t="s">
        <v>163</v>
      </c>
      <c r="J51" s="30">
        <v>5</v>
      </c>
      <c r="K51" s="31">
        <v>27</v>
      </c>
      <c r="L51" s="28" t="s">
        <v>158</v>
      </c>
      <c r="M51" s="31">
        <v>95</v>
      </c>
      <c r="N51" s="31"/>
      <c r="O51" s="28" t="s">
        <v>175</v>
      </c>
      <c r="P51" s="28"/>
      <c r="Q51" s="29">
        <v>46225</v>
      </c>
      <c r="R51" s="38" t="str">
        <f>IF(tblNcrs[[#This Row],[Date]]="","",IFERROR(INDEX(tblOrigins[Type],MATCH(tblNcrs[[#This Row],[Origin]],tblOrigins[Origin],0)),""))</f>
        <v>Internal</v>
      </c>
      <c r="S51" s="39">
        <f>IF(tblNcrs[[#This Row],[Date]]="","",IF(tblNcrs[[#This Row],[Disposition]]="Scrap",tblNcrs[[#This Row],[Qty nonconforming]]*tblNcrs[[#This Row],[Unit cost]],0))</f>
        <v>0</v>
      </c>
      <c r="T51" s="39">
        <f>IF(tblNcrs[[#This Row],[Date]]="","",tblNcrs[[#This Row],[Scrap cost]]+N(tblNcrs[[#This Row],[Rework or repair cost]])+AdminCost-N(tblNcrs[[#This Row],[Recovered]]))</f>
        <v>180</v>
      </c>
      <c r="U51" s="40">
        <f>IF(tblNcrs[[#This Row],[Date]]="","",IF(N(tblNcrs[[#This Row],[Closed]])&gt;0,tblNcrs[[#This Row],[Closed]],AsOf)-tblNcrs[[#This Row],[Date]])</f>
        <v>19</v>
      </c>
      <c r="V51" s="41" t="str">
        <f>IF(tblNcrs[[#This Row],[Date]]="","",IF(N(tblNcrs[[#This Row],[Closed]])&gt;0,"Complete",IF(tblNcrs[[#This Row],[Date]]+CloseDays&lt;AsOf,"Overdue",IF(tblNcrs[[#This Row],[Date]]+CloseDays-AsOf&lt;=DueSoonDays,"Due soon","In progress"))))</f>
        <v>Complete</v>
      </c>
      <c r="W51" s="40">
        <f>IF(tblNcrs[[#This Row],[Date]]="","",IF(AND(OR(DashSource="",tblNcrs[[#This Row],[Source]]=DashSource),OR(DashOrigin="",tblNcrs[[#This Row],[Origin]]=DashOrigin)),1,0))</f>
        <v>1</v>
      </c>
      <c r="X5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2" spans="2:24" x14ac:dyDescent="0.25">
      <c r="B52" s="28" t="s">
        <v>279</v>
      </c>
      <c r="C52" s="29">
        <v>46206</v>
      </c>
      <c r="D52" s="28" t="s">
        <v>85</v>
      </c>
      <c r="E52" s="28" t="s">
        <v>197</v>
      </c>
      <c r="F52" s="28" t="s">
        <v>280</v>
      </c>
      <c r="G52" s="28" t="s">
        <v>94</v>
      </c>
      <c r="H52" s="28" t="s">
        <v>109</v>
      </c>
      <c r="I52" s="37" t="s">
        <v>163</v>
      </c>
      <c r="J52" s="30">
        <v>6</v>
      </c>
      <c r="K52" s="31">
        <v>64</v>
      </c>
      <c r="L52" s="28" t="s">
        <v>158</v>
      </c>
      <c r="M52" s="31">
        <v>105</v>
      </c>
      <c r="N52" s="31"/>
      <c r="O52" s="28" t="s">
        <v>175</v>
      </c>
      <c r="P52" s="28"/>
      <c r="Q52" s="29">
        <v>46209</v>
      </c>
      <c r="R52" s="38" t="str">
        <f>IF(tblNcrs[[#This Row],[Date]]="","",IFERROR(INDEX(tblOrigins[Type],MATCH(tblNcrs[[#This Row],[Origin]],tblOrigins[Origin],0)),""))</f>
        <v>Internal</v>
      </c>
      <c r="S52" s="39">
        <f>IF(tblNcrs[[#This Row],[Date]]="","",IF(tblNcrs[[#This Row],[Disposition]]="Scrap",tblNcrs[[#This Row],[Qty nonconforming]]*tblNcrs[[#This Row],[Unit cost]],0))</f>
        <v>0</v>
      </c>
      <c r="T52" s="39">
        <f>IF(tblNcrs[[#This Row],[Date]]="","",tblNcrs[[#This Row],[Scrap cost]]+N(tblNcrs[[#This Row],[Rework or repair cost]])+AdminCost-N(tblNcrs[[#This Row],[Recovered]]))</f>
        <v>190</v>
      </c>
      <c r="U52" s="40">
        <f>IF(tblNcrs[[#This Row],[Date]]="","",IF(N(tblNcrs[[#This Row],[Closed]])&gt;0,tblNcrs[[#This Row],[Closed]],AsOf)-tblNcrs[[#This Row],[Date]])</f>
        <v>3</v>
      </c>
      <c r="V52" s="41" t="str">
        <f>IF(tblNcrs[[#This Row],[Date]]="","",IF(N(tblNcrs[[#This Row],[Closed]])&gt;0,"Complete",IF(tblNcrs[[#This Row],[Date]]+CloseDays&lt;AsOf,"Overdue",IF(tblNcrs[[#This Row],[Date]]+CloseDays-AsOf&lt;=DueSoonDays,"Due soon","In progress"))))</f>
        <v>Complete</v>
      </c>
      <c r="W52" s="40">
        <f>IF(tblNcrs[[#This Row],[Date]]="","",IF(AND(OR(DashSource="",tblNcrs[[#This Row],[Source]]=DashSource),OR(DashOrigin="",tblNcrs[[#This Row],[Origin]]=DashOrigin)),1,0))</f>
        <v>1</v>
      </c>
      <c r="X5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3" spans="2:24" x14ac:dyDescent="0.25">
      <c r="B53" s="28" t="s">
        <v>281</v>
      </c>
      <c r="C53" s="29">
        <v>46213</v>
      </c>
      <c r="D53" s="28" t="s">
        <v>85</v>
      </c>
      <c r="E53" s="28" t="s">
        <v>173</v>
      </c>
      <c r="F53" s="28" t="s">
        <v>282</v>
      </c>
      <c r="G53" s="28" t="s">
        <v>103</v>
      </c>
      <c r="H53" s="28" t="s">
        <v>115</v>
      </c>
      <c r="I53" s="37" t="s">
        <v>199</v>
      </c>
      <c r="J53" s="30">
        <v>15</v>
      </c>
      <c r="K53" s="31">
        <v>18.5</v>
      </c>
      <c r="L53" s="28" t="s">
        <v>158</v>
      </c>
      <c r="M53" s="31">
        <v>245</v>
      </c>
      <c r="N53" s="31"/>
      <c r="O53" s="28" t="s">
        <v>175</v>
      </c>
      <c r="P53" s="28"/>
      <c r="Q53" s="29">
        <v>46221</v>
      </c>
      <c r="R53" s="38" t="str">
        <f>IF(tblNcrs[[#This Row],[Date]]="","",IFERROR(INDEX(tblOrigins[Type],MATCH(tblNcrs[[#This Row],[Origin]],tblOrigins[Origin],0)),""))</f>
        <v>Supplier</v>
      </c>
      <c r="S53" s="39">
        <f>IF(tblNcrs[[#This Row],[Date]]="","",IF(tblNcrs[[#This Row],[Disposition]]="Scrap",tblNcrs[[#This Row],[Qty nonconforming]]*tblNcrs[[#This Row],[Unit cost]],0))</f>
        <v>0</v>
      </c>
      <c r="T53" s="39">
        <f>IF(tblNcrs[[#This Row],[Date]]="","",tblNcrs[[#This Row],[Scrap cost]]+N(tblNcrs[[#This Row],[Rework or repair cost]])+AdminCost-N(tblNcrs[[#This Row],[Recovered]]))</f>
        <v>330</v>
      </c>
      <c r="U53" s="40">
        <f>IF(tblNcrs[[#This Row],[Date]]="","",IF(N(tblNcrs[[#This Row],[Closed]])&gt;0,tblNcrs[[#This Row],[Closed]],AsOf)-tblNcrs[[#This Row],[Date]])</f>
        <v>8</v>
      </c>
      <c r="V53" s="41" t="str">
        <f>IF(tblNcrs[[#This Row],[Date]]="","",IF(N(tblNcrs[[#This Row],[Closed]])&gt;0,"Complete",IF(tblNcrs[[#This Row],[Date]]+CloseDays&lt;AsOf,"Overdue",IF(tblNcrs[[#This Row],[Date]]+CloseDays-AsOf&lt;=DueSoonDays,"Due soon","In progress"))))</f>
        <v>Complete</v>
      </c>
      <c r="W53" s="40">
        <f>IF(tblNcrs[[#This Row],[Date]]="","",IF(AND(OR(DashSource="",tblNcrs[[#This Row],[Source]]=DashSource),OR(DashOrigin="",tblNcrs[[#This Row],[Origin]]=DashOrigin)),1,0))</f>
        <v>1</v>
      </c>
      <c r="X5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4" spans="2:24" x14ac:dyDescent="0.25">
      <c r="B54" s="28" t="s">
        <v>283</v>
      </c>
      <c r="C54" s="29">
        <v>46216</v>
      </c>
      <c r="D54" s="28" t="s">
        <v>85</v>
      </c>
      <c r="E54" s="28" t="s">
        <v>197</v>
      </c>
      <c r="F54" s="28" t="s">
        <v>284</v>
      </c>
      <c r="G54" s="28" t="s">
        <v>97</v>
      </c>
      <c r="H54" s="28" t="s">
        <v>109</v>
      </c>
      <c r="I54" s="37" t="s">
        <v>163</v>
      </c>
      <c r="J54" s="30">
        <v>24</v>
      </c>
      <c r="K54" s="31">
        <v>64</v>
      </c>
      <c r="L54" s="28" t="s">
        <v>164</v>
      </c>
      <c r="M54" s="31"/>
      <c r="N54" s="31"/>
      <c r="O54" s="28" t="s">
        <v>152</v>
      </c>
      <c r="P54" s="28" t="s">
        <v>189</v>
      </c>
      <c r="Q54" s="29">
        <v>46224</v>
      </c>
      <c r="R54" s="38" t="str">
        <f>IF(tblNcrs[[#This Row],[Date]]="","",IFERROR(INDEX(tblOrigins[Type],MATCH(tblNcrs[[#This Row],[Origin]],tblOrigins[Origin],0)),""))</f>
        <v>Internal</v>
      </c>
      <c r="S54" s="39">
        <f>IF(tblNcrs[[#This Row],[Date]]="","",IF(tblNcrs[[#This Row],[Disposition]]="Scrap",tblNcrs[[#This Row],[Qty nonconforming]]*tblNcrs[[#This Row],[Unit cost]],0))</f>
        <v>1536</v>
      </c>
      <c r="T54" s="39">
        <f>IF(tblNcrs[[#This Row],[Date]]="","",tblNcrs[[#This Row],[Scrap cost]]+N(tblNcrs[[#This Row],[Rework or repair cost]])+AdminCost-N(tblNcrs[[#This Row],[Recovered]]))</f>
        <v>1621</v>
      </c>
      <c r="U54" s="40">
        <f>IF(tblNcrs[[#This Row],[Date]]="","",IF(N(tblNcrs[[#This Row],[Closed]])&gt;0,tblNcrs[[#This Row],[Closed]],AsOf)-tblNcrs[[#This Row],[Date]])</f>
        <v>8</v>
      </c>
      <c r="V54" s="41" t="str">
        <f>IF(tblNcrs[[#This Row],[Date]]="","",IF(N(tblNcrs[[#This Row],[Closed]])&gt;0,"Complete",IF(tblNcrs[[#This Row],[Date]]+CloseDays&lt;AsOf,"Overdue",IF(tblNcrs[[#This Row],[Date]]+CloseDays-AsOf&lt;=DueSoonDays,"Due soon","In progress"))))</f>
        <v>Complete</v>
      </c>
      <c r="W54" s="40">
        <f>IF(tblNcrs[[#This Row],[Date]]="","",IF(AND(OR(DashSource="",tblNcrs[[#This Row],[Source]]=DashSource),OR(DashOrigin="",tblNcrs[[#This Row],[Origin]]=DashOrigin)),1,0))</f>
        <v>1</v>
      </c>
      <c r="X5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5" spans="2:24" x14ac:dyDescent="0.25">
      <c r="B55" s="28" t="s">
        <v>285</v>
      </c>
      <c r="C55" s="29">
        <v>46216</v>
      </c>
      <c r="D55" s="28" t="s">
        <v>85</v>
      </c>
      <c r="E55" s="28" t="s">
        <v>177</v>
      </c>
      <c r="F55" s="28" t="s">
        <v>286</v>
      </c>
      <c r="G55" s="28" t="s">
        <v>94</v>
      </c>
      <c r="H55" s="28" t="s">
        <v>109</v>
      </c>
      <c r="I55" s="37" t="s">
        <v>163</v>
      </c>
      <c r="J55" s="30">
        <v>15</v>
      </c>
      <c r="K55" s="31">
        <v>27</v>
      </c>
      <c r="L55" s="28" t="s">
        <v>158</v>
      </c>
      <c r="M55" s="31">
        <v>155</v>
      </c>
      <c r="N55" s="31"/>
      <c r="O55" s="28" t="s">
        <v>152</v>
      </c>
      <c r="P55" s="28" t="s">
        <v>287</v>
      </c>
      <c r="Q55" s="29">
        <v>46224</v>
      </c>
      <c r="R55" s="38" t="str">
        <f>IF(tblNcrs[[#This Row],[Date]]="","",IFERROR(INDEX(tblOrigins[Type],MATCH(tblNcrs[[#This Row],[Origin]],tblOrigins[Origin],0)),""))</f>
        <v>Internal</v>
      </c>
      <c r="S55" s="39">
        <f>IF(tblNcrs[[#This Row],[Date]]="","",IF(tblNcrs[[#This Row],[Disposition]]="Scrap",tblNcrs[[#This Row],[Qty nonconforming]]*tblNcrs[[#This Row],[Unit cost]],0))</f>
        <v>0</v>
      </c>
      <c r="T55" s="39">
        <f>IF(tblNcrs[[#This Row],[Date]]="","",tblNcrs[[#This Row],[Scrap cost]]+N(tblNcrs[[#This Row],[Rework or repair cost]])+AdminCost-N(tblNcrs[[#This Row],[Recovered]]))</f>
        <v>240</v>
      </c>
      <c r="U55" s="40">
        <f>IF(tblNcrs[[#This Row],[Date]]="","",IF(N(tblNcrs[[#This Row],[Closed]])&gt;0,tblNcrs[[#This Row],[Closed]],AsOf)-tblNcrs[[#This Row],[Date]])</f>
        <v>8</v>
      </c>
      <c r="V55" s="41" t="str">
        <f>IF(tblNcrs[[#This Row],[Date]]="","",IF(N(tblNcrs[[#This Row],[Closed]])&gt;0,"Complete",IF(tblNcrs[[#This Row],[Date]]+CloseDays&lt;AsOf,"Overdue",IF(tblNcrs[[#This Row],[Date]]+CloseDays-AsOf&lt;=DueSoonDays,"Due soon","In progress"))))</f>
        <v>Complete</v>
      </c>
      <c r="W55" s="40">
        <f>IF(tblNcrs[[#This Row],[Date]]="","",IF(AND(OR(DashSource="",tblNcrs[[#This Row],[Source]]=DashSource),OR(DashOrigin="",tblNcrs[[#This Row],[Origin]]=DashOrigin)),1,0))</f>
        <v>1</v>
      </c>
      <c r="X5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6" spans="2:24" x14ac:dyDescent="0.25">
      <c r="B56" s="28" t="s">
        <v>288</v>
      </c>
      <c r="C56" s="29">
        <v>46216</v>
      </c>
      <c r="D56" s="28" t="s">
        <v>83</v>
      </c>
      <c r="E56" s="28" t="s">
        <v>155</v>
      </c>
      <c r="F56" s="28" t="s">
        <v>289</v>
      </c>
      <c r="G56" s="28" t="s">
        <v>103</v>
      </c>
      <c r="H56" s="28" t="s">
        <v>115</v>
      </c>
      <c r="I56" s="37" t="s">
        <v>199</v>
      </c>
      <c r="J56" s="30">
        <v>8</v>
      </c>
      <c r="K56" s="31">
        <v>118</v>
      </c>
      <c r="L56" s="28" t="s">
        <v>188</v>
      </c>
      <c r="M56" s="31">
        <v>235</v>
      </c>
      <c r="N56" s="31"/>
      <c r="O56" s="28" t="s">
        <v>152</v>
      </c>
      <c r="P56" s="28" t="s">
        <v>165</v>
      </c>
      <c r="Q56" s="29">
        <v>46237</v>
      </c>
      <c r="R56" s="38" t="str">
        <f>IF(tblNcrs[[#This Row],[Date]]="","",IFERROR(INDEX(tblOrigins[Type],MATCH(tblNcrs[[#This Row],[Origin]],tblOrigins[Origin],0)),""))</f>
        <v>Supplier</v>
      </c>
      <c r="S56" s="39">
        <f>IF(tblNcrs[[#This Row],[Date]]="","",IF(tblNcrs[[#This Row],[Disposition]]="Scrap",tblNcrs[[#This Row],[Qty nonconforming]]*tblNcrs[[#This Row],[Unit cost]],0))</f>
        <v>0</v>
      </c>
      <c r="T56" s="39">
        <f>IF(tblNcrs[[#This Row],[Date]]="","",tblNcrs[[#This Row],[Scrap cost]]+N(tblNcrs[[#This Row],[Rework or repair cost]])+AdminCost-N(tblNcrs[[#This Row],[Recovered]]))</f>
        <v>320</v>
      </c>
      <c r="U56" s="40">
        <f>IF(tblNcrs[[#This Row],[Date]]="","",IF(N(tblNcrs[[#This Row],[Closed]])&gt;0,tblNcrs[[#This Row],[Closed]],AsOf)-tblNcrs[[#This Row],[Date]])</f>
        <v>21</v>
      </c>
      <c r="V56" s="41" t="str">
        <f>IF(tblNcrs[[#This Row],[Date]]="","",IF(N(tblNcrs[[#This Row],[Closed]])&gt;0,"Complete",IF(tblNcrs[[#This Row],[Date]]+CloseDays&lt;AsOf,"Overdue",IF(tblNcrs[[#This Row],[Date]]+CloseDays-AsOf&lt;=DueSoonDays,"Due soon","In progress"))))</f>
        <v>Complete</v>
      </c>
      <c r="W56" s="40">
        <f>IF(tblNcrs[[#This Row],[Date]]="","",IF(AND(OR(DashSource="",tblNcrs[[#This Row],[Source]]=DashSource),OR(DashOrigin="",tblNcrs[[#This Row],[Origin]]=DashOrigin)),1,0))</f>
        <v>1</v>
      </c>
      <c r="X5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7" spans="2:24" x14ac:dyDescent="0.25">
      <c r="B57" s="28" t="s">
        <v>290</v>
      </c>
      <c r="C57" s="29">
        <v>46220</v>
      </c>
      <c r="D57" s="28" t="s">
        <v>87</v>
      </c>
      <c r="E57" s="28" t="s">
        <v>197</v>
      </c>
      <c r="F57" s="28" t="s">
        <v>291</v>
      </c>
      <c r="G57" s="28" t="s">
        <v>99</v>
      </c>
      <c r="H57" s="28" t="s">
        <v>121</v>
      </c>
      <c r="I57" s="37" t="s">
        <v>232</v>
      </c>
      <c r="J57" s="30">
        <v>2</v>
      </c>
      <c r="K57" s="31">
        <v>64</v>
      </c>
      <c r="L57" s="28" t="s">
        <v>158</v>
      </c>
      <c r="M57" s="31">
        <v>30</v>
      </c>
      <c r="N57" s="31"/>
      <c r="O57" s="28" t="s">
        <v>175</v>
      </c>
      <c r="P57" s="28"/>
      <c r="Q57" s="29">
        <v>46228</v>
      </c>
      <c r="R57" s="38" t="str">
        <f>IF(tblNcrs[[#This Row],[Date]]="","",IFERROR(INDEX(tblOrigins[Type],MATCH(tblNcrs[[#This Row],[Origin]],tblOrigins[Origin],0)),""))</f>
        <v>Internal</v>
      </c>
      <c r="S57" s="39">
        <f>IF(tblNcrs[[#This Row],[Date]]="","",IF(tblNcrs[[#This Row],[Disposition]]="Scrap",tblNcrs[[#This Row],[Qty nonconforming]]*tblNcrs[[#This Row],[Unit cost]],0))</f>
        <v>0</v>
      </c>
      <c r="T57" s="39">
        <f>IF(tblNcrs[[#This Row],[Date]]="","",tblNcrs[[#This Row],[Scrap cost]]+N(tblNcrs[[#This Row],[Rework or repair cost]])+AdminCost-N(tblNcrs[[#This Row],[Recovered]]))</f>
        <v>115</v>
      </c>
      <c r="U57" s="40">
        <f>IF(tblNcrs[[#This Row],[Date]]="","",IF(N(tblNcrs[[#This Row],[Closed]])&gt;0,tblNcrs[[#This Row],[Closed]],AsOf)-tblNcrs[[#This Row],[Date]])</f>
        <v>8</v>
      </c>
      <c r="V57" s="41" t="str">
        <f>IF(tblNcrs[[#This Row],[Date]]="","",IF(N(tblNcrs[[#This Row],[Closed]])&gt;0,"Complete",IF(tblNcrs[[#This Row],[Date]]+CloseDays&lt;AsOf,"Overdue",IF(tblNcrs[[#This Row],[Date]]+CloseDays-AsOf&lt;=DueSoonDays,"Due soon","In progress"))))</f>
        <v>Complete</v>
      </c>
      <c r="W57" s="40">
        <f>IF(tblNcrs[[#This Row],[Date]]="","",IF(AND(OR(DashSource="",tblNcrs[[#This Row],[Source]]=DashSource),OR(DashOrigin="",tblNcrs[[#This Row],[Origin]]=DashOrigin)),1,0))</f>
        <v>1</v>
      </c>
      <c r="X5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8" spans="2:24" x14ac:dyDescent="0.25">
      <c r="B58" s="28" t="s">
        <v>292</v>
      </c>
      <c r="C58" s="29">
        <v>46220</v>
      </c>
      <c r="D58" s="28" t="s">
        <v>85</v>
      </c>
      <c r="E58" s="28" t="s">
        <v>161</v>
      </c>
      <c r="F58" s="28" t="s">
        <v>293</v>
      </c>
      <c r="G58" s="28" t="s">
        <v>94</v>
      </c>
      <c r="H58" s="28" t="s">
        <v>121</v>
      </c>
      <c r="I58" s="37" t="s">
        <v>232</v>
      </c>
      <c r="J58" s="30">
        <v>12</v>
      </c>
      <c r="K58" s="31">
        <v>236</v>
      </c>
      <c r="L58" s="28" t="s">
        <v>158</v>
      </c>
      <c r="M58" s="31">
        <v>200</v>
      </c>
      <c r="N58" s="31"/>
      <c r="O58" s="28" t="s">
        <v>152</v>
      </c>
      <c r="P58" s="28" t="s">
        <v>294</v>
      </c>
      <c r="Q58" s="29">
        <v>46231</v>
      </c>
      <c r="R58" s="38" t="str">
        <f>IF(tblNcrs[[#This Row],[Date]]="","",IFERROR(INDEX(tblOrigins[Type],MATCH(tblNcrs[[#This Row],[Origin]],tblOrigins[Origin],0)),""))</f>
        <v>Internal</v>
      </c>
      <c r="S58" s="39">
        <f>IF(tblNcrs[[#This Row],[Date]]="","",IF(tblNcrs[[#This Row],[Disposition]]="Scrap",tblNcrs[[#This Row],[Qty nonconforming]]*tblNcrs[[#This Row],[Unit cost]],0))</f>
        <v>0</v>
      </c>
      <c r="T58" s="39">
        <f>IF(tblNcrs[[#This Row],[Date]]="","",tblNcrs[[#This Row],[Scrap cost]]+N(tblNcrs[[#This Row],[Rework or repair cost]])+AdminCost-N(tblNcrs[[#This Row],[Recovered]]))</f>
        <v>285</v>
      </c>
      <c r="U58" s="40">
        <f>IF(tblNcrs[[#This Row],[Date]]="","",IF(N(tblNcrs[[#This Row],[Closed]])&gt;0,tblNcrs[[#This Row],[Closed]],AsOf)-tblNcrs[[#This Row],[Date]])</f>
        <v>11</v>
      </c>
      <c r="V58" s="41" t="str">
        <f>IF(tblNcrs[[#This Row],[Date]]="","",IF(N(tblNcrs[[#This Row],[Closed]])&gt;0,"Complete",IF(tblNcrs[[#This Row],[Date]]+CloseDays&lt;AsOf,"Overdue",IF(tblNcrs[[#This Row],[Date]]+CloseDays-AsOf&lt;=DueSoonDays,"Due soon","In progress"))))</f>
        <v>Complete</v>
      </c>
      <c r="W58" s="40">
        <f>IF(tblNcrs[[#This Row],[Date]]="","",IF(AND(OR(DashSource="",tblNcrs[[#This Row],[Source]]=DashSource),OR(DashOrigin="",tblNcrs[[#This Row],[Origin]]=DashOrigin)),1,0))</f>
        <v>1</v>
      </c>
      <c r="X5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59" spans="2:24" x14ac:dyDescent="0.25">
      <c r="B59" s="28" t="s">
        <v>295</v>
      </c>
      <c r="C59" s="29">
        <v>46226</v>
      </c>
      <c r="D59" s="28" t="s">
        <v>89</v>
      </c>
      <c r="E59" s="28" t="s">
        <v>155</v>
      </c>
      <c r="F59" s="28" t="s">
        <v>296</v>
      </c>
      <c r="G59" s="28" t="s">
        <v>94</v>
      </c>
      <c r="H59" s="28" t="s">
        <v>121</v>
      </c>
      <c r="I59" s="37" t="s">
        <v>232</v>
      </c>
      <c r="J59" s="30">
        <v>2</v>
      </c>
      <c r="K59" s="31">
        <v>118</v>
      </c>
      <c r="L59" s="28" t="s">
        <v>158</v>
      </c>
      <c r="M59" s="31">
        <v>40</v>
      </c>
      <c r="N59" s="31"/>
      <c r="O59" s="28" t="s">
        <v>152</v>
      </c>
      <c r="P59" s="28" t="s">
        <v>182</v>
      </c>
      <c r="Q59" s="29">
        <v>46276</v>
      </c>
      <c r="R59" s="38" t="str">
        <f>IF(tblNcrs[[#This Row],[Date]]="","",IFERROR(INDEX(tblOrigins[Type],MATCH(tblNcrs[[#This Row],[Origin]],tblOrigins[Origin],0)),""))</f>
        <v>Internal</v>
      </c>
      <c r="S59" s="39">
        <f>IF(tblNcrs[[#This Row],[Date]]="","",IF(tblNcrs[[#This Row],[Disposition]]="Scrap",tblNcrs[[#This Row],[Qty nonconforming]]*tblNcrs[[#This Row],[Unit cost]],0))</f>
        <v>0</v>
      </c>
      <c r="T59" s="39">
        <f>IF(tblNcrs[[#This Row],[Date]]="","",tblNcrs[[#This Row],[Scrap cost]]+N(tblNcrs[[#This Row],[Rework or repair cost]])+AdminCost-N(tblNcrs[[#This Row],[Recovered]]))</f>
        <v>125</v>
      </c>
      <c r="U59" s="40">
        <f>IF(tblNcrs[[#This Row],[Date]]="","",IF(N(tblNcrs[[#This Row],[Closed]])&gt;0,tblNcrs[[#This Row],[Closed]],AsOf)-tblNcrs[[#This Row],[Date]])</f>
        <v>50</v>
      </c>
      <c r="V59" s="41" t="str">
        <f>IF(tblNcrs[[#This Row],[Date]]="","",IF(N(tblNcrs[[#This Row],[Closed]])&gt;0,"Complete",IF(tblNcrs[[#This Row],[Date]]+CloseDays&lt;AsOf,"Overdue",IF(tblNcrs[[#This Row],[Date]]+CloseDays-AsOf&lt;=DueSoonDays,"Due soon","In progress"))))</f>
        <v>Complete</v>
      </c>
      <c r="W59" s="40">
        <f>IF(tblNcrs[[#This Row],[Date]]="","",IF(AND(OR(DashSource="",tblNcrs[[#This Row],[Source]]=DashSource),OR(DashOrigin="",tblNcrs[[#This Row],[Origin]]=DashOrigin)),1,0))</f>
        <v>1</v>
      </c>
      <c r="X5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0" spans="2:24" x14ac:dyDescent="0.25">
      <c r="B60" s="28" t="s">
        <v>297</v>
      </c>
      <c r="C60" s="29">
        <v>46227</v>
      </c>
      <c r="D60" s="28" t="s">
        <v>89</v>
      </c>
      <c r="E60" s="28" t="s">
        <v>161</v>
      </c>
      <c r="F60" s="28" t="s">
        <v>298</v>
      </c>
      <c r="G60" s="28" t="s">
        <v>97</v>
      </c>
      <c r="H60" s="28" t="s">
        <v>123</v>
      </c>
      <c r="I60" s="37" t="s">
        <v>192</v>
      </c>
      <c r="J60" s="30">
        <v>6</v>
      </c>
      <c r="K60" s="31">
        <v>236</v>
      </c>
      <c r="L60" s="28" t="s">
        <v>151</v>
      </c>
      <c r="M60" s="31"/>
      <c r="N60" s="31"/>
      <c r="O60" s="28" t="s">
        <v>152</v>
      </c>
      <c r="P60" s="28" t="s">
        <v>299</v>
      </c>
      <c r="Q60" s="29">
        <v>46270</v>
      </c>
      <c r="R60" s="38" t="str">
        <f>IF(tblNcrs[[#This Row],[Date]]="","",IFERROR(INDEX(tblOrigins[Type],MATCH(tblNcrs[[#This Row],[Origin]],tblOrigins[Origin],0)),""))</f>
        <v>Internal</v>
      </c>
      <c r="S60" s="39">
        <f>IF(tblNcrs[[#This Row],[Date]]="","",IF(tblNcrs[[#This Row],[Disposition]]="Scrap",tblNcrs[[#This Row],[Qty nonconforming]]*tblNcrs[[#This Row],[Unit cost]],0))</f>
        <v>0</v>
      </c>
      <c r="T60" s="39">
        <f>IF(tblNcrs[[#This Row],[Date]]="","",tblNcrs[[#This Row],[Scrap cost]]+N(tblNcrs[[#This Row],[Rework or repair cost]])+AdminCost-N(tblNcrs[[#This Row],[Recovered]]))</f>
        <v>85</v>
      </c>
      <c r="U60" s="40">
        <f>IF(tblNcrs[[#This Row],[Date]]="","",IF(N(tblNcrs[[#This Row],[Closed]])&gt;0,tblNcrs[[#This Row],[Closed]],AsOf)-tblNcrs[[#This Row],[Date]])</f>
        <v>43</v>
      </c>
      <c r="V60" s="41" t="str">
        <f>IF(tblNcrs[[#This Row],[Date]]="","",IF(N(tblNcrs[[#This Row],[Closed]])&gt;0,"Complete",IF(tblNcrs[[#This Row],[Date]]+CloseDays&lt;AsOf,"Overdue",IF(tblNcrs[[#This Row],[Date]]+CloseDays-AsOf&lt;=DueSoonDays,"Due soon","In progress"))))</f>
        <v>Complete</v>
      </c>
      <c r="W60" s="40">
        <f>IF(tblNcrs[[#This Row],[Date]]="","",IF(AND(OR(DashSource="",tblNcrs[[#This Row],[Source]]=DashSource),OR(DashOrigin="",tblNcrs[[#This Row],[Origin]]=DashOrigin)),1,0))</f>
        <v>1</v>
      </c>
      <c r="X6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1" spans="2:24" x14ac:dyDescent="0.25">
      <c r="B61" s="28" t="s">
        <v>300</v>
      </c>
      <c r="C61" s="29">
        <v>46230</v>
      </c>
      <c r="D61" s="28" t="s">
        <v>85</v>
      </c>
      <c r="E61" s="28" t="s">
        <v>148</v>
      </c>
      <c r="F61" s="28" t="s">
        <v>301</v>
      </c>
      <c r="G61" s="28" t="s">
        <v>99</v>
      </c>
      <c r="H61" s="28" t="s">
        <v>109</v>
      </c>
      <c r="I61" s="37" t="s">
        <v>163</v>
      </c>
      <c r="J61" s="30">
        <v>6</v>
      </c>
      <c r="K61" s="31">
        <v>42.5</v>
      </c>
      <c r="L61" s="28" t="s">
        <v>164</v>
      </c>
      <c r="M61" s="31"/>
      <c r="N61" s="31"/>
      <c r="O61" s="28" t="s">
        <v>175</v>
      </c>
      <c r="P61" s="28"/>
      <c r="Q61" s="29">
        <v>46247</v>
      </c>
      <c r="R61" s="38" t="str">
        <f>IF(tblNcrs[[#This Row],[Date]]="","",IFERROR(INDEX(tblOrigins[Type],MATCH(tblNcrs[[#This Row],[Origin]],tblOrigins[Origin],0)),""))</f>
        <v>Internal</v>
      </c>
      <c r="S61" s="39">
        <f>IF(tblNcrs[[#This Row],[Date]]="","",IF(tblNcrs[[#This Row],[Disposition]]="Scrap",tblNcrs[[#This Row],[Qty nonconforming]]*tblNcrs[[#This Row],[Unit cost]],0))</f>
        <v>255</v>
      </c>
      <c r="T61" s="39">
        <f>IF(tblNcrs[[#This Row],[Date]]="","",tblNcrs[[#This Row],[Scrap cost]]+N(tblNcrs[[#This Row],[Rework or repair cost]])+AdminCost-N(tblNcrs[[#This Row],[Recovered]]))</f>
        <v>340</v>
      </c>
      <c r="U61" s="40">
        <f>IF(tblNcrs[[#This Row],[Date]]="","",IF(N(tblNcrs[[#This Row],[Closed]])&gt;0,tblNcrs[[#This Row],[Closed]],AsOf)-tblNcrs[[#This Row],[Date]])</f>
        <v>17</v>
      </c>
      <c r="V61" s="41" t="str">
        <f>IF(tblNcrs[[#This Row],[Date]]="","",IF(N(tblNcrs[[#This Row],[Closed]])&gt;0,"Complete",IF(tblNcrs[[#This Row],[Date]]+CloseDays&lt;AsOf,"Overdue",IF(tblNcrs[[#This Row],[Date]]+CloseDays-AsOf&lt;=DueSoonDays,"Due soon","In progress"))))</f>
        <v>Complete</v>
      </c>
      <c r="W61" s="40">
        <f>IF(tblNcrs[[#This Row],[Date]]="","",IF(AND(OR(DashSource="",tblNcrs[[#This Row],[Source]]=DashSource),OR(DashOrigin="",tblNcrs[[#This Row],[Origin]]=DashOrigin)),1,0))</f>
        <v>1</v>
      </c>
      <c r="X6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2" spans="2:24" x14ac:dyDescent="0.25">
      <c r="B62" s="28" t="s">
        <v>302</v>
      </c>
      <c r="C62" s="29">
        <v>46231</v>
      </c>
      <c r="D62" s="28" t="s">
        <v>87</v>
      </c>
      <c r="E62" s="28" t="s">
        <v>197</v>
      </c>
      <c r="F62" s="28" t="s">
        <v>303</v>
      </c>
      <c r="G62" s="28" t="s">
        <v>97</v>
      </c>
      <c r="H62" s="28" t="s">
        <v>109</v>
      </c>
      <c r="I62" s="37" t="s">
        <v>163</v>
      </c>
      <c r="J62" s="30">
        <v>1</v>
      </c>
      <c r="K62" s="31">
        <v>64</v>
      </c>
      <c r="L62" s="28" t="s">
        <v>164</v>
      </c>
      <c r="M62" s="31"/>
      <c r="N62" s="31"/>
      <c r="O62" s="28" t="s">
        <v>175</v>
      </c>
      <c r="P62" s="28"/>
      <c r="Q62" s="29">
        <v>46250</v>
      </c>
      <c r="R62" s="38" t="str">
        <f>IF(tblNcrs[[#This Row],[Date]]="","",IFERROR(INDEX(tblOrigins[Type],MATCH(tblNcrs[[#This Row],[Origin]],tblOrigins[Origin],0)),""))</f>
        <v>Internal</v>
      </c>
      <c r="S62" s="39">
        <f>IF(tblNcrs[[#This Row],[Date]]="","",IF(tblNcrs[[#This Row],[Disposition]]="Scrap",tblNcrs[[#This Row],[Qty nonconforming]]*tblNcrs[[#This Row],[Unit cost]],0))</f>
        <v>64</v>
      </c>
      <c r="T62" s="39">
        <f>IF(tblNcrs[[#This Row],[Date]]="","",tblNcrs[[#This Row],[Scrap cost]]+N(tblNcrs[[#This Row],[Rework or repair cost]])+AdminCost-N(tblNcrs[[#This Row],[Recovered]]))</f>
        <v>149</v>
      </c>
      <c r="U62" s="40">
        <f>IF(tblNcrs[[#This Row],[Date]]="","",IF(N(tblNcrs[[#This Row],[Closed]])&gt;0,tblNcrs[[#This Row],[Closed]],AsOf)-tblNcrs[[#This Row],[Date]])</f>
        <v>19</v>
      </c>
      <c r="V62" s="41" t="str">
        <f>IF(tblNcrs[[#This Row],[Date]]="","",IF(N(tblNcrs[[#This Row],[Closed]])&gt;0,"Complete",IF(tblNcrs[[#This Row],[Date]]+CloseDays&lt;AsOf,"Overdue",IF(tblNcrs[[#This Row],[Date]]+CloseDays-AsOf&lt;=DueSoonDays,"Due soon","In progress"))))</f>
        <v>Complete</v>
      </c>
      <c r="W62" s="40">
        <f>IF(tblNcrs[[#This Row],[Date]]="","",IF(AND(OR(DashSource="",tblNcrs[[#This Row],[Source]]=DashSource),OR(DashOrigin="",tblNcrs[[#This Row],[Origin]]=DashOrigin)),1,0))</f>
        <v>1</v>
      </c>
      <c r="X6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3" spans="2:24" x14ac:dyDescent="0.25">
      <c r="B63" s="28" t="s">
        <v>304</v>
      </c>
      <c r="C63" s="29">
        <v>46231</v>
      </c>
      <c r="D63" s="28" t="s">
        <v>85</v>
      </c>
      <c r="E63" s="28" t="s">
        <v>173</v>
      </c>
      <c r="F63" s="28" t="s">
        <v>156</v>
      </c>
      <c r="G63" s="28" t="s">
        <v>99</v>
      </c>
      <c r="H63" s="28" t="s">
        <v>109</v>
      </c>
      <c r="I63" s="37" t="s">
        <v>163</v>
      </c>
      <c r="J63" s="30">
        <v>3</v>
      </c>
      <c r="K63" s="31">
        <v>18.5</v>
      </c>
      <c r="L63" s="28" t="s">
        <v>164</v>
      </c>
      <c r="M63" s="31"/>
      <c r="N63" s="31"/>
      <c r="O63" s="28" t="s">
        <v>175</v>
      </c>
      <c r="P63" s="28"/>
      <c r="Q63" s="29">
        <v>46233</v>
      </c>
      <c r="R63" s="38" t="str">
        <f>IF(tblNcrs[[#This Row],[Date]]="","",IFERROR(INDEX(tblOrigins[Type],MATCH(tblNcrs[[#This Row],[Origin]],tblOrigins[Origin],0)),""))</f>
        <v>Internal</v>
      </c>
      <c r="S63" s="39">
        <f>IF(tblNcrs[[#This Row],[Date]]="","",IF(tblNcrs[[#This Row],[Disposition]]="Scrap",tblNcrs[[#This Row],[Qty nonconforming]]*tblNcrs[[#This Row],[Unit cost]],0))</f>
        <v>55.5</v>
      </c>
      <c r="T63" s="39">
        <f>IF(tblNcrs[[#This Row],[Date]]="","",tblNcrs[[#This Row],[Scrap cost]]+N(tblNcrs[[#This Row],[Rework or repair cost]])+AdminCost-N(tblNcrs[[#This Row],[Recovered]]))</f>
        <v>140.5</v>
      </c>
      <c r="U63" s="40">
        <f>IF(tblNcrs[[#This Row],[Date]]="","",IF(N(tblNcrs[[#This Row],[Closed]])&gt;0,tblNcrs[[#This Row],[Closed]],AsOf)-tblNcrs[[#This Row],[Date]])</f>
        <v>2</v>
      </c>
      <c r="V63" s="41" t="str">
        <f>IF(tblNcrs[[#This Row],[Date]]="","",IF(N(tblNcrs[[#This Row],[Closed]])&gt;0,"Complete",IF(tblNcrs[[#This Row],[Date]]+CloseDays&lt;AsOf,"Overdue",IF(tblNcrs[[#This Row],[Date]]+CloseDays-AsOf&lt;=DueSoonDays,"Due soon","In progress"))))</f>
        <v>Complete</v>
      </c>
      <c r="W63" s="40">
        <f>IF(tblNcrs[[#This Row],[Date]]="","",IF(AND(OR(DashSource="",tblNcrs[[#This Row],[Source]]=DashSource),OR(DashOrigin="",tblNcrs[[#This Row],[Origin]]=DashOrigin)),1,0))</f>
        <v>1</v>
      </c>
      <c r="X6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4" spans="2:24" x14ac:dyDescent="0.25">
      <c r="B64" s="28" t="s">
        <v>305</v>
      </c>
      <c r="C64" s="29">
        <v>46232</v>
      </c>
      <c r="D64" s="28" t="s">
        <v>83</v>
      </c>
      <c r="E64" s="28" t="s">
        <v>155</v>
      </c>
      <c r="F64" s="28" t="s">
        <v>306</v>
      </c>
      <c r="G64" s="28" t="s">
        <v>103</v>
      </c>
      <c r="H64" s="28" t="s">
        <v>123</v>
      </c>
      <c r="I64" s="37" t="s">
        <v>192</v>
      </c>
      <c r="J64" s="30">
        <v>8</v>
      </c>
      <c r="K64" s="31">
        <v>118</v>
      </c>
      <c r="L64" s="28" t="s">
        <v>151</v>
      </c>
      <c r="M64" s="31"/>
      <c r="N64" s="31"/>
      <c r="O64" s="28" t="s">
        <v>152</v>
      </c>
      <c r="P64" s="28" t="s">
        <v>307</v>
      </c>
      <c r="Q64" s="29">
        <v>46261</v>
      </c>
      <c r="R64" s="38" t="str">
        <f>IF(tblNcrs[[#This Row],[Date]]="","",IFERROR(INDEX(tblOrigins[Type],MATCH(tblNcrs[[#This Row],[Origin]],tblOrigins[Origin],0)),""))</f>
        <v>Supplier</v>
      </c>
      <c r="S64" s="39">
        <f>IF(tblNcrs[[#This Row],[Date]]="","",IF(tblNcrs[[#This Row],[Disposition]]="Scrap",tblNcrs[[#This Row],[Qty nonconforming]]*tblNcrs[[#This Row],[Unit cost]],0))</f>
        <v>0</v>
      </c>
      <c r="T64" s="39">
        <f>IF(tblNcrs[[#This Row],[Date]]="","",tblNcrs[[#This Row],[Scrap cost]]+N(tblNcrs[[#This Row],[Rework or repair cost]])+AdminCost-N(tblNcrs[[#This Row],[Recovered]]))</f>
        <v>85</v>
      </c>
      <c r="U64" s="40">
        <f>IF(tblNcrs[[#This Row],[Date]]="","",IF(N(tblNcrs[[#This Row],[Closed]])&gt;0,tblNcrs[[#This Row],[Closed]],AsOf)-tblNcrs[[#This Row],[Date]])</f>
        <v>29</v>
      </c>
      <c r="V64" s="41" t="str">
        <f>IF(tblNcrs[[#This Row],[Date]]="","",IF(N(tblNcrs[[#This Row],[Closed]])&gt;0,"Complete",IF(tblNcrs[[#This Row],[Date]]+CloseDays&lt;AsOf,"Overdue",IF(tblNcrs[[#This Row],[Date]]+CloseDays-AsOf&lt;=DueSoonDays,"Due soon","In progress"))))</f>
        <v>Complete</v>
      </c>
      <c r="W64" s="40">
        <f>IF(tblNcrs[[#This Row],[Date]]="","",IF(AND(OR(DashSource="",tblNcrs[[#This Row],[Source]]=DashSource),OR(DashOrigin="",tblNcrs[[#This Row],[Origin]]=DashOrigin)),1,0))</f>
        <v>1</v>
      </c>
      <c r="X6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5" spans="2:24" x14ac:dyDescent="0.25">
      <c r="B65" s="28" t="s">
        <v>308</v>
      </c>
      <c r="C65" s="29">
        <v>46232</v>
      </c>
      <c r="D65" s="28" t="s">
        <v>85</v>
      </c>
      <c r="E65" s="28" t="s">
        <v>177</v>
      </c>
      <c r="F65" s="28" t="s">
        <v>309</v>
      </c>
      <c r="G65" s="28" t="s">
        <v>99</v>
      </c>
      <c r="H65" s="28" t="s">
        <v>121</v>
      </c>
      <c r="I65" s="37" t="s">
        <v>232</v>
      </c>
      <c r="J65" s="30">
        <v>1</v>
      </c>
      <c r="K65" s="31">
        <v>27</v>
      </c>
      <c r="L65" s="28" t="s">
        <v>158</v>
      </c>
      <c r="M65" s="31">
        <v>10</v>
      </c>
      <c r="N65" s="31"/>
      <c r="O65" s="28" t="s">
        <v>175</v>
      </c>
      <c r="P65" s="28"/>
      <c r="Q65" s="29">
        <v>46238</v>
      </c>
      <c r="R65" s="38" t="str">
        <f>IF(tblNcrs[[#This Row],[Date]]="","",IFERROR(INDEX(tblOrigins[Type],MATCH(tblNcrs[[#This Row],[Origin]],tblOrigins[Origin],0)),""))</f>
        <v>Internal</v>
      </c>
      <c r="S65" s="39">
        <f>IF(tblNcrs[[#This Row],[Date]]="","",IF(tblNcrs[[#This Row],[Disposition]]="Scrap",tblNcrs[[#This Row],[Qty nonconforming]]*tblNcrs[[#This Row],[Unit cost]],0))</f>
        <v>0</v>
      </c>
      <c r="T65" s="39">
        <f>IF(tblNcrs[[#This Row],[Date]]="","",tblNcrs[[#This Row],[Scrap cost]]+N(tblNcrs[[#This Row],[Rework or repair cost]])+AdminCost-N(tblNcrs[[#This Row],[Recovered]]))</f>
        <v>95</v>
      </c>
      <c r="U65" s="40">
        <f>IF(tblNcrs[[#This Row],[Date]]="","",IF(N(tblNcrs[[#This Row],[Closed]])&gt;0,tblNcrs[[#This Row],[Closed]],AsOf)-tblNcrs[[#This Row],[Date]])</f>
        <v>6</v>
      </c>
      <c r="V65" s="41" t="str">
        <f>IF(tblNcrs[[#This Row],[Date]]="","",IF(N(tblNcrs[[#This Row],[Closed]])&gt;0,"Complete",IF(tblNcrs[[#This Row],[Date]]+CloseDays&lt;AsOf,"Overdue",IF(tblNcrs[[#This Row],[Date]]+CloseDays-AsOf&lt;=DueSoonDays,"Due soon","In progress"))))</f>
        <v>Complete</v>
      </c>
      <c r="W65" s="40">
        <f>IF(tblNcrs[[#This Row],[Date]]="","",IF(AND(OR(DashSource="",tblNcrs[[#This Row],[Source]]=DashSource),OR(DashOrigin="",tblNcrs[[#This Row],[Origin]]=DashOrigin)),1,0))</f>
        <v>1</v>
      </c>
      <c r="X6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6" spans="2:24" x14ac:dyDescent="0.25">
      <c r="B66" s="28" t="s">
        <v>310</v>
      </c>
      <c r="C66" s="29">
        <v>46232</v>
      </c>
      <c r="D66" s="28" t="s">
        <v>91</v>
      </c>
      <c r="E66" s="28" t="s">
        <v>177</v>
      </c>
      <c r="F66" s="28" t="s">
        <v>311</v>
      </c>
      <c r="G66" s="28" t="s">
        <v>101</v>
      </c>
      <c r="H66" s="28" t="s">
        <v>113</v>
      </c>
      <c r="I66" s="37" t="s">
        <v>157</v>
      </c>
      <c r="J66" s="30">
        <v>8</v>
      </c>
      <c r="K66" s="31">
        <v>27</v>
      </c>
      <c r="L66" s="28" t="s">
        <v>158</v>
      </c>
      <c r="M66" s="31">
        <v>45</v>
      </c>
      <c r="N66" s="31"/>
      <c r="O66" s="28" t="s">
        <v>175</v>
      </c>
      <c r="P66" s="28"/>
      <c r="Q66" s="29">
        <v>46248</v>
      </c>
      <c r="R66" s="38" t="str">
        <f>IF(tblNcrs[[#This Row],[Date]]="","",IFERROR(INDEX(tblOrigins[Type],MATCH(tblNcrs[[#This Row],[Origin]],tblOrigins[Origin],0)),""))</f>
        <v>Internal</v>
      </c>
      <c r="S66" s="39">
        <f>IF(tblNcrs[[#This Row],[Date]]="","",IF(tblNcrs[[#This Row],[Disposition]]="Scrap",tblNcrs[[#This Row],[Qty nonconforming]]*tblNcrs[[#This Row],[Unit cost]],0))</f>
        <v>0</v>
      </c>
      <c r="T66" s="39">
        <f>IF(tblNcrs[[#This Row],[Date]]="","",tblNcrs[[#This Row],[Scrap cost]]+N(tblNcrs[[#This Row],[Rework or repair cost]])+AdminCost-N(tblNcrs[[#This Row],[Recovered]]))</f>
        <v>130</v>
      </c>
      <c r="U66" s="40">
        <f>IF(tblNcrs[[#This Row],[Date]]="","",IF(N(tblNcrs[[#This Row],[Closed]])&gt;0,tblNcrs[[#This Row],[Closed]],AsOf)-tblNcrs[[#This Row],[Date]])</f>
        <v>16</v>
      </c>
      <c r="V66" s="41" t="str">
        <f>IF(tblNcrs[[#This Row],[Date]]="","",IF(N(tblNcrs[[#This Row],[Closed]])&gt;0,"Complete",IF(tblNcrs[[#This Row],[Date]]+CloseDays&lt;AsOf,"Overdue",IF(tblNcrs[[#This Row],[Date]]+CloseDays-AsOf&lt;=DueSoonDays,"Due soon","In progress"))))</f>
        <v>Complete</v>
      </c>
      <c r="W66" s="40">
        <f>IF(tblNcrs[[#This Row],[Date]]="","",IF(AND(OR(DashSource="",tblNcrs[[#This Row],[Source]]=DashSource),OR(DashOrigin="",tblNcrs[[#This Row],[Origin]]=DashOrigin)),1,0))</f>
        <v>1</v>
      </c>
      <c r="X6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7" spans="2:24" x14ac:dyDescent="0.25">
      <c r="B67" s="28" t="s">
        <v>312</v>
      </c>
      <c r="C67" s="29">
        <v>46234</v>
      </c>
      <c r="D67" s="28" t="s">
        <v>85</v>
      </c>
      <c r="E67" s="28" t="s">
        <v>173</v>
      </c>
      <c r="F67" s="28" t="s">
        <v>313</v>
      </c>
      <c r="G67" s="28" t="s">
        <v>94</v>
      </c>
      <c r="H67" s="28" t="s">
        <v>119</v>
      </c>
      <c r="I67" s="37" t="s">
        <v>150</v>
      </c>
      <c r="J67" s="30">
        <v>12</v>
      </c>
      <c r="K67" s="31">
        <v>18.5</v>
      </c>
      <c r="L67" s="28" t="s">
        <v>164</v>
      </c>
      <c r="M67" s="31"/>
      <c r="N67" s="31"/>
      <c r="O67" s="28" t="s">
        <v>175</v>
      </c>
      <c r="P67" s="28"/>
      <c r="Q67" s="29">
        <v>46245</v>
      </c>
      <c r="R67" s="38" t="str">
        <f>IF(tblNcrs[[#This Row],[Date]]="","",IFERROR(INDEX(tblOrigins[Type],MATCH(tblNcrs[[#This Row],[Origin]],tblOrigins[Origin],0)),""))</f>
        <v>Internal</v>
      </c>
      <c r="S67" s="39">
        <f>IF(tblNcrs[[#This Row],[Date]]="","",IF(tblNcrs[[#This Row],[Disposition]]="Scrap",tblNcrs[[#This Row],[Qty nonconforming]]*tblNcrs[[#This Row],[Unit cost]],0))</f>
        <v>222</v>
      </c>
      <c r="T67" s="39">
        <f>IF(tblNcrs[[#This Row],[Date]]="","",tblNcrs[[#This Row],[Scrap cost]]+N(tblNcrs[[#This Row],[Rework or repair cost]])+AdminCost-N(tblNcrs[[#This Row],[Recovered]]))</f>
        <v>307</v>
      </c>
      <c r="U67" s="40">
        <f>IF(tblNcrs[[#This Row],[Date]]="","",IF(N(tblNcrs[[#This Row],[Closed]])&gt;0,tblNcrs[[#This Row],[Closed]],AsOf)-tblNcrs[[#This Row],[Date]])</f>
        <v>11</v>
      </c>
      <c r="V67" s="41" t="str">
        <f>IF(tblNcrs[[#This Row],[Date]]="","",IF(N(tblNcrs[[#This Row],[Closed]])&gt;0,"Complete",IF(tblNcrs[[#This Row],[Date]]+CloseDays&lt;AsOf,"Overdue",IF(tblNcrs[[#This Row],[Date]]+CloseDays-AsOf&lt;=DueSoonDays,"Due soon","In progress"))))</f>
        <v>Complete</v>
      </c>
      <c r="W67" s="40">
        <f>IF(tblNcrs[[#This Row],[Date]]="","",IF(AND(OR(DashSource="",tblNcrs[[#This Row],[Source]]=DashSource),OR(DashOrigin="",tblNcrs[[#This Row],[Origin]]=DashOrigin)),1,0))</f>
        <v>1</v>
      </c>
      <c r="X6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8" spans="2:24" x14ac:dyDescent="0.25">
      <c r="B68" s="28" t="s">
        <v>314</v>
      </c>
      <c r="C68" s="29">
        <v>46239</v>
      </c>
      <c r="D68" s="28" t="s">
        <v>85</v>
      </c>
      <c r="E68" s="28" t="s">
        <v>177</v>
      </c>
      <c r="F68" s="28" t="s">
        <v>315</v>
      </c>
      <c r="G68" s="28" t="s">
        <v>97</v>
      </c>
      <c r="H68" s="28" t="s">
        <v>109</v>
      </c>
      <c r="I68" s="37" t="s">
        <v>163</v>
      </c>
      <c r="J68" s="30">
        <v>8</v>
      </c>
      <c r="K68" s="31">
        <v>27</v>
      </c>
      <c r="L68" s="28" t="s">
        <v>164</v>
      </c>
      <c r="M68" s="31"/>
      <c r="N68" s="31"/>
      <c r="O68" s="28" t="s">
        <v>175</v>
      </c>
      <c r="P68" s="28"/>
      <c r="Q68" s="29">
        <v>46250</v>
      </c>
      <c r="R68" s="38" t="str">
        <f>IF(tblNcrs[[#This Row],[Date]]="","",IFERROR(INDEX(tblOrigins[Type],MATCH(tblNcrs[[#This Row],[Origin]],tblOrigins[Origin],0)),""))</f>
        <v>Internal</v>
      </c>
      <c r="S68" s="39">
        <f>IF(tblNcrs[[#This Row],[Date]]="","",IF(tblNcrs[[#This Row],[Disposition]]="Scrap",tblNcrs[[#This Row],[Qty nonconforming]]*tblNcrs[[#This Row],[Unit cost]],0))</f>
        <v>216</v>
      </c>
      <c r="T68" s="39">
        <f>IF(tblNcrs[[#This Row],[Date]]="","",tblNcrs[[#This Row],[Scrap cost]]+N(tblNcrs[[#This Row],[Rework or repair cost]])+AdminCost-N(tblNcrs[[#This Row],[Recovered]]))</f>
        <v>301</v>
      </c>
      <c r="U68" s="40">
        <f>IF(tblNcrs[[#This Row],[Date]]="","",IF(N(tblNcrs[[#This Row],[Closed]])&gt;0,tblNcrs[[#This Row],[Closed]],AsOf)-tblNcrs[[#This Row],[Date]])</f>
        <v>11</v>
      </c>
      <c r="V68" s="41" t="str">
        <f>IF(tblNcrs[[#This Row],[Date]]="","",IF(N(tblNcrs[[#This Row],[Closed]])&gt;0,"Complete",IF(tblNcrs[[#This Row],[Date]]+CloseDays&lt;AsOf,"Overdue",IF(tblNcrs[[#This Row],[Date]]+CloseDays-AsOf&lt;=DueSoonDays,"Due soon","In progress"))))</f>
        <v>Complete</v>
      </c>
      <c r="W68" s="40">
        <f>IF(tblNcrs[[#This Row],[Date]]="","",IF(AND(OR(DashSource="",tblNcrs[[#This Row],[Source]]=DashSource),OR(DashOrigin="",tblNcrs[[#This Row],[Origin]]=DashOrigin)),1,0))</f>
        <v>1</v>
      </c>
      <c r="X6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69" spans="2:24" x14ac:dyDescent="0.25">
      <c r="B69" s="28" t="s">
        <v>316</v>
      </c>
      <c r="C69" s="29">
        <v>46239</v>
      </c>
      <c r="D69" s="28" t="s">
        <v>87</v>
      </c>
      <c r="E69" s="28" t="s">
        <v>197</v>
      </c>
      <c r="F69" s="28" t="s">
        <v>317</v>
      </c>
      <c r="G69" s="28" t="s">
        <v>99</v>
      </c>
      <c r="H69" s="28" t="s">
        <v>121</v>
      </c>
      <c r="I69" s="37" t="s">
        <v>232</v>
      </c>
      <c r="J69" s="30">
        <v>8</v>
      </c>
      <c r="K69" s="31">
        <v>64</v>
      </c>
      <c r="L69" s="28" t="s">
        <v>158</v>
      </c>
      <c r="M69" s="31">
        <v>125</v>
      </c>
      <c r="N69" s="31"/>
      <c r="O69" s="28" t="s">
        <v>152</v>
      </c>
      <c r="P69" s="28" t="s">
        <v>318</v>
      </c>
      <c r="Q69" s="29">
        <v>46257</v>
      </c>
      <c r="R69" s="38" t="str">
        <f>IF(tblNcrs[[#This Row],[Date]]="","",IFERROR(INDEX(tblOrigins[Type],MATCH(tblNcrs[[#This Row],[Origin]],tblOrigins[Origin],0)),""))</f>
        <v>Internal</v>
      </c>
      <c r="S69" s="39">
        <f>IF(tblNcrs[[#This Row],[Date]]="","",IF(tblNcrs[[#This Row],[Disposition]]="Scrap",tblNcrs[[#This Row],[Qty nonconforming]]*tblNcrs[[#This Row],[Unit cost]],0))</f>
        <v>0</v>
      </c>
      <c r="T69" s="39">
        <f>IF(tblNcrs[[#This Row],[Date]]="","",tblNcrs[[#This Row],[Scrap cost]]+N(tblNcrs[[#This Row],[Rework or repair cost]])+AdminCost-N(tblNcrs[[#This Row],[Recovered]]))</f>
        <v>210</v>
      </c>
      <c r="U69" s="40">
        <f>IF(tblNcrs[[#This Row],[Date]]="","",IF(N(tblNcrs[[#This Row],[Closed]])&gt;0,tblNcrs[[#This Row],[Closed]],AsOf)-tblNcrs[[#This Row],[Date]])</f>
        <v>18</v>
      </c>
      <c r="V69" s="41" t="str">
        <f>IF(tblNcrs[[#This Row],[Date]]="","",IF(N(tblNcrs[[#This Row],[Closed]])&gt;0,"Complete",IF(tblNcrs[[#This Row],[Date]]+CloseDays&lt;AsOf,"Overdue",IF(tblNcrs[[#This Row],[Date]]+CloseDays-AsOf&lt;=DueSoonDays,"Due soon","In progress"))))</f>
        <v>Complete</v>
      </c>
      <c r="W69" s="40">
        <f>IF(tblNcrs[[#This Row],[Date]]="","",IF(AND(OR(DashSource="",tblNcrs[[#This Row],[Source]]=DashSource),OR(DashOrigin="",tblNcrs[[#This Row],[Origin]]=DashOrigin)),1,0))</f>
        <v>1</v>
      </c>
      <c r="X6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0" spans="2:24" x14ac:dyDescent="0.25">
      <c r="B70" s="28" t="s">
        <v>319</v>
      </c>
      <c r="C70" s="29">
        <v>46240</v>
      </c>
      <c r="D70" s="28" t="s">
        <v>85</v>
      </c>
      <c r="E70" s="28" t="s">
        <v>177</v>
      </c>
      <c r="F70" s="28" t="s">
        <v>320</v>
      </c>
      <c r="G70" s="28" t="s">
        <v>99</v>
      </c>
      <c r="H70" s="28" t="s">
        <v>109</v>
      </c>
      <c r="I70" s="37" t="s">
        <v>163</v>
      </c>
      <c r="J70" s="30">
        <v>1</v>
      </c>
      <c r="K70" s="31">
        <v>27</v>
      </c>
      <c r="L70" s="28" t="s">
        <v>158</v>
      </c>
      <c r="M70" s="31">
        <v>20</v>
      </c>
      <c r="N70" s="31"/>
      <c r="O70" s="28" t="s">
        <v>175</v>
      </c>
      <c r="P70" s="28"/>
      <c r="Q70" s="29">
        <v>46246</v>
      </c>
      <c r="R70" s="38" t="str">
        <f>IF(tblNcrs[[#This Row],[Date]]="","",IFERROR(INDEX(tblOrigins[Type],MATCH(tblNcrs[[#This Row],[Origin]],tblOrigins[Origin],0)),""))</f>
        <v>Internal</v>
      </c>
      <c r="S70" s="39">
        <f>IF(tblNcrs[[#This Row],[Date]]="","",IF(tblNcrs[[#This Row],[Disposition]]="Scrap",tblNcrs[[#This Row],[Qty nonconforming]]*tblNcrs[[#This Row],[Unit cost]],0))</f>
        <v>0</v>
      </c>
      <c r="T70" s="39">
        <f>IF(tblNcrs[[#This Row],[Date]]="","",tblNcrs[[#This Row],[Scrap cost]]+N(tblNcrs[[#This Row],[Rework or repair cost]])+AdminCost-N(tblNcrs[[#This Row],[Recovered]]))</f>
        <v>105</v>
      </c>
      <c r="U70" s="40">
        <f>IF(tblNcrs[[#This Row],[Date]]="","",IF(N(tblNcrs[[#This Row],[Closed]])&gt;0,tblNcrs[[#This Row],[Closed]],AsOf)-tblNcrs[[#This Row],[Date]])</f>
        <v>6</v>
      </c>
      <c r="V70" s="41" t="str">
        <f>IF(tblNcrs[[#This Row],[Date]]="","",IF(N(tblNcrs[[#This Row],[Closed]])&gt;0,"Complete",IF(tblNcrs[[#This Row],[Date]]+CloseDays&lt;AsOf,"Overdue",IF(tblNcrs[[#This Row],[Date]]+CloseDays-AsOf&lt;=DueSoonDays,"Due soon","In progress"))))</f>
        <v>Complete</v>
      </c>
      <c r="W70" s="40">
        <f>IF(tblNcrs[[#This Row],[Date]]="","",IF(AND(OR(DashSource="",tblNcrs[[#This Row],[Source]]=DashSource),OR(DashOrigin="",tblNcrs[[#This Row],[Origin]]=DashOrigin)),1,0))</f>
        <v>1</v>
      </c>
      <c r="X7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1" spans="2:24" x14ac:dyDescent="0.25">
      <c r="B71" s="28" t="s">
        <v>321</v>
      </c>
      <c r="C71" s="29">
        <v>46244</v>
      </c>
      <c r="D71" s="28" t="s">
        <v>85</v>
      </c>
      <c r="E71" s="28" t="s">
        <v>177</v>
      </c>
      <c r="F71" s="28" t="s">
        <v>322</v>
      </c>
      <c r="G71" s="28" t="s">
        <v>97</v>
      </c>
      <c r="H71" s="28" t="s">
        <v>109</v>
      </c>
      <c r="I71" s="37" t="s">
        <v>163</v>
      </c>
      <c r="J71" s="30">
        <v>3</v>
      </c>
      <c r="K71" s="31">
        <v>27</v>
      </c>
      <c r="L71" s="28" t="s">
        <v>158</v>
      </c>
      <c r="M71" s="31">
        <v>25</v>
      </c>
      <c r="N71" s="31"/>
      <c r="O71" s="28" t="s">
        <v>175</v>
      </c>
      <c r="P71" s="28"/>
      <c r="Q71" s="29">
        <v>46246</v>
      </c>
      <c r="R71" s="38" t="str">
        <f>IF(tblNcrs[[#This Row],[Date]]="","",IFERROR(INDEX(tblOrigins[Type],MATCH(tblNcrs[[#This Row],[Origin]],tblOrigins[Origin],0)),""))</f>
        <v>Internal</v>
      </c>
      <c r="S71" s="39">
        <f>IF(tblNcrs[[#This Row],[Date]]="","",IF(tblNcrs[[#This Row],[Disposition]]="Scrap",tblNcrs[[#This Row],[Qty nonconforming]]*tblNcrs[[#This Row],[Unit cost]],0))</f>
        <v>0</v>
      </c>
      <c r="T71" s="39">
        <f>IF(tblNcrs[[#This Row],[Date]]="","",tblNcrs[[#This Row],[Scrap cost]]+N(tblNcrs[[#This Row],[Rework or repair cost]])+AdminCost-N(tblNcrs[[#This Row],[Recovered]]))</f>
        <v>110</v>
      </c>
      <c r="U71" s="40">
        <f>IF(tblNcrs[[#This Row],[Date]]="","",IF(N(tblNcrs[[#This Row],[Closed]])&gt;0,tblNcrs[[#This Row],[Closed]],AsOf)-tblNcrs[[#This Row],[Date]])</f>
        <v>2</v>
      </c>
      <c r="V71" s="41" t="str">
        <f>IF(tblNcrs[[#This Row],[Date]]="","",IF(N(tblNcrs[[#This Row],[Closed]])&gt;0,"Complete",IF(tblNcrs[[#This Row],[Date]]+CloseDays&lt;AsOf,"Overdue",IF(tblNcrs[[#This Row],[Date]]+CloseDays-AsOf&lt;=DueSoonDays,"Due soon","In progress"))))</f>
        <v>Complete</v>
      </c>
      <c r="W71" s="40">
        <f>IF(tblNcrs[[#This Row],[Date]]="","",IF(AND(OR(DashSource="",tblNcrs[[#This Row],[Source]]=DashSource),OR(DashOrigin="",tblNcrs[[#This Row],[Origin]]=DashOrigin)),1,0))</f>
        <v>1</v>
      </c>
      <c r="X7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2" spans="2:24" x14ac:dyDescent="0.25">
      <c r="B72" s="28" t="s">
        <v>323</v>
      </c>
      <c r="C72" s="29">
        <v>46245</v>
      </c>
      <c r="D72" s="28" t="s">
        <v>91</v>
      </c>
      <c r="E72" s="28" t="s">
        <v>148</v>
      </c>
      <c r="F72" s="28" t="s">
        <v>324</v>
      </c>
      <c r="G72" s="28" t="s">
        <v>94</v>
      </c>
      <c r="H72" s="28" t="s">
        <v>109</v>
      </c>
      <c r="I72" s="37" t="s">
        <v>163</v>
      </c>
      <c r="J72" s="30">
        <v>8</v>
      </c>
      <c r="K72" s="31">
        <v>42.5</v>
      </c>
      <c r="L72" s="28" t="s">
        <v>158</v>
      </c>
      <c r="M72" s="31">
        <v>170</v>
      </c>
      <c r="N72" s="31"/>
      <c r="O72" s="28" t="s">
        <v>175</v>
      </c>
      <c r="P72" s="28"/>
      <c r="Q72" s="29">
        <v>46260</v>
      </c>
      <c r="R72" s="38" t="str">
        <f>IF(tblNcrs[[#This Row],[Date]]="","",IFERROR(INDEX(tblOrigins[Type],MATCH(tblNcrs[[#This Row],[Origin]],tblOrigins[Origin],0)),""))</f>
        <v>Internal</v>
      </c>
      <c r="S72" s="39">
        <f>IF(tblNcrs[[#This Row],[Date]]="","",IF(tblNcrs[[#This Row],[Disposition]]="Scrap",tblNcrs[[#This Row],[Qty nonconforming]]*tblNcrs[[#This Row],[Unit cost]],0))</f>
        <v>0</v>
      </c>
      <c r="T72" s="39">
        <f>IF(tblNcrs[[#This Row],[Date]]="","",tblNcrs[[#This Row],[Scrap cost]]+N(tblNcrs[[#This Row],[Rework or repair cost]])+AdminCost-N(tblNcrs[[#This Row],[Recovered]]))</f>
        <v>255</v>
      </c>
      <c r="U72" s="40">
        <f>IF(tblNcrs[[#This Row],[Date]]="","",IF(N(tblNcrs[[#This Row],[Closed]])&gt;0,tblNcrs[[#This Row],[Closed]],AsOf)-tblNcrs[[#This Row],[Date]])</f>
        <v>15</v>
      </c>
      <c r="V72" s="41" t="str">
        <f>IF(tblNcrs[[#This Row],[Date]]="","",IF(N(tblNcrs[[#This Row],[Closed]])&gt;0,"Complete",IF(tblNcrs[[#This Row],[Date]]+CloseDays&lt;AsOf,"Overdue",IF(tblNcrs[[#This Row],[Date]]+CloseDays-AsOf&lt;=DueSoonDays,"Due soon","In progress"))))</f>
        <v>Complete</v>
      </c>
      <c r="W72" s="40">
        <f>IF(tblNcrs[[#This Row],[Date]]="","",IF(AND(OR(DashSource="",tblNcrs[[#This Row],[Source]]=DashSource),OR(DashOrigin="",tblNcrs[[#This Row],[Origin]]=DashOrigin)),1,0))</f>
        <v>1</v>
      </c>
      <c r="X7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3" spans="2:24" x14ac:dyDescent="0.25">
      <c r="B73" s="28" t="s">
        <v>325</v>
      </c>
      <c r="C73" s="29">
        <v>46245</v>
      </c>
      <c r="D73" s="28" t="s">
        <v>89</v>
      </c>
      <c r="E73" s="28" t="s">
        <v>148</v>
      </c>
      <c r="F73" s="28" t="s">
        <v>326</v>
      </c>
      <c r="G73" s="28" t="s">
        <v>101</v>
      </c>
      <c r="H73" s="28" t="s">
        <v>119</v>
      </c>
      <c r="I73" s="37" t="s">
        <v>150</v>
      </c>
      <c r="J73" s="30">
        <v>5</v>
      </c>
      <c r="K73" s="31">
        <v>42.5</v>
      </c>
      <c r="L73" s="28" t="s">
        <v>195</v>
      </c>
      <c r="M73" s="31">
        <v>35</v>
      </c>
      <c r="N73" s="31"/>
      <c r="O73" s="28" t="s">
        <v>152</v>
      </c>
      <c r="P73" s="28" t="s">
        <v>327</v>
      </c>
      <c r="Q73" s="29">
        <v>46277</v>
      </c>
      <c r="R73" s="38" t="str">
        <f>IF(tblNcrs[[#This Row],[Date]]="","",IFERROR(INDEX(tblOrigins[Type],MATCH(tblNcrs[[#This Row],[Origin]],tblOrigins[Origin],0)),""))</f>
        <v>Internal</v>
      </c>
      <c r="S73" s="39">
        <f>IF(tblNcrs[[#This Row],[Date]]="","",IF(tblNcrs[[#This Row],[Disposition]]="Scrap",tblNcrs[[#This Row],[Qty nonconforming]]*tblNcrs[[#This Row],[Unit cost]],0))</f>
        <v>0</v>
      </c>
      <c r="T73" s="39">
        <f>IF(tblNcrs[[#This Row],[Date]]="","",tblNcrs[[#This Row],[Scrap cost]]+N(tblNcrs[[#This Row],[Rework or repair cost]])+AdminCost-N(tblNcrs[[#This Row],[Recovered]]))</f>
        <v>120</v>
      </c>
      <c r="U73" s="40">
        <f>IF(tblNcrs[[#This Row],[Date]]="","",IF(N(tblNcrs[[#This Row],[Closed]])&gt;0,tblNcrs[[#This Row],[Closed]],AsOf)-tblNcrs[[#This Row],[Date]])</f>
        <v>32</v>
      </c>
      <c r="V73" s="41" t="str">
        <f>IF(tblNcrs[[#This Row],[Date]]="","",IF(N(tblNcrs[[#This Row],[Closed]])&gt;0,"Complete",IF(tblNcrs[[#This Row],[Date]]+CloseDays&lt;AsOf,"Overdue",IF(tblNcrs[[#This Row],[Date]]+CloseDays-AsOf&lt;=DueSoonDays,"Due soon","In progress"))))</f>
        <v>Complete</v>
      </c>
      <c r="W73" s="40">
        <f>IF(tblNcrs[[#This Row],[Date]]="","",IF(AND(OR(DashSource="",tblNcrs[[#This Row],[Source]]=DashSource),OR(DashOrigin="",tblNcrs[[#This Row],[Origin]]=DashOrigin)),1,0))</f>
        <v>1</v>
      </c>
      <c r="X7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4" spans="2:24" x14ac:dyDescent="0.25">
      <c r="B74" s="28" t="s">
        <v>328</v>
      </c>
      <c r="C74" s="29">
        <v>46251</v>
      </c>
      <c r="D74" s="28" t="s">
        <v>85</v>
      </c>
      <c r="E74" s="28" t="s">
        <v>155</v>
      </c>
      <c r="F74" s="28" t="s">
        <v>329</v>
      </c>
      <c r="G74" s="28" t="s">
        <v>101</v>
      </c>
      <c r="H74" s="28" t="s">
        <v>119</v>
      </c>
      <c r="I74" s="37" t="s">
        <v>150</v>
      </c>
      <c r="J74" s="30">
        <v>15</v>
      </c>
      <c r="K74" s="31">
        <v>118</v>
      </c>
      <c r="L74" s="28" t="s">
        <v>164</v>
      </c>
      <c r="M74" s="31"/>
      <c r="N74" s="31"/>
      <c r="O74" s="28" t="s">
        <v>152</v>
      </c>
      <c r="P74" s="28" t="s">
        <v>330</v>
      </c>
      <c r="Q74" s="29">
        <v>46268</v>
      </c>
      <c r="R74" s="38" t="str">
        <f>IF(tblNcrs[[#This Row],[Date]]="","",IFERROR(INDEX(tblOrigins[Type],MATCH(tblNcrs[[#This Row],[Origin]],tblOrigins[Origin],0)),""))</f>
        <v>Internal</v>
      </c>
      <c r="S74" s="39">
        <f>IF(tblNcrs[[#This Row],[Date]]="","",IF(tblNcrs[[#This Row],[Disposition]]="Scrap",tblNcrs[[#This Row],[Qty nonconforming]]*tblNcrs[[#This Row],[Unit cost]],0))</f>
        <v>1770</v>
      </c>
      <c r="T74" s="39">
        <f>IF(tblNcrs[[#This Row],[Date]]="","",tblNcrs[[#This Row],[Scrap cost]]+N(tblNcrs[[#This Row],[Rework or repair cost]])+AdminCost-N(tblNcrs[[#This Row],[Recovered]]))</f>
        <v>1855</v>
      </c>
      <c r="U74" s="40">
        <f>IF(tblNcrs[[#This Row],[Date]]="","",IF(N(tblNcrs[[#This Row],[Closed]])&gt;0,tblNcrs[[#This Row],[Closed]],AsOf)-tblNcrs[[#This Row],[Date]])</f>
        <v>17</v>
      </c>
      <c r="V74" s="41" t="str">
        <f>IF(tblNcrs[[#This Row],[Date]]="","",IF(N(tblNcrs[[#This Row],[Closed]])&gt;0,"Complete",IF(tblNcrs[[#This Row],[Date]]+CloseDays&lt;AsOf,"Overdue",IF(tblNcrs[[#This Row],[Date]]+CloseDays-AsOf&lt;=DueSoonDays,"Due soon","In progress"))))</f>
        <v>Complete</v>
      </c>
      <c r="W74" s="40">
        <f>IF(tblNcrs[[#This Row],[Date]]="","",IF(AND(OR(DashSource="",tblNcrs[[#This Row],[Source]]=DashSource),OR(DashOrigin="",tblNcrs[[#This Row],[Origin]]=DashOrigin)),1,0))</f>
        <v>1</v>
      </c>
      <c r="X7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5" spans="2:24" x14ac:dyDescent="0.25">
      <c r="B75" s="28" t="s">
        <v>331</v>
      </c>
      <c r="C75" s="29">
        <v>46252</v>
      </c>
      <c r="D75" s="28" t="s">
        <v>83</v>
      </c>
      <c r="E75" s="28" t="s">
        <v>177</v>
      </c>
      <c r="F75" s="28" t="s">
        <v>332</v>
      </c>
      <c r="G75" s="28" t="s">
        <v>103</v>
      </c>
      <c r="H75" s="28" t="s">
        <v>123</v>
      </c>
      <c r="I75" s="37" t="s">
        <v>192</v>
      </c>
      <c r="J75" s="30">
        <v>3</v>
      </c>
      <c r="K75" s="31">
        <v>27</v>
      </c>
      <c r="L75" s="28" t="s">
        <v>151</v>
      </c>
      <c r="M75" s="31"/>
      <c r="N75" s="31"/>
      <c r="O75" s="28" t="s">
        <v>175</v>
      </c>
      <c r="P75" s="28"/>
      <c r="Q75" s="29">
        <v>46277</v>
      </c>
      <c r="R75" s="38" t="str">
        <f>IF(tblNcrs[[#This Row],[Date]]="","",IFERROR(INDEX(tblOrigins[Type],MATCH(tblNcrs[[#This Row],[Origin]],tblOrigins[Origin],0)),""))</f>
        <v>Supplier</v>
      </c>
      <c r="S75" s="39">
        <f>IF(tblNcrs[[#This Row],[Date]]="","",IF(tblNcrs[[#This Row],[Disposition]]="Scrap",tblNcrs[[#This Row],[Qty nonconforming]]*tblNcrs[[#This Row],[Unit cost]],0))</f>
        <v>0</v>
      </c>
      <c r="T75" s="39">
        <f>IF(tblNcrs[[#This Row],[Date]]="","",tblNcrs[[#This Row],[Scrap cost]]+N(tblNcrs[[#This Row],[Rework or repair cost]])+AdminCost-N(tblNcrs[[#This Row],[Recovered]]))</f>
        <v>85</v>
      </c>
      <c r="U75" s="40">
        <f>IF(tblNcrs[[#This Row],[Date]]="","",IF(N(tblNcrs[[#This Row],[Closed]])&gt;0,tblNcrs[[#This Row],[Closed]],AsOf)-tblNcrs[[#This Row],[Date]])</f>
        <v>25</v>
      </c>
      <c r="V75" s="41" t="str">
        <f>IF(tblNcrs[[#This Row],[Date]]="","",IF(N(tblNcrs[[#This Row],[Closed]])&gt;0,"Complete",IF(tblNcrs[[#This Row],[Date]]+CloseDays&lt;AsOf,"Overdue",IF(tblNcrs[[#This Row],[Date]]+CloseDays-AsOf&lt;=DueSoonDays,"Due soon","In progress"))))</f>
        <v>Complete</v>
      </c>
      <c r="W75" s="40">
        <f>IF(tblNcrs[[#This Row],[Date]]="","",IF(AND(OR(DashSource="",tblNcrs[[#This Row],[Source]]=DashSource),OR(DashOrigin="",tblNcrs[[#This Row],[Origin]]=DashOrigin)),1,0))</f>
        <v>1</v>
      </c>
      <c r="X7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6" spans="2:24" x14ac:dyDescent="0.25">
      <c r="B76" s="28" t="s">
        <v>333</v>
      </c>
      <c r="C76" s="29">
        <v>46253</v>
      </c>
      <c r="D76" s="28" t="s">
        <v>85</v>
      </c>
      <c r="E76" s="28" t="s">
        <v>173</v>
      </c>
      <c r="F76" s="28" t="s">
        <v>334</v>
      </c>
      <c r="G76" s="28" t="s">
        <v>97</v>
      </c>
      <c r="H76" s="28" t="s">
        <v>111</v>
      </c>
      <c r="I76" s="37" t="s">
        <v>170</v>
      </c>
      <c r="J76" s="30">
        <v>3</v>
      </c>
      <c r="K76" s="31">
        <v>18.5</v>
      </c>
      <c r="L76" s="28" t="s">
        <v>158</v>
      </c>
      <c r="M76" s="31">
        <v>50</v>
      </c>
      <c r="N76" s="31"/>
      <c r="O76" s="28" t="s">
        <v>175</v>
      </c>
      <c r="P76" s="28"/>
      <c r="Q76" s="29">
        <v>46261</v>
      </c>
      <c r="R76" s="38" t="str">
        <f>IF(tblNcrs[[#This Row],[Date]]="","",IFERROR(INDEX(tblOrigins[Type],MATCH(tblNcrs[[#This Row],[Origin]],tblOrigins[Origin],0)),""))</f>
        <v>Internal</v>
      </c>
      <c r="S76" s="39">
        <f>IF(tblNcrs[[#This Row],[Date]]="","",IF(tblNcrs[[#This Row],[Disposition]]="Scrap",tblNcrs[[#This Row],[Qty nonconforming]]*tblNcrs[[#This Row],[Unit cost]],0))</f>
        <v>0</v>
      </c>
      <c r="T76" s="39">
        <f>IF(tblNcrs[[#This Row],[Date]]="","",tblNcrs[[#This Row],[Scrap cost]]+N(tblNcrs[[#This Row],[Rework or repair cost]])+AdminCost-N(tblNcrs[[#This Row],[Recovered]]))</f>
        <v>135</v>
      </c>
      <c r="U76" s="40">
        <f>IF(tblNcrs[[#This Row],[Date]]="","",IF(N(tblNcrs[[#This Row],[Closed]])&gt;0,tblNcrs[[#This Row],[Closed]],AsOf)-tblNcrs[[#This Row],[Date]])</f>
        <v>8</v>
      </c>
      <c r="V76" s="41" t="str">
        <f>IF(tblNcrs[[#This Row],[Date]]="","",IF(N(tblNcrs[[#This Row],[Closed]])&gt;0,"Complete",IF(tblNcrs[[#This Row],[Date]]+CloseDays&lt;AsOf,"Overdue",IF(tblNcrs[[#This Row],[Date]]+CloseDays-AsOf&lt;=DueSoonDays,"Due soon","In progress"))))</f>
        <v>Complete</v>
      </c>
      <c r="W76" s="40">
        <f>IF(tblNcrs[[#This Row],[Date]]="","",IF(AND(OR(DashSource="",tblNcrs[[#This Row],[Source]]=DashSource),OR(DashOrigin="",tblNcrs[[#This Row],[Origin]]=DashOrigin)),1,0))</f>
        <v>1</v>
      </c>
      <c r="X7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7" spans="2:24" x14ac:dyDescent="0.25">
      <c r="B77" s="28" t="s">
        <v>335</v>
      </c>
      <c r="C77" s="29">
        <v>46255</v>
      </c>
      <c r="D77" s="28" t="s">
        <v>87</v>
      </c>
      <c r="E77" s="28" t="s">
        <v>177</v>
      </c>
      <c r="F77" s="28" t="s">
        <v>336</v>
      </c>
      <c r="G77" s="28" t="s">
        <v>97</v>
      </c>
      <c r="H77" s="28" t="s">
        <v>111</v>
      </c>
      <c r="I77" s="37" t="s">
        <v>170</v>
      </c>
      <c r="J77" s="30">
        <v>20</v>
      </c>
      <c r="K77" s="31">
        <v>27</v>
      </c>
      <c r="L77" s="28" t="s">
        <v>158</v>
      </c>
      <c r="M77" s="31">
        <v>355</v>
      </c>
      <c r="N77" s="31"/>
      <c r="O77" s="28" t="s">
        <v>152</v>
      </c>
      <c r="P77" s="28" t="s">
        <v>337</v>
      </c>
      <c r="Q77" s="29">
        <v>46279</v>
      </c>
      <c r="R77" s="38" t="str">
        <f>IF(tblNcrs[[#This Row],[Date]]="","",IFERROR(INDEX(tblOrigins[Type],MATCH(tblNcrs[[#This Row],[Origin]],tblOrigins[Origin],0)),""))</f>
        <v>Internal</v>
      </c>
      <c r="S77" s="39">
        <f>IF(tblNcrs[[#This Row],[Date]]="","",IF(tblNcrs[[#This Row],[Disposition]]="Scrap",tblNcrs[[#This Row],[Qty nonconforming]]*tblNcrs[[#This Row],[Unit cost]],0))</f>
        <v>0</v>
      </c>
      <c r="T77" s="39">
        <f>IF(tblNcrs[[#This Row],[Date]]="","",tblNcrs[[#This Row],[Scrap cost]]+N(tblNcrs[[#This Row],[Rework or repair cost]])+AdminCost-N(tblNcrs[[#This Row],[Recovered]]))</f>
        <v>440</v>
      </c>
      <c r="U77" s="40">
        <f>IF(tblNcrs[[#This Row],[Date]]="","",IF(N(tblNcrs[[#This Row],[Closed]])&gt;0,tblNcrs[[#This Row],[Closed]],AsOf)-tblNcrs[[#This Row],[Date]])</f>
        <v>24</v>
      </c>
      <c r="V77" s="41" t="str">
        <f>IF(tblNcrs[[#This Row],[Date]]="","",IF(N(tblNcrs[[#This Row],[Closed]])&gt;0,"Complete",IF(tblNcrs[[#This Row],[Date]]+CloseDays&lt;AsOf,"Overdue",IF(tblNcrs[[#This Row],[Date]]+CloseDays-AsOf&lt;=DueSoonDays,"Due soon","In progress"))))</f>
        <v>Complete</v>
      </c>
      <c r="W77" s="40">
        <f>IF(tblNcrs[[#This Row],[Date]]="","",IF(AND(OR(DashSource="",tblNcrs[[#This Row],[Source]]=DashSource),OR(DashOrigin="",tblNcrs[[#This Row],[Origin]]=DashOrigin)),1,0))</f>
        <v>1</v>
      </c>
      <c r="X7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8" spans="2:24" x14ac:dyDescent="0.25">
      <c r="B78" s="28" t="s">
        <v>338</v>
      </c>
      <c r="C78" s="29">
        <v>46260</v>
      </c>
      <c r="D78" s="28" t="s">
        <v>85</v>
      </c>
      <c r="E78" s="28" t="s">
        <v>173</v>
      </c>
      <c r="F78" s="28" t="s">
        <v>339</v>
      </c>
      <c r="G78" s="28" t="s">
        <v>99</v>
      </c>
      <c r="H78" s="28" t="s">
        <v>123</v>
      </c>
      <c r="I78" s="37" t="s">
        <v>192</v>
      </c>
      <c r="J78" s="30">
        <v>8</v>
      </c>
      <c r="K78" s="31">
        <v>18.5</v>
      </c>
      <c r="L78" s="28" t="s">
        <v>151</v>
      </c>
      <c r="M78" s="31"/>
      <c r="N78" s="31"/>
      <c r="O78" s="28" t="s">
        <v>175</v>
      </c>
      <c r="P78" s="28"/>
      <c r="Q78" s="29">
        <v>46283</v>
      </c>
      <c r="R78" s="38" t="str">
        <f>IF(tblNcrs[[#This Row],[Date]]="","",IFERROR(INDEX(tblOrigins[Type],MATCH(tblNcrs[[#This Row],[Origin]],tblOrigins[Origin],0)),""))</f>
        <v>Internal</v>
      </c>
      <c r="S78" s="39">
        <f>IF(tblNcrs[[#This Row],[Date]]="","",IF(tblNcrs[[#This Row],[Disposition]]="Scrap",tblNcrs[[#This Row],[Qty nonconforming]]*tblNcrs[[#This Row],[Unit cost]],0))</f>
        <v>0</v>
      </c>
      <c r="T78" s="39">
        <f>IF(tblNcrs[[#This Row],[Date]]="","",tblNcrs[[#This Row],[Scrap cost]]+N(tblNcrs[[#This Row],[Rework or repair cost]])+AdminCost-N(tblNcrs[[#This Row],[Recovered]]))</f>
        <v>85</v>
      </c>
      <c r="U78" s="40">
        <f>IF(tblNcrs[[#This Row],[Date]]="","",IF(N(tblNcrs[[#This Row],[Closed]])&gt;0,tblNcrs[[#This Row],[Closed]],AsOf)-tblNcrs[[#This Row],[Date]])</f>
        <v>23</v>
      </c>
      <c r="V78" s="41" t="str">
        <f>IF(tblNcrs[[#This Row],[Date]]="","",IF(N(tblNcrs[[#This Row],[Closed]])&gt;0,"Complete",IF(tblNcrs[[#This Row],[Date]]+CloseDays&lt;AsOf,"Overdue",IF(tblNcrs[[#This Row],[Date]]+CloseDays-AsOf&lt;=DueSoonDays,"Due soon","In progress"))))</f>
        <v>Complete</v>
      </c>
      <c r="W78" s="40">
        <f>IF(tblNcrs[[#This Row],[Date]]="","",IF(AND(OR(DashSource="",tblNcrs[[#This Row],[Source]]=DashSource),OR(DashOrigin="",tblNcrs[[#This Row],[Origin]]=DashOrigin)),1,0))</f>
        <v>1</v>
      </c>
      <c r="X7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79" spans="2:24" x14ac:dyDescent="0.25">
      <c r="B79" s="28" t="s">
        <v>340</v>
      </c>
      <c r="C79" s="29">
        <v>46261</v>
      </c>
      <c r="D79" s="28" t="s">
        <v>87</v>
      </c>
      <c r="E79" s="28" t="s">
        <v>173</v>
      </c>
      <c r="F79" s="28" t="s">
        <v>341</v>
      </c>
      <c r="G79" s="28" t="s">
        <v>97</v>
      </c>
      <c r="H79" s="28" t="s">
        <v>109</v>
      </c>
      <c r="I79" s="37" t="s">
        <v>163</v>
      </c>
      <c r="J79" s="30">
        <v>3</v>
      </c>
      <c r="K79" s="31">
        <v>18.5</v>
      </c>
      <c r="L79" s="28" t="s">
        <v>164</v>
      </c>
      <c r="M79" s="31"/>
      <c r="N79" s="31"/>
      <c r="O79" s="28" t="s">
        <v>175</v>
      </c>
      <c r="P79" s="28"/>
      <c r="Q79" s="29">
        <v>46287</v>
      </c>
      <c r="R79" s="38" t="str">
        <f>IF(tblNcrs[[#This Row],[Date]]="","",IFERROR(INDEX(tblOrigins[Type],MATCH(tblNcrs[[#This Row],[Origin]],tblOrigins[Origin],0)),""))</f>
        <v>Internal</v>
      </c>
      <c r="S79" s="39">
        <f>IF(tblNcrs[[#This Row],[Date]]="","",IF(tblNcrs[[#This Row],[Disposition]]="Scrap",tblNcrs[[#This Row],[Qty nonconforming]]*tblNcrs[[#This Row],[Unit cost]],0))</f>
        <v>55.5</v>
      </c>
      <c r="T79" s="39">
        <f>IF(tblNcrs[[#This Row],[Date]]="","",tblNcrs[[#This Row],[Scrap cost]]+N(tblNcrs[[#This Row],[Rework or repair cost]])+AdminCost-N(tblNcrs[[#This Row],[Recovered]]))</f>
        <v>140.5</v>
      </c>
      <c r="U79" s="40">
        <f>IF(tblNcrs[[#This Row],[Date]]="","",IF(N(tblNcrs[[#This Row],[Closed]])&gt;0,tblNcrs[[#This Row],[Closed]],AsOf)-tblNcrs[[#This Row],[Date]])</f>
        <v>26</v>
      </c>
      <c r="V79" s="41" t="str">
        <f>IF(tblNcrs[[#This Row],[Date]]="","",IF(N(tblNcrs[[#This Row],[Closed]])&gt;0,"Complete",IF(tblNcrs[[#This Row],[Date]]+CloseDays&lt;AsOf,"Overdue",IF(tblNcrs[[#This Row],[Date]]+CloseDays-AsOf&lt;=DueSoonDays,"Due soon","In progress"))))</f>
        <v>Complete</v>
      </c>
      <c r="W79" s="40">
        <f>IF(tblNcrs[[#This Row],[Date]]="","",IF(AND(OR(DashSource="",tblNcrs[[#This Row],[Source]]=DashSource),OR(DashOrigin="",tblNcrs[[#This Row],[Origin]]=DashOrigin)),1,0))</f>
        <v>1</v>
      </c>
      <c r="X7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0" spans="2:24" x14ac:dyDescent="0.25">
      <c r="B80" s="28" t="s">
        <v>342</v>
      </c>
      <c r="C80" s="29">
        <v>46262</v>
      </c>
      <c r="D80" s="28" t="s">
        <v>83</v>
      </c>
      <c r="E80" s="28" t="s">
        <v>173</v>
      </c>
      <c r="F80" s="28" t="s">
        <v>215</v>
      </c>
      <c r="G80" s="28" t="s">
        <v>103</v>
      </c>
      <c r="H80" s="28" t="s">
        <v>115</v>
      </c>
      <c r="I80" s="37" t="s">
        <v>199</v>
      </c>
      <c r="J80" s="30">
        <v>8</v>
      </c>
      <c r="K80" s="31">
        <v>18.5</v>
      </c>
      <c r="L80" s="28" t="s">
        <v>188</v>
      </c>
      <c r="M80" s="31">
        <v>35</v>
      </c>
      <c r="N80" s="31">
        <v>70</v>
      </c>
      <c r="O80" s="28" t="s">
        <v>175</v>
      </c>
      <c r="P80" s="28"/>
      <c r="Q80" s="29">
        <v>46286</v>
      </c>
      <c r="R80" s="38" t="str">
        <f>IF(tblNcrs[[#This Row],[Date]]="","",IFERROR(INDEX(tblOrigins[Type],MATCH(tblNcrs[[#This Row],[Origin]],tblOrigins[Origin],0)),""))</f>
        <v>Supplier</v>
      </c>
      <c r="S80" s="39">
        <f>IF(tblNcrs[[#This Row],[Date]]="","",IF(tblNcrs[[#This Row],[Disposition]]="Scrap",tblNcrs[[#This Row],[Qty nonconforming]]*tblNcrs[[#This Row],[Unit cost]],0))</f>
        <v>0</v>
      </c>
      <c r="T80" s="39">
        <f>IF(tblNcrs[[#This Row],[Date]]="","",tblNcrs[[#This Row],[Scrap cost]]+N(tblNcrs[[#This Row],[Rework or repair cost]])+AdminCost-N(tblNcrs[[#This Row],[Recovered]]))</f>
        <v>50</v>
      </c>
      <c r="U80" s="40">
        <f>IF(tblNcrs[[#This Row],[Date]]="","",IF(N(tblNcrs[[#This Row],[Closed]])&gt;0,tblNcrs[[#This Row],[Closed]],AsOf)-tblNcrs[[#This Row],[Date]])</f>
        <v>24</v>
      </c>
      <c r="V80" s="41" t="str">
        <f>IF(tblNcrs[[#This Row],[Date]]="","",IF(N(tblNcrs[[#This Row],[Closed]])&gt;0,"Complete",IF(tblNcrs[[#This Row],[Date]]+CloseDays&lt;AsOf,"Overdue",IF(tblNcrs[[#This Row],[Date]]+CloseDays-AsOf&lt;=DueSoonDays,"Due soon","In progress"))))</f>
        <v>Complete</v>
      </c>
      <c r="W80" s="40">
        <f>IF(tblNcrs[[#This Row],[Date]]="","",IF(AND(OR(DashSource="",tblNcrs[[#This Row],[Source]]=DashSource),OR(DashOrigin="",tblNcrs[[#This Row],[Origin]]=DashOrigin)),1,0))</f>
        <v>1</v>
      </c>
      <c r="X8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1" spans="2:24" x14ac:dyDescent="0.25">
      <c r="B81" s="28" t="s">
        <v>343</v>
      </c>
      <c r="C81" s="29">
        <v>46266</v>
      </c>
      <c r="D81" s="28" t="s">
        <v>87</v>
      </c>
      <c r="E81" s="28" t="s">
        <v>197</v>
      </c>
      <c r="F81" s="28" t="s">
        <v>344</v>
      </c>
      <c r="G81" s="28" t="s">
        <v>99</v>
      </c>
      <c r="H81" s="28" t="s">
        <v>109</v>
      </c>
      <c r="I81" s="37" t="s">
        <v>163</v>
      </c>
      <c r="J81" s="30">
        <v>24</v>
      </c>
      <c r="K81" s="31">
        <v>64</v>
      </c>
      <c r="L81" s="28" t="s">
        <v>151</v>
      </c>
      <c r="M81" s="31"/>
      <c r="N81" s="31"/>
      <c r="O81" s="28" t="s">
        <v>152</v>
      </c>
      <c r="P81" s="28"/>
      <c r="Q81" s="29"/>
      <c r="R81" s="38" t="str">
        <f>IF(tblNcrs[[#This Row],[Date]]="","",IFERROR(INDEX(tblOrigins[Type],MATCH(tblNcrs[[#This Row],[Origin]],tblOrigins[Origin],0)),""))</f>
        <v>Internal</v>
      </c>
      <c r="S81" s="39">
        <f>IF(tblNcrs[[#This Row],[Date]]="","",IF(tblNcrs[[#This Row],[Disposition]]="Scrap",tblNcrs[[#This Row],[Qty nonconforming]]*tblNcrs[[#This Row],[Unit cost]],0))</f>
        <v>0</v>
      </c>
      <c r="T81" s="39">
        <f>IF(tblNcrs[[#This Row],[Date]]="","",tblNcrs[[#This Row],[Scrap cost]]+N(tblNcrs[[#This Row],[Rework or repair cost]])+AdminCost-N(tblNcrs[[#This Row],[Recovered]]))</f>
        <v>85</v>
      </c>
      <c r="U81" s="40">
        <f>IF(tblNcrs[[#This Row],[Date]]="","",IF(N(tblNcrs[[#This Row],[Closed]])&gt;0,tblNcrs[[#This Row],[Closed]],AsOf)-tblNcrs[[#This Row],[Date]])</f>
        <v>38</v>
      </c>
      <c r="V81" s="41" t="str">
        <f>IF(tblNcrs[[#This Row],[Date]]="","",IF(N(tblNcrs[[#This Row],[Closed]])&gt;0,"Complete",IF(tblNcrs[[#This Row],[Date]]+CloseDays&lt;AsOf,"Overdue",IF(tblNcrs[[#This Row],[Date]]+CloseDays-AsOf&lt;=DueSoonDays,"Due soon","In progress"))))</f>
        <v>Overdue</v>
      </c>
      <c r="W81" s="40">
        <f>IF(tblNcrs[[#This Row],[Date]]="","",IF(AND(OR(DashSource="",tblNcrs[[#This Row],[Source]]=DashSource),OR(DashOrigin="",tblNcrs[[#This Row],[Origin]]=DashOrigin)),1,0))</f>
        <v>1</v>
      </c>
      <c r="X8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2" spans="2:24" x14ac:dyDescent="0.25">
      <c r="B82" s="28" t="s">
        <v>345</v>
      </c>
      <c r="C82" s="29">
        <v>46267</v>
      </c>
      <c r="D82" s="28" t="s">
        <v>85</v>
      </c>
      <c r="E82" s="28" t="s">
        <v>155</v>
      </c>
      <c r="F82" s="28" t="s">
        <v>346</v>
      </c>
      <c r="G82" s="28" t="s">
        <v>97</v>
      </c>
      <c r="H82" s="28" t="s">
        <v>111</v>
      </c>
      <c r="I82" s="37" t="s">
        <v>170</v>
      </c>
      <c r="J82" s="30">
        <v>1</v>
      </c>
      <c r="K82" s="31">
        <v>118</v>
      </c>
      <c r="L82" s="28" t="s">
        <v>158</v>
      </c>
      <c r="M82" s="31">
        <v>5</v>
      </c>
      <c r="N82" s="31"/>
      <c r="O82" s="28" t="s">
        <v>175</v>
      </c>
      <c r="P82" s="28"/>
      <c r="Q82" s="29">
        <v>46286</v>
      </c>
      <c r="R82" s="38" t="str">
        <f>IF(tblNcrs[[#This Row],[Date]]="","",IFERROR(INDEX(tblOrigins[Type],MATCH(tblNcrs[[#This Row],[Origin]],tblOrigins[Origin],0)),""))</f>
        <v>Internal</v>
      </c>
      <c r="S82" s="39">
        <f>IF(tblNcrs[[#This Row],[Date]]="","",IF(tblNcrs[[#This Row],[Disposition]]="Scrap",tblNcrs[[#This Row],[Qty nonconforming]]*tblNcrs[[#This Row],[Unit cost]],0))</f>
        <v>0</v>
      </c>
      <c r="T82" s="39">
        <f>IF(tblNcrs[[#This Row],[Date]]="","",tblNcrs[[#This Row],[Scrap cost]]+N(tblNcrs[[#This Row],[Rework or repair cost]])+AdminCost-N(tblNcrs[[#This Row],[Recovered]]))</f>
        <v>90</v>
      </c>
      <c r="U82" s="40">
        <f>IF(tblNcrs[[#This Row],[Date]]="","",IF(N(tblNcrs[[#This Row],[Closed]])&gt;0,tblNcrs[[#This Row],[Closed]],AsOf)-tblNcrs[[#This Row],[Date]])</f>
        <v>19</v>
      </c>
      <c r="V82" s="41" t="str">
        <f>IF(tblNcrs[[#This Row],[Date]]="","",IF(N(tblNcrs[[#This Row],[Closed]])&gt;0,"Complete",IF(tblNcrs[[#This Row],[Date]]+CloseDays&lt;AsOf,"Overdue",IF(tblNcrs[[#This Row],[Date]]+CloseDays-AsOf&lt;=DueSoonDays,"Due soon","In progress"))))</f>
        <v>Complete</v>
      </c>
      <c r="W82" s="40">
        <f>IF(tblNcrs[[#This Row],[Date]]="","",IF(AND(OR(DashSource="",tblNcrs[[#This Row],[Source]]=DashSource),OR(DashOrigin="",tblNcrs[[#This Row],[Origin]]=DashOrigin)),1,0))</f>
        <v>1</v>
      </c>
      <c r="X8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3" spans="2:24" x14ac:dyDescent="0.25">
      <c r="B83" s="28" t="s">
        <v>347</v>
      </c>
      <c r="C83" s="29">
        <v>46268</v>
      </c>
      <c r="D83" s="28" t="s">
        <v>85</v>
      </c>
      <c r="E83" s="28" t="s">
        <v>161</v>
      </c>
      <c r="F83" s="28" t="s">
        <v>156</v>
      </c>
      <c r="G83" s="28" t="s">
        <v>101</v>
      </c>
      <c r="H83" s="28" t="s">
        <v>113</v>
      </c>
      <c r="I83" s="37" t="s">
        <v>157</v>
      </c>
      <c r="J83" s="30">
        <v>24</v>
      </c>
      <c r="K83" s="31">
        <v>236</v>
      </c>
      <c r="L83" s="28" t="s">
        <v>158</v>
      </c>
      <c r="M83" s="31">
        <v>130</v>
      </c>
      <c r="N83" s="31"/>
      <c r="O83" s="28" t="s">
        <v>152</v>
      </c>
      <c r="P83" s="28" t="s">
        <v>259</v>
      </c>
      <c r="Q83" s="29">
        <v>46296</v>
      </c>
      <c r="R83" s="38" t="str">
        <f>IF(tblNcrs[[#This Row],[Date]]="","",IFERROR(INDEX(tblOrigins[Type],MATCH(tblNcrs[[#This Row],[Origin]],tblOrigins[Origin],0)),""))</f>
        <v>Internal</v>
      </c>
      <c r="S83" s="39">
        <f>IF(tblNcrs[[#This Row],[Date]]="","",IF(tblNcrs[[#This Row],[Disposition]]="Scrap",tblNcrs[[#This Row],[Qty nonconforming]]*tblNcrs[[#This Row],[Unit cost]],0))</f>
        <v>0</v>
      </c>
      <c r="T83" s="39">
        <f>IF(tblNcrs[[#This Row],[Date]]="","",tblNcrs[[#This Row],[Scrap cost]]+N(tblNcrs[[#This Row],[Rework or repair cost]])+AdminCost-N(tblNcrs[[#This Row],[Recovered]]))</f>
        <v>215</v>
      </c>
      <c r="U83" s="40">
        <f>IF(tblNcrs[[#This Row],[Date]]="","",IF(N(tblNcrs[[#This Row],[Closed]])&gt;0,tblNcrs[[#This Row],[Closed]],AsOf)-tblNcrs[[#This Row],[Date]])</f>
        <v>28</v>
      </c>
      <c r="V83" s="41" t="str">
        <f>IF(tblNcrs[[#This Row],[Date]]="","",IF(N(tblNcrs[[#This Row],[Closed]])&gt;0,"Complete",IF(tblNcrs[[#This Row],[Date]]+CloseDays&lt;AsOf,"Overdue",IF(tblNcrs[[#This Row],[Date]]+CloseDays-AsOf&lt;=DueSoonDays,"Due soon","In progress"))))</f>
        <v>Complete</v>
      </c>
      <c r="W83" s="40">
        <f>IF(tblNcrs[[#This Row],[Date]]="","",IF(AND(OR(DashSource="",tblNcrs[[#This Row],[Source]]=DashSource),OR(DashOrigin="",tblNcrs[[#This Row],[Origin]]=DashOrigin)),1,0))</f>
        <v>1</v>
      </c>
      <c r="X8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4" spans="2:24" x14ac:dyDescent="0.25">
      <c r="B84" s="28" t="s">
        <v>348</v>
      </c>
      <c r="C84" s="29">
        <v>46274</v>
      </c>
      <c r="D84" s="28" t="s">
        <v>87</v>
      </c>
      <c r="E84" s="28" t="s">
        <v>197</v>
      </c>
      <c r="F84" s="28" t="s">
        <v>349</v>
      </c>
      <c r="G84" s="28" t="s">
        <v>97</v>
      </c>
      <c r="H84" s="28" t="s">
        <v>111</v>
      </c>
      <c r="I84" s="37" t="s">
        <v>170</v>
      </c>
      <c r="J84" s="30">
        <v>6</v>
      </c>
      <c r="K84" s="31">
        <v>64</v>
      </c>
      <c r="L84" s="28" t="s">
        <v>158</v>
      </c>
      <c r="M84" s="31">
        <v>120</v>
      </c>
      <c r="N84" s="31"/>
      <c r="O84" s="28" t="s">
        <v>175</v>
      </c>
      <c r="P84" s="28"/>
      <c r="Q84" s="29">
        <v>46290</v>
      </c>
      <c r="R84" s="38" t="str">
        <f>IF(tblNcrs[[#This Row],[Date]]="","",IFERROR(INDEX(tblOrigins[Type],MATCH(tblNcrs[[#This Row],[Origin]],tblOrigins[Origin],0)),""))</f>
        <v>Internal</v>
      </c>
      <c r="S84" s="39">
        <f>IF(tblNcrs[[#This Row],[Date]]="","",IF(tblNcrs[[#This Row],[Disposition]]="Scrap",tblNcrs[[#This Row],[Qty nonconforming]]*tblNcrs[[#This Row],[Unit cost]],0))</f>
        <v>0</v>
      </c>
      <c r="T84" s="39">
        <f>IF(tblNcrs[[#This Row],[Date]]="","",tblNcrs[[#This Row],[Scrap cost]]+N(tblNcrs[[#This Row],[Rework or repair cost]])+AdminCost-N(tblNcrs[[#This Row],[Recovered]]))</f>
        <v>205</v>
      </c>
      <c r="U84" s="40">
        <f>IF(tblNcrs[[#This Row],[Date]]="","",IF(N(tblNcrs[[#This Row],[Closed]])&gt;0,tblNcrs[[#This Row],[Closed]],AsOf)-tblNcrs[[#This Row],[Date]])</f>
        <v>16</v>
      </c>
      <c r="V84" s="41" t="str">
        <f>IF(tblNcrs[[#This Row],[Date]]="","",IF(N(tblNcrs[[#This Row],[Closed]])&gt;0,"Complete",IF(tblNcrs[[#This Row],[Date]]+CloseDays&lt;AsOf,"Overdue",IF(tblNcrs[[#This Row],[Date]]+CloseDays-AsOf&lt;=DueSoonDays,"Due soon","In progress"))))</f>
        <v>Complete</v>
      </c>
      <c r="W84" s="40">
        <f>IF(tblNcrs[[#This Row],[Date]]="","",IF(AND(OR(DashSource="",tblNcrs[[#This Row],[Source]]=DashSource),OR(DashOrigin="",tblNcrs[[#This Row],[Origin]]=DashOrigin)),1,0))</f>
        <v>1</v>
      </c>
      <c r="X8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5" spans="2:24" x14ac:dyDescent="0.25">
      <c r="B85" s="28" t="s">
        <v>350</v>
      </c>
      <c r="C85" s="29">
        <v>46275</v>
      </c>
      <c r="D85" s="28" t="s">
        <v>87</v>
      </c>
      <c r="E85" s="28" t="s">
        <v>148</v>
      </c>
      <c r="F85" s="28" t="s">
        <v>351</v>
      </c>
      <c r="G85" s="28" t="s">
        <v>97</v>
      </c>
      <c r="H85" s="28" t="s">
        <v>109</v>
      </c>
      <c r="I85" s="37" t="s">
        <v>163</v>
      </c>
      <c r="J85" s="30">
        <v>3</v>
      </c>
      <c r="K85" s="31">
        <v>42.5</v>
      </c>
      <c r="L85" s="28" t="s">
        <v>164</v>
      </c>
      <c r="M85" s="31"/>
      <c r="N85" s="31"/>
      <c r="O85" s="28" t="s">
        <v>175</v>
      </c>
      <c r="P85" s="28"/>
      <c r="Q85" s="29">
        <v>46302</v>
      </c>
      <c r="R85" s="38" t="str">
        <f>IF(tblNcrs[[#This Row],[Date]]="","",IFERROR(INDEX(tblOrigins[Type],MATCH(tblNcrs[[#This Row],[Origin]],tblOrigins[Origin],0)),""))</f>
        <v>Internal</v>
      </c>
      <c r="S85" s="39">
        <f>IF(tblNcrs[[#This Row],[Date]]="","",IF(tblNcrs[[#This Row],[Disposition]]="Scrap",tblNcrs[[#This Row],[Qty nonconforming]]*tblNcrs[[#This Row],[Unit cost]],0))</f>
        <v>127.5</v>
      </c>
      <c r="T85" s="39">
        <f>IF(tblNcrs[[#This Row],[Date]]="","",tblNcrs[[#This Row],[Scrap cost]]+N(tblNcrs[[#This Row],[Rework or repair cost]])+AdminCost-N(tblNcrs[[#This Row],[Recovered]]))</f>
        <v>212.5</v>
      </c>
      <c r="U85" s="40">
        <f>IF(tblNcrs[[#This Row],[Date]]="","",IF(N(tblNcrs[[#This Row],[Closed]])&gt;0,tblNcrs[[#This Row],[Closed]],AsOf)-tblNcrs[[#This Row],[Date]])</f>
        <v>27</v>
      </c>
      <c r="V85" s="41" t="str">
        <f>IF(tblNcrs[[#This Row],[Date]]="","",IF(N(tblNcrs[[#This Row],[Closed]])&gt;0,"Complete",IF(tblNcrs[[#This Row],[Date]]+CloseDays&lt;AsOf,"Overdue",IF(tblNcrs[[#This Row],[Date]]+CloseDays-AsOf&lt;=DueSoonDays,"Due soon","In progress"))))</f>
        <v>Complete</v>
      </c>
      <c r="W85" s="40">
        <f>IF(tblNcrs[[#This Row],[Date]]="","",IF(AND(OR(DashSource="",tblNcrs[[#This Row],[Source]]=DashSource),OR(DashOrigin="",tblNcrs[[#This Row],[Origin]]=DashOrigin)),1,0))</f>
        <v>1</v>
      </c>
      <c r="X8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6" spans="2:24" x14ac:dyDescent="0.25">
      <c r="B86" s="28" t="s">
        <v>352</v>
      </c>
      <c r="C86" s="29">
        <v>46275</v>
      </c>
      <c r="D86" s="28" t="s">
        <v>85</v>
      </c>
      <c r="E86" s="28" t="s">
        <v>161</v>
      </c>
      <c r="F86" s="28" t="s">
        <v>215</v>
      </c>
      <c r="G86" s="28" t="s">
        <v>97</v>
      </c>
      <c r="H86" s="28" t="s">
        <v>109</v>
      </c>
      <c r="I86" s="37" t="s">
        <v>163</v>
      </c>
      <c r="J86" s="30">
        <v>10</v>
      </c>
      <c r="K86" s="31">
        <v>236</v>
      </c>
      <c r="L86" s="28" t="s">
        <v>164</v>
      </c>
      <c r="M86" s="31"/>
      <c r="N86" s="31"/>
      <c r="O86" s="28" t="s">
        <v>152</v>
      </c>
      <c r="P86" s="28"/>
      <c r="Q86" s="29"/>
      <c r="R86" s="38" t="str">
        <f>IF(tblNcrs[[#This Row],[Date]]="","",IFERROR(INDEX(tblOrigins[Type],MATCH(tblNcrs[[#This Row],[Origin]],tblOrigins[Origin],0)),""))</f>
        <v>Internal</v>
      </c>
      <c r="S86" s="39">
        <f>IF(tblNcrs[[#This Row],[Date]]="","",IF(tblNcrs[[#This Row],[Disposition]]="Scrap",tblNcrs[[#This Row],[Qty nonconforming]]*tblNcrs[[#This Row],[Unit cost]],0))</f>
        <v>2360</v>
      </c>
      <c r="T86" s="39">
        <f>IF(tblNcrs[[#This Row],[Date]]="","",tblNcrs[[#This Row],[Scrap cost]]+N(tblNcrs[[#This Row],[Rework or repair cost]])+AdminCost-N(tblNcrs[[#This Row],[Recovered]]))</f>
        <v>2445</v>
      </c>
      <c r="U86" s="40">
        <f>IF(tblNcrs[[#This Row],[Date]]="","",IF(N(tblNcrs[[#This Row],[Closed]])&gt;0,tblNcrs[[#This Row],[Closed]],AsOf)-tblNcrs[[#This Row],[Date]])</f>
        <v>29</v>
      </c>
      <c r="V86" s="41" t="str">
        <f>IF(tblNcrs[[#This Row],[Date]]="","",IF(N(tblNcrs[[#This Row],[Closed]])&gt;0,"Complete",IF(tblNcrs[[#This Row],[Date]]+CloseDays&lt;AsOf,"Overdue",IF(tblNcrs[[#This Row],[Date]]+CloseDays-AsOf&lt;=DueSoonDays,"Due soon","In progress"))))</f>
        <v>Due soon</v>
      </c>
      <c r="W86" s="40">
        <f>IF(tblNcrs[[#This Row],[Date]]="","",IF(AND(OR(DashSource="",tblNcrs[[#This Row],[Source]]=DashSource),OR(DashOrigin="",tblNcrs[[#This Row],[Origin]]=DashOrigin)),1,0))</f>
        <v>1</v>
      </c>
      <c r="X8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7" spans="2:24" x14ac:dyDescent="0.25">
      <c r="B87" s="28" t="s">
        <v>353</v>
      </c>
      <c r="C87" s="29">
        <v>46276</v>
      </c>
      <c r="D87" s="28" t="s">
        <v>85</v>
      </c>
      <c r="E87" s="28" t="s">
        <v>177</v>
      </c>
      <c r="F87" s="28" t="s">
        <v>354</v>
      </c>
      <c r="G87" s="28" t="s">
        <v>94</v>
      </c>
      <c r="H87" s="28" t="s">
        <v>109</v>
      </c>
      <c r="I87" s="37" t="s">
        <v>163</v>
      </c>
      <c r="J87" s="30">
        <v>8</v>
      </c>
      <c r="K87" s="31">
        <v>27</v>
      </c>
      <c r="L87" s="28" t="s">
        <v>164</v>
      </c>
      <c r="M87" s="31"/>
      <c r="N87" s="31"/>
      <c r="O87" s="28" t="s">
        <v>175</v>
      </c>
      <c r="P87" s="28"/>
      <c r="Q87" s="29">
        <v>46300</v>
      </c>
      <c r="R87" s="38" t="str">
        <f>IF(tblNcrs[[#This Row],[Date]]="","",IFERROR(INDEX(tblOrigins[Type],MATCH(tblNcrs[[#This Row],[Origin]],tblOrigins[Origin],0)),""))</f>
        <v>Internal</v>
      </c>
      <c r="S87" s="39">
        <f>IF(tblNcrs[[#This Row],[Date]]="","",IF(tblNcrs[[#This Row],[Disposition]]="Scrap",tblNcrs[[#This Row],[Qty nonconforming]]*tblNcrs[[#This Row],[Unit cost]],0))</f>
        <v>216</v>
      </c>
      <c r="T87" s="39">
        <f>IF(tblNcrs[[#This Row],[Date]]="","",tblNcrs[[#This Row],[Scrap cost]]+N(tblNcrs[[#This Row],[Rework or repair cost]])+AdminCost-N(tblNcrs[[#This Row],[Recovered]]))</f>
        <v>301</v>
      </c>
      <c r="U87" s="40">
        <f>IF(tblNcrs[[#This Row],[Date]]="","",IF(N(tblNcrs[[#This Row],[Closed]])&gt;0,tblNcrs[[#This Row],[Closed]],AsOf)-tblNcrs[[#This Row],[Date]])</f>
        <v>24</v>
      </c>
      <c r="V87" s="41" t="str">
        <f>IF(tblNcrs[[#This Row],[Date]]="","",IF(N(tblNcrs[[#This Row],[Closed]])&gt;0,"Complete",IF(tblNcrs[[#This Row],[Date]]+CloseDays&lt;AsOf,"Overdue",IF(tblNcrs[[#This Row],[Date]]+CloseDays-AsOf&lt;=DueSoonDays,"Due soon","In progress"))))</f>
        <v>Complete</v>
      </c>
      <c r="W87" s="40">
        <f>IF(tblNcrs[[#This Row],[Date]]="","",IF(AND(OR(DashSource="",tblNcrs[[#This Row],[Source]]=DashSource),OR(DashOrigin="",tblNcrs[[#This Row],[Origin]]=DashOrigin)),1,0))</f>
        <v>1</v>
      </c>
      <c r="X8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8" spans="2:24" x14ac:dyDescent="0.25">
      <c r="B88" s="28" t="s">
        <v>355</v>
      </c>
      <c r="C88" s="29">
        <v>46276</v>
      </c>
      <c r="D88" s="28" t="s">
        <v>85</v>
      </c>
      <c r="E88" s="28" t="s">
        <v>177</v>
      </c>
      <c r="F88" s="28" t="s">
        <v>356</v>
      </c>
      <c r="G88" s="28" t="s">
        <v>94</v>
      </c>
      <c r="H88" s="28" t="s">
        <v>109</v>
      </c>
      <c r="I88" s="37" t="s">
        <v>163</v>
      </c>
      <c r="J88" s="30">
        <v>15</v>
      </c>
      <c r="K88" s="31">
        <v>27</v>
      </c>
      <c r="L88" s="28" t="s">
        <v>158</v>
      </c>
      <c r="M88" s="31">
        <v>325</v>
      </c>
      <c r="N88" s="31"/>
      <c r="O88" s="28" t="s">
        <v>152</v>
      </c>
      <c r="P88" s="28" t="s">
        <v>357</v>
      </c>
      <c r="Q88" s="29">
        <v>46297</v>
      </c>
      <c r="R88" s="38" t="str">
        <f>IF(tblNcrs[[#This Row],[Date]]="","",IFERROR(INDEX(tblOrigins[Type],MATCH(tblNcrs[[#This Row],[Origin]],tblOrigins[Origin],0)),""))</f>
        <v>Internal</v>
      </c>
      <c r="S88" s="39">
        <f>IF(tblNcrs[[#This Row],[Date]]="","",IF(tblNcrs[[#This Row],[Disposition]]="Scrap",tblNcrs[[#This Row],[Qty nonconforming]]*tblNcrs[[#This Row],[Unit cost]],0))</f>
        <v>0</v>
      </c>
      <c r="T88" s="39">
        <f>IF(tblNcrs[[#This Row],[Date]]="","",tblNcrs[[#This Row],[Scrap cost]]+N(tblNcrs[[#This Row],[Rework or repair cost]])+AdminCost-N(tblNcrs[[#This Row],[Recovered]]))</f>
        <v>410</v>
      </c>
      <c r="U88" s="40">
        <f>IF(tblNcrs[[#This Row],[Date]]="","",IF(N(tblNcrs[[#This Row],[Closed]])&gt;0,tblNcrs[[#This Row],[Closed]],AsOf)-tblNcrs[[#This Row],[Date]])</f>
        <v>21</v>
      </c>
      <c r="V88" s="41" t="str">
        <f>IF(tblNcrs[[#This Row],[Date]]="","",IF(N(tblNcrs[[#This Row],[Closed]])&gt;0,"Complete",IF(tblNcrs[[#This Row],[Date]]+CloseDays&lt;AsOf,"Overdue",IF(tblNcrs[[#This Row],[Date]]+CloseDays-AsOf&lt;=DueSoonDays,"Due soon","In progress"))))</f>
        <v>Complete</v>
      </c>
      <c r="W88" s="40">
        <f>IF(tblNcrs[[#This Row],[Date]]="","",IF(AND(OR(DashSource="",tblNcrs[[#This Row],[Source]]=DashSource),OR(DashOrigin="",tblNcrs[[#This Row],[Origin]]=DashOrigin)),1,0))</f>
        <v>1</v>
      </c>
      <c r="X8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89" spans="2:24" x14ac:dyDescent="0.25">
      <c r="B89" s="28" t="s">
        <v>358</v>
      </c>
      <c r="C89" s="29">
        <v>46279</v>
      </c>
      <c r="D89" s="28" t="s">
        <v>87</v>
      </c>
      <c r="E89" s="28" t="s">
        <v>197</v>
      </c>
      <c r="F89" s="28" t="s">
        <v>359</v>
      </c>
      <c r="G89" s="28" t="s">
        <v>97</v>
      </c>
      <c r="H89" s="28" t="s">
        <v>109</v>
      </c>
      <c r="I89" s="37" t="s">
        <v>163</v>
      </c>
      <c r="J89" s="30">
        <v>3</v>
      </c>
      <c r="K89" s="31">
        <v>64</v>
      </c>
      <c r="L89" s="28" t="s">
        <v>164</v>
      </c>
      <c r="M89" s="31"/>
      <c r="N89" s="31"/>
      <c r="O89" s="28" t="s">
        <v>175</v>
      </c>
      <c r="P89" s="28"/>
      <c r="Q89" s="29"/>
      <c r="R89" s="38" t="str">
        <f>IF(tblNcrs[[#This Row],[Date]]="","",IFERROR(INDEX(tblOrigins[Type],MATCH(tblNcrs[[#This Row],[Origin]],tblOrigins[Origin],0)),""))</f>
        <v>Internal</v>
      </c>
      <c r="S89" s="39">
        <f>IF(tblNcrs[[#This Row],[Date]]="","",IF(tblNcrs[[#This Row],[Disposition]]="Scrap",tblNcrs[[#This Row],[Qty nonconforming]]*tblNcrs[[#This Row],[Unit cost]],0))</f>
        <v>192</v>
      </c>
      <c r="T89" s="39">
        <f>IF(tblNcrs[[#This Row],[Date]]="","",tblNcrs[[#This Row],[Scrap cost]]+N(tblNcrs[[#This Row],[Rework or repair cost]])+AdminCost-N(tblNcrs[[#This Row],[Recovered]]))</f>
        <v>277</v>
      </c>
      <c r="U89" s="40">
        <f>IF(tblNcrs[[#This Row],[Date]]="","",IF(N(tblNcrs[[#This Row],[Closed]])&gt;0,tblNcrs[[#This Row],[Closed]],AsOf)-tblNcrs[[#This Row],[Date]])</f>
        <v>25</v>
      </c>
      <c r="V89" s="41" t="str">
        <f>IF(tblNcrs[[#This Row],[Date]]="","",IF(N(tblNcrs[[#This Row],[Closed]])&gt;0,"Complete",IF(tblNcrs[[#This Row],[Date]]+CloseDays&lt;AsOf,"Overdue",IF(tblNcrs[[#This Row],[Date]]+CloseDays-AsOf&lt;=DueSoonDays,"Due soon","In progress"))))</f>
        <v>Due soon</v>
      </c>
      <c r="W89" s="40">
        <f>IF(tblNcrs[[#This Row],[Date]]="","",IF(AND(OR(DashSource="",tblNcrs[[#This Row],[Source]]=DashSource),OR(DashOrigin="",tblNcrs[[#This Row],[Origin]]=DashOrigin)),1,0))</f>
        <v>1</v>
      </c>
      <c r="X8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0" spans="2:24" x14ac:dyDescent="0.25">
      <c r="B90" s="28" t="s">
        <v>360</v>
      </c>
      <c r="C90" s="29">
        <v>46281</v>
      </c>
      <c r="D90" s="28" t="s">
        <v>85</v>
      </c>
      <c r="E90" s="28" t="s">
        <v>148</v>
      </c>
      <c r="F90" s="28" t="s">
        <v>361</v>
      </c>
      <c r="G90" s="28" t="s">
        <v>99</v>
      </c>
      <c r="H90" s="28" t="s">
        <v>109</v>
      </c>
      <c r="I90" s="37" t="s">
        <v>163</v>
      </c>
      <c r="J90" s="30">
        <v>12</v>
      </c>
      <c r="K90" s="31">
        <v>42.5</v>
      </c>
      <c r="L90" s="28"/>
      <c r="M90" s="31"/>
      <c r="N90" s="31"/>
      <c r="O90" s="28" t="s">
        <v>152</v>
      </c>
      <c r="P90" s="28"/>
      <c r="Q90" s="29"/>
      <c r="R90" s="38" t="str">
        <f>IF(tblNcrs[[#This Row],[Date]]="","",IFERROR(INDEX(tblOrigins[Type],MATCH(tblNcrs[[#This Row],[Origin]],tblOrigins[Origin],0)),""))</f>
        <v>Internal</v>
      </c>
      <c r="S90" s="39">
        <f>IF(tblNcrs[[#This Row],[Date]]="","",IF(tblNcrs[[#This Row],[Disposition]]="Scrap",tblNcrs[[#This Row],[Qty nonconforming]]*tblNcrs[[#This Row],[Unit cost]],0))</f>
        <v>0</v>
      </c>
      <c r="T90" s="39">
        <f>IF(tblNcrs[[#This Row],[Date]]="","",tblNcrs[[#This Row],[Scrap cost]]+N(tblNcrs[[#This Row],[Rework or repair cost]])+AdminCost-N(tblNcrs[[#This Row],[Recovered]]))</f>
        <v>85</v>
      </c>
      <c r="U90" s="40">
        <f>IF(tblNcrs[[#This Row],[Date]]="","",IF(N(tblNcrs[[#This Row],[Closed]])&gt;0,tblNcrs[[#This Row],[Closed]],AsOf)-tblNcrs[[#This Row],[Date]])</f>
        <v>23</v>
      </c>
      <c r="V90" s="41" t="str">
        <f>IF(tblNcrs[[#This Row],[Date]]="","",IF(N(tblNcrs[[#This Row],[Closed]])&gt;0,"Complete",IF(tblNcrs[[#This Row],[Date]]+CloseDays&lt;AsOf,"Overdue",IF(tblNcrs[[#This Row],[Date]]+CloseDays-AsOf&lt;=DueSoonDays,"Due soon","In progress"))))</f>
        <v>In progress</v>
      </c>
      <c r="W90" s="40">
        <f>IF(tblNcrs[[#This Row],[Date]]="","",IF(AND(OR(DashSource="",tblNcrs[[#This Row],[Source]]=DashSource),OR(DashOrigin="",tblNcrs[[#This Row],[Origin]]=DashOrigin)),1,0))</f>
        <v>1</v>
      </c>
      <c r="X9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1" spans="2:24" x14ac:dyDescent="0.25">
      <c r="B91" s="28" t="s">
        <v>362</v>
      </c>
      <c r="C91" s="29">
        <v>46282</v>
      </c>
      <c r="D91" s="28" t="s">
        <v>85</v>
      </c>
      <c r="E91" s="28" t="s">
        <v>148</v>
      </c>
      <c r="F91" s="28" t="s">
        <v>322</v>
      </c>
      <c r="G91" s="28" t="s">
        <v>94</v>
      </c>
      <c r="H91" s="28" t="s">
        <v>119</v>
      </c>
      <c r="I91" s="37" t="s">
        <v>150</v>
      </c>
      <c r="J91" s="30">
        <v>1</v>
      </c>
      <c r="K91" s="31">
        <v>42.5</v>
      </c>
      <c r="L91" s="28" t="s">
        <v>151</v>
      </c>
      <c r="M91" s="31"/>
      <c r="N91" s="31"/>
      <c r="O91" s="28" t="s">
        <v>175</v>
      </c>
      <c r="P91" s="28"/>
      <c r="Q91" s="29">
        <v>46300</v>
      </c>
      <c r="R91" s="38" t="str">
        <f>IF(tblNcrs[[#This Row],[Date]]="","",IFERROR(INDEX(tblOrigins[Type],MATCH(tblNcrs[[#This Row],[Origin]],tblOrigins[Origin],0)),""))</f>
        <v>Internal</v>
      </c>
      <c r="S91" s="39">
        <f>IF(tblNcrs[[#This Row],[Date]]="","",IF(tblNcrs[[#This Row],[Disposition]]="Scrap",tblNcrs[[#This Row],[Qty nonconforming]]*tblNcrs[[#This Row],[Unit cost]],0))</f>
        <v>0</v>
      </c>
      <c r="T91" s="39">
        <f>IF(tblNcrs[[#This Row],[Date]]="","",tblNcrs[[#This Row],[Scrap cost]]+N(tblNcrs[[#This Row],[Rework or repair cost]])+AdminCost-N(tblNcrs[[#This Row],[Recovered]]))</f>
        <v>85</v>
      </c>
      <c r="U91" s="40">
        <f>IF(tblNcrs[[#This Row],[Date]]="","",IF(N(tblNcrs[[#This Row],[Closed]])&gt;0,tblNcrs[[#This Row],[Closed]],AsOf)-tblNcrs[[#This Row],[Date]])</f>
        <v>18</v>
      </c>
      <c r="V91" s="41" t="str">
        <f>IF(tblNcrs[[#This Row],[Date]]="","",IF(N(tblNcrs[[#This Row],[Closed]])&gt;0,"Complete",IF(tblNcrs[[#This Row],[Date]]+CloseDays&lt;AsOf,"Overdue",IF(tblNcrs[[#This Row],[Date]]+CloseDays-AsOf&lt;=DueSoonDays,"Due soon","In progress"))))</f>
        <v>Complete</v>
      </c>
      <c r="W91" s="40">
        <f>IF(tblNcrs[[#This Row],[Date]]="","",IF(AND(OR(DashSource="",tblNcrs[[#This Row],[Source]]=DashSource),OR(DashOrigin="",tblNcrs[[#This Row],[Origin]]=DashOrigin)),1,0))</f>
        <v>1</v>
      </c>
      <c r="X9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2" spans="2:24" x14ac:dyDescent="0.25">
      <c r="B92" s="28" t="s">
        <v>363</v>
      </c>
      <c r="C92" s="29">
        <v>46286</v>
      </c>
      <c r="D92" s="28" t="s">
        <v>87</v>
      </c>
      <c r="E92" s="28" t="s">
        <v>161</v>
      </c>
      <c r="F92" s="28" t="s">
        <v>364</v>
      </c>
      <c r="G92" s="28" t="s">
        <v>103</v>
      </c>
      <c r="H92" s="28" t="s">
        <v>119</v>
      </c>
      <c r="I92" s="37" t="s">
        <v>150</v>
      </c>
      <c r="J92" s="30">
        <v>20</v>
      </c>
      <c r="K92" s="31">
        <v>236</v>
      </c>
      <c r="L92" s="28" t="s">
        <v>164</v>
      </c>
      <c r="M92" s="31"/>
      <c r="N92" s="31">
        <v>50</v>
      </c>
      <c r="O92" s="28" t="s">
        <v>152</v>
      </c>
      <c r="P92" s="28"/>
      <c r="Q92" s="29"/>
      <c r="R92" s="38" t="str">
        <f>IF(tblNcrs[[#This Row],[Date]]="","",IFERROR(INDEX(tblOrigins[Type],MATCH(tblNcrs[[#This Row],[Origin]],tblOrigins[Origin],0)),""))</f>
        <v>Supplier</v>
      </c>
      <c r="S92" s="39">
        <f>IF(tblNcrs[[#This Row],[Date]]="","",IF(tblNcrs[[#This Row],[Disposition]]="Scrap",tblNcrs[[#This Row],[Qty nonconforming]]*tblNcrs[[#This Row],[Unit cost]],0))</f>
        <v>4720</v>
      </c>
      <c r="T92" s="39">
        <f>IF(tblNcrs[[#This Row],[Date]]="","",tblNcrs[[#This Row],[Scrap cost]]+N(tblNcrs[[#This Row],[Rework or repair cost]])+AdminCost-N(tblNcrs[[#This Row],[Recovered]]))</f>
        <v>4755</v>
      </c>
      <c r="U92" s="40">
        <f>IF(tblNcrs[[#This Row],[Date]]="","",IF(N(tblNcrs[[#This Row],[Closed]])&gt;0,tblNcrs[[#This Row],[Closed]],AsOf)-tblNcrs[[#This Row],[Date]])</f>
        <v>18</v>
      </c>
      <c r="V92" s="41" t="str">
        <f>IF(tblNcrs[[#This Row],[Date]]="","",IF(N(tblNcrs[[#This Row],[Closed]])&gt;0,"Complete",IF(tblNcrs[[#This Row],[Date]]+CloseDays&lt;AsOf,"Overdue",IF(tblNcrs[[#This Row],[Date]]+CloseDays-AsOf&lt;=DueSoonDays,"Due soon","In progress"))))</f>
        <v>In progress</v>
      </c>
      <c r="W92" s="40">
        <f>IF(tblNcrs[[#This Row],[Date]]="","",IF(AND(OR(DashSource="",tblNcrs[[#This Row],[Source]]=DashSource),OR(DashOrigin="",tblNcrs[[#This Row],[Origin]]=DashOrigin)),1,0))</f>
        <v>1</v>
      </c>
      <c r="X9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3" spans="2:24" x14ac:dyDescent="0.25">
      <c r="B93" s="28" t="s">
        <v>365</v>
      </c>
      <c r="C93" s="29">
        <v>46288</v>
      </c>
      <c r="D93" s="28" t="s">
        <v>85</v>
      </c>
      <c r="E93" s="28" t="s">
        <v>161</v>
      </c>
      <c r="F93" s="28" t="s">
        <v>366</v>
      </c>
      <c r="G93" s="28" t="s">
        <v>99</v>
      </c>
      <c r="H93" s="28" t="s">
        <v>109</v>
      </c>
      <c r="I93" s="37" t="s">
        <v>163</v>
      </c>
      <c r="J93" s="30">
        <v>12</v>
      </c>
      <c r="K93" s="31">
        <v>236</v>
      </c>
      <c r="L93" s="28"/>
      <c r="M93" s="31"/>
      <c r="N93" s="31"/>
      <c r="O93" s="28" t="s">
        <v>152</v>
      </c>
      <c r="P93" s="28"/>
      <c r="Q93" s="29"/>
      <c r="R93" s="38" t="str">
        <f>IF(tblNcrs[[#This Row],[Date]]="","",IFERROR(INDEX(tblOrigins[Type],MATCH(tblNcrs[[#This Row],[Origin]],tblOrigins[Origin],0)),""))</f>
        <v>Internal</v>
      </c>
      <c r="S93" s="39">
        <f>IF(tblNcrs[[#This Row],[Date]]="","",IF(tblNcrs[[#This Row],[Disposition]]="Scrap",tblNcrs[[#This Row],[Qty nonconforming]]*tblNcrs[[#This Row],[Unit cost]],0))</f>
        <v>0</v>
      </c>
      <c r="T93" s="39">
        <f>IF(tblNcrs[[#This Row],[Date]]="","",tblNcrs[[#This Row],[Scrap cost]]+N(tblNcrs[[#This Row],[Rework or repair cost]])+AdminCost-N(tblNcrs[[#This Row],[Recovered]]))</f>
        <v>85</v>
      </c>
      <c r="U93" s="40">
        <f>IF(tblNcrs[[#This Row],[Date]]="","",IF(N(tblNcrs[[#This Row],[Closed]])&gt;0,tblNcrs[[#This Row],[Closed]],AsOf)-tblNcrs[[#This Row],[Date]])</f>
        <v>16</v>
      </c>
      <c r="V93" s="41" t="str">
        <f>IF(tblNcrs[[#This Row],[Date]]="","",IF(N(tblNcrs[[#This Row],[Closed]])&gt;0,"Complete",IF(tblNcrs[[#This Row],[Date]]+CloseDays&lt;AsOf,"Overdue",IF(tblNcrs[[#This Row],[Date]]+CloseDays-AsOf&lt;=DueSoonDays,"Due soon","In progress"))))</f>
        <v>In progress</v>
      </c>
      <c r="W93" s="40">
        <f>IF(tblNcrs[[#This Row],[Date]]="","",IF(AND(OR(DashSource="",tblNcrs[[#This Row],[Source]]=DashSource),OR(DashOrigin="",tblNcrs[[#This Row],[Origin]]=DashOrigin)),1,0))</f>
        <v>1</v>
      </c>
      <c r="X93"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4" spans="2:24" x14ac:dyDescent="0.25">
      <c r="B94" s="28" t="s">
        <v>367</v>
      </c>
      <c r="C94" s="29">
        <v>46290</v>
      </c>
      <c r="D94" s="28" t="s">
        <v>85</v>
      </c>
      <c r="E94" s="28" t="s">
        <v>177</v>
      </c>
      <c r="F94" s="28" t="s">
        <v>368</v>
      </c>
      <c r="G94" s="28" t="s">
        <v>101</v>
      </c>
      <c r="H94" s="28" t="s">
        <v>113</v>
      </c>
      <c r="I94" s="37" t="s">
        <v>157</v>
      </c>
      <c r="J94" s="30">
        <v>24</v>
      </c>
      <c r="K94" s="31">
        <v>27</v>
      </c>
      <c r="L94" s="28" t="s">
        <v>158</v>
      </c>
      <c r="M94" s="31">
        <v>435</v>
      </c>
      <c r="N94" s="31"/>
      <c r="O94" s="28" t="s">
        <v>152</v>
      </c>
      <c r="P94" s="28"/>
      <c r="Q94" s="29"/>
      <c r="R94" s="38" t="str">
        <f>IF(tblNcrs[[#This Row],[Date]]="","",IFERROR(INDEX(tblOrigins[Type],MATCH(tblNcrs[[#This Row],[Origin]],tblOrigins[Origin],0)),""))</f>
        <v>Internal</v>
      </c>
      <c r="S94" s="39">
        <f>IF(tblNcrs[[#This Row],[Date]]="","",IF(tblNcrs[[#This Row],[Disposition]]="Scrap",tblNcrs[[#This Row],[Qty nonconforming]]*tblNcrs[[#This Row],[Unit cost]],0))</f>
        <v>0</v>
      </c>
      <c r="T94" s="39">
        <f>IF(tblNcrs[[#This Row],[Date]]="","",tblNcrs[[#This Row],[Scrap cost]]+N(tblNcrs[[#This Row],[Rework or repair cost]])+AdminCost-N(tblNcrs[[#This Row],[Recovered]]))</f>
        <v>520</v>
      </c>
      <c r="U94" s="40">
        <f>IF(tblNcrs[[#This Row],[Date]]="","",IF(N(tblNcrs[[#This Row],[Closed]])&gt;0,tblNcrs[[#This Row],[Closed]],AsOf)-tblNcrs[[#This Row],[Date]])</f>
        <v>14</v>
      </c>
      <c r="V94" s="41" t="str">
        <f>IF(tblNcrs[[#This Row],[Date]]="","",IF(N(tblNcrs[[#This Row],[Closed]])&gt;0,"Complete",IF(tblNcrs[[#This Row],[Date]]+CloseDays&lt;AsOf,"Overdue",IF(tblNcrs[[#This Row],[Date]]+CloseDays-AsOf&lt;=DueSoonDays,"Due soon","In progress"))))</f>
        <v>In progress</v>
      </c>
      <c r="W94" s="40">
        <f>IF(tblNcrs[[#This Row],[Date]]="","",IF(AND(OR(DashSource="",tblNcrs[[#This Row],[Source]]=DashSource),OR(DashOrigin="",tblNcrs[[#This Row],[Origin]]=DashOrigin)),1,0))</f>
        <v>1</v>
      </c>
      <c r="X94"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5" spans="2:24" x14ac:dyDescent="0.25">
      <c r="B95" s="28" t="s">
        <v>369</v>
      </c>
      <c r="C95" s="29">
        <v>46293</v>
      </c>
      <c r="D95" s="28" t="s">
        <v>83</v>
      </c>
      <c r="E95" s="28" t="s">
        <v>148</v>
      </c>
      <c r="F95" s="28" t="s">
        <v>370</v>
      </c>
      <c r="G95" s="28" t="s">
        <v>103</v>
      </c>
      <c r="H95" s="28" t="s">
        <v>115</v>
      </c>
      <c r="I95" s="37" t="s">
        <v>199</v>
      </c>
      <c r="J95" s="30">
        <v>3</v>
      </c>
      <c r="K95" s="31">
        <v>42.5</v>
      </c>
      <c r="L95" s="28"/>
      <c r="M95" s="31"/>
      <c r="N95" s="31"/>
      <c r="O95" s="28" t="s">
        <v>175</v>
      </c>
      <c r="P95" s="28"/>
      <c r="Q95" s="29"/>
      <c r="R95" s="38" t="str">
        <f>IF(tblNcrs[[#This Row],[Date]]="","",IFERROR(INDEX(tblOrigins[Type],MATCH(tblNcrs[[#This Row],[Origin]],tblOrigins[Origin],0)),""))</f>
        <v>Supplier</v>
      </c>
      <c r="S95" s="39">
        <f>IF(tblNcrs[[#This Row],[Date]]="","",IF(tblNcrs[[#This Row],[Disposition]]="Scrap",tblNcrs[[#This Row],[Qty nonconforming]]*tblNcrs[[#This Row],[Unit cost]],0))</f>
        <v>0</v>
      </c>
      <c r="T95" s="39">
        <f>IF(tblNcrs[[#This Row],[Date]]="","",tblNcrs[[#This Row],[Scrap cost]]+N(tblNcrs[[#This Row],[Rework or repair cost]])+AdminCost-N(tblNcrs[[#This Row],[Recovered]]))</f>
        <v>85</v>
      </c>
      <c r="U95" s="40">
        <f>IF(tblNcrs[[#This Row],[Date]]="","",IF(N(tblNcrs[[#This Row],[Closed]])&gt;0,tblNcrs[[#This Row],[Closed]],AsOf)-tblNcrs[[#This Row],[Date]])</f>
        <v>11</v>
      </c>
      <c r="V95" s="41" t="str">
        <f>IF(tblNcrs[[#This Row],[Date]]="","",IF(N(tblNcrs[[#This Row],[Closed]])&gt;0,"Complete",IF(tblNcrs[[#This Row],[Date]]+CloseDays&lt;AsOf,"Overdue",IF(tblNcrs[[#This Row],[Date]]+CloseDays-AsOf&lt;=DueSoonDays,"Due soon","In progress"))))</f>
        <v>In progress</v>
      </c>
      <c r="W95" s="40">
        <f>IF(tblNcrs[[#This Row],[Date]]="","",IF(AND(OR(DashSource="",tblNcrs[[#This Row],[Source]]=DashSource),OR(DashOrigin="",tblNcrs[[#This Row],[Origin]]=DashOrigin)),1,0))</f>
        <v>1</v>
      </c>
      <c r="X95"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6" spans="2:24" x14ac:dyDescent="0.25">
      <c r="B96" s="28" t="s">
        <v>371</v>
      </c>
      <c r="C96" s="29">
        <v>46295</v>
      </c>
      <c r="D96" s="28" t="s">
        <v>85</v>
      </c>
      <c r="E96" s="28" t="s">
        <v>197</v>
      </c>
      <c r="F96" s="28" t="s">
        <v>372</v>
      </c>
      <c r="G96" s="28" t="s">
        <v>94</v>
      </c>
      <c r="H96" s="28" t="s">
        <v>111</v>
      </c>
      <c r="I96" s="37" t="s">
        <v>170</v>
      </c>
      <c r="J96" s="30">
        <v>10</v>
      </c>
      <c r="K96" s="31">
        <v>64</v>
      </c>
      <c r="L96" s="28"/>
      <c r="M96" s="31"/>
      <c r="N96" s="31"/>
      <c r="O96" s="28" t="s">
        <v>152</v>
      </c>
      <c r="P96" s="28"/>
      <c r="Q96" s="29"/>
      <c r="R96" s="38" t="str">
        <f>IF(tblNcrs[[#This Row],[Date]]="","",IFERROR(INDEX(tblOrigins[Type],MATCH(tblNcrs[[#This Row],[Origin]],tblOrigins[Origin],0)),""))</f>
        <v>Internal</v>
      </c>
      <c r="S96" s="39">
        <f>IF(tblNcrs[[#This Row],[Date]]="","",IF(tblNcrs[[#This Row],[Disposition]]="Scrap",tblNcrs[[#This Row],[Qty nonconforming]]*tblNcrs[[#This Row],[Unit cost]],0))</f>
        <v>0</v>
      </c>
      <c r="T96" s="39">
        <f>IF(tblNcrs[[#This Row],[Date]]="","",tblNcrs[[#This Row],[Scrap cost]]+N(tblNcrs[[#This Row],[Rework or repair cost]])+AdminCost-N(tblNcrs[[#This Row],[Recovered]]))</f>
        <v>85</v>
      </c>
      <c r="U96" s="40">
        <f>IF(tblNcrs[[#This Row],[Date]]="","",IF(N(tblNcrs[[#This Row],[Closed]])&gt;0,tblNcrs[[#This Row],[Closed]],AsOf)-tblNcrs[[#This Row],[Date]])</f>
        <v>9</v>
      </c>
      <c r="V96" s="41" t="str">
        <f>IF(tblNcrs[[#This Row],[Date]]="","",IF(N(tblNcrs[[#This Row],[Closed]])&gt;0,"Complete",IF(tblNcrs[[#This Row],[Date]]+CloseDays&lt;AsOf,"Overdue",IF(tblNcrs[[#This Row],[Date]]+CloseDays-AsOf&lt;=DueSoonDays,"Due soon","In progress"))))</f>
        <v>In progress</v>
      </c>
      <c r="W96" s="40">
        <f>IF(tblNcrs[[#This Row],[Date]]="","",IF(AND(OR(DashSource="",tblNcrs[[#This Row],[Source]]=DashSource),OR(DashOrigin="",tblNcrs[[#This Row],[Origin]]=DashOrigin)),1,0))</f>
        <v>1</v>
      </c>
      <c r="X96"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7" spans="2:24" x14ac:dyDescent="0.25">
      <c r="B97" s="28" t="s">
        <v>373</v>
      </c>
      <c r="C97" s="29">
        <v>46297</v>
      </c>
      <c r="D97" s="28" t="s">
        <v>87</v>
      </c>
      <c r="E97" s="28" t="s">
        <v>177</v>
      </c>
      <c r="F97" s="28" t="s">
        <v>374</v>
      </c>
      <c r="G97" s="28" t="s">
        <v>97</v>
      </c>
      <c r="H97" s="28" t="s">
        <v>109</v>
      </c>
      <c r="I97" s="37" t="s">
        <v>163</v>
      </c>
      <c r="J97" s="30">
        <v>12</v>
      </c>
      <c r="K97" s="31">
        <v>27</v>
      </c>
      <c r="L97" s="28" t="s">
        <v>158</v>
      </c>
      <c r="M97" s="31">
        <v>50</v>
      </c>
      <c r="N97" s="31"/>
      <c r="O97" s="28" t="s">
        <v>175</v>
      </c>
      <c r="P97" s="28"/>
      <c r="Q97" s="29"/>
      <c r="R97" s="38" t="str">
        <f>IF(tblNcrs[[#This Row],[Date]]="","",IFERROR(INDEX(tblOrigins[Type],MATCH(tblNcrs[[#This Row],[Origin]],tblOrigins[Origin],0)),""))</f>
        <v>Internal</v>
      </c>
      <c r="S97" s="39">
        <f>IF(tblNcrs[[#This Row],[Date]]="","",IF(tblNcrs[[#This Row],[Disposition]]="Scrap",tblNcrs[[#This Row],[Qty nonconforming]]*tblNcrs[[#This Row],[Unit cost]],0))</f>
        <v>0</v>
      </c>
      <c r="T97" s="39">
        <f>IF(tblNcrs[[#This Row],[Date]]="","",tblNcrs[[#This Row],[Scrap cost]]+N(tblNcrs[[#This Row],[Rework or repair cost]])+AdminCost-N(tblNcrs[[#This Row],[Recovered]]))</f>
        <v>135</v>
      </c>
      <c r="U97" s="40">
        <f>IF(tblNcrs[[#This Row],[Date]]="","",IF(N(tblNcrs[[#This Row],[Closed]])&gt;0,tblNcrs[[#This Row],[Closed]],AsOf)-tblNcrs[[#This Row],[Date]])</f>
        <v>7</v>
      </c>
      <c r="V97" s="41" t="str">
        <f>IF(tblNcrs[[#This Row],[Date]]="","",IF(N(tblNcrs[[#This Row],[Closed]])&gt;0,"Complete",IF(tblNcrs[[#This Row],[Date]]+CloseDays&lt;AsOf,"Overdue",IF(tblNcrs[[#This Row],[Date]]+CloseDays-AsOf&lt;=DueSoonDays,"Due soon","In progress"))))</f>
        <v>In progress</v>
      </c>
      <c r="W97" s="40">
        <f>IF(tblNcrs[[#This Row],[Date]]="","",IF(AND(OR(DashSource="",tblNcrs[[#This Row],[Source]]=DashSource),OR(DashOrigin="",tblNcrs[[#This Row],[Origin]]=DashOrigin)),1,0))</f>
        <v>1</v>
      </c>
      <c r="X97"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8" spans="2:24" x14ac:dyDescent="0.25">
      <c r="B98" s="28" t="s">
        <v>375</v>
      </c>
      <c r="C98" s="29">
        <v>46297</v>
      </c>
      <c r="D98" s="28" t="s">
        <v>85</v>
      </c>
      <c r="E98" s="28" t="s">
        <v>173</v>
      </c>
      <c r="F98" s="28" t="s">
        <v>376</v>
      </c>
      <c r="G98" s="28" t="s">
        <v>94</v>
      </c>
      <c r="H98" s="28" t="s">
        <v>111</v>
      </c>
      <c r="I98" s="37" t="s">
        <v>170</v>
      </c>
      <c r="J98" s="30">
        <v>10</v>
      </c>
      <c r="K98" s="31">
        <v>18.5</v>
      </c>
      <c r="L98" s="28" t="s">
        <v>158</v>
      </c>
      <c r="M98" s="31">
        <v>70</v>
      </c>
      <c r="N98" s="31"/>
      <c r="O98" s="28" t="s">
        <v>175</v>
      </c>
      <c r="P98" s="28"/>
      <c r="Q98" s="29"/>
      <c r="R98" s="38" t="str">
        <f>IF(tblNcrs[[#This Row],[Date]]="","",IFERROR(INDEX(tblOrigins[Type],MATCH(tblNcrs[[#This Row],[Origin]],tblOrigins[Origin],0)),""))</f>
        <v>Internal</v>
      </c>
      <c r="S98" s="39">
        <f>IF(tblNcrs[[#This Row],[Date]]="","",IF(tblNcrs[[#This Row],[Disposition]]="Scrap",tblNcrs[[#This Row],[Qty nonconforming]]*tblNcrs[[#This Row],[Unit cost]],0))</f>
        <v>0</v>
      </c>
      <c r="T98" s="39">
        <f>IF(tblNcrs[[#This Row],[Date]]="","",tblNcrs[[#This Row],[Scrap cost]]+N(tblNcrs[[#This Row],[Rework or repair cost]])+AdminCost-N(tblNcrs[[#This Row],[Recovered]]))</f>
        <v>155</v>
      </c>
      <c r="U98" s="40">
        <f>IF(tblNcrs[[#This Row],[Date]]="","",IF(N(tblNcrs[[#This Row],[Closed]])&gt;0,tblNcrs[[#This Row],[Closed]],AsOf)-tblNcrs[[#This Row],[Date]])</f>
        <v>7</v>
      </c>
      <c r="V98" s="41" t="str">
        <f>IF(tblNcrs[[#This Row],[Date]]="","",IF(N(tblNcrs[[#This Row],[Closed]])&gt;0,"Complete",IF(tblNcrs[[#This Row],[Date]]+CloseDays&lt;AsOf,"Overdue",IF(tblNcrs[[#This Row],[Date]]+CloseDays-AsOf&lt;=DueSoonDays,"Due soon","In progress"))))</f>
        <v>In progress</v>
      </c>
      <c r="W98" s="40">
        <f>IF(tblNcrs[[#This Row],[Date]]="","",IF(AND(OR(DashSource="",tblNcrs[[#This Row],[Source]]=DashSource),OR(DashOrigin="",tblNcrs[[#This Row],[Origin]]=DashOrigin)),1,0))</f>
        <v>1</v>
      </c>
      <c r="X98"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99" spans="2:24" x14ac:dyDescent="0.25">
      <c r="B99" s="28" t="s">
        <v>377</v>
      </c>
      <c r="C99" s="29">
        <v>46301</v>
      </c>
      <c r="D99" s="28" t="s">
        <v>83</v>
      </c>
      <c r="E99" s="28" t="s">
        <v>161</v>
      </c>
      <c r="F99" s="28" t="s">
        <v>378</v>
      </c>
      <c r="G99" s="28" t="s">
        <v>103</v>
      </c>
      <c r="H99" s="28" t="s">
        <v>119</v>
      </c>
      <c r="I99" s="37" t="s">
        <v>150</v>
      </c>
      <c r="J99" s="30">
        <v>1</v>
      </c>
      <c r="K99" s="31">
        <v>236</v>
      </c>
      <c r="L99" s="28" t="s">
        <v>151</v>
      </c>
      <c r="M99" s="31"/>
      <c r="N99" s="31"/>
      <c r="O99" s="28" t="s">
        <v>175</v>
      </c>
      <c r="P99" s="28"/>
      <c r="Q99" s="29"/>
      <c r="R99" s="38" t="str">
        <f>IF(tblNcrs[[#This Row],[Date]]="","",IFERROR(INDEX(tblOrigins[Type],MATCH(tblNcrs[[#This Row],[Origin]],tblOrigins[Origin],0)),""))</f>
        <v>Supplier</v>
      </c>
      <c r="S99" s="39">
        <f>IF(tblNcrs[[#This Row],[Date]]="","",IF(tblNcrs[[#This Row],[Disposition]]="Scrap",tblNcrs[[#This Row],[Qty nonconforming]]*tblNcrs[[#This Row],[Unit cost]],0))</f>
        <v>0</v>
      </c>
      <c r="T99" s="39">
        <f>IF(tblNcrs[[#This Row],[Date]]="","",tblNcrs[[#This Row],[Scrap cost]]+N(tblNcrs[[#This Row],[Rework or repair cost]])+AdminCost-N(tblNcrs[[#This Row],[Recovered]]))</f>
        <v>85</v>
      </c>
      <c r="U99" s="40">
        <f>IF(tblNcrs[[#This Row],[Date]]="","",IF(N(tblNcrs[[#This Row],[Closed]])&gt;0,tblNcrs[[#This Row],[Closed]],AsOf)-tblNcrs[[#This Row],[Date]])</f>
        <v>3</v>
      </c>
      <c r="V99" s="41" t="str">
        <f>IF(tblNcrs[[#This Row],[Date]]="","",IF(N(tblNcrs[[#This Row],[Closed]])&gt;0,"Complete",IF(tblNcrs[[#This Row],[Date]]+CloseDays&lt;AsOf,"Overdue",IF(tblNcrs[[#This Row],[Date]]+CloseDays-AsOf&lt;=DueSoonDays,"Due soon","In progress"))))</f>
        <v>In progress</v>
      </c>
      <c r="W99" s="40">
        <f>IF(tblNcrs[[#This Row],[Date]]="","",IF(AND(OR(DashSource="",tblNcrs[[#This Row],[Source]]=DashSource),OR(DashOrigin="",tblNcrs[[#This Row],[Origin]]=DashOrigin)),1,0))</f>
        <v>1</v>
      </c>
      <c r="X99"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00" spans="2:24" x14ac:dyDescent="0.25">
      <c r="B100" s="28" t="s">
        <v>379</v>
      </c>
      <c r="C100" s="29">
        <v>46302</v>
      </c>
      <c r="D100" s="28" t="s">
        <v>85</v>
      </c>
      <c r="E100" s="28" t="s">
        <v>197</v>
      </c>
      <c r="F100" s="28" t="s">
        <v>380</v>
      </c>
      <c r="G100" s="28" t="s">
        <v>99</v>
      </c>
      <c r="H100" s="28" t="s">
        <v>111</v>
      </c>
      <c r="I100" s="37" t="s">
        <v>170</v>
      </c>
      <c r="J100" s="30">
        <v>15</v>
      </c>
      <c r="K100" s="31">
        <v>64</v>
      </c>
      <c r="L100" s="28" t="s">
        <v>158</v>
      </c>
      <c r="M100" s="31">
        <v>135</v>
      </c>
      <c r="N100" s="31"/>
      <c r="O100" s="28" t="s">
        <v>152</v>
      </c>
      <c r="P100" s="28"/>
      <c r="Q100" s="29"/>
      <c r="R100" s="38" t="str">
        <f>IF(tblNcrs[[#This Row],[Date]]="","",IFERROR(INDEX(tblOrigins[Type],MATCH(tblNcrs[[#This Row],[Origin]],tblOrigins[Origin],0)),""))</f>
        <v>Internal</v>
      </c>
      <c r="S100" s="39">
        <f>IF(tblNcrs[[#This Row],[Date]]="","",IF(tblNcrs[[#This Row],[Disposition]]="Scrap",tblNcrs[[#This Row],[Qty nonconforming]]*tblNcrs[[#This Row],[Unit cost]],0))</f>
        <v>0</v>
      </c>
      <c r="T100" s="39">
        <f>IF(tblNcrs[[#This Row],[Date]]="","",tblNcrs[[#This Row],[Scrap cost]]+N(tblNcrs[[#This Row],[Rework or repair cost]])+AdminCost-N(tblNcrs[[#This Row],[Recovered]]))</f>
        <v>220</v>
      </c>
      <c r="U100" s="40">
        <f>IF(tblNcrs[[#This Row],[Date]]="","",IF(N(tblNcrs[[#This Row],[Closed]])&gt;0,tblNcrs[[#This Row],[Closed]],AsOf)-tblNcrs[[#This Row],[Date]])</f>
        <v>2</v>
      </c>
      <c r="V100" s="41" t="str">
        <f>IF(tblNcrs[[#This Row],[Date]]="","",IF(N(tblNcrs[[#This Row],[Closed]])&gt;0,"Complete",IF(tblNcrs[[#This Row],[Date]]+CloseDays&lt;AsOf,"Overdue",IF(tblNcrs[[#This Row],[Date]]+CloseDays-AsOf&lt;=DueSoonDays,"Due soon","In progress"))))</f>
        <v>In progress</v>
      </c>
      <c r="W100" s="40">
        <f>IF(tblNcrs[[#This Row],[Date]]="","",IF(AND(OR(DashSource="",tblNcrs[[#This Row],[Source]]=DashSource),OR(DashOrigin="",tblNcrs[[#This Row],[Origin]]=DashOrigin)),1,0))</f>
        <v>1</v>
      </c>
      <c r="X100"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01" spans="2:24" x14ac:dyDescent="0.25">
      <c r="B101" s="28" t="s">
        <v>381</v>
      </c>
      <c r="C101" s="29">
        <v>46302</v>
      </c>
      <c r="D101" s="28" t="s">
        <v>85</v>
      </c>
      <c r="E101" s="28" t="s">
        <v>173</v>
      </c>
      <c r="F101" s="28" t="s">
        <v>382</v>
      </c>
      <c r="G101" s="28" t="s">
        <v>101</v>
      </c>
      <c r="H101" s="28" t="s">
        <v>113</v>
      </c>
      <c r="I101" s="37" t="s">
        <v>157</v>
      </c>
      <c r="J101" s="30">
        <v>15</v>
      </c>
      <c r="K101" s="31">
        <v>18.5</v>
      </c>
      <c r="L101" s="28" t="s">
        <v>158</v>
      </c>
      <c r="M101" s="31">
        <v>170</v>
      </c>
      <c r="N101" s="31"/>
      <c r="O101" s="28" t="s">
        <v>175</v>
      </c>
      <c r="P101" s="28"/>
      <c r="Q101" s="29"/>
      <c r="R101" s="38" t="str">
        <f>IF(tblNcrs[[#This Row],[Date]]="","",IFERROR(INDEX(tblOrigins[Type],MATCH(tblNcrs[[#This Row],[Origin]],tblOrigins[Origin],0)),""))</f>
        <v>Internal</v>
      </c>
      <c r="S101" s="39">
        <f>IF(tblNcrs[[#This Row],[Date]]="","",IF(tblNcrs[[#This Row],[Disposition]]="Scrap",tblNcrs[[#This Row],[Qty nonconforming]]*tblNcrs[[#This Row],[Unit cost]],0))</f>
        <v>0</v>
      </c>
      <c r="T101" s="39">
        <f>IF(tblNcrs[[#This Row],[Date]]="","",tblNcrs[[#This Row],[Scrap cost]]+N(tblNcrs[[#This Row],[Rework or repair cost]])+AdminCost-N(tblNcrs[[#This Row],[Recovered]]))</f>
        <v>255</v>
      </c>
      <c r="U101" s="40">
        <f>IF(tblNcrs[[#This Row],[Date]]="","",IF(N(tblNcrs[[#This Row],[Closed]])&gt;0,tblNcrs[[#This Row],[Closed]],AsOf)-tblNcrs[[#This Row],[Date]])</f>
        <v>2</v>
      </c>
      <c r="V101" s="41" t="str">
        <f>IF(tblNcrs[[#This Row],[Date]]="","",IF(N(tblNcrs[[#This Row],[Closed]])&gt;0,"Complete",IF(tblNcrs[[#This Row],[Date]]+CloseDays&lt;AsOf,"Overdue",IF(tblNcrs[[#This Row],[Date]]+CloseDays-AsOf&lt;=DueSoonDays,"Due soon","In progress"))))</f>
        <v>In progress</v>
      </c>
      <c r="W101" s="40">
        <f>IF(tblNcrs[[#This Row],[Date]]="","",IF(AND(OR(DashSource="",tblNcrs[[#This Row],[Source]]=DashSource),OR(DashOrigin="",tblNcrs[[#This Row],[Origin]]=DashOrigin)),1,0))</f>
        <v>1</v>
      </c>
      <c r="X101"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row r="102" spans="2:24" x14ac:dyDescent="0.25">
      <c r="B102" s="28" t="s">
        <v>383</v>
      </c>
      <c r="C102" s="29">
        <v>46303</v>
      </c>
      <c r="D102" s="28" t="s">
        <v>85</v>
      </c>
      <c r="E102" s="28" t="s">
        <v>177</v>
      </c>
      <c r="F102" s="28" t="s">
        <v>384</v>
      </c>
      <c r="G102" s="28" t="s">
        <v>97</v>
      </c>
      <c r="H102" s="28" t="s">
        <v>109</v>
      </c>
      <c r="I102" s="37" t="s">
        <v>163</v>
      </c>
      <c r="J102" s="30">
        <v>8</v>
      </c>
      <c r="K102" s="31">
        <v>27</v>
      </c>
      <c r="L102" s="28"/>
      <c r="M102" s="31"/>
      <c r="N102" s="31"/>
      <c r="O102" s="28" t="s">
        <v>175</v>
      </c>
      <c r="P102" s="28"/>
      <c r="Q102" s="29"/>
      <c r="R102" s="38" t="str">
        <f>IF(tblNcrs[[#This Row],[Date]]="","",IFERROR(INDEX(tblOrigins[Type],MATCH(tblNcrs[[#This Row],[Origin]],tblOrigins[Origin],0)),""))</f>
        <v>Internal</v>
      </c>
      <c r="S102" s="39">
        <f>IF(tblNcrs[[#This Row],[Date]]="","",IF(tblNcrs[[#This Row],[Disposition]]="Scrap",tblNcrs[[#This Row],[Qty nonconforming]]*tblNcrs[[#This Row],[Unit cost]],0))</f>
        <v>0</v>
      </c>
      <c r="T102" s="39">
        <f>IF(tblNcrs[[#This Row],[Date]]="","",tblNcrs[[#This Row],[Scrap cost]]+N(tblNcrs[[#This Row],[Rework or repair cost]])+AdminCost-N(tblNcrs[[#This Row],[Recovered]]))</f>
        <v>85</v>
      </c>
      <c r="U102" s="40">
        <f>IF(tblNcrs[[#This Row],[Date]]="","",IF(N(tblNcrs[[#This Row],[Closed]])&gt;0,tblNcrs[[#This Row],[Closed]],AsOf)-tblNcrs[[#This Row],[Date]])</f>
        <v>1</v>
      </c>
      <c r="V102" s="41" t="str">
        <f>IF(tblNcrs[[#This Row],[Date]]="","",IF(N(tblNcrs[[#This Row],[Closed]])&gt;0,"Complete",IF(tblNcrs[[#This Row],[Date]]+CloseDays&lt;AsOf,"Overdue",IF(tblNcrs[[#This Row],[Date]]+CloseDays-AsOf&lt;=DueSoonDays,"Due soon","In progress"))))</f>
        <v>In progress</v>
      </c>
      <c r="W102" s="40">
        <f>IF(tblNcrs[[#This Row],[Date]]="","",IF(AND(OR(DashSource="",tblNcrs[[#This Row],[Source]]=DashSource),OR(DashOrigin="",tblNcrs[[#This Row],[Origin]]=DashOrigin)),1,0))</f>
        <v>1</v>
      </c>
      <c r="X102" s="42" t="str">
        <f>IF(tblNcrs[[#This Row],[Date]]="","",IF(tblNcrs[[#This Row],[NCR no.]]="","Missing ncr no.",IF(tblNcrs[[#This Row],[Defect type]]="","Missing defect type",IF(tblNcrs[[#This Row],[Qty nonconforming]]="","Missing qty nonconforming",IF(COUNTIFS(tblNcrs[NCR no.],tblNcrs[[#This Row],[NCR no.]])&gt;1,"Duplicate NCR number",IF(tblNcrs[[#This Row],[Origin type]]="","Origin not on Setup list",IF(AND(N(tblNcrs[[#This Row],[Closed]])&gt;0,tblNcrs[[#This Row],[Closed]]&lt;tblNcrs[[#This Row],[Date]]),"Closed before raised",IF(MAX(tblNcrs[[#This Row],[Date]],tblNcrs[[#This Row],[Closed]])&gt;AsOf,"Date after the status date",IF(AND(N(tblNcrs[[#This Row],[Closed]])&gt;0,tblNcrs[[#This Row],[Disposition]]=""),"Closed without disposition",IF(N(tblNcrs[[#This Row],[Recovered]])&gt;tblNcrs[[#This Row],[Scrap cost]]+N(tblNcrs[[#This Row],[Rework or repair cost]])+AdminCost,"Recovered above cost",IF(AND(tblNcrs[[#This Row],[CAPA needed]]="Yes",tblNcrs[[#This Row],[CAPA no.]]="",N(tblNcrs[[#This Row],[Closed]])&gt;0),"Closed without CAPA number","OK")))))))))))</f>
        <v>OK</v>
      </c>
    </row>
  </sheetData>
  <mergeCells count="3">
    <mergeCell ref="A1:X1"/>
    <mergeCell ref="B2:W2"/>
    <mergeCell ref="B4:X4"/>
  </mergeCells>
  <conditionalFormatting sqref="T7:T602">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V7:V602">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X7:X602">
    <cfRule type="expression" dxfId="3" priority="22">
      <formula>$X7="OK"</formula>
    </cfRule>
    <cfRule type="expression" dxfId="1" priority="23">
      <formula>AND($X7&lt;&gt;"",$X7&lt;&gt;"OK")</formula>
    </cfRule>
  </conditionalFormatting>
  <dataValidations count="16">
    <dataValidation type="textLength" allowBlank="1" showInputMessage="1" showErrorMessage="1" errorTitle="Check this entry" error="Text up to 20 characters." promptTitle="NCR no." prompt="Your NCR number. Must be unique. Text up to 20 characters." sqref="B7:B602">
      <formula1>0</formula1>
      <formula2>20</formula2>
    </dataValidation>
    <dataValidation type="date" allowBlank="1" showInputMessage="1" showErrorMessage="1" errorTitle="Check this entry" error="Enter a date between 01 Jan 2000 and 31 Dec 2100." promptTitle="Date" prompt="Date the NCR was raised. Enter a date between 01 Jan 2000 and 31 Dec 2100." sqref="C7:C602">
      <formula1>36526</formula1>
      <formula2>73415</formula2>
    </dataValidation>
    <dataValidation type="list" allowBlank="1" showInputMessage="1" showErrorMessage="1" errorTitle="Check this entry" error="Pick from the list (edit the list on Setup: Sources)." promptTitle="Source" prompt="Pick from the list (edit the list on Setup: Sources)." sqref="D7:D602">
      <formula1>Sources</formula1>
    </dataValidation>
    <dataValidation type="textLength" allowBlank="1" showInputMessage="1" showErrorMessage="1" errorTitle="Check this entry" error="Text up to 40 characters." promptTitle="Part number" prompt="Text up to 40 characters." sqref="E7:E602">
      <formula1>0</formula1>
      <formula2>40</formula2>
    </dataValidation>
    <dataValidation type="textLength" allowBlank="1" showInputMessage="1" showErrorMessage="1" errorTitle="Check this entry" error="Text up to 40 characters." promptTitle="Lot or job" prompt="Text up to 40 characters." sqref="F7:F602">
      <formula1>0</formula1>
      <formula2>40</formula2>
    </dataValidation>
    <dataValidation type="list" allowBlank="1" showInputMessage="1" showErrorMessage="1" errorTitle="Check this entry" error="Pick from the list (edit the list on Setup: Origins)." promptTitle="Origin" prompt="Pick from the list (edit the list on Setup: Origins)." sqref="G7:G602">
      <formula1>Origins</formula1>
    </dataValidation>
    <dataValidation type="list" allowBlank="1" showInputMessage="1" showErrorMessage="1" errorTitle="Check this entry" error="Pick from the list (edit the list on Setup: Defects)." promptTitle="Defect type" prompt="Pick from the list (edit the list on Setup: Defects)." sqref="H7:H602">
      <formula1>Defects</formula1>
    </dataValidation>
    <dataValidation type="textLength" allowBlank="1" showInputMessage="1" showErrorMessage="1" errorTitle="Check this entry" error="Text up to 255 characters." promptTitle="Description" prompt="What is wrong, against which requirement, e.g. Bore 12.00 H7 measured 12.03. Text up to 255 characters." sqref="I7:I602">
      <formula1>0</formula1>
      <formula2>255</formula2>
    </dataValidation>
    <dataValidation type="whole" allowBlank="1" showInputMessage="1" showErrorMessage="1" errorTitle="Check this entry" error="Enter a whole number from 0 to 10,000,000." promptTitle="Qty nonconforming" prompt="Enter a whole number from 0 to 10,000,000." sqref="J7:J602">
      <formula1>0</formula1>
      <formula2>10000000</formula2>
    </dataValidation>
    <dataValidation type="decimal" allowBlank="1" showInputMessage="1" showErrorMessage="1" errorTitle="Check this entry" error="Enter a number from 0 to 10,000,000." promptTitle="Unit cost" prompt="Cost of one part at the point it was found (material, processing and outside work so far). Enter a number from 0 to 10,000,000." sqref="K7:K602">
      <formula1>0</formula1>
      <formula2>10000000.0</formula2>
    </dataValidation>
    <dataValidation type="list" allowBlank="1" showInputMessage="1" showErrorMessage="1" errorTitle="Check this entry" error="Pick one of: Use as is, Rework, Repair, Scrap, Return to supplier." promptTitle="Disposition" prompt="The MRB decision. Leave blank while the NCR awaits disposition. Pick one of: Use as is, Rework, Repair, Scrap, Return to supplier." sqref="L7:L602">
      <formula1>"Use as is,Rework,Repair,Scrap,Return to supplier"</formula1>
    </dataValidation>
    <dataValidation type="decimal" allowBlank="1" showInputMessage="1" showErrorMessage="1" errorTitle="Check this entry" error="Enter a number from 0 to 100,000,000." promptTitle="Rework or repair cost" prompt="Total labour, material and outside cost to rework, repair, sort or re-inspect this NCR. Enter a number from 0 to 100,000,000." sqref="M7:M602">
      <formula1>0</formula1>
      <formula2>100000000.0</formula2>
    </dataValidation>
    <dataValidation type="decimal" allowBlank="1" showInputMessage="1" showErrorMessage="1" errorTitle="Check this entry" error="Enter a number from 0 to 100,000,000." promptTitle="Recovered" prompt="Amount charged back to and accepted by a supplier, or credited. Leave blank if none. Enter a number from 0 to 100,000,000." sqref="N7:N602">
      <formula1>0</formula1>
      <formula2>100000000.0</formula2>
    </dataValidation>
    <dataValidation type="list" allowBlank="1" showInputMessage="1" showErrorMessage="1" errorTitle="Check this entry" error="Pick one of: Yes, No." promptTitle="CAPA needed" prompt="Pick one of: Yes, No." sqref="O7:O602">
      <formula1>"Yes,No"</formula1>
    </dataValidation>
    <dataValidation type="textLength" allowBlank="1" showInputMessage="1" showErrorMessage="1" errorTitle="Check this entry" error="Text up to 20 characters." promptTitle="CAPA no." prompt="The CAPA or 8D number when a corrective action was raised. Text up to 20 characters." sqref="P7:P602">
      <formula1>0</formula1>
      <formula2>20</formula2>
    </dataValidation>
    <dataValidation type="date" allowBlank="1" showInputMessage="1" showErrorMessage="1" errorTitle="Check this entry" error="Enter a date between 01 Jan 2000 and 31 Dec 2100." promptTitle="Closed" prompt="Date the NCR was closed (disposition done, records complete). Leave blank while open. Enter a date between 01 Jan 2000 and 31 Dec 2100." sqref="Q7:Q602">
      <formula1>36526</formula1>
      <formula2>73415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Nonconformance (NCR) Log&amp;R&amp;8&amp;A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T7:T602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72"/>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62</v>
      </c>
      <c r="C4" s="28"/>
      <c r="D4" s="28"/>
      <c r="E4" s="28"/>
      <c r="G4" s="27" t="s">
        <v>385</v>
      </c>
      <c r="H4" s="43"/>
      <c r="I4" s="43"/>
      <c r="J4" s="43"/>
    </row>
    <row r="5" spans="1:12" x14ac:dyDescent="0.25">
      <c r="B5" s="27" t="s">
        <v>64</v>
      </c>
      <c r="C5" s="28"/>
      <c r="D5" s="28"/>
      <c r="E5" s="28"/>
      <c r="G5" s="27" t="s">
        <v>386</v>
      </c>
      <c r="H5" s="43"/>
      <c r="I5" s="43"/>
      <c r="J5" s="43"/>
    </row>
    <row r="6" spans="1:12" x14ac:dyDescent="0.25">
      <c r="B6" s="44" t="str">
        <f>"Status as of "&amp;TEXT(AsOf,"d mmm yyyy")&amp;" (Setup). Showing "&amp;COUNTIFS(tblNcrs[In view],1,tblNcrs[Date],"&gt;="&amp;FFrom,tblNcrs[Date],"&lt;="&amp;FTo)&amp;" NCRs raised in the dates in view. Cost is in "&amp;Currency&amp;" and includes the handling estimate per NCR."</f>
        <v>Status as of 9 Oct 2026 (Setup). Showing 96 NCRs raised in the dates in view. Cost is in USD and includes the handling estimate per NCR.</v>
      </c>
      <c r="C6" s="44"/>
      <c r="D6" s="44"/>
      <c r="E6" s="44"/>
      <c r="F6" s="44"/>
      <c r="G6" s="44"/>
      <c r="H6" s="44"/>
      <c r="I6" s="44"/>
      <c r="J6" s="44"/>
      <c r="K6" s="44"/>
      <c r="L6" s="44"/>
    </row>
    <row r="8" spans="1:12" ht="18" customHeight="1" x14ac:dyDescent="0.25">
      <c r="B8" s="45" t="s">
        <v>387</v>
      </c>
      <c r="C8" s="45"/>
      <c r="D8" s="45" t="str">
        <f>"COST OF NONCONFORMANCE ("&amp;Currency&amp;", EST.)"</f>
        <v>COST OF NONCONFORMANCE (USD, EST.)</v>
      </c>
      <c r="E8" s="45"/>
      <c r="F8" s="45"/>
      <c r="G8" s="45" t="s">
        <v>388</v>
      </c>
      <c r="H8" s="45"/>
      <c r="I8" s="45"/>
      <c r="J8" s="45" t="s">
        <v>389</v>
      </c>
      <c r="K8" s="45"/>
      <c r="L8" s="45"/>
    </row>
    <row r="9" spans="1:12" ht="21" customHeight="1" x14ac:dyDescent="0.25">
      <c r="B9" s="46">
        <f>COUNTIFS(tblNcrs[In view],1,tblNcrs[Date],"&gt;="&amp;FFrom,tblNcrs[Date],"&lt;="&amp;FTo)</f>
        <v>96</v>
      </c>
      <c r="C9" s="46"/>
      <c r="D9" s="46">
        <f>SUMIFS(tblNcrs[Cost (est.)],tblNcrs[In view],1,tblNcrs[Date],"&gt;="&amp;FFrom,tblNcrs[Date],"&lt;="&amp;FTo)</f>
        <v>39654</v>
      </c>
      <c r="E9" s="46"/>
      <c r="F9" s="46"/>
      <c r="G9" s="47">
        <f>IF((COUNTIFS(tblNcrs[In view],1,tblNcrs[Date],"&gt;="&amp;FFrom,tblNcrs[Date],"&lt;="&amp;FTo))=0,"",(COUNTIFS(tblNcrs[In view],1,tblNcrs[Closed],"&gt;="&amp;FFrom,tblNcrs[Closed],"&lt;="&amp;FTo))/(COUNTIFS(tblNcrs[In view],1,tblNcrs[Date],"&gt;="&amp;FFrom,tblNcrs[Date],"&lt;="&amp;FTo)))</f>
        <v>0.84375</v>
      </c>
      <c r="H9" s="47"/>
      <c r="I9" s="47"/>
      <c r="J9" s="46">
        <f>COUNTIFS(tblNcrs[In view],1,tblNcrs[Status],"Overdue")</f>
        <v>1</v>
      </c>
      <c r="K9" s="46"/>
      <c r="L9" s="46"/>
    </row>
    <row r="10" spans="1:12" ht="21" customHeight="1" x14ac:dyDescent="0.25">
      <c r="B10" s="46"/>
      <c r="C10" s="46"/>
      <c r="D10" s="46"/>
      <c r="E10" s="46"/>
      <c r="F10" s="46"/>
      <c r="G10" s="47"/>
      <c r="H10" s="47"/>
      <c r="I10" s="47"/>
      <c r="J10" s="46"/>
      <c r="K10" s="46"/>
      <c r="L10" s="46"/>
    </row>
    <row r="11" spans="1:12" x14ac:dyDescent="0.25">
      <c r="B11" s="48" t="s">
        <v>390</v>
      </c>
      <c r="C11" s="48"/>
      <c r="D11" s="48" t="s">
        <v>391</v>
      </c>
      <c r="E11" s="48"/>
      <c r="F11" s="48"/>
      <c r="G11" s="49">
        <f>TargetClear</f>
        <v>0.95</v>
      </c>
      <c r="H11" s="49"/>
      <c r="I11" s="49"/>
      <c r="J11" s="50">
        <f>0</f>
        <v>0</v>
      </c>
      <c r="K11" s="50"/>
      <c r="L11" s="50"/>
    </row>
    <row r="12" spans="1:12" ht="18" customHeight="1" x14ac:dyDescent="0.25">
      <c r="B12" s="51"/>
      <c r="C12" s="51"/>
      <c r="D12" s="51"/>
      <c r="E12" s="51"/>
      <c r="F12" s="51"/>
      <c r="G12" s="51" t="str">
        <f>IF(NOT(ISNUMBER(KpiClear)),"No data",IF(KpiClear&gt;=(TargetClear),"On target",IF(KpiClear&gt;=(TargetClear)*(1-0.05),"Near target","Below target")))</f>
        <v>Below target</v>
      </c>
      <c r="H12" s="51"/>
      <c r="I12" s="51"/>
      <c r="J12" s="51" t="str">
        <f>IF(NOT(ISNUMBER(KpiOverdue)),"No data",IF(KpiOverdue&lt;=(0),"On target",IF(KpiOverdue&lt;=(0)*(1+0.05),"Near target","Above target")))</f>
        <v>Above target</v>
      </c>
      <c r="K12" s="51"/>
      <c r="L12" s="51"/>
    </row>
    <row r="30" spans="2:12" ht="18" customHeight="1" x14ac:dyDescent="0.25">
      <c r="B30" s="45" t="s">
        <v>392</v>
      </c>
      <c r="C30" s="45"/>
      <c r="D30" s="45" t="s">
        <v>393</v>
      </c>
      <c r="E30" s="45"/>
      <c r="F30" s="45"/>
      <c r="G30" s="45" t="s">
        <v>394</v>
      </c>
      <c r="H30" s="45"/>
      <c r="I30" s="45"/>
      <c r="J30" s="45" t="s">
        <v>395</v>
      </c>
      <c r="K30" s="45"/>
      <c r="L30" s="45"/>
    </row>
    <row r="31" spans="2:12" ht="21" customHeight="1" x14ac:dyDescent="0.25">
      <c r="B31" s="46">
        <f>SUMIFS(tblNcrs[Qty nonconforming],tblNcrs[In view],1,tblNcrs[Date],"&gt;="&amp;FFrom,tblNcrs[Date],"&lt;="&amp;FTo)</f>
        <v>925</v>
      </c>
      <c r="C31" s="46"/>
      <c r="D31" s="46">
        <f>COUNTIFS(tblNcrs[In view],1,tblNcrs[Date],"&lt;="&amp;AsOf,tblNcrs[Closed],"")</f>
        <v>15</v>
      </c>
      <c r="E31" s="46"/>
      <c r="F31" s="46"/>
      <c r="G31" s="52">
        <f>IF((COUNTIFS(tblNcrs[In view],1,tblNcrs[Closed],"&gt;="&amp;FFrom,tblNcrs[Closed],"&lt;="&amp;FTo))=0,"",(SUMIFS(tblNcrs[Days open],tblNcrs[In view],1,tblNcrs[Closed],"&gt;="&amp;FFrom,tblNcrs[Closed],"&lt;="&amp;FTo))/(COUNTIFS(tblNcrs[In view],1,tblNcrs[Closed],"&gt;="&amp;FFrom,tblNcrs[Closed],"&lt;="&amp;FTo)))</f>
        <v>16.5432098765432</v>
      </c>
      <c r="H31" s="52"/>
      <c r="I31" s="52"/>
      <c r="J31" s="53" t="str">
        <f>IF(INDEX($J$51:$J$58,1)&gt;0,INDEX($H$51:$H$58,1),"None logged")</f>
        <v>Dimensional</v>
      </c>
      <c r="K31" s="53"/>
      <c r="L31" s="53"/>
    </row>
    <row r="32" spans="2:12" ht="21" customHeight="1" x14ac:dyDescent="0.25">
      <c r="B32" s="46"/>
      <c r="C32" s="46"/>
      <c r="D32" s="46"/>
      <c r="E32" s="46"/>
      <c r="F32" s="46"/>
      <c r="G32" s="52"/>
      <c r="H32" s="52"/>
      <c r="I32" s="52"/>
      <c r="J32" s="53"/>
      <c r="K32" s="53"/>
      <c r="L32" s="53"/>
    </row>
    <row r="33" spans="2:12" x14ac:dyDescent="0.25">
      <c r="B33" s="48" t="s">
        <v>396</v>
      </c>
      <c r="C33" s="48"/>
      <c r="D33" s="48" t="s">
        <v>397</v>
      </c>
      <c r="E33" s="48"/>
      <c r="F33" s="48"/>
      <c r="G33" s="48" t="s">
        <v>398</v>
      </c>
      <c r="H33" s="48"/>
      <c r="I33" s="48"/>
      <c r="J33" s="48" t="s">
        <v>399</v>
      </c>
      <c r="K33" s="48"/>
      <c r="L33" s="48"/>
    </row>
    <row r="34" spans="2:12" ht="18" customHeight="1" x14ac:dyDescent="0.25">
      <c r="B34" s="51"/>
      <c r="C34" s="51"/>
      <c r="D34" s="51"/>
      <c r="E34" s="51"/>
      <c r="F34" s="51"/>
      <c r="G34" s="51"/>
      <c r="H34" s="51"/>
      <c r="I34" s="51"/>
      <c r="J34" s="51"/>
      <c r="K34" s="51"/>
      <c r="L34" s="51"/>
    </row>
    <row r="36" spans="2:12" x14ac:dyDescent="0.25">
      <c r="B36" s="33" t="s">
        <v>400</v>
      </c>
      <c r="C36" s="33"/>
      <c r="D36" s="33"/>
      <c r="E36" s="33"/>
      <c r="F36" s="33"/>
      <c r="G36" s="33"/>
    </row>
    <row r="37" spans="2:12" ht="20" customHeight="1" x14ac:dyDescent="0.25">
      <c r="B37" s="54" t="s">
        <v>64</v>
      </c>
      <c r="C37" s="34" t="s">
        <v>401</v>
      </c>
      <c r="D37" s="34" t="s">
        <v>402</v>
      </c>
      <c r="E37" s="34" t="s">
        <v>139</v>
      </c>
      <c r="F37" s="34" t="s">
        <v>140</v>
      </c>
      <c r="G37" s="34" t="s">
        <v>403</v>
      </c>
    </row>
    <row r="38" spans="2:12" ht="14" customHeight="1" x14ac:dyDescent="0.25">
      <c r="B38" s="36"/>
      <c r="C38" s="36"/>
      <c r="D38" s="36"/>
      <c r="E38" s="36" t="str">
        <f>Currency</f>
        <v>USD</v>
      </c>
      <c r="F38" s="36" t="str">
        <f>Currency</f>
        <v>USD</v>
      </c>
      <c r="G38" s="36"/>
    </row>
    <row r="39" spans="2:12" x14ac:dyDescent="0.25">
      <c r="B39" s="55" t="str">
        <f>IFERROR(INDEX(tblOrigins[Origin],1)&amp;"","")</f>
        <v>Mill 1</v>
      </c>
      <c r="C39" s="40">
        <f>IF($B$39="","",COUNTIFS(tblNcrs[Origin],$B$39,tblNcrs[In view],1,tblNcrs[Date],"&gt;="&amp;FFrom,tblNcrs[Date],"&lt;="&amp;FTo))</f>
        <v>18</v>
      </c>
      <c r="D39" s="40">
        <f>IF($B$39="","",SUMIFS(tblNcrs[Qty nonconforming],tblNcrs[Origin],$B$39,tblNcrs[In view],1,tblNcrs[Date],"&gt;="&amp;FFrom,tblNcrs[Date],"&lt;="&amp;FTo))</f>
        <v>175</v>
      </c>
      <c r="E39" s="40">
        <f>IF($B$39="","",SUMIFS(tblNcrs[Scrap cost],tblNcrs[Origin],$B$39,tblNcrs[In view],1,tblNcrs[Date],"&gt;="&amp;FFrom,tblNcrs[Date],"&lt;="&amp;FTo))</f>
        <v>6739.5</v>
      </c>
      <c r="F39" s="40">
        <f>IF($B$39="","",SUMIFS(tblNcrs[Cost (est.)],tblNcrs[Origin],$B$39,tblNcrs[In view],1,tblNcrs[Date],"&gt;="&amp;FFrom,tblNcrs[Date],"&lt;="&amp;FTo))</f>
        <v>9429.5</v>
      </c>
      <c r="G39" s="40">
        <f>IF($B$39="","",COUNTIFS(tblNcrs[Origin],$B$39,tblNcrs[In view],1,tblNcrs[Date],"&lt;="&amp;AsOf,tblNcrs[Closed],""))</f>
        <v>2</v>
      </c>
    </row>
    <row r="40" spans="2:12" x14ac:dyDescent="0.25">
      <c r="B40" s="55" t="str">
        <f>IFERROR(INDEX(tblOrigins[Origin],2)&amp;"","")</f>
        <v>Mill 2</v>
      </c>
      <c r="C40" s="40">
        <f>IF($B$40="","",COUNTIFS(tblNcrs[Origin],$B$40,tblNcrs[In view],1,tblNcrs[Date],"&gt;="&amp;FFrom,tblNcrs[Date],"&lt;="&amp;FTo))</f>
        <v>29</v>
      </c>
      <c r="D40" s="40">
        <f>IF($B$40="","",SUMIFS(tblNcrs[Qty nonconforming],tblNcrs[Origin],$B$40,tblNcrs[In view],1,tblNcrs[Date],"&gt;="&amp;FFrom,tblNcrs[Date],"&lt;="&amp;FTo))</f>
        <v>232</v>
      </c>
      <c r="E40" s="40">
        <f>IF($B$40="","",SUMIFS(tblNcrs[Scrap cost],tblNcrs[Origin],$B$40,tblNcrs[In view],1,tblNcrs[Date],"&gt;="&amp;FFrom,tblNcrs[Date],"&lt;="&amp;FTo))</f>
        <v>7707</v>
      </c>
      <c r="F40" s="40">
        <f>IF($B$40="","",SUMIFS(tblNcrs[Cost (est.)],tblNcrs[Origin],$B$40,tblNcrs[In view],1,tblNcrs[Date],"&gt;="&amp;FFrom,tblNcrs[Date],"&lt;="&amp;FTo))</f>
        <v>11277</v>
      </c>
      <c r="G40" s="40">
        <f>IF($B$40="","",COUNTIFS(tblNcrs[Origin],$B$40,tblNcrs[In view],1,tblNcrs[Date],"&lt;="&amp;AsOf,tblNcrs[Closed],""))</f>
        <v>4</v>
      </c>
    </row>
    <row r="41" spans="2:12" x14ac:dyDescent="0.25">
      <c r="B41" s="55" t="str">
        <f>IFERROR(INDEX(tblOrigins[Origin],3)&amp;"","")</f>
        <v>Lathe 1</v>
      </c>
      <c r="C41" s="40">
        <f>IF($B$41="","",COUNTIFS(tblNcrs[Origin],$B$41,tblNcrs[In view],1,tblNcrs[Date],"&gt;="&amp;FFrom,tblNcrs[Date],"&lt;="&amp;FTo))</f>
        <v>20</v>
      </c>
      <c r="D41" s="40">
        <f>IF($B$41="","",SUMIFS(tblNcrs[Qty nonconforming],tblNcrs[Origin],$B$41,tblNcrs[In view],1,tblNcrs[Date],"&gt;="&amp;FFrom,tblNcrs[Date],"&lt;="&amp;FTo))</f>
        <v>204</v>
      </c>
      <c r="E41" s="40">
        <f>IF($B$41="","",SUMIFS(tblNcrs[Scrap cost],tblNcrs[Origin],$B$41,tblNcrs[In view],1,tblNcrs[Date],"&gt;="&amp;FFrom,tblNcrs[Date],"&lt;="&amp;FTo))</f>
        <v>3142.5</v>
      </c>
      <c r="F41" s="40">
        <f>IF($B$41="","",SUMIFS(tblNcrs[Cost (est.)],tblNcrs[Origin],$B$41,tblNcrs[In view],1,tblNcrs[Date],"&gt;="&amp;FFrom,tblNcrs[Date],"&lt;="&amp;FTo))</f>
        <v>6452.5</v>
      </c>
      <c r="G41" s="40">
        <f>IF($B$41="","",COUNTIFS(tblNcrs[Origin],$B$41,tblNcrs[In view],1,tblNcrs[Date],"&lt;="&amp;AsOf,tblNcrs[Closed],""))</f>
        <v>4</v>
      </c>
    </row>
    <row r="42" spans="2:12" x14ac:dyDescent="0.25">
      <c r="B42" s="55" t="str">
        <f>IFERROR(INDEX(tblOrigins[Origin],4)&amp;"","")</f>
        <v>Deburr and finish</v>
      </c>
      <c r="C42" s="40">
        <f>IF($B$42="","",COUNTIFS(tblNcrs[Origin],$B$42,tblNcrs[In view],1,tblNcrs[Date],"&gt;="&amp;FFrom,tblNcrs[Date],"&lt;="&amp;FTo))</f>
        <v>12</v>
      </c>
      <c r="D42" s="40">
        <f>IF($B$42="","",SUMIFS(tblNcrs[Qty nonconforming],tblNcrs[Origin],$B$42,tblNcrs[In view],1,tblNcrs[Date],"&gt;="&amp;FFrom,tblNcrs[Date],"&lt;="&amp;FTo))</f>
        <v>179</v>
      </c>
      <c r="E42" s="40">
        <f>IF($B$42="","",SUMIFS(tblNcrs[Scrap cost],tblNcrs[Origin],$B$42,tblNcrs[In view],1,tblNcrs[Date],"&gt;="&amp;FFrom,tblNcrs[Date],"&lt;="&amp;FTo))</f>
        <v>2310</v>
      </c>
      <c r="F42" s="40">
        <f>IF($B$42="","",SUMIFS(tblNcrs[Cost (est.)],tblNcrs[Origin],$B$42,tblNcrs[In view],1,tblNcrs[Date],"&gt;="&amp;FFrom,tblNcrs[Date],"&lt;="&amp;FTo))</f>
        <v>5055</v>
      </c>
      <c r="G42" s="40">
        <f>IF($B$42="","",COUNTIFS(tblNcrs[Origin],$B$42,tblNcrs[In view],1,tblNcrs[Date],"&lt;="&amp;AsOf,tblNcrs[Closed],""))</f>
        <v>2</v>
      </c>
    </row>
    <row r="43" spans="2:12" x14ac:dyDescent="0.25">
      <c r="B43" s="55" t="str">
        <f>IFERROR(INDEX(tblOrigins[Origin],5)&amp;"","")</f>
        <v>Apex Plating</v>
      </c>
      <c r="C43" s="40">
        <f>IF($B$43="","",COUNTIFS(tblNcrs[Origin],$B$43,tblNcrs[In view],1,tblNcrs[Date],"&gt;="&amp;FFrom,tblNcrs[Date],"&lt;="&amp;FTo))</f>
        <v>11</v>
      </c>
      <c r="D43" s="40">
        <f>IF($B$43="","",SUMIFS(tblNcrs[Qty nonconforming],tblNcrs[Origin],$B$43,tblNcrs[In view],1,tblNcrs[Date],"&gt;="&amp;FFrom,tblNcrs[Date],"&lt;="&amp;FTo))</f>
        <v>94</v>
      </c>
      <c r="E43" s="40">
        <f>IF($B$43="","",SUMIFS(tblNcrs[Scrap cost],tblNcrs[Origin],$B$43,tblNcrs[In view],1,tblNcrs[Date],"&gt;="&amp;FFrom,tblNcrs[Date],"&lt;="&amp;FTo))</f>
        <v>4720</v>
      </c>
      <c r="F43" s="40">
        <f>IF($B$43="","",SUMIFS(tblNcrs[Cost (est.)],tblNcrs[Origin],$B$43,tblNcrs[In view],1,tblNcrs[Date],"&gt;="&amp;FFrom,tblNcrs[Date],"&lt;="&amp;FTo))</f>
        <v>6810</v>
      </c>
      <c r="G43" s="40">
        <f>IF($B$43="","",COUNTIFS(tblNcrs[Origin],$B$43,tblNcrs[In view],1,tblNcrs[Date],"&lt;="&amp;AsOf,tblNcrs[Closed],""))</f>
        <v>3</v>
      </c>
    </row>
    <row r="44" spans="2:12" x14ac:dyDescent="0.25">
      <c r="B44" s="55" t="str">
        <f>IFERROR(INDEX(tblOrigins[Origin],6)&amp;"","")</f>
        <v>Metro Metals</v>
      </c>
      <c r="C44" s="40">
        <f>IF($B$44="","",COUNTIFS(tblNcrs[Origin],$B$44,tblNcrs[In view],1,tblNcrs[Date],"&gt;="&amp;FFrom,tblNcrs[Date],"&lt;="&amp;FTo))</f>
        <v>6</v>
      </c>
      <c r="D44" s="40">
        <f>IF($B$44="","",SUMIFS(tblNcrs[Qty nonconforming],tblNcrs[Origin],$B$44,tblNcrs[In view],1,tblNcrs[Date],"&gt;="&amp;FFrom,tblNcrs[Date],"&lt;="&amp;FTo))</f>
        <v>41</v>
      </c>
      <c r="E44" s="40">
        <f>IF($B$44="","",SUMIFS(tblNcrs[Scrap cost],tblNcrs[Origin],$B$44,tblNcrs[In view],1,tblNcrs[Date],"&gt;="&amp;FFrom,tblNcrs[Date],"&lt;="&amp;FTo))</f>
        <v>0</v>
      </c>
      <c r="F44" s="40">
        <f>IF($B$44="","",SUMIFS(tblNcrs[Cost (est.)],tblNcrs[Origin],$B$44,tblNcrs[In view],1,tblNcrs[Date],"&gt;="&amp;FFrom,tblNcrs[Date],"&lt;="&amp;FTo))</f>
        <v>630</v>
      </c>
      <c r="G44" s="40">
        <f>IF($B$44="","",COUNTIFS(tblNcrs[Origin],$B$44,tblNcrs[In view],1,tblNcrs[Date],"&lt;="&amp;AsOf,tblNcrs[Closed],""))</f>
        <v>0</v>
      </c>
    </row>
    <row r="48" spans="2:12" x14ac:dyDescent="0.25">
      <c r="B48" s="33" t="s">
        <v>404</v>
      </c>
      <c r="C48" s="33"/>
      <c r="D48" s="33"/>
      <c r="E48" s="33"/>
      <c r="G48" s="33" t="s">
        <v>405</v>
      </c>
      <c r="H48" s="33"/>
      <c r="I48" s="33"/>
      <c r="J48" s="33"/>
      <c r="K48" s="33"/>
      <c r="L48" s="33"/>
    </row>
    <row r="49" spans="2:43" ht="20" customHeight="1" x14ac:dyDescent="0.25">
      <c r="B49" s="54" t="s">
        <v>132</v>
      </c>
      <c r="C49" s="34" t="s">
        <v>401</v>
      </c>
      <c r="D49" s="34" t="s">
        <v>402</v>
      </c>
      <c r="E49" s="34" t="s">
        <v>140</v>
      </c>
      <c r="G49" s="34" t="s">
        <v>406</v>
      </c>
      <c r="H49" s="54" t="s">
        <v>66</v>
      </c>
      <c r="I49" s="54"/>
      <c r="J49" s="34" t="s">
        <v>140</v>
      </c>
      <c r="K49" s="34" t="s">
        <v>407</v>
      </c>
      <c r="L49" s="34" t="s">
        <v>408</v>
      </c>
      <c r="AO49" s="7" t="s">
        <v>409</v>
      </c>
      <c r="AP49" s="7" t="s">
        <v>410</v>
      </c>
      <c r="AQ49" s="7" t="s">
        <v>411</v>
      </c>
    </row>
    <row r="50" spans="2:43" ht="14" customHeight="1" x14ac:dyDescent="0.25">
      <c r="B50" s="36"/>
      <c r="C50" s="36"/>
      <c r="D50" s="36"/>
      <c r="E50" s="36" t="str">
        <f>Currency</f>
        <v>USD</v>
      </c>
      <c r="G50" s="36"/>
      <c r="H50" s="36"/>
      <c r="I50" s="36"/>
      <c r="J50" s="36" t="str">
        <f>Currency</f>
        <v>USD</v>
      </c>
      <c r="K50" s="36" t="s">
        <v>412</v>
      </c>
      <c r="L50" s="36" t="s">
        <v>412</v>
      </c>
    </row>
    <row r="51" spans="2:43" x14ac:dyDescent="0.25">
      <c r="B51" s="55" t="s">
        <v>151</v>
      </c>
      <c r="C51" s="40">
        <f>COUNTIFS(tblNcrs[Disposition],IF($B$51="Awaiting disposition","",$B$51),tblNcrs[In view],1,tblNcrs[Date],"&gt;="&amp;FFrom,tblNcrs[Date],"&lt;="&amp;FTo)</f>
        <v>15</v>
      </c>
      <c r="D51" s="40">
        <f>SUMIFS(tblNcrs[Qty nonconforming],tblNcrs[Disposition],IF($B$51="Awaiting disposition","",$B$51),tblNcrs[In view],1,tblNcrs[Date],"&gt;="&amp;FFrom,tblNcrs[Date],"&lt;="&amp;FTo)</f>
        <v>102</v>
      </c>
      <c r="E51" s="40">
        <f>SUMIFS(tblNcrs[Cost (est.)],tblNcrs[Disposition],IF($B$51="Awaiting disposition","",$B$51),tblNcrs[In view],1,tblNcrs[Date],"&gt;="&amp;FFrom,tblNcrs[Date],"&lt;="&amp;FTo)</f>
        <v>1275</v>
      </c>
      <c r="G51" s="56">
        <v>1</v>
      </c>
      <c r="H51" s="38" t="str">
        <f>IF(INDEX($AP$51:$AP$58,MATCH(1,$AQ$51:$AQ$58,0))&lt;0,"",INDEX($AO$51:$AO$58,MATCH(1,$AQ$51:$AQ$58,0)))</f>
        <v>Dimensional</v>
      </c>
      <c r="I51" s="38"/>
      <c r="J51" s="40">
        <f>IF($H$51="","",INDEX($AP$51:$AP$58,MATCH(1,$AQ$51:$AQ$58,0)))</f>
        <v>21618.5</v>
      </c>
      <c r="K51" s="57">
        <f>IF(OR($H$51="",$J$59=0),"",$J$51/$J$59)</f>
        <v>0.54517829222777</v>
      </c>
      <c r="L51" s="57">
        <f>IF(OR($H$51="",$J$59=0),"",SUM($J$51:$J$51)/$J$59)</f>
        <v>0.54517829222777</v>
      </c>
      <c r="AO51" s="11" t="str">
        <f>IFERROR(INDEX(tblDefects[Defect type],1)&amp;"","")</f>
        <v>Dimensional</v>
      </c>
      <c r="AP51" s="58">
        <f>IF($AO$51="",-1,SUMIFS(tblNcrs[Cost (est.)],tblNcrs[In view],1,tblNcrs[Date],"&gt;="&amp;FFrom,tblNcrs[Date],"&lt;="&amp;FTo,tblNcrs[Defect type],$AO$51))</f>
        <v>21618.5</v>
      </c>
      <c r="AQ51" s="58">
        <f>COUNTIF($AP$51:$AP$58,"&gt;"&amp;$AP$51)+COUNTIF($AP$51:$AP$51,$AP$51)</f>
        <v>1</v>
      </c>
    </row>
    <row r="52" spans="2:43" x14ac:dyDescent="0.25">
      <c r="B52" s="55" t="s">
        <v>158</v>
      </c>
      <c r="C52" s="40">
        <f>COUNTIFS(tblNcrs[Disposition],IF($B$52="Awaiting disposition","",$B$52),tblNcrs[In view],1,tblNcrs[Date],"&gt;="&amp;FFrom,tblNcrs[Date],"&lt;="&amp;FTo)</f>
        <v>41</v>
      </c>
      <c r="D52" s="40">
        <f>SUMIFS(tblNcrs[Qty nonconforming],tblNcrs[Disposition],IF($B$52="Awaiting disposition","",$B$52),tblNcrs[In view],1,tblNcrs[Date],"&gt;="&amp;FFrom,tblNcrs[Date],"&lt;="&amp;FTo)</f>
        <v>400</v>
      </c>
      <c r="E52" s="40">
        <f>SUMIFS(tblNcrs[Cost (est.)],tblNcrs[Disposition],IF($B$52="Awaiting disposition","",$B$52),tblNcrs[In view],1,tblNcrs[Date],"&gt;="&amp;FFrom,tblNcrs[Date],"&lt;="&amp;FTo)</f>
        <v>8980</v>
      </c>
      <c r="G52" s="56">
        <v>2</v>
      </c>
      <c r="H52" s="38" t="str">
        <f>IF(INDEX($AP$51:$AP$58,MATCH(2,$AQ$51:$AQ$58,0))&lt;0,"",INDEX($AO$51:$AO$58,MATCH(2,$AQ$51:$AQ$58,0)))</f>
        <v>Handling damage</v>
      </c>
      <c r="I52" s="38"/>
      <c r="J52" s="40">
        <f>IF($H$52="","",INDEX($AP$51:$AP$58,MATCH(2,$AQ$51:$AQ$58,0)))</f>
        <v>8862</v>
      </c>
      <c r="K52" s="57">
        <f>IF(OR($H$52="",$J$59=0),"",$J$52/$J$59)</f>
        <v>0.223483129066425</v>
      </c>
      <c r="L52" s="57">
        <f>IF(OR($H$52="",$J$59=0),"",SUM($J$51:$J$52)/$J$59)</f>
        <v>0.768661421294195</v>
      </c>
      <c r="AO52" s="11" t="str">
        <f>IFERROR(INDEX(tblDefects[Defect type],2)&amp;"","")</f>
        <v>Surface finish</v>
      </c>
      <c r="AP52" s="58">
        <f>IF($AO$52="",-1,SUMIFS(tblNcrs[Cost (est.)],tblNcrs[In view],1,tblNcrs[Date],"&gt;="&amp;FFrom,tblNcrs[Date],"&lt;="&amp;FTo,tblNcrs[Defect type],$AO$52))</f>
        <v>2813.5</v>
      </c>
      <c r="AQ52" s="58">
        <f>COUNTIF($AP$51:$AP$58,"&gt;"&amp;$AP$52)+COUNTIF($AP$51:$AP$52,$AP$52)</f>
        <v>3</v>
      </c>
    </row>
    <row r="53" spans="2:43" x14ac:dyDescent="0.25">
      <c r="B53" s="55" t="s">
        <v>195</v>
      </c>
      <c r="C53" s="40">
        <f>COUNTIFS(tblNcrs[Disposition],IF($B$53="Awaiting disposition","",$B$53),tblNcrs[In view],1,tblNcrs[Date],"&gt;="&amp;FFrom,tblNcrs[Date],"&lt;="&amp;FTo)</f>
        <v>4</v>
      </c>
      <c r="D53" s="40">
        <f>SUMIFS(tblNcrs[Qty nonconforming],tblNcrs[Disposition],IF($B$53="Awaiting disposition","",$B$53),tblNcrs[In view],1,tblNcrs[Date],"&gt;="&amp;FFrom,tblNcrs[Date],"&lt;="&amp;FTo)</f>
        <v>34</v>
      </c>
      <c r="E53" s="40">
        <f>SUMIFS(tblNcrs[Cost (est.)],tblNcrs[Disposition],IF($B$53="Awaiting disposition","",$B$53),tblNcrs[In view],1,tblNcrs[Date],"&gt;="&amp;FFrom,tblNcrs[Date],"&lt;="&amp;FTo)</f>
        <v>810</v>
      </c>
      <c r="G53" s="56">
        <v>3</v>
      </c>
      <c r="H53" s="38" t="str">
        <f>IF(INDEX($AP$51:$AP$58,MATCH(3,$AQ$51:$AQ$58,0))&lt;0,"",INDEX($AO$51:$AO$58,MATCH(3,$AQ$51:$AQ$58,0)))</f>
        <v>Surface finish</v>
      </c>
      <c r="I53" s="38"/>
      <c r="J53" s="40">
        <f>IF($H$53="","",INDEX($AP$51:$AP$58,MATCH(3,$AQ$51:$AQ$58,0)))</f>
        <v>2813.5</v>
      </c>
      <c r="K53" s="57">
        <f>IF(OR($H$53="",$J$59=0),"",$J$53/$J$59)</f>
        <v>0.0709512281232663</v>
      </c>
      <c r="L53" s="57">
        <f>IF(OR($H$53="",$J$59=0),"",SUM($J$51:$J$53)/$J$59)</f>
        <v>0.839612649417461</v>
      </c>
      <c r="AO53" s="11" t="str">
        <f>IFERROR(INDEX(tblDefects[Defect type],3)&amp;"","")</f>
        <v>Burr or edge</v>
      </c>
      <c r="AP53" s="58">
        <f>IF($AO$53="",-1,SUMIFS(tblNcrs[Cost (est.)],tblNcrs[In view],1,tblNcrs[Date],"&gt;="&amp;FFrom,tblNcrs[Date],"&lt;="&amp;FTo,tblNcrs[Defect type],$AO$53))</f>
        <v>2790</v>
      </c>
      <c r="AQ53" s="58">
        <f>COUNTIF($AP$51:$AP$58,"&gt;"&amp;$AP$53)+COUNTIF($AP$51:$AP$53,$AP$53)</f>
        <v>4</v>
      </c>
    </row>
    <row r="54" spans="2:43" x14ac:dyDescent="0.25">
      <c r="B54" s="55" t="s">
        <v>164</v>
      </c>
      <c r="C54" s="40">
        <f>COUNTIFS(tblNcrs[Disposition],IF($B$54="Awaiting disposition","",$B$54),tblNcrs[In view],1,tblNcrs[Date],"&gt;="&amp;FFrom,tblNcrs[Date],"&lt;="&amp;FTo)</f>
        <v>24</v>
      </c>
      <c r="D54" s="40">
        <f>SUMIFS(tblNcrs[Qty nonconforming],tblNcrs[Disposition],IF($B$54="Awaiting disposition","",$B$54),tblNcrs[In view],1,tblNcrs[Date],"&gt;="&amp;FFrom,tblNcrs[Date],"&lt;="&amp;FTo)</f>
        <v>277</v>
      </c>
      <c r="E54" s="40">
        <f>SUMIFS(tblNcrs[Cost (est.)],tblNcrs[Disposition],IF($B$54="Awaiting disposition","",$B$54),tblNcrs[In view],1,tblNcrs[Date],"&gt;="&amp;FFrom,tblNcrs[Date],"&lt;="&amp;FTo)</f>
        <v>26609</v>
      </c>
      <c r="G54" s="56">
        <v>4</v>
      </c>
      <c r="H54" s="38" t="str">
        <f>IF(INDEX($AP$51:$AP$58,MATCH(4,$AQ$51:$AQ$58,0))&lt;0,"",INDEX($AO$51:$AO$58,MATCH(4,$AQ$51:$AQ$58,0)))</f>
        <v>Burr or edge</v>
      </c>
      <c r="I54" s="38"/>
      <c r="J54" s="40">
        <f>IF($H$54="","",INDEX($AP$51:$AP$58,MATCH(4,$AQ$51:$AQ$58,0)))</f>
        <v>2790</v>
      </c>
      <c r="K54" s="57">
        <f>IF(OR($H$54="",$J$59=0),"",$J$54/$J$59)</f>
        <v>0.0703586019064912</v>
      </c>
      <c r="L54" s="57">
        <f>IF(OR($H$54="",$J$59=0),"",SUM($J$51:$J$54)/$J$59)</f>
        <v>0.909971251323952</v>
      </c>
      <c r="AO54" s="11" t="str">
        <f>IFERROR(INDEX(tblDefects[Defect type],4)&amp;"","")</f>
        <v>Coating</v>
      </c>
      <c r="AP54" s="58">
        <f>IF($AO$54="",-1,SUMIFS(tblNcrs[Cost (est.)],tblNcrs[In view],1,tblNcrs[Date],"&gt;="&amp;FFrom,tblNcrs[Date],"&lt;="&amp;FTo,tblNcrs[Defect type],$AO$54))</f>
        <v>1715</v>
      </c>
      <c r="AQ54" s="58">
        <f>COUNTIF($AP$51:$AP$58,"&gt;"&amp;$AP$54)+COUNTIF($AP$51:$AP$54,$AP$54)</f>
        <v>5</v>
      </c>
    </row>
    <row r="55" spans="2:43" x14ac:dyDescent="0.25">
      <c r="B55" s="55" t="s">
        <v>188</v>
      </c>
      <c r="C55" s="40">
        <f>COUNTIFS(tblNcrs[Disposition],IF($B$55="Awaiting disposition","",$B$55),tblNcrs[In view],1,tblNcrs[Date],"&gt;="&amp;FFrom,tblNcrs[Date],"&lt;="&amp;FTo)</f>
        <v>7</v>
      </c>
      <c r="D55" s="40">
        <f>SUMIFS(tblNcrs[Qty nonconforming],tblNcrs[Disposition],IF($B$55="Awaiting disposition","",$B$55),tblNcrs[In view],1,tblNcrs[Date],"&gt;="&amp;FFrom,tblNcrs[Date],"&lt;="&amp;FTo)</f>
        <v>67</v>
      </c>
      <c r="E55" s="40">
        <f>SUMIFS(tblNcrs[Cost (est.)],tblNcrs[Disposition],IF($B$55="Awaiting disposition","",$B$55),tblNcrs[In view],1,tblNcrs[Date],"&gt;="&amp;FFrom,tblNcrs[Date],"&lt;="&amp;FTo)</f>
        <v>1555</v>
      </c>
      <c r="G55" s="56">
        <v>5</v>
      </c>
      <c r="H55" s="38" t="str">
        <f>IF(INDEX($AP$51:$AP$58,MATCH(5,$AQ$51:$AQ$58,0))&lt;0,"",INDEX($AO$51:$AO$58,MATCH(5,$AQ$51:$AQ$58,0)))</f>
        <v>Coating</v>
      </c>
      <c r="I55" s="38"/>
      <c r="J55" s="40">
        <f>IF($H$55="","",INDEX($AP$51:$AP$58,MATCH(5,$AQ$51:$AQ$58,0)))</f>
        <v>1715</v>
      </c>
      <c r="K55" s="57">
        <f>IF(OR($H$55="",$J$59=0),"",$J$55/$J$59)</f>
        <v>0.0432491047561406</v>
      </c>
      <c r="L55" s="57">
        <f>IF(OR($H$55="",$J$59=0),"",SUM($J$51:$J$55)/$J$59)</f>
        <v>0.953220356080093</v>
      </c>
      <c r="AO55" s="11" t="str">
        <f>IFERROR(INDEX(tblDefects[Defect type],5)&amp;"","")</f>
        <v>Material or cert</v>
      </c>
      <c r="AP55" s="58">
        <f>IF($AO$55="",-1,SUMIFS(tblNcrs[Cost (est.)],tblNcrs[In view],1,tblNcrs[Date],"&gt;="&amp;FFrom,tblNcrs[Date],"&lt;="&amp;FTo,tblNcrs[Defect type],$AO$55))</f>
        <v>340</v>
      </c>
      <c r="AQ55" s="58">
        <f>COUNTIF($AP$51:$AP$58,"&gt;"&amp;$AP$55)+COUNTIF($AP$51:$AP$55,$AP$55)</f>
        <v>8</v>
      </c>
    </row>
    <row r="56" spans="2:43" x14ac:dyDescent="0.25">
      <c r="B56" s="55" t="s">
        <v>413</v>
      </c>
      <c r="C56" s="40">
        <f>COUNTIFS(tblNcrs[Disposition],IF($B$56="Awaiting disposition","",$B$56),tblNcrs[In view],1,tblNcrs[Date],"&gt;="&amp;FFrom,tblNcrs[Date],"&lt;="&amp;FTo)</f>
        <v>4</v>
      </c>
      <c r="D56" s="40">
        <f>SUMIFS(tblNcrs[Qty nonconforming],tblNcrs[Disposition],IF($B$56="Awaiting disposition","",$B$56),tblNcrs[In view],1,tblNcrs[Date],"&gt;="&amp;FFrom,tblNcrs[Date],"&lt;="&amp;FTo)</f>
        <v>45</v>
      </c>
      <c r="E56" s="40">
        <f>SUMIFS(tblNcrs[Cost (est.)],tblNcrs[Disposition],IF($B$56="Awaiting disposition","",$B$56),tblNcrs[In view],1,tblNcrs[Date],"&gt;="&amp;FFrom,tblNcrs[Date],"&lt;="&amp;FTo)</f>
        <v>425</v>
      </c>
      <c r="G56" s="56">
        <v>6</v>
      </c>
      <c r="H56" s="38" t="str">
        <f>IF(INDEX($AP$51:$AP$58,MATCH(6,$AQ$51:$AQ$58,0))&lt;0,"",INDEX($AO$51:$AO$58,MATCH(6,$AQ$51:$AQ$58,0)))</f>
        <v>Missing operation</v>
      </c>
      <c r="I56" s="38"/>
      <c r="J56" s="40">
        <f>IF($H$56="","",INDEX($AP$51:$AP$58,MATCH(6,$AQ$51:$AQ$58,0)))</f>
        <v>920</v>
      </c>
      <c r="K56" s="57">
        <f>IF(OR($H$56="",$J$59=0),"",$J$56/$J$59)</f>
        <v>0.0232006859333232</v>
      </c>
      <c r="L56" s="57">
        <f>IF(OR($H$56="",$J$59=0),"",SUM($J$51:$J$56)/$J$59)</f>
        <v>0.976421042013416</v>
      </c>
      <c r="AO56" s="11" t="str">
        <f>IFERROR(INDEX(tblDefects[Defect type],6)&amp;"","")</f>
        <v>Handling damage</v>
      </c>
      <c r="AP56" s="58">
        <f>IF($AO$56="",-1,SUMIFS(tblNcrs[Cost (est.)],tblNcrs[In view],1,tblNcrs[Date],"&gt;="&amp;FFrom,tblNcrs[Date],"&lt;="&amp;FTo,tblNcrs[Defect type],$AO$56))</f>
        <v>8862</v>
      </c>
      <c r="AQ56" s="58">
        <f>COUNTIF($AP$51:$AP$58,"&gt;"&amp;$AP$56)+COUNTIF($AP$51:$AP$56,$AP$56)</f>
        <v>2</v>
      </c>
    </row>
    <row r="57" spans="2:43" x14ac:dyDescent="0.25">
      <c r="G57" s="56">
        <v>7</v>
      </c>
      <c r="H57" s="38" t="str">
        <f>IF(INDEX($AP$51:$AP$58,MATCH(7,$AQ$51:$AQ$58,0))&lt;0,"",INDEX($AO$51:$AO$58,MATCH(7,$AQ$51:$AQ$58,0)))</f>
        <v>Documentation</v>
      </c>
      <c r="I57" s="38"/>
      <c r="J57" s="40">
        <f>IF($H$57="","",INDEX($AP$51:$AP$58,MATCH(7,$AQ$51:$AQ$58,0)))</f>
        <v>595</v>
      </c>
      <c r="K57" s="57">
        <f>IF(OR($H$57="",$J$59=0),"",$J$57/$J$59)</f>
        <v>0.015004791446008</v>
      </c>
      <c r="L57" s="57">
        <f>IF(OR($H$57="",$J$59=0),"",SUM($J$51:$J$57)/$J$59)</f>
        <v>0.991425833459424</v>
      </c>
      <c r="AO57" s="11" t="str">
        <f>IFERROR(INDEX(tblDefects[Defect type],7)&amp;"","")</f>
        <v>Missing operation</v>
      </c>
      <c r="AP57" s="58">
        <f>IF($AO$57="",-1,SUMIFS(tblNcrs[Cost (est.)],tblNcrs[In view],1,tblNcrs[Date],"&gt;="&amp;FFrom,tblNcrs[Date],"&lt;="&amp;FTo,tblNcrs[Defect type],$AO$57))</f>
        <v>920</v>
      </c>
      <c r="AQ57" s="58">
        <f>COUNTIF($AP$51:$AP$58,"&gt;"&amp;$AP$57)+COUNTIF($AP$51:$AP$57,$AP$57)</f>
        <v>6</v>
      </c>
    </row>
    <row r="58" spans="2:43" x14ac:dyDescent="0.25">
      <c r="G58" s="56">
        <v>8</v>
      </c>
      <c r="H58" s="38" t="str">
        <f>IF(INDEX($AP$51:$AP$58,MATCH(8,$AQ$51:$AQ$58,0))&lt;0,"",INDEX($AO$51:$AO$58,MATCH(8,$AQ$51:$AQ$58,0)))</f>
        <v>Material or cert</v>
      </c>
      <c r="I58" s="38"/>
      <c r="J58" s="40">
        <f>IF($H$58="","",INDEX($AP$51:$AP$58,MATCH(8,$AQ$51:$AQ$58,0)))</f>
        <v>340</v>
      </c>
      <c r="K58" s="57">
        <f>IF(OR($H$58="",$J$59=0),"",$J$58/$J$59)</f>
        <v>0.00857416654057598</v>
      </c>
      <c r="L58" s="57">
        <f>IF(OR($H$58="",$J$59=0),"",SUM($J$51:$J$58)/$J$59)</f>
        <v>1</v>
      </c>
      <c r="AO58" s="11" t="str">
        <f>IFERROR(INDEX(tblDefects[Defect type],8)&amp;"","")</f>
        <v>Documentation</v>
      </c>
      <c r="AP58" s="58">
        <f>IF($AO$58="",-1,SUMIFS(tblNcrs[Cost (est.)],tblNcrs[In view],1,tblNcrs[Date],"&gt;="&amp;FFrom,tblNcrs[Date],"&lt;="&amp;FTo,tblNcrs[Defect type],$AO$58))</f>
        <v>595</v>
      </c>
      <c r="AQ58" s="58">
        <f>COUNTIF($AP$51:$AP$58,"&gt;"&amp;$AP$58)+COUNTIF($AP$51:$AP$58,$AP$58)</f>
        <v>7</v>
      </c>
    </row>
    <row r="59" spans="2:43" x14ac:dyDescent="0.25">
      <c r="G59" s="59"/>
      <c r="H59" s="59" t="s">
        <v>414</v>
      </c>
      <c r="I59" s="59"/>
      <c r="J59" s="60">
        <f>SUMIF($AP$51:$AP$58,"&gt;0")</f>
        <v>39654</v>
      </c>
      <c r="K59" s="59"/>
      <c r="L59" s="59"/>
    </row>
    <row r="61" spans="2:43" x14ac:dyDescent="0.25">
      <c r="B61" s="33" t="s">
        <v>415</v>
      </c>
      <c r="C61" s="33"/>
      <c r="D61" s="33"/>
      <c r="E61" s="33"/>
      <c r="F61" s="33"/>
      <c r="G61" s="33"/>
    </row>
    <row r="62" spans="2:43" ht="32" customHeight="1" x14ac:dyDescent="0.25">
      <c r="B62" s="54" t="s">
        <v>416</v>
      </c>
      <c r="C62" s="34" t="s">
        <v>417</v>
      </c>
      <c r="D62" s="34" t="s">
        <v>137</v>
      </c>
      <c r="E62" s="34" t="s">
        <v>418</v>
      </c>
      <c r="F62" s="34" t="s">
        <v>140</v>
      </c>
      <c r="G62" s="34" t="s">
        <v>419</v>
      </c>
    </row>
    <row r="63" spans="2:43" ht="14" customHeight="1" x14ac:dyDescent="0.25">
      <c r="B63" s="36"/>
      <c r="C63" s="36"/>
      <c r="D63" s="36"/>
      <c r="E63" s="36"/>
      <c r="F63" s="36" t="str">
        <f>Currency</f>
        <v>USD</v>
      </c>
      <c r="G63" s="36"/>
    </row>
    <row r="64" spans="2:43" x14ac:dyDescent="0.25">
      <c r="B64" s="61">
        <f>EDATE(DATE(YEAR(FTo),MONTH(FTo),1),-5)</f>
        <v>46143</v>
      </c>
      <c r="C64" s="40">
        <f>IF($B$64="","",COUNTIFS(tblNcrs[In view],1,tblNcrs[Date],"&gt;="&amp;$B$64,tblNcrs[Date],"&lt;="&amp;MIN(EOMONTH($B$64,0),FTo)))</f>
        <v>19</v>
      </c>
      <c r="D64" s="40">
        <f>IF($B$64="","",COUNTIFS(tblNcrs[In view],1,tblNcrs[Closed],"&gt;="&amp;$B$64,tblNcrs[Closed],"&lt;="&amp;MIN(EOMONTH($B$64,0),FTo)))</f>
        <v>14</v>
      </c>
      <c r="E64" s="62">
        <f>IF($B$64="","",IF(($C$64)=0,"",($D$64)/($C$64)))</f>
        <v>0.736842105263158</v>
      </c>
      <c r="F64" s="40">
        <f>IF($B$64="","",SUMIFS(tblNcrs[Cost (est.)],tblNcrs[In view],1,tblNcrs[Date],"&gt;="&amp;$B$64,tblNcrs[Date],"&lt;="&amp;MIN(EOMONTH($B$64,0),FTo)))</f>
        <v>7647.5</v>
      </c>
      <c r="G64" s="40">
        <f>IF($B$64="","",COUNTIFS(tblNcrs[In view],1,tblNcrs[Date],"&lt;="&amp;MIN(EOMONTH($B$64,0),AsOf))-COUNTIFS(tblNcrs[In view],1,tblNcrs[Closed],"&lt;="&amp;MIN(EOMONTH($B$64,0),AsOf)))</f>
        <v>11</v>
      </c>
    </row>
    <row r="65" spans="2:12" x14ac:dyDescent="0.25">
      <c r="B65" s="61">
        <f>IF($B$64="","",EDATE($B$64,1))</f>
        <v>46174</v>
      </c>
      <c r="C65" s="40">
        <f>IF($B$65="","",COUNTIFS(tblNcrs[In view],1,tblNcrs[Date],"&gt;="&amp;$B$65,tblNcrs[Date],"&lt;="&amp;MIN(EOMONTH($B$65,0),FTo)))</f>
        <v>11</v>
      </c>
      <c r="D65" s="40">
        <f>IF($B$65="","",COUNTIFS(tblNcrs[In view],1,tblNcrs[Closed],"&gt;="&amp;$B$65,tblNcrs[Closed],"&lt;="&amp;MIN(EOMONTH($B$65,0),FTo)))</f>
        <v>22</v>
      </c>
      <c r="E65" s="62">
        <f>IF($B$65="","",IF(($C$65)=0,"",($D$65)/($C$65)))</f>
        <v>2</v>
      </c>
      <c r="F65" s="40">
        <f>IF($B$65="","",SUMIFS(tblNcrs[Cost (est.)],tblNcrs[In view],1,tblNcrs[Date],"&gt;="&amp;$B$65,tblNcrs[Date],"&lt;="&amp;MIN(EOMONTH($B$65,0),FTo)))</f>
        <v>3406.5</v>
      </c>
      <c r="G65" s="40">
        <f>IF($B$65="","",COUNTIFS(tblNcrs[In view],1,tblNcrs[Date],"&lt;="&amp;MIN(EOMONTH($B$65,0),AsOf))-COUNTIFS(tblNcrs[In view],1,tblNcrs[Closed],"&lt;="&amp;MIN(EOMONTH($B$65,0),AsOf)))</f>
        <v>0</v>
      </c>
    </row>
    <row r="66" spans="2:12" x14ac:dyDescent="0.25">
      <c r="B66" s="61">
        <f>IF($B$65="","",EDATE($B$65,1))</f>
        <v>46204</v>
      </c>
      <c r="C66" s="40">
        <f>IF($B$66="","",COUNTIFS(tblNcrs[In view],1,tblNcrs[Date],"&gt;="&amp;$B$66,tblNcrs[Date],"&lt;="&amp;MIN(EOMONTH($B$66,0),FTo)))</f>
        <v>19</v>
      </c>
      <c r="D66" s="40">
        <f>IF($B$66="","",COUNTIFS(tblNcrs[In view],1,tblNcrs[Closed],"&gt;="&amp;$B$66,tblNcrs[Closed],"&lt;="&amp;MIN(EOMONTH($B$66,0),FTo)))</f>
        <v>10</v>
      </c>
      <c r="E66" s="62">
        <f>IF($B$66="","",IF(($C$66)=0,"",($D$66)/($C$66)))</f>
        <v>0.526315789473684</v>
      </c>
      <c r="F66" s="40">
        <f>IF($B$66="","",SUMIFS(tblNcrs[Cost (est.)],tblNcrs[In view],1,tblNcrs[Date],"&gt;="&amp;$B$66,tblNcrs[Date],"&lt;="&amp;MIN(EOMONTH($B$66,0),FTo)))</f>
        <v>5396.5</v>
      </c>
      <c r="G66" s="40">
        <f>IF($B$66="","",COUNTIFS(tblNcrs[In view],1,tblNcrs[Date],"&lt;="&amp;MIN(EOMONTH($B$66,0),AsOf))-COUNTIFS(tblNcrs[In view],1,tblNcrs[Closed],"&lt;="&amp;MIN(EOMONTH($B$66,0),AsOf)))</f>
        <v>9</v>
      </c>
    </row>
    <row r="67" spans="2:12" x14ac:dyDescent="0.25">
      <c r="B67" s="61">
        <f>IF($B$66="","",EDATE($B$66,1))</f>
        <v>46235</v>
      </c>
      <c r="C67" s="40">
        <f>IF($B$67="","",COUNTIFS(tblNcrs[In view],1,tblNcrs[Date],"&gt;="&amp;$B$67,tblNcrs[Date],"&lt;="&amp;MIN(EOMONTH($B$67,0),FTo)))</f>
        <v>13</v>
      </c>
      <c r="D67" s="40">
        <f>IF($B$67="","",COUNTIFS(tblNcrs[In view],1,tblNcrs[Closed],"&gt;="&amp;$B$67,tblNcrs[Closed],"&lt;="&amp;MIN(EOMONTH($B$67,0),FTo)))</f>
        <v>13</v>
      </c>
      <c r="E67" s="62">
        <f>IF($B$67="","",IF(($C$67)=0,"",($D$67)/($C$67)))</f>
        <v>1</v>
      </c>
      <c r="F67" s="40">
        <f>IF($B$67="","",SUMIFS(tblNcrs[Cost (est.)],tblNcrs[In view],1,tblNcrs[Date],"&gt;="&amp;$B$67,tblNcrs[Date],"&lt;="&amp;MIN(EOMONTH($B$67,0),FTo)))</f>
        <v>3891.5</v>
      </c>
      <c r="G67" s="40">
        <f>IF($B$67="","",COUNTIFS(tblNcrs[In view],1,tblNcrs[Date],"&lt;="&amp;MIN(EOMONTH($B$67,0),AsOf))-COUNTIFS(tblNcrs[In view],1,tblNcrs[Closed],"&lt;="&amp;MIN(EOMONTH($B$67,0),AsOf)))</f>
        <v>9</v>
      </c>
    </row>
    <row r="68" spans="2:12" x14ac:dyDescent="0.25">
      <c r="B68" s="61">
        <f>IF($B$67="","",EDATE($B$67,1))</f>
        <v>46266</v>
      </c>
      <c r="C68" s="40">
        <f>IF($B$68="","",COUNTIFS(tblNcrs[In view],1,tblNcrs[Date],"&gt;="&amp;$B$68,tblNcrs[Date],"&lt;="&amp;MIN(EOMONTH($B$68,0),FTo)))</f>
        <v>16</v>
      </c>
      <c r="D68" s="40">
        <f>IF($B$68="","",COUNTIFS(tblNcrs[In view],1,tblNcrs[Closed],"&gt;="&amp;$B$68,tblNcrs[Closed],"&lt;="&amp;MIN(EOMONTH($B$68,0),FTo)))</f>
        <v>11</v>
      </c>
      <c r="E68" s="62">
        <f>IF($B$68="","",IF(($C$68)=0,"",($D$68)/($C$68)))</f>
        <v>0.6875</v>
      </c>
      <c r="F68" s="40">
        <f>IF($B$68="","",SUMIFS(tblNcrs[Cost (est.)],tblNcrs[In view],1,tblNcrs[Date],"&gt;="&amp;$B$68,tblNcrs[Date],"&lt;="&amp;MIN(EOMONTH($B$68,0),FTo)))</f>
        <v>9940.5</v>
      </c>
      <c r="G68" s="40">
        <f>IF($B$68="","",COUNTIFS(tblNcrs[In view],1,tblNcrs[Date],"&lt;="&amp;MIN(EOMONTH($B$68,0),AsOf))-COUNTIFS(tblNcrs[In view],1,tblNcrs[Closed],"&lt;="&amp;MIN(EOMONTH($B$68,0),AsOf)))</f>
        <v>14</v>
      </c>
    </row>
    <row r="69" spans="2:12" x14ac:dyDescent="0.25">
      <c r="B69" s="61">
        <f>IF($B$68="","",EDATE($B$68,1))</f>
        <v>46296</v>
      </c>
      <c r="C69" s="40">
        <f>IF($B$69="","",COUNTIFS(tblNcrs[In view],1,tblNcrs[Date],"&gt;="&amp;$B$69,tblNcrs[Date],"&lt;="&amp;MIN(EOMONTH($B$69,0),FTo)))</f>
        <v>6</v>
      </c>
      <c r="D69" s="40">
        <f>IF($B$69="","",COUNTIFS(tblNcrs[In view],1,tblNcrs[Closed],"&gt;="&amp;$B$69,tblNcrs[Closed],"&lt;="&amp;MIN(EOMONTH($B$69,0),FTo)))</f>
        <v>5</v>
      </c>
      <c r="E69" s="62">
        <f>IF($B$69="","",IF(($C$69)=0,"",($D$69)/($C$69)))</f>
        <v>0.833333333333333</v>
      </c>
      <c r="F69" s="40">
        <f>IF($B$69="","",SUMIFS(tblNcrs[Cost (est.)],tblNcrs[In view],1,tblNcrs[Date],"&gt;="&amp;$B$69,tblNcrs[Date],"&lt;="&amp;MIN(EOMONTH($B$69,0),FTo)))</f>
        <v>935</v>
      </c>
      <c r="G69" s="40">
        <f>IF($B$69="","",COUNTIFS(tblNcrs[In view],1,tblNcrs[Date],"&lt;="&amp;MIN(EOMONTH($B$69,0),AsOf))-COUNTIFS(tblNcrs[In view],1,tblNcrs[Closed],"&lt;="&amp;MIN(EOMONTH($B$69,0),AsOf)))</f>
        <v>15</v>
      </c>
    </row>
    <row r="70" spans="2:12" ht="8" customHeight="1" x14ac:dyDescent="0.25"/>
    <row r="71" spans="2:12" x14ac:dyDescent="0.25">
      <c r="B71" s="21" t="s">
        <v>420</v>
      </c>
      <c r="C71" s="21"/>
      <c r="D71" s="21"/>
      <c r="E71" s="21"/>
      <c r="F71" s="21"/>
      <c r="G71" s="21"/>
      <c r="H71" s="21"/>
      <c r="I71" s="21"/>
      <c r="J71" s="21"/>
      <c r="K71" s="21"/>
      <c r="L71" s="21"/>
    </row>
    <row r="72" spans="2:12" x14ac:dyDescent="0.25">
      <c r="B72" s="63">
        <f>IF(OR(COUNTA(tblOrigins[Origin])&gt;6,COUNTA(tblDefects[Defect type])&gt;8),"Setup lists are longer than the Dashboard blocks: some origins or defect types are not shown.","")</f>
        <v/>
      </c>
      <c r="C72" s="63"/>
      <c r="D72" s="63"/>
      <c r="E72" s="63"/>
      <c r="F72" s="63"/>
      <c r="G72" s="63"/>
      <c r="H72" s="63"/>
      <c r="I72" s="63"/>
      <c r="J72" s="63"/>
      <c r="K72" s="63"/>
      <c r="L72" s="63"/>
    </row>
  </sheetData>
  <sheetProtection sheet="1" formatColumns="0" formatRows="0"/>
  <mergeCells count="57">
    <mergeCell ref="A1:L1"/>
    <mergeCell ref="B2:J2"/>
    <mergeCell ref="K2:L2"/>
    <mergeCell ref="C4:E4"/>
    <mergeCell ref="C5:E5"/>
    <mergeCell ref="H4:J4"/>
    <mergeCell ref="H5:J5"/>
    <mergeCell ref="B6:L6"/>
    <mergeCell ref="B8:C8"/>
    <mergeCell ref="B9:C10"/>
    <mergeCell ref="B11:C11"/>
    <mergeCell ref="B12:C12"/>
    <mergeCell ref="D8:F8"/>
    <mergeCell ref="D9:F10"/>
    <mergeCell ref="D11:F11"/>
    <mergeCell ref="D12:F12"/>
    <mergeCell ref="G8:I8"/>
    <mergeCell ref="G9:I10"/>
    <mergeCell ref="G11:I11"/>
    <mergeCell ref="G12:I12"/>
    <mergeCell ref="J8:L8"/>
    <mergeCell ref="J9:L10"/>
    <mergeCell ref="J11:L11"/>
    <mergeCell ref="J12:L12"/>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36:G36"/>
    <mergeCell ref="B48:E48"/>
    <mergeCell ref="G48:L48"/>
    <mergeCell ref="H49:I49"/>
    <mergeCell ref="H50:I50"/>
    <mergeCell ref="H51:I51"/>
    <mergeCell ref="H52:I52"/>
    <mergeCell ref="H53:I53"/>
    <mergeCell ref="H54:I54"/>
    <mergeCell ref="H55:I55"/>
    <mergeCell ref="H56:I56"/>
    <mergeCell ref="H57:I57"/>
    <mergeCell ref="H58:I58"/>
    <mergeCell ref="H59:I59"/>
    <mergeCell ref="B61:G61"/>
    <mergeCell ref="B71:L71"/>
    <mergeCell ref="B72:L72"/>
  </mergeCells>
  <conditionalFormatting sqref="E64:E69">
    <cfRule type="expression" dxfId="3" priority="43" stopIfTrue="1">
      <formula>AND(ISNUMBER(E64),E64&gt;=(TargetClear))</formula>
    </cfRule>
    <cfRule type="expression" dxfId="4" priority="44" stopIfTrue="1">
      <formula>AND(ISNUMBER(E64),E64&gt;=(TargetClear)*(1-0.05))</formula>
    </cfRule>
    <cfRule type="expression" dxfId="5" priority="45">
      <formula>ISNUMBER(E64)</formula>
    </cfRule>
  </conditionalFormatting>
  <conditionalFormatting sqref="F39:F44">
    <cfRule type="dataBar" priority="4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J12">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51:J58">
    <cfRule type="dataBar" priority="42">
      <dataBar>
        <cfvo type="num" val="0"/>
        <cfvo type="max"/>
        <color rgb="FFA8BDF0"/>
      </dataBar>
      <extLst>
        <ext xmlns:x14="http://schemas.microsoft.com/office/spreadsheetml/2009/9/main" uri="{B025F937-C7B1-47D3-B67F-A62EFF666E3E}">
          <x14:id>{DA7ABA51-AAAA-BBBB-0004-000000000002}</x14:id>
        </ext>
      </extLst>
    </cfRule>
  </conditionalFormatting>
  <dataValidations count="4">
    <dataValidation type="list" allowBlank="1" showInputMessage="1" showErrorMessage="1" errorTitle="Check this entry" error="Pick from the list (edit the list on Setup: Sources)." promptTitle="Source" prompt="Leave blank for all sources. Pick from the list (edit the list on Setup: Sources)." sqref="C4">
      <formula1>Sources</formula1>
    </dataValidation>
    <dataValidation type="list" allowBlank="1" showInputMessage="1" showErrorMessage="1" errorTitle="Check this entry" error="Pick from the list (edit the list on Setup: Origins)." promptTitle="Origin" prompt="Leave blank for all work centres and suppliers. Pick from the list (edit the list on Setup: Origins)." sqref="C5">
      <formula1>Origins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H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status date on Setup. Enter a date between 01 Jan 2000 and 31 Dec 2100." sqref="H5">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Nonconformance (NCR) Log&amp;R&amp;8&amp;A</oddHeader>
    <oddFooter>&amp;L&amp;8mfgcalcs.com - free manufacturing templates&amp;R&amp;8Page &amp;P of &amp;N</oddFooter>
  </headerFooter>
  <rowBreaks count="2" manualBreakCount="2">
    <brk id="29" max="16383" man="1"/>
    <brk id="5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F39:F44</xm:sqref>
        </x14:conditionalFormatting>
        <x14:conditionalFormatting xmlns:xm="http://schemas.microsoft.com/office/excel/2006/main">
          <x14:cfRule type="dataBar" id="{DA7ABA51-AAAA-BBBB-0004-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J51:J58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421</v>
      </c>
      <c r="C4" s="8"/>
      <c r="D4" s="8"/>
    </row>
    <row r="5" spans="1:4" ht="5" customHeight="1"/>
    <row r="6" spans="1:4" ht="42.6" customHeight="1">
      <c r="B6" s="10" t="s">
        <v>422</v>
      </c>
      <c r="C6" s="10"/>
      <c r="D6" s="10"/>
    </row>
    <row r="8" spans="1:4" ht="21" customHeight="1">
      <c r="B8" s="8" t="s">
        <v>423</v>
      </c>
      <c r="C8" s="8"/>
      <c r="D8" s="8"/>
    </row>
    <row r="9" spans="1:4" ht="5" customHeight="1"/>
    <row r="10" spans="1:4" ht="20" customHeight="1">
      <c r="B10" s="54" t="s">
        <v>424</v>
      </c>
      <c r="C10" s="54" t="s">
        <v>425</v>
      </c>
      <c r="D10" s="34" t="s">
        <v>426</v>
      </c>
    </row>
    <row r="11" spans="1:4" ht="30.4" customHeight="1">
      <c r="B11" s="64" t="s">
        <v>139</v>
      </c>
      <c r="C11" s="65" t="s">
        <v>427</v>
      </c>
      <c r="D11" s="66" t="s">
        <v>428</v>
      </c>
    </row>
    <row r="12" spans="1:4" ht="30.4" customHeight="1">
      <c r="B12" s="64" t="s">
        <v>140</v>
      </c>
      <c r="C12" s="65" t="s">
        <v>429</v>
      </c>
      <c r="D12" s="66" t="s">
        <v>428</v>
      </c>
    </row>
    <row r="13" spans="1:4" ht="17.2" customHeight="1">
      <c r="B13" s="64" t="s">
        <v>141</v>
      </c>
      <c r="C13" s="65" t="s">
        <v>430</v>
      </c>
      <c r="D13" s="66" t="s">
        <v>75</v>
      </c>
    </row>
    <row r="14" spans="1:4" ht="30.4" customHeight="1">
      <c r="B14" s="64" t="s">
        <v>142</v>
      </c>
      <c r="C14" s="65" t="s">
        <v>431</v>
      </c>
      <c r="D14" s="66" t="s">
        <v>432</v>
      </c>
    </row>
    <row r="15" spans="1:4" ht="30.4" customHeight="1">
      <c r="B15" s="64" t="s">
        <v>418</v>
      </c>
      <c r="C15" s="65" t="s">
        <v>433</v>
      </c>
      <c r="D15" s="66" t="s">
        <v>412</v>
      </c>
    </row>
    <row r="16" spans="1:4" ht="30.4" customHeight="1">
      <c r="B16" s="64" t="s">
        <v>434</v>
      </c>
      <c r="C16" s="65" t="s">
        <v>435</v>
      </c>
      <c r="D16" s="66" t="s">
        <v>401</v>
      </c>
    </row>
    <row r="17" spans="2:4" ht="17.2" customHeight="1">
      <c r="B17" s="64" t="s">
        <v>436</v>
      </c>
      <c r="C17" s="65" t="s">
        <v>437</v>
      </c>
      <c r="D17" s="66" t="s">
        <v>75</v>
      </c>
    </row>
    <row r="18" spans="2:4" ht="17.2" customHeight="1">
      <c r="B18" s="64" t="s">
        <v>419</v>
      </c>
      <c r="C18" s="65" t="s">
        <v>438</v>
      </c>
      <c r="D18" s="66" t="s">
        <v>401</v>
      </c>
    </row>
    <row r="19" spans="2:4" ht="30.4" customHeight="1">
      <c r="B19" s="64" t="s">
        <v>439</v>
      </c>
      <c r="C19" s="65" t="s">
        <v>440</v>
      </c>
      <c r="D19" s="66" t="s">
        <v>441</v>
      </c>
    </row>
    <row r="20" spans="2:4" ht="43.6" customHeight="1">
      <c r="B20" s="64" t="s">
        <v>442</v>
      </c>
      <c r="C20" s="65" t="s">
        <v>443</v>
      </c>
      <c r="D20" s="66" t="s">
        <v>432</v>
      </c>
    </row>
    <row r="22" spans="2:4" ht="21" customHeight="1">
      <c r="B22" s="8" t="s">
        <v>444</v>
      </c>
      <c r="C22" s="8"/>
      <c r="D22" s="8"/>
    </row>
    <row r="23" spans="2:4" ht="5" customHeight="1"/>
    <row r="24" spans="2:4" ht="29.4" customHeight="1">
      <c r="B24" s="26" t="s">
        <v>55</v>
      </c>
      <c r="C24" s="10" t="s">
        <v>445</v>
      </c>
      <c r="D24" s="10"/>
    </row>
    <row r="25" spans="2:4" ht="29.4" customHeight="1">
      <c r="B25" s="26" t="s">
        <v>55</v>
      </c>
      <c r="C25" s="10" t="s">
        <v>446</v>
      </c>
      <c r="D25" s="10"/>
    </row>
    <row r="26" spans="2:4" ht="16.2" customHeight="1">
      <c r="B26" s="26" t="s">
        <v>55</v>
      </c>
      <c r="C26" s="10" t="s">
        <v>447</v>
      </c>
      <c r="D26" s="10"/>
    </row>
    <row r="27" spans="2:4" ht="16.2" customHeight="1">
      <c r="B27" s="26" t="s">
        <v>55</v>
      </c>
      <c r="C27" s="10" t="s">
        <v>448</v>
      </c>
      <c r="D27" s="10"/>
    </row>
    <row r="29" spans="2:4" ht="21" customHeight="1">
      <c r="B29" s="8" t="s">
        <v>449</v>
      </c>
      <c r="C29" s="8"/>
      <c r="D29" s="8"/>
    </row>
    <row r="30" spans="2:4" ht="5" customHeight="1"/>
    <row r="31" spans="2:4" ht="29.4" customHeight="1">
      <c r="B31" s="26" t="s">
        <v>55</v>
      </c>
      <c r="C31" s="10" t="s">
        <v>450</v>
      </c>
      <c r="D31" s="10"/>
    </row>
    <row r="32" spans="2:4" ht="29.4" customHeight="1">
      <c r="B32" s="26" t="s">
        <v>55</v>
      </c>
      <c r="C32" s="10" t="s">
        <v>451</v>
      </c>
      <c r="D32" s="10"/>
    </row>
    <row r="33" spans="2:4" ht="29.4" customHeight="1">
      <c r="B33" s="26" t="s">
        <v>55</v>
      </c>
      <c r="C33" s="10" t="s">
        <v>452</v>
      </c>
      <c r="D33" s="10"/>
    </row>
    <row r="34" spans="2:4" ht="16.2" customHeight="1">
      <c r="B34" s="26" t="s">
        <v>55</v>
      </c>
      <c r="C34" s="10" t="s">
        <v>453</v>
      </c>
      <c r="D34" s="10"/>
    </row>
    <row r="36" spans="2:4" ht="21" customHeight="1">
      <c r="B36" s="8" t="s">
        <v>454</v>
      </c>
      <c r="C36" s="8"/>
      <c r="D36" s="8"/>
    </row>
    <row r="37" spans="2:4" ht="5" customHeight="1"/>
    <row r="38" spans="2:4" ht="55.8" customHeight="1">
      <c r="B38" s="10" t="s">
        <v>455</v>
      </c>
      <c r="C38" s="10"/>
      <c r="D38" s="10"/>
    </row>
    <row r="39" spans="2:4">
      <c r="B39" s="24" t="s">
        <v>456</v>
      </c>
      <c r="C39" s="24"/>
      <c r="D39" s="24"/>
    </row>
    <row r="41" spans="2:4" ht="21" customHeight="1">
      <c r="B41" s="8" t="s">
        <v>42</v>
      </c>
      <c r="C41" s="8"/>
      <c r="D41" s="8"/>
    </row>
    <row r="42" spans="2:4" ht="5" customHeight="1"/>
    <row r="43" spans="2:4" ht="42.6" customHeight="1">
      <c r="B43" s="10" t="s">
        <v>457</v>
      </c>
      <c r="C43" s="10"/>
      <c r="D43" s="10"/>
    </row>
    <row r="45" spans="2:4" ht="21" customHeight="1">
      <c r="B45" s="8" t="s">
        <v>458</v>
      </c>
      <c r="C45" s="8"/>
      <c r="D45" s="8"/>
    </row>
    <row r="46" spans="2:4" ht="5" customHeight="1"/>
    <row r="47" spans="2:4" ht="29.4" customHeight="1">
      <c r="B47" s="26" t="s">
        <v>55</v>
      </c>
      <c r="C47" s="10" t="s">
        <v>459</v>
      </c>
      <c r="D47" s="10"/>
    </row>
    <row r="48" spans="2:4" ht="16.2" customHeight="1">
      <c r="B48" s="26" t="s">
        <v>55</v>
      </c>
      <c r="C48" s="10" t="s">
        <v>460</v>
      </c>
      <c r="D48" s="10"/>
    </row>
    <row r="49" spans="2:4" ht="29.4" customHeight="1">
      <c r="B49" s="26" t="s">
        <v>55</v>
      </c>
      <c r="C49" s="10" t="s">
        <v>461</v>
      </c>
      <c r="D49" s="10"/>
    </row>
    <row r="50" spans="2:4">
      <c r="B50" s="21" t="s">
        <v>462</v>
      </c>
      <c r="C50" s="21"/>
      <c r="D50" s="21"/>
    </row>
    <row r="52" spans="2:4" ht="21" customHeight="1">
      <c r="B52" s="8" t="s">
        <v>463</v>
      </c>
      <c r="C52" s="8"/>
      <c r="D52" s="8"/>
    </row>
    <row r="53" spans="2:4" ht="5" customHeight="1"/>
    <row r="54" spans="2:4">
      <c r="B54" s="54" t="s">
        <v>50</v>
      </c>
      <c r="C54" s="54" t="s">
        <v>464</v>
      </c>
      <c r="D54" s="34" t="s">
        <v>127</v>
      </c>
    </row>
    <row r="55" spans="2:4" ht="16.2" customHeight="1">
      <c r="B55" s="67" t="s">
        <v>465</v>
      </c>
      <c r="C55" s="68" t="s">
        <v>466</v>
      </c>
      <c r="D55" s="69" t="s">
        <v>467</v>
      </c>
    </row>
    <row r="57" spans="2:4">
      <c r="B57" s="21" t="s">
        <v>61</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Nonconformance (NCR) Log&amp;R&amp;8&amp;A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X60"/>
  <sheetViews>
    <sheetView showGridLines="0" workbookViewId="0"/>
  </sheetViews>
  <sheetFormatPr defaultRowHeight="15"/>
  <cols>
    <col min="1" max="1" width="2.7109375" customWidth="1"/>
    <col min="2" max="19" width="12.7109375" customWidth="1"/>
    <col min="20" max="20" width="11.7109375" customWidth="1"/>
    <col min="21" max="21" width="8.7109375" customWidth="1"/>
    <col min="22" max="22" width="12.28515625" customWidth="1"/>
    <col min="23" max="23" width="7.7109375" customWidth="1"/>
    <col min="24" max="24" width="24.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28</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70" t="s">
        <v>468</v>
      </c>
      <c r="C4" s="70"/>
      <c r="D4" s="22" t="str">
        <f>IF(COUNTIF($K$11:$K$36,"PASS")=26,"PASS","FAIL")</f>
        <v>PASS</v>
      </c>
      <c r="E4" s="22"/>
      <c r="F4" s="23" t="str">
        <f>COUNTIF($K$11:$K$36,"PASS")&amp;" of 26 checks pass"</f>
        <v>26 of 26 checks pass</v>
      </c>
      <c r="G4" s="23"/>
      <c r="H4" s="23"/>
      <c r="I4" s="23"/>
      <c r="J4" s="23"/>
    </row>
    <row r="6" spans="1:24" ht="29.4" customHeight="1">
      <c r="B6" s="10" t="s">
        <v>469</v>
      </c>
      <c r="C6" s="10"/>
      <c r="D6" s="10"/>
      <c r="E6" s="10"/>
      <c r="F6" s="10"/>
      <c r="G6" s="10"/>
      <c r="H6" s="10"/>
      <c r="I6" s="10"/>
      <c r="J6" s="10"/>
      <c r="K6" s="10"/>
      <c r="L6" s="10"/>
    </row>
    <row r="8" spans="1:24" ht="21" customHeight="1">
      <c r="B8" s="8" t="s">
        <v>470</v>
      </c>
      <c r="C8" s="8"/>
      <c r="D8" s="8"/>
      <c r="E8" s="8"/>
      <c r="F8" s="8"/>
      <c r="G8" s="8"/>
      <c r="H8" s="8"/>
      <c r="I8" s="8"/>
      <c r="J8" s="8"/>
      <c r="K8" s="8"/>
      <c r="L8" s="8"/>
    </row>
    <row r="9" spans="1:24" ht="5" customHeight="1"/>
    <row r="10" spans="1:24" ht="30" customHeight="1">
      <c r="B10" s="34" t="s">
        <v>471</v>
      </c>
      <c r="C10" s="54" t="s">
        <v>144</v>
      </c>
      <c r="D10" s="54"/>
      <c r="E10" s="54"/>
      <c r="F10" s="54"/>
      <c r="G10" s="34" t="s">
        <v>472</v>
      </c>
      <c r="H10" s="34" t="s">
        <v>473</v>
      </c>
      <c r="I10" s="34" t="s">
        <v>474</v>
      </c>
      <c r="J10" s="34" t="s">
        <v>475</v>
      </c>
      <c r="K10" s="34" t="s">
        <v>476</v>
      </c>
    </row>
    <row r="11" spans="1:24" ht="16.2" customHeight="1">
      <c r="B11" s="56">
        <v>1</v>
      </c>
      <c r="C11" s="68" t="s">
        <v>477</v>
      </c>
      <c r="D11" s="68"/>
      <c r="E11" s="68"/>
      <c r="F11" s="68"/>
      <c r="G11" s="71">
        <v>768</v>
      </c>
      <c r="H11" s="39">
        <f>$S$54</f>
        <v>768</v>
      </c>
      <c r="I11" s="72">
        <f>IF(AND(ISNUMBER($G$11),ISNUMBER($H$11)),ABS($H$11-$G$11),"")</f>
        <v>0</v>
      </c>
      <c r="J11" s="73">
        <v>1E-09</v>
      </c>
      <c r="K11" s="41" t="str">
        <f>IF(AND(ISNUMBER($G$11),ISNUMBER($H$11)),IF(ABS($H$11-$G$11)&lt;=$J$11,"PASS","FAIL"),"FAIL")</f>
        <v>PASS</v>
      </c>
    </row>
    <row r="12" spans="1:24" ht="16.2" customHeight="1">
      <c r="B12" s="56">
        <v>2</v>
      </c>
      <c r="C12" s="68" t="s">
        <v>478</v>
      </c>
      <c r="D12" s="68"/>
      <c r="E12" s="68"/>
      <c r="F12" s="68"/>
      <c r="G12" s="71">
        <v>853</v>
      </c>
      <c r="H12" s="39">
        <f>$T$54</f>
        <v>853</v>
      </c>
      <c r="I12" s="72">
        <f>IF(AND(ISNUMBER($G$12),ISNUMBER($H$12)),ABS($H$12-$G$12),"")</f>
        <v>0</v>
      </c>
      <c r="J12" s="73">
        <v>1E-09</v>
      </c>
      <c r="K12" s="41" t="str">
        <f>IF(AND(ISNUMBER($G$12),ISNUMBER($H$12)),IF(ABS($H$12-$G$12)&lt;=$J$12,"PASS","FAIL"),"FAIL")</f>
        <v>PASS</v>
      </c>
    </row>
    <row r="13" spans="1:24" ht="16.2" customHeight="1">
      <c r="B13" s="56">
        <v>3</v>
      </c>
      <c r="C13" s="68" t="s">
        <v>479</v>
      </c>
      <c r="D13" s="68"/>
      <c r="E13" s="68"/>
      <c r="F13" s="68"/>
      <c r="G13" s="67" t="s">
        <v>480</v>
      </c>
      <c r="H13" s="38" t="str">
        <f>$V$54</f>
        <v>Complete</v>
      </c>
      <c r="I13" s="38"/>
      <c r="J13" s="69" t="s">
        <v>481</v>
      </c>
      <c r="K13" s="41" t="str">
        <f>IF($H$13&amp;""=$G$13&amp;"","PASS","FAIL")</f>
        <v>PASS</v>
      </c>
    </row>
    <row r="14" spans="1:24" ht="16.2" customHeight="1">
      <c r="B14" s="56">
        <v>4</v>
      </c>
      <c r="C14" s="68" t="s">
        <v>482</v>
      </c>
      <c r="D14" s="68"/>
      <c r="E14" s="68"/>
      <c r="F14" s="68"/>
      <c r="G14" s="71">
        <v>0</v>
      </c>
      <c r="H14" s="39">
        <f>$S$55</f>
        <v>0</v>
      </c>
      <c r="I14" s="72">
        <f>IF(AND(ISNUMBER($G$14),ISNUMBER($H$14)),ABS($H$14-$G$14),"")</f>
        <v>0</v>
      </c>
      <c r="J14" s="73">
        <v>1E-09</v>
      </c>
      <c r="K14" s="41" t="str">
        <f>IF(AND(ISNUMBER($G$14),ISNUMBER($H$14)),IF(ABS($H$14-$G$14)&lt;=$J$14,"PASS","FAIL"),"FAIL")</f>
        <v>PASS</v>
      </c>
    </row>
    <row r="15" spans="1:24" ht="16.2" customHeight="1">
      <c r="B15" s="56">
        <v>5</v>
      </c>
      <c r="C15" s="68" t="s">
        <v>483</v>
      </c>
      <c r="D15" s="68"/>
      <c r="E15" s="68"/>
      <c r="F15" s="68"/>
      <c r="G15" s="71">
        <v>225</v>
      </c>
      <c r="H15" s="39">
        <f>$T$55</f>
        <v>225</v>
      </c>
      <c r="I15" s="72">
        <f>IF(AND(ISNUMBER($G$15),ISNUMBER($H$15)),ABS($H$15-$G$15),"")</f>
        <v>0</v>
      </c>
      <c r="J15" s="73">
        <v>1E-09</v>
      </c>
      <c r="K15" s="41" t="str">
        <f>IF(AND(ISNUMBER($G$15),ISNUMBER($H$15)),IF(ABS($H$15-$G$15)&lt;=$J$15,"PASS","FAIL"),"FAIL")</f>
        <v>PASS</v>
      </c>
    </row>
    <row r="16" spans="1:24" ht="16.2" customHeight="1">
      <c r="B16" s="56">
        <v>6</v>
      </c>
      <c r="C16" s="68" t="s">
        <v>484</v>
      </c>
      <c r="D16" s="68"/>
      <c r="E16" s="68"/>
      <c r="F16" s="68"/>
      <c r="G16" s="67" t="s">
        <v>480</v>
      </c>
      <c r="H16" s="38" t="str">
        <f>$V$55</f>
        <v>Complete</v>
      </c>
      <c r="I16" s="38"/>
      <c r="J16" s="69" t="s">
        <v>481</v>
      </c>
      <c r="K16" s="41" t="str">
        <f>IF($H$16&amp;""=$G$16&amp;"","PASS","FAIL")</f>
        <v>PASS</v>
      </c>
    </row>
    <row r="17" spans="2:11" ht="16.2" customHeight="1">
      <c r="B17" s="56">
        <v>7</v>
      </c>
      <c r="C17" s="68" t="s">
        <v>485</v>
      </c>
      <c r="D17" s="68"/>
      <c r="E17" s="68"/>
      <c r="F17" s="68"/>
      <c r="G17" s="71">
        <v>0</v>
      </c>
      <c r="H17" s="39">
        <f>$S$56</f>
        <v>0</v>
      </c>
      <c r="I17" s="72">
        <f>IF(AND(ISNUMBER($G$17),ISNUMBER($H$17)),ABS($H$17-$G$17),"")</f>
        <v>0</v>
      </c>
      <c r="J17" s="73">
        <v>1E-09</v>
      </c>
      <c r="K17" s="41" t="str">
        <f>IF(AND(ISNUMBER($G$17),ISNUMBER($H$17)),IF(ABS($H$17-$G$17)&lt;=$J$17,"PASS","FAIL"),"FAIL")</f>
        <v>PASS</v>
      </c>
    </row>
    <row r="18" spans="2:11" ht="16.2" customHeight="1">
      <c r="B18" s="56">
        <v>8</v>
      </c>
      <c r="C18" s="68" t="s">
        <v>486</v>
      </c>
      <c r="D18" s="68"/>
      <c r="E18" s="68"/>
      <c r="F18" s="68"/>
      <c r="G18" s="71">
        <v>120</v>
      </c>
      <c r="H18" s="39">
        <f>$T$56</f>
        <v>120</v>
      </c>
      <c r="I18" s="72">
        <f>IF(AND(ISNUMBER($G$18),ISNUMBER($H$18)),ABS($H$18-$G$18),"")</f>
        <v>0</v>
      </c>
      <c r="J18" s="73">
        <v>1E-09</v>
      </c>
      <c r="K18" s="41" t="str">
        <f>IF(AND(ISNUMBER($G$18),ISNUMBER($H$18)),IF(ABS($H$18-$G$18)&lt;=$J$18,"PASS","FAIL"),"FAIL")</f>
        <v>PASS</v>
      </c>
    </row>
    <row r="19" spans="2:11" ht="16.2" customHeight="1">
      <c r="B19" s="56">
        <v>9</v>
      </c>
      <c r="C19" s="68" t="s">
        <v>487</v>
      </c>
      <c r="D19" s="68"/>
      <c r="E19" s="68"/>
      <c r="F19" s="68"/>
      <c r="G19" s="67" t="s">
        <v>488</v>
      </c>
      <c r="H19" s="38" t="str">
        <f>$V$56</f>
        <v>Overdue</v>
      </c>
      <c r="I19" s="38"/>
      <c r="J19" s="69" t="s">
        <v>481</v>
      </c>
      <c r="K19" s="41" t="str">
        <f>IF($H$19&amp;""=$G$19&amp;"","PASS","FAIL")</f>
        <v>PASS</v>
      </c>
    </row>
    <row r="20" spans="2:11" ht="16.2" customHeight="1">
      <c r="B20" s="56">
        <v>10</v>
      </c>
      <c r="C20" s="68" t="s">
        <v>489</v>
      </c>
      <c r="D20" s="68"/>
      <c r="E20" s="68"/>
      <c r="F20" s="68"/>
      <c r="G20" s="71">
        <v>0</v>
      </c>
      <c r="H20" s="39">
        <f>$S$57</f>
        <v>0</v>
      </c>
      <c r="I20" s="72">
        <f>IF(AND(ISNUMBER($G$20),ISNUMBER($H$20)),ABS($H$20-$G$20),"")</f>
        <v>0</v>
      </c>
      <c r="J20" s="73">
        <v>1E-09</v>
      </c>
      <c r="K20" s="41" t="str">
        <f>IF(AND(ISNUMBER($G$20),ISNUMBER($H$20)),IF(ABS($H$20-$G$20)&lt;=$J$20,"PASS","FAIL"),"FAIL")</f>
        <v>PASS</v>
      </c>
    </row>
    <row r="21" spans="2:11" ht="16.2" customHeight="1">
      <c r="B21" s="56">
        <v>11</v>
      </c>
      <c r="C21" s="68" t="s">
        <v>490</v>
      </c>
      <c r="D21" s="68"/>
      <c r="E21" s="68"/>
      <c r="F21" s="68"/>
      <c r="G21" s="71">
        <v>85</v>
      </c>
      <c r="H21" s="39">
        <f>$T$57</f>
        <v>85</v>
      </c>
      <c r="I21" s="72">
        <f>IF(AND(ISNUMBER($G$21),ISNUMBER($H$21)),ABS($H$21-$G$21),"")</f>
        <v>0</v>
      </c>
      <c r="J21" s="73">
        <v>1E-09</v>
      </c>
      <c r="K21" s="41" t="str">
        <f>IF(AND(ISNUMBER($G$21),ISNUMBER($H$21)),IF(ABS($H$21-$G$21)&lt;=$J$21,"PASS","FAIL"),"FAIL")</f>
        <v>PASS</v>
      </c>
    </row>
    <row r="22" spans="2:11" ht="16.2" customHeight="1">
      <c r="B22" s="56">
        <v>12</v>
      </c>
      <c r="C22" s="68" t="s">
        <v>491</v>
      </c>
      <c r="D22" s="68"/>
      <c r="E22" s="68"/>
      <c r="F22" s="68"/>
      <c r="G22" s="67" t="s">
        <v>488</v>
      </c>
      <c r="H22" s="38" t="str">
        <f>$V$57</f>
        <v>Overdue</v>
      </c>
      <c r="I22" s="38"/>
      <c r="J22" s="69" t="s">
        <v>481</v>
      </c>
      <c r="K22" s="41" t="str">
        <f>IF($H$22&amp;""=$G$22&amp;"","PASS","FAIL")</f>
        <v>PASS</v>
      </c>
    </row>
    <row r="23" spans="2:11" ht="16.2" customHeight="1">
      <c r="B23" s="56">
        <v>13</v>
      </c>
      <c r="C23" s="68" t="s">
        <v>492</v>
      </c>
      <c r="D23" s="68"/>
      <c r="E23" s="68"/>
      <c r="F23" s="68"/>
      <c r="G23" s="71">
        <v>0</v>
      </c>
      <c r="H23" s="39">
        <f>$S$58</f>
        <v>0</v>
      </c>
      <c r="I23" s="72">
        <f>IF(AND(ISNUMBER($G$23),ISNUMBER($H$23)),ABS($H$23-$G$23),"")</f>
        <v>0</v>
      </c>
      <c r="J23" s="73">
        <v>1E-09</v>
      </c>
      <c r="K23" s="41" t="str">
        <f>IF(AND(ISNUMBER($G$23),ISNUMBER($H$23)),IF(ABS($H$23-$G$23)&lt;=$J$23,"PASS","FAIL"),"FAIL")</f>
        <v>PASS</v>
      </c>
    </row>
    <row r="24" spans="2:11" ht="16.2" customHeight="1">
      <c r="B24" s="56">
        <v>14</v>
      </c>
      <c r="C24" s="68" t="s">
        <v>493</v>
      </c>
      <c r="D24" s="68"/>
      <c r="E24" s="68"/>
      <c r="F24" s="68"/>
      <c r="G24" s="71">
        <v>85</v>
      </c>
      <c r="H24" s="39">
        <f>$T$58</f>
        <v>85</v>
      </c>
      <c r="I24" s="72">
        <f>IF(AND(ISNUMBER($G$24),ISNUMBER($H$24)),ABS($H$24-$G$24),"")</f>
        <v>0</v>
      </c>
      <c r="J24" s="73">
        <v>1E-09</v>
      </c>
      <c r="K24" s="41" t="str">
        <f>IF(AND(ISNUMBER($G$24),ISNUMBER($H$24)),IF(ABS($H$24-$G$24)&lt;=$J$24,"PASS","FAIL"),"FAIL")</f>
        <v>PASS</v>
      </c>
    </row>
    <row r="25" spans="2:11" ht="16.2" customHeight="1">
      <c r="B25" s="56">
        <v>15</v>
      </c>
      <c r="C25" s="68" t="s">
        <v>494</v>
      </c>
      <c r="D25" s="68"/>
      <c r="E25" s="68"/>
      <c r="F25" s="68"/>
      <c r="G25" s="67" t="s">
        <v>480</v>
      </c>
      <c r="H25" s="38" t="str">
        <f>$V$58</f>
        <v>Complete</v>
      </c>
      <c r="I25" s="38"/>
      <c r="J25" s="69" t="s">
        <v>481</v>
      </c>
      <c r="K25" s="41" t="str">
        <f>IF($H$25&amp;""=$G$25&amp;"","PASS","FAIL")</f>
        <v>PASS</v>
      </c>
    </row>
    <row r="26" spans="2:11" ht="16.2" customHeight="1">
      <c r="B26" s="56">
        <v>16</v>
      </c>
      <c r="C26" s="68" t="s">
        <v>495</v>
      </c>
      <c r="D26" s="68"/>
      <c r="E26" s="68"/>
      <c r="F26" s="68"/>
      <c r="G26" s="74">
        <v>22</v>
      </c>
      <c r="H26" s="40">
        <f>$U$55</f>
        <v>22</v>
      </c>
      <c r="I26" s="72">
        <f>IF(AND(ISNUMBER($G$26),ISNUMBER($H$26)),ABS($H$26-$G$26),"")</f>
        <v>0</v>
      </c>
      <c r="J26" s="73">
        <v>1E-09</v>
      </c>
      <c r="K26" s="41" t="str">
        <f>IF(AND(ISNUMBER($G$26),ISNUMBER($H$26)),IF(ABS($H$26-$G$26)&lt;=$J$26,"PASS","FAIL"),"FAIL")</f>
        <v>PASS</v>
      </c>
    </row>
    <row r="27" spans="2:11" ht="16.2" customHeight="1">
      <c r="B27" s="56">
        <v>17</v>
      </c>
      <c r="C27" s="68" t="s">
        <v>496</v>
      </c>
      <c r="D27" s="68"/>
      <c r="E27" s="68"/>
      <c r="F27" s="68"/>
      <c r="G27" s="74">
        <v>32</v>
      </c>
      <c r="H27" s="40">
        <f>$U$57</f>
        <v>32</v>
      </c>
      <c r="I27" s="72">
        <f>IF(AND(ISNUMBER($G$27),ISNUMBER($H$27)),ABS($H$27-$G$27),"")</f>
        <v>0</v>
      </c>
      <c r="J27" s="73">
        <v>1E-09</v>
      </c>
      <c r="K27" s="41" t="str">
        <f>IF(AND(ISNUMBER($G$27),ISNUMBER($H$27)),IF(ABS($H$27-$G$27)&lt;=$J$27,"PASS","FAIL"),"FAIL")</f>
        <v>PASS</v>
      </c>
    </row>
    <row r="28" spans="2:11" ht="16.2" customHeight="1">
      <c r="B28" s="56">
        <v>18</v>
      </c>
      <c r="C28" s="68" t="s">
        <v>497</v>
      </c>
      <c r="D28" s="68"/>
      <c r="E28" s="68"/>
      <c r="F28" s="68"/>
      <c r="G28" s="67" t="s">
        <v>498</v>
      </c>
      <c r="H28" s="38" t="str">
        <f>$X$59</f>
        <v>Closed without disposition</v>
      </c>
      <c r="I28" s="38"/>
      <c r="J28" s="69" t="s">
        <v>481</v>
      </c>
      <c r="K28" s="41" t="str">
        <f>IF($H$28&amp;""=$G$28&amp;"","PASS","FAIL")</f>
        <v>PASS</v>
      </c>
    </row>
    <row r="29" spans="2:11" ht="16.2" customHeight="1">
      <c r="B29" s="56">
        <v>19</v>
      </c>
      <c r="C29" s="68" t="s">
        <v>499</v>
      </c>
      <c r="D29" s="68"/>
      <c r="E29" s="68"/>
      <c r="F29" s="68"/>
      <c r="G29" s="67" t="s">
        <v>500</v>
      </c>
      <c r="H29" s="38" t="str">
        <f>$X$60</f>
        <v>Recovered above cost</v>
      </c>
      <c r="I29" s="38"/>
      <c r="J29" s="69" t="s">
        <v>481</v>
      </c>
      <c r="K29" s="41" t="str">
        <f>IF($H$29&amp;""=$G$29&amp;"","PASS","FAIL")</f>
        <v>PASS</v>
      </c>
    </row>
    <row r="30" spans="2:11" ht="16.2" customHeight="1">
      <c r="B30" s="56">
        <v>20</v>
      </c>
      <c r="C30" s="68" t="s">
        <v>501</v>
      </c>
      <c r="D30" s="68"/>
      <c r="E30" s="68"/>
      <c r="F30" s="68"/>
      <c r="G30" s="74">
        <v>7</v>
      </c>
      <c r="H30" s="40">
        <f>COUNTIFS(tblVerifyNcrs[In view],1,tblVerifyNcrs[Date],"&gt;="&amp;$E$48,tblVerifyNcrs[Date],"&lt;="&amp;$E$49)</f>
        <v>7</v>
      </c>
      <c r="I30" s="72">
        <f>IF(AND(ISNUMBER($G$30),ISNUMBER($H$30)),ABS($H$30-$G$30),"")</f>
        <v>0</v>
      </c>
      <c r="J30" s="73">
        <v>1E-09</v>
      </c>
      <c r="K30" s="41" t="str">
        <f>IF(AND(ISNUMBER($G$30),ISNUMBER($H$30)),IF(ABS($H$30-$G$30)&lt;=$J$30,"PASS","FAIL"),"FAIL")</f>
        <v>PASS</v>
      </c>
    </row>
    <row r="31" spans="2:11" ht="16.2" customHeight="1">
      <c r="B31" s="56">
        <v>21</v>
      </c>
      <c r="C31" s="68" t="s">
        <v>502</v>
      </c>
      <c r="D31" s="68"/>
      <c r="E31" s="68"/>
      <c r="F31" s="68"/>
      <c r="G31" s="74">
        <v>4</v>
      </c>
      <c r="H31" s="40">
        <f>COUNTIFS(tblVerifyNcrs[In view],1,tblVerifyNcrs[Closed],"&gt;="&amp;$E$48,tblVerifyNcrs[Closed],"&lt;="&amp;$E$49)</f>
        <v>4</v>
      </c>
      <c r="I31" s="72">
        <f>IF(AND(ISNUMBER($G$31),ISNUMBER($H$31)),ABS($H$31-$G$31),"")</f>
        <v>0</v>
      </c>
      <c r="J31" s="73">
        <v>1E-09</v>
      </c>
      <c r="K31" s="41" t="str">
        <f>IF(AND(ISNUMBER($G$31),ISNUMBER($H$31)),IF(ABS($H$31-$G$31)&lt;=$J$31,"PASS","FAIL"),"FAIL")</f>
        <v>PASS</v>
      </c>
    </row>
    <row r="32" spans="2:11" ht="16.2" customHeight="1">
      <c r="B32" s="56">
        <v>22</v>
      </c>
      <c r="C32" s="68" t="s">
        <v>503</v>
      </c>
      <c r="D32" s="68"/>
      <c r="E32" s="68"/>
      <c r="F32" s="68"/>
      <c r="G32" s="75">
        <v>0.5714285714285714</v>
      </c>
      <c r="H32" s="57">
        <f>IF((COUNTIFS(tblVerifyNcrs[In view],1,tblVerifyNcrs[Date],"&gt;="&amp;$E$48,tblVerifyNcrs[Date],"&lt;="&amp;$E$49))=0,"",(COUNTIFS(tblVerifyNcrs[In view],1,tblVerifyNcrs[Closed],"&gt;="&amp;$E$48,tblVerifyNcrs[Closed],"&lt;="&amp;$E$49))/(COUNTIFS(tblVerifyNcrs[In view],1,tblVerifyNcrs[Date],"&gt;="&amp;$E$48,tblVerifyNcrs[Date],"&lt;="&amp;$E$49)))</f>
        <v>0.571428571428571</v>
      </c>
      <c r="I32" s="72">
        <f>IF(AND(ISNUMBER($G$32),ISNUMBER($H$32)),ABS($H$32-$G$32),"")</f>
        <v>0</v>
      </c>
      <c r="J32" s="73">
        <v>1E-09</v>
      </c>
      <c r="K32" s="41" t="str">
        <f>IF(AND(ISNUMBER($G$32),ISNUMBER($H$32)),IF(ABS($H$32-$G$32)&lt;=$J$32,"PASS","FAIL"),"FAIL")</f>
        <v>PASS</v>
      </c>
    </row>
    <row r="33" spans="2:12" ht="16.2" customHeight="1">
      <c r="B33" s="56">
        <v>23</v>
      </c>
      <c r="C33" s="68" t="s">
        <v>504</v>
      </c>
      <c r="D33" s="68"/>
      <c r="E33" s="68"/>
      <c r="F33" s="68"/>
      <c r="G33" s="71">
        <v>1158</v>
      </c>
      <c r="H33" s="39">
        <f>SUMIFS(tblVerifyNcrs[Cost (est.)],tblVerifyNcrs[In view],1,tblVerifyNcrs[Date],"&gt;="&amp;$E$48,tblVerifyNcrs[Date],"&lt;="&amp;$E$49)</f>
        <v>1158</v>
      </c>
      <c r="I33" s="72">
        <f>IF(AND(ISNUMBER($G$33),ISNUMBER($H$33)),ABS($H$33-$G$33),"")</f>
        <v>0</v>
      </c>
      <c r="J33" s="73">
        <v>1E-06</v>
      </c>
      <c r="K33" s="41" t="str">
        <f>IF(AND(ISNUMBER($G$33),ISNUMBER($H$33)),IF(ABS($H$33-$G$33)&lt;=$J$33,"PASS","FAIL"),"FAIL")</f>
        <v>PASS</v>
      </c>
    </row>
    <row r="34" spans="2:12" ht="16.2" customHeight="1">
      <c r="B34" s="56">
        <v>24</v>
      </c>
      <c r="C34" s="68" t="s">
        <v>505</v>
      </c>
      <c r="D34" s="68"/>
      <c r="E34" s="68"/>
      <c r="F34" s="68"/>
      <c r="G34" s="74">
        <v>3</v>
      </c>
      <c r="H34" s="40">
        <f>COUNTIFS(tblVerifyNcrs[In view],1,tblVerifyNcrs[Date],"&lt;="&amp;$E$42,tblVerifyNcrs[Closed],"")</f>
        <v>3</v>
      </c>
      <c r="I34" s="72">
        <f>IF(AND(ISNUMBER($G$34),ISNUMBER($H$34)),ABS($H$34-$G$34),"")</f>
        <v>0</v>
      </c>
      <c r="J34" s="73">
        <v>1E-09</v>
      </c>
      <c r="K34" s="41" t="str">
        <f>IF(AND(ISNUMBER($G$34),ISNUMBER($H$34)),IF(ABS($H$34-$G$34)&lt;=$J$34,"PASS","FAIL"),"FAIL")</f>
        <v>PASS</v>
      </c>
    </row>
    <row r="35" spans="2:12" ht="16.2" customHeight="1">
      <c r="B35" s="56">
        <v>25</v>
      </c>
      <c r="C35" s="68" t="s">
        <v>506</v>
      </c>
      <c r="D35" s="68"/>
      <c r="E35" s="68"/>
      <c r="F35" s="68"/>
      <c r="G35" s="74">
        <v>2</v>
      </c>
      <c r="H35" s="40">
        <f>COUNTIFS(tblVerifyNcrs[In view],1,tblVerifyNcrs[Status],"Overdue")</f>
        <v>2</v>
      </c>
      <c r="I35" s="72">
        <f>IF(AND(ISNUMBER($G$35),ISNUMBER($H$35)),ABS($H$35-$G$35),"")</f>
        <v>0</v>
      </c>
      <c r="J35" s="73">
        <v>1E-09</v>
      </c>
      <c r="K35" s="41" t="str">
        <f>IF(AND(ISNUMBER($G$35),ISNUMBER($H$35)),IF(ABS($H$35-$G$35)&lt;=$J$35,"PASS","FAIL"),"FAIL")</f>
        <v>PASS</v>
      </c>
    </row>
    <row r="36" spans="2:12" ht="16.2" customHeight="1">
      <c r="B36" s="56">
        <v>26</v>
      </c>
      <c r="C36" s="68" t="s">
        <v>507</v>
      </c>
      <c r="D36" s="68"/>
      <c r="E36" s="68"/>
      <c r="F36" s="68"/>
      <c r="G36" s="71">
        <v>11</v>
      </c>
      <c r="H36" s="39">
        <f>IF((COUNTIFS(tblVerifyNcrs[In view],1,tblVerifyNcrs[Closed],"&gt;="&amp;$E$48,tblVerifyNcrs[Closed],"&lt;="&amp;$E$49))=0,"",(SUMIFS(tblVerifyNcrs[Days open],tblVerifyNcrs[In view],1,tblVerifyNcrs[Closed],"&gt;="&amp;$E$48,tblVerifyNcrs[Closed],"&lt;="&amp;$E$49))/(COUNTIFS(tblVerifyNcrs[In view],1,tblVerifyNcrs[Closed],"&gt;="&amp;$E$48,tblVerifyNcrs[Closed],"&lt;="&amp;$E$49)))</f>
        <v>11</v>
      </c>
      <c r="I36" s="72">
        <f>IF(AND(ISNUMBER($G$36),ISNUMBER($H$36)),ABS($H$36-$G$36),"")</f>
        <v>0</v>
      </c>
      <c r="J36" s="73">
        <v>1E-09</v>
      </c>
      <c r="K36" s="41" t="str">
        <f>IF(AND(ISNUMBER($G$36),ISNUMBER($H$36)),IF(ABS($H$36-$G$36)&lt;=$J$36,"PASS","FAIL"),"FAIL")</f>
        <v>PASS</v>
      </c>
    </row>
    <row r="38" spans="2:12" ht="21" customHeight="1">
      <c r="B38" s="8" t="s">
        <v>508</v>
      </c>
      <c r="C38" s="8"/>
      <c r="D38" s="8"/>
      <c r="E38" s="8"/>
      <c r="F38" s="8"/>
      <c r="G38" s="8"/>
      <c r="H38" s="8"/>
      <c r="I38" s="8"/>
      <c r="J38" s="8"/>
      <c r="K38" s="8"/>
      <c r="L38" s="8"/>
    </row>
    <row r="39" spans="2:12" ht="5" customHeight="1"/>
    <row r="40" spans="2:12">
      <c r="B40" s="21" t="s">
        <v>509</v>
      </c>
      <c r="C40" s="21"/>
      <c r="D40" s="21"/>
      <c r="E40" s="21"/>
      <c r="F40" s="21"/>
      <c r="G40" s="21"/>
      <c r="H40" s="21"/>
      <c r="I40" s="21"/>
      <c r="J40" s="21"/>
      <c r="K40" s="21"/>
      <c r="L40" s="21"/>
    </row>
    <row r="41" spans="2:12">
      <c r="B41" s="33" t="s">
        <v>510</v>
      </c>
      <c r="C41" s="33"/>
      <c r="D41" s="33"/>
      <c r="E41" s="33"/>
      <c r="F41" s="33"/>
    </row>
    <row r="42" spans="2:12">
      <c r="B42" s="27" t="s">
        <v>73</v>
      </c>
      <c r="C42" s="27"/>
      <c r="D42" s="27"/>
      <c r="E42" s="76">
        <v>46203</v>
      </c>
      <c r="F42" s="7"/>
    </row>
    <row r="43" spans="2:12">
      <c r="B43" s="27" t="s">
        <v>511</v>
      </c>
      <c r="C43" s="27"/>
      <c r="D43" s="27"/>
      <c r="E43" s="74">
        <v>30</v>
      </c>
      <c r="F43" s="7"/>
    </row>
    <row r="44" spans="2:12">
      <c r="B44" s="27" t="s">
        <v>512</v>
      </c>
      <c r="C44" s="27"/>
      <c r="D44" s="27"/>
      <c r="E44" s="74">
        <v>5</v>
      </c>
      <c r="F44" s="7"/>
    </row>
    <row r="45" spans="2:12">
      <c r="B45" s="27" t="s">
        <v>513</v>
      </c>
      <c r="C45" s="27"/>
      <c r="D45" s="27"/>
      <c r="E45" s="71">
        <v>85</v>
      </c>
      <c r="F45" s="7"/>
    </row>
    <row r="46" spans="2:12">
      <c r="B46" s="27" t="s">
        <v>514</v>
      </c>
      <c r="C46" s="27"/>
      <c r="D46" s="27"/>
      <c r="E46" s="67" t="s">
        <v>515</v>
      </c>
      <c r="F46" s="67"/>
    </row>
    <row r="47" spans="2:12">
      <c r="B47" s="27" t="s">
        <v>516</v>
      </c>
      <c r="C47" s="27"/>
      <c r="D47" s="27"/>
      <c r="E47" s="67" t="s">
        <v>515</v>
      </c>
      <c r="F47" s="67"/>
    </row>
    <row r="48" spans="2:12">
      <c r="B48" s="27" t="s">
        <v>517</v>
      </c>
      <c r="C48" s="27"/>
      <c r="D48" s="27"/>
      <c r="E48" s="74">
        <v>0</v>
      </c>
      <c r="F48" s="7"/>
    </row>
    <row r="49" spans="2:24">
      <c r="B49" s="27" t="s">
        <v>518</v>
      </c>
      <c r="C49" s="27"/>
      <c r="D49" s="27"/>
      <c r="E49" s="76">
        <v>46203</v>
      </c>
      <c r="F49" s="7"/>
    </row>
    <row r="51" spans="2:24">
      <c r="B51" s="33" t="s">
        <v>519</v>
      </c>
      <c r="C51" s="33"/>
      <c r="D51" s="33"/>
      <c r="E51" s="33"/>
      <c r="F51" s="33"/>
      <c r="G51" s="33"/>
      <c r="H51" s="33"/>
      <c r="I51" s="33"/>
      <c r="J51" s="33"/>
      <c r="K51" s="33"/>
      <c r="L51" s="33"/>
    </row>
    <row r="52" spans="2:24" ht="14" customHeight="1">
      <c r="B52" s="36"/>
      <c r="C52" s="36"/>
      <c r="D52" s="36"/>
      <c r="E52" s="36"/>
      <c r="F52" s="36"/>
      <c r="G52" s="36"/>
      <c r="H52" s="36"/>
      <c r="I52" s="36"/>
      <c r="J52" s="36" t="s">
        <v>146</v>
      </c>
      <c r="K52" s="36" t="str">
        <f>Currency&amp;"/part"</f>
        <v>USD/part</v>
      </c>
      <c r="L52" s="36"/>
      <c r="M52" s="36" t="str">
        <f>Currency</f>
        <v>USD</v>
      </c>
      <c r="N52" s="36" t="str">
        <f>Currency</f>
        <v>USD</v>
      </c>
      <c r="O52" s="36"/>
      <c r="P52" s="36"/>
      <c r="Q52" s="36"/>
      <c r="R52" s="36"/>
      <c r="S52" s="36" t="str">
        <f>Currency</f>
        <v>USD</v>
      </c>
      <c r="T52" s="36" t="str">
        <f>Currency</f>
        <v>USD</v>
      </c>
      <c r="U52" s="36" t="s">
        <v>75</v>
      </c>
      <c r="V52" s="36"/>
      <c r="W52" s="36"/>
      <c r="X52" s="36"/>
    </row>
    <row r="53" spans="2:24" ht="32" customHeight="1">
      <c r="B53" s="34" t="s">
        <v>126</v>
      </c>
      <c r="C53" s="34" t="s">
        <v>127</v>
      </c>
      <c r="D53" s="34" t="s">
        <v>62</v>
      </c>
      <c r="E53" s="34" t="s">
        <v>128</v>
      </c>
      <c r="F53" s="34" t="s">
        <v>129</v>
      </c>
      <c r="G53" s="34" t="s">
        <v>64</v>
      </c>
      <c r="H53" s="34" t="s">
        <v>66</v>
      </c>
      <c r="I53" s="34" t="s">
        <v>63</v>
      </c>
      <c r="J53" s="34" t="s">
        <v>130</v>
      </c>
      <c r="K53" s="34" t="s">
        <v>131</v>
      </c>
      <c r="L53" s="34" t="s">
        <v>132</v>
      </c>
      <c r="M53" s="34" t="s">
        <v>133</v>
      </c>
      <c r="N53" s="34" t="s">
        <v>134</v>
      </c>
      <c r="O53" s="34" t="s">
        <v>135</v>
      </c>
      <c r="P53" s="34" t="s">
        <v>136</v>
      </c>
      <c r="Q53" s="34" t="s">
        <v>137</v>
      </c>
      <c r="R53" s="34" t="s">
        <v>138</v>
      </c>
      <c r="S53" s="34" t="s">
        <v>139</v>
      </c>
      <c r="T53" s="34" t="s">
        <v>140</v>
      </c>
      <c r="U53" s="34" t="s">
        <v>141</v>
      </c>
      <c r="V53" s="34" t="s">
        <v>142</v>
      </c>
      <c r="W53" s="34" t="s">
        <v>143</v>
      </c>
      <c r="X53" s="34" t="s">
        <v>144</v>
      </c>
    </row>
    <row r="54" spans="2:24">
      <c r="B54" s="67" t="s">
        <v>520</v>
      </c>
      <c r="C54" s="76">
        <v>46146</v>
      </c>
      <c r="D54" s="67" t="s">
        <v>85</v>
      </c>
      <c r="E54" s="67" t="s">
        <v>521</v>
      </c>
      <c r="F54" s="67" t="s">
        <v>522</v>
      </c>
      <c r="G54" s="67" t="s">
        <v>94</v>
      </c>
      <c r="H54" s="67" t="s">
        <v>109</v>
      </c>
      <c r="I54" s="67" t="s">
        <v>523</v>
      </c>
      <c r="J54" s="74">
        <v>12</v>
      </c>
      <c r="K54" s="71">
        <v>64</v>
      </c>
      <c r="L54" s="67" t="s">
        <v>164</v>
      </c>
      <c r="M54" s="71"/>
      <c r="N54" s="71"/>
      <c r="O54" s="67" t="s">
        <v>175</v>
      </c>
      <c r="P54" s="67"/>
      <c r="Q54" s="76">
        <v>46162</v>
      </c>
      <c r="R54" s="67" t="s">
        <v>95</v>
      </c>
      <c r="S54" s="39">
        <f>IF(tblVerifyNcrs[[#This Row],[Date]]="","",IF(tblVerifyNcrs[[#This Row],[Disposition]]="Scrap",tblVerifyNcrs[[#This Row],[Qty nonconforming]]*tblVerifyNcrs[[#This Row],[Unit cost]],0))</f>
        <v>768</v>
      </c>
      <c r="T54" s="39">
        <f>IF(tblVerifyNcrs[[#This Row],[Date]]="","",tblVerifyNcrs[[#This Row],[Scrap cost]]+N(tblVerifyNcrs[[#This Row],[Rework or repair cost]])+$E$45-N(tblVerifyNcrs[[#This Row],[Recovered]]))</f>
        <v>853</v>
      </c>
      <c r="U54" s="40">
        <f>IF(tblVerifyNcrs[[#This Row],[Date]]="","",IF(N(tblVerifyNcrs[[#This Row],[Closed]])&gt;0,tblVerifyNcrs[[#This Row],[Closed]],$E$42)-tblVerifyNcrs[[#This Row],[Date]])</f>
        <v>16</v>
      </c>
      <c r="V54" s="41" t="str">
        <f>IF(tblVerifyNcrs[[#This Row],[Date]]="","",IF(N(tblVerifyNcrs[[#This Row],[Closed]])&gt;0,"Complete",IF(tblVerifyNcrs[[#This Row],[Date]]+$E$43&lt;$E$42,"Overdue",IF(tblVerifyNcrs[[#This Row],[Date]]+$E$43-$E$42&lt;=$E$44,"Due soon","In progress"))))</f>
        <v>Complete</v>
      </c>
      <c r="W54" s="40">
        <f>IF(tblVerifyNcrs[[#This Row],[Date]]="","",IF(AND(OR($E$46="",tblVerifyNcrs[[#This Row],[Source]]=$E$46),OR($E$47="",tblVerifyNcrs[[#This Row],[Origin]]=$E$47)),1,0))</f>
        <v>1</v>
      </c>
      <c r="X54"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OK</v>
      </c>
    </row>
    <row r="55" spans="2:24">
      <c r="B55" s="67" t="s">
        <v>524</v>
      </c>
      <c r="C55" s="76">
        <v>46153</v>
      </c>
      <c r="D55" s="67" t="s">
        <v>85</v>
      </c>
      <c r="E55" s="67" t="s">
        <v>521</v>
      </c>
      <c r="F55" s="67" t="s">
        <v>522</v>
      </c>
      <c r="G55" s="67" t="s">
        <v>94</v>
      </c>
      <c r="H55" s="67" t="s">
        <v>109</v>
      </c>
      <c r="I55" s="67" t="s">
        <v>523</v>
      </c>
      <c r="J55" s="74">
        <v>5</v>
      </c>
      <c r="K55" s="71">
        <v>118</v>
      </c>
      <c r="L55" s="67" t="s">
        <v>158</v>
      </c>
      <c r="M55" s="71">
        <v>140</v>
      </c>
      <c r="N55" s="71"/>
      <c r="O55" s="67" t="s">
        <v>175</v>
      </c>
      <c r="P55" s="67"/>
      <c r="Q55" s="76">
        <v>46175</v>
      </c>
      <c r="R55" s="67" t="s">
        <v>95</v>
      </c>
      <c r="S55" s="39">
        <f>IF(tblVerifyNcrs[[#This Row],[Date]]="","",IF(tblVerifyNcrs[[#This Row],[Disposition]]="Scrap",tblVerifyNcrs[[#This Row],[Qty nonconforming]]*tblVerifyNcrs[[#This Row],[Unit cost]],0))</f>
        <v>0</v>
      </c>
      <c r="T55" s="39">
        <f>IF(tblVerifyNcrs[[#This Row],[Date]]="","",tblVerifyNcrs[[#This Row],[Scrap cost]]+N(tblVerifyNcrs[[#This Row],[Rework or repair cost]])+$E$45-N(tblVerifyNcrs[[#This Row],[Recovered]]))</f>
        <v>225</v>
      </c>
      <c r="U55" s="40">
        <f>IF(tblVerifyNcrs[[#This Row],[Date]]="","",IF(N(tblVerifyNcrs[[#This Row],[Closed]])&gt;0,tblVerifyNcrs[[#This Row],[Closed]],$E$42)-tblVerifyNcrs[[#This Row],[Date]])</f>
        <v>22</v>
      </c>
      <c r="V55" s="41" t="str">
        <f>IF(tblVerifyNcrs[[#This Row],[Date]]="","",IF(N(tblVerifyNcrs[[#This Row],[Closed]])&gt;0,"Complete",IF(tblVerifyNcrs[[#This Row],[Date]]+$E$43&lt;$E$42,"Overdue",IF(tblVerifyNcrs[[#This Row],[Date]]+$E$43-$E$42&lt;=$E$44,"Due soon","In progress"))))</f>
        <v>Complete</v>
      </c>
      <c r="W55" s="40">
        <f>IF(tblVerifyNcrs[[#This Row],[Date]]="","",IF(AND(OR($E$46="",tblVerifyNcrs[[#This Row],[Source]]=$E$46),OR($E$47="",tblVerifyNcrs[[#This Row],[Origin]]=$E$47)),1,0))</f>
        <v>1</v>
      </c>
      <c r="X55"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OK</v>
      </c>
    </row>
    <row r="56" spans="2:24">
      <c r="B56" s="67" t="s">
        <v>525</v>
      </c>
      <c r="C56" s="76">
        <v>46160</v>
      </c>
      <c r="D56" s="67" t="s">
        <v>85</v>
      </c>
      <c r="E56" s="67" t="s">
        <v>521</v>
      </c>
      <c r="F56" s="67" t="s">
        <v>522</v>
      </c>
      <c r="G56" s="67" t="s">
        <v>103</v>
      </c>
      <c r="H56" s="67" t="s">
        <v>109</v>
      </c>
      <c r="I56" s="67" t="s">
        <v>523</v>
      </c>
      <c r="J56" s="74">
        <v>20</v>
      </c>
      <c r="K56" s="71">
        <v>42.5</v>
      </c>
      <c r="L56" s="67" t="s">
        <v>188</v>
      </c>
      <c r="M56" s="71">
        <v>215</v>
      </c>
      <c r="N56" s="71">
        <v>180</v>
      </c>
      <c r="O56" s="67" t="s">
        <v>175</v>
      </c>
      <c r="P56" s="67"/>
      <c r="Q56" s="76"/>
      <c r="R56" s="67" t="s">
        <v>104</v>
      </c>
      <c r="S56" s="39">
        <f>IF(tblVerifyNcrs[[#This Row],[Date]]="","",IF(tblVerifyNcrs[[#This Row],[Disposition]]="Scrap",tblVerifyNcrs[[#This Row],[Qty nonconforming]]*tblVerifyNcrs[[#This Row],[Unit cost]],0))</f>
        <v>0</v>
      </c>
      <c r="T56" s="39">
        <f>IF(tblVerifyNcrs[[#This Row],[Date]]="","",tblVerifyNcrs[[#This Row],[Scrap cost]]+N(tblVerifyNcrs[[#This Row],[Rework or repair cost]])+$E$45-N(tblVerifyNcrs[[#This Row],[Recovered]]))</f>
        <v>120</v>
      </c>
      <c r="U56" s="40">
        <f>IF(tblVerifyNcrs[[#This Row],[Date]]="","",IF(N(tblVerifyNcrs[[#This Row],[Closed]])&gt;0,tblVerifyNcrs[[#This Row],[Closed]],$E$42)-tblVerifyNcrs[[#This Row],[Date]])</f>
        <v>43</v>
      </c>
      <c r="V56" s="41" t="str">
        <f>IF(tblVerifyNcrs[[#This Row],[Date]]="","",IF(N(tblVerifyNcrs[[#This Row],[Closed]])&gt;0,"Complete",IF(tblVerifyNcrs[[#This Row],[Date]]+$E$43&lt;$E$42,"Overdue",IF(tblVerifyNcrs[[#This Row],[Date]]+$E$43-$E$42&lt;=$E$44,"Due soon","In progress"))))</f>
        <v>Overdue</v>
      </c>
      <c r="W56" s="40">
        <f>IF(tblVerifyNcrs[[#This Row],[Date]]="","",IF(AND(OR($E$46="",tblVerifyNcrs[[#This Row],[Source]]=$E$46),OR($E$47="",tblVerifyNcrs[[#This Row],[Origin]]=$E$47)),1,0))</f>
        <v>1</v>
      </c>
      <c r="X56"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OK</v>
      </c>
    </row>
    <row r="57" spans="2:24">
      <c r="B57" s="67" t="s">
        <v>526</v>
      </c>
      <c r="C57" s="76">
        <v>46171</v>
      </c>
      <c r="D57" s="67" t="s">
        <v>85</v>
      </c>
      <c r="E57" s="67" t="s">
        <v>521</v>
      </c>
      <c r="F57" s="67" t="s">
        <v>522</v>
      </c>
      <c r="G57" s="67" t="s">
        <v>94</v>
      </c>
      <c r="H57" s="67" t="s">
        <v>109</v>
      </c>
      <c r="I57" s="67" t="s">
        <v>523</v>
      </c>
      <c r="J57" s="74">
        <v>2</v>
      </c>
      <c r="K57" s="71">
        <v>236</v>
      </c>
      <c r="L57" s="67"/>
      <c r="M57" s="71"/>
      <c r="N57" s="71"/>
      <c r="O57" s="67" t="s">
        <v>175</v>
      </c>
      <c r="P57" s="67"/>
      <c r="Q57" s="76"/>
      <c r="R57" s="67" t="s">
        <v>95</v>
      </c>
      <c r="S57" s="39">
        <f>IF(tblVerifyNcrs[[#This Row],[Date]]="","",IF(tblVerifyNcrs[[#This Row],[Disposition]]="Scrap",tblVerifyNcrs[[#This Row],[Qty nonconforming]]*tblVerifyNcrs[[#This Row],[Unit cost]],0))</f>
        <v>0</v>
      </c>
      <c r="T57" s="39">
        <f>IF(tblVerifyNcrs[[#This Row],[Date]]="","",tblVerifyNcrs[[#This Row],[Scrap cost]]+N(tblVerifyNcrs[[#This Row],[Rework or repair cost]])+$E$45-N(tblVerifyNcrs[[#This Row],[Recovered]]))</f>
        <v>85</v>
      </c>
      <c r="U57" s="40">
        <f>IF(tblVerifyNcrs[[#This Row],[Date]]="","",IF(N(tblVerifyNcrs[[#This Row],[Closed]])&gt;0,tblVerifyNcrs[[#This Row],[Closed]],$E$42)-tblVerifyNcrs[[#This Row],[Date]])</f>
        <v>32</v>
      </c>
      <c r="V57" s="41" t="str">
        <f>IF(tblVerifyNcrs[[#This Row],[Date]]="","",IF(N(tblVerifyNcrs[[#This Row],[Closed]])&gt;0,"Complete",IF(tblVerifyNcrs[[#This Row],[Date]]+$E$43&lt;$E$42,"Overdue",IF(tblVerifyNcrs[[#This Row],[Date]]+$E$43-$E$42&lt;=$E$44,"Due soon","In progress"))))</f>
        <v>Overdue</v>
      </c>
      <c r="W57" s="40">
        <f>IF(tblVerifyNcrs[[#This Row],[Date]]="","",IF(AND(OR($E$46="",tblVerifyNcrs[[#This Row],[Source]]=$E$46),OR($E$47="",tblVerifyNcrs[[#This Row],[Origin]]=$E$47)),1,0))</f>
        <v>1</v>
      </c>
      <c r="X57"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OK</v>
      </c>
    </row>
    <row r="58" spans="2:24">
      <c r="B58" s="67" t="s">
        <v>527</v>
      </c>
      <c r="C58" s="76">
        <v>46195</v>
      </c>
      <c r="D58" s="67" t="s">
        <v>85</v>
      </c>
      <c r="E58" s="67" t="s">
        <v>521</v>
      </c>
      <c r="F58" s="67" t="s">
        <v>522</v>
      </c>
      <c r="G58" s="67" t="s">
        <v>94</v>
      </c>
      <c r="H58" s="67" t="s">
        <v>109</v>
      </c>
      <c r="I58" s="67" t="s">
        <v>523</v>
      </c>
      <c r="J58" s="74">
        <v>1</v>
      </c>
      <c r="K58" s="71">
        <v>18.5</v>
      </c>
      <c r="L58" s="67" t="s">
        <v>151</v>
      </c>
      <c r="M58" s="71"/>
      <c r="N58" s="71"/>
      <c r="O58" s="67" t="s">
        <v>175</v>
      </c>
      <c r="P58" s="67"/>
      <c r="Q58" s="76">
        <v>46199</v>
      </c>
      <c r="R58" s="67" t="s">
        <v>95</v>
      </c>
      <c r="S58" s="39">
        <f>IF(tblVerifyNcrs[[#This Row],[Date]]="","",IF(tblVerifyNcrs[[#This Row],[Disposition]]="Scrap",tblVerifyNcrs[[#This Row],[Qty nonconforming]]*tblVerifyNcrs[[#This Row],[Unit cost]],0))</f>
        <v>0</v>
      </c>
      <c r="T58" s="39">
        <f>IF(tblVerifyNcrs[[#This Row],[Date]]="","",tblVerifyNcrs[[#This Row],[Scrap cost]]+N(tblVerifyNcrs[[#This Row],[Rework or repair cost]])+$E$45-N(tblVerifyNcrs[[#This Row],[Recovered]]))</f>
        <v>85</v>
      </c>
      <c r="U58" s="40">
        <f>IF(tblVerifyNcrs[[#This Row],[Date]]="","",IF(N(tblVerifyNcrs[[#This Row],[Closed]])&gt;0,tblVerifyNcrs[[#This Row],[Closed]],$E$42)-tblVerifyNcrs[[#This Row],[Date]])</f>
        <v>4</v>
      </c>
      <c r="V58" s="41" t="str">
        <f>IF(tblVerifyNcrs[[#This Row],[Date]]="","",IF(N(tblVerifyNcrs[[#This Row],[Closed]])&gt;0,"Complete",IF(tblVerifyNcrs[[#This Row],[Date]]+$E$43&lt;$E$42,"Overdue",IF(tblVerifyNcrs[[#This Row],[Date]]+$E$43-$E$42&lt;=$E$44,"Due soon","In progress"))))</f>
        <v>Complete</v>
      </c>
      <c r="W58" s="40">
        <f>IF(tblVerifyNcrs[[#This Row],[Date]]="","",IF(AND(OR($E$46="",tblVerifyNcrs[[#This Row],[Source]]=$E$46),OR($E$47="",tblVerifyNcrs[[#This Row],[Origin]]=$E$47)),1,0))</f>
        <v>1</v>
      </c>
      <c r="X58"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OK</v>
      </c>
    </row>
    <row r="59" spans="2:24">
      <c r="B59" s="67" t="s">
        <v>528</v>
      </c>
      <c r="C59" s="76">
        <v>46183</v>
      </c>
      <c r="D59" s="67" t="s">
        <v>85</v>
      </c>
      <c r="E59" s="67" t="s">
        <v>521</v>
      </c>
      <c r="F59" s="67" t="s">
        <v>522</v>
      </c>
      <c r="G59" s="67" t="s">
        <v>94</v>
      </c>
      <c r="H59" s="67" t="s">
        <v>109</v>
      </c>
      <c r="I59" s="67" t="s">
        <v>523</v>
      </c>
      <c r="J59" s="74">
        <v>3</v>
      </c>
      <c r="K59" s="71">
        <v>27</v>
      </c>
      <c r="L59" s="67"/>
      <c r="M59" s="71"/>
      <c r="N59" s="71"/>
      <c r="O59" s="67" t="s">
        <v>175</v>
      </c>
      <c r="P59" s="67"/>
      <c r="Q59" s="76">
        <v>46185</v>
      </c>
      <c r="R59" s="67" t="s">
        <v>95</v>
      </c>
      <c r="S59" s="39">
        <f>IF(tblVerifyNcrs[[#This Row],[Date]]="","",IF(tblVerifyNcrs[[#This Row],[Disposition]]="Scrap",tblVerifyNcrs[[#This Row],[Qty nonconforming]]*tblVerifyNcrs[[#This Row],[Unit cost]],0))</f>
        <v>0</v>
      </c>
      <c r="T59" s="39">
        <f>IF(tblVerifyNcrs[[#This Row],[Date]]="","",tblVerifyNcrs[[#This Row],[Scrap cost]]+N(tblVerifyNcrs[[#This Row],[Rework or repair cost]])+$E$45-N(tblVerifyNcrs[[#This Row],[Recovered]]))</f>
        <v>85</v>
      </c>
      <c r="U59" s="40">
        <f>IF(tblVerifyNcrs[[#This Row],[Date]]="","",IF(N(tblVerifyNcrs[[#This Row],[Closed]])&gt;0,tblVerifyNcrs[[#This Row],[Closed]],$E$42)-tblVerifyNcrs[[#This Row],[Date]])</f>
        <v>2</v>
      </c>
      <c r="V59" s="41" t="str">
        <f>IF(tblVerifyNcrs[[#This Row],[Date]]="","",IF(N(tblVerifyNcrs[[#This Row],[Closed]])&gt;0,"Complete",IF(tblVerifyNcrs[[#This Row],[Date]]+$E$43&lt;$E$42,"Overdue",IF(tblVerifyNcrs[[#This Row],[Date]]+$E$43-$E$42&lt;=$E$44,"Due soon","In progress"))))</f>
        <v>Complete</v>
      </c>
      <c r="W59" s="40">
        <f>IF(tblVerifyNcrs[[#This Row],[Date]]="","",IF(AND(OR($E$46="",tblVerifyNcrs[[#This Row],[Source]]=$E$46),OR($E$47="",tblVerifyNcrs[[#This Row],[Origin]]=$E$47)),1,0))</f>
        <v>1</v>
      </c>
      <c r="X59"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Closed without disposition</v>
      </c>
    </row>
    <row r="60" spans="2:24">
      <c r="B60" s="67" t="s">
        <v>529</v>
      </c>
      <c r="C60" s="76">
        <v>46188</v>
      </c>
      <c r="D60" s="67" t="s">
        <v>85</v>
      </c>
      <c r="E60" s="67" t="s">
        <v>521</v>
      </c>
      <c r="F60" s="67" t="s">
        <v>522</v>
      </c>
      <c r="G60" s="67" t="s">
        <v>94</v>
      </c>
      <c r="H60" s="67" t="s">
        <v>109</v>
      </c>
      <c r="I60" s="67" t="s">
        <v>523</v>
      </c>
      <c r="J60" s="74">
        <v>3</v>
      </c>
      <c r="K60" s="71">
        <v>27</v>
      </c>
      <c r="L60" s="67" t="s">
        <v>158</v>
      </c>
      <c r="M60" s="71">
        <v>20</v>
      </c>
      <c r="N60" s="71">
        <v>400</v>
      </c>
      <c r="O60" s="67" t="s">
        <v>175</v>
      </c>
      <c r="P60" s="67"/>
      <c r="Q60" s="76"/>
      <c r="R60" s="67" t="s">
        <v>95</v>
      </c>
      <c r="S60" s="39">
        <f>IF(tblVerifyNcrs[[#This Row],[Date]]="","",IF(tblVerifyNcrs[[#This Row],[Disposition]]="Scrap",tblVerifyNcrs[[#This Row],[Qty nonconforming]]*tblVerifyNcrs[[#This Row],[Unit cost]],0))</f>
        <v>0</v>
      </c>
      <c r="T60" s="39">
        <f>IF(tblVerifyNcrs[[#This Row],[Date]]="","",tblVerifyNcrs[[#This Row],[Scrap cost]]+N(tblVerifyNcrs[[#This Row],[Rework or repair cost]])+$E$45-N(tblVerifyNcrs[[#This Row],[Recovered]]))</f>
        <v>-295</v>
      </c>
      <c r="U60" s="40">
        <f>IF(tblVerifyNcrs[[#This Row],[Date]]="","",IF(N(tblVerifyNcrs[[#This Row],[Closed]])&gt;0,tblVerifyNcrs[[#This Row],[Closed]],$E$42)-tblVerifyNcrs[[#This Row],[Date]])</f>
        <v>15</v>
      </c>
      <c r="V60" s="41" t="str">
        <f>IF(tblVerifyNcrs[[#This Row],[Date]]="","",IF(N(tblVerifyNcrs[[#This Row],[Closed]])&gt;0,"Complete",IF(tblVerifyNcrs[[#This Row],[Date]]+$E$43&lt;$E$42,"Overdue",IF(tblVerifyNcrs[[#This Row],[Date]]+$E$43-$E$42&lt;=$E$44,"Due soon","In progress"))))</f>
        <v>In progress</v>
      </c>
      <c r="W60" s="40">
        <f>IF(tblVerifyNcrs[[#This Row],[Date]]="","",IF(AND(OR($E$46="",tblVerifyNcrs[[#This Row],[Source]]=$E$46),OR($E$47="",tblVerifyNcrs[[#This Row],[Origin]]=$E$47)),1,0))</f>
        <v>1</v>
      </c>
      <c r="X60" s="42" t="str">
        <f>IF(tblVerifyNcrs[[#This Row],[Date]]="","",IF(tblVerifyNcrs[[#This Row],[NCR no.]]="","Missing ncr no.",IF(tblVerifyNcrs[[#This Row],[Defect type]]="","Missing defect type",IF(tblVerifyNcrs[[#This Row],[Qty nonconforming]]="","Missing qty nonconforming",IF(COUNTIFS(tblVerifyNcrs[NCR no.],tblVerifyNcrs[[#This Row],[NCR no.]])&gt;1,"Duplicate NCR number",IF(tblVerifyNcrs[[#This Row],[Origin type]]="","Origin not on Setup list",IF(AND(N(tblVerifyNcrs[[#This Row],[Closed]])&gt;0,tblVerifyNcrs[[#This Row],[Closed]]&lt;tblVerifyNcrs[[#This Row],[Date]]),"Closed before raised",IF(MAX(tblVerifyNcrs[[#This Row],[Date]],tblVerifyNcrs[[#This Row],[Closed]])&gt;$E$42,"Date after the status date",IF(AND(N(tblVerifyNcrs[[#This Row],[Closed]])&gt;0,tblVerifyNcrs[[#This Row],[Disposition]]=""),"Closed without disposition",IF(N(tblVerifyNcrs[[#This Row],[Recovered]])&gt;tblVerifyNcrs[[#This Row],[Scrap cost]]+N(tblVerifyNcrs[[#This Row],[Rework or repair cost]])+$E$45,"Recovered above cost",IF(AND(tblVerifyNcrs[[#This Row],[CAPA needed]]="Yes",tblVerifyNcrs[[#This Row],[CAPA no.]]="",N(tblVerifyNcrs[[#This Row],[Closed]])&gt;0),"Closed without CAPA number","OK")))))))))))</f>
        <v>Recovered above cost</v>
      </c>
    </row>
  </sheetData>
  <sheetProtection sheet="1" formatColumns="0" formatRows="0"/>
  <mergeCells count="48">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B45:D45"/>
    <mergeCell ref="B46:D46"/>
    <mergeCell ref="E46:F46"/>
    <mergeCell ref="B47:D47"/>
    <mergeCell ref="E47:F47"/>
    <mergeCell ref="B48:D48"/>
    <mergeCell ref="B49:D49"/>
    <mergeCell ref="B51:L5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X54:X60">
    <cfRule type="expression" dxfId="3" priority="41">
      <formula>$X54="OK"</formula>
    </cfRule>
    <cfRule type="expression" dxfId="1" priority="42">
      <formula>AND($X54&lt;&gt;"",$X54&lt;&gt;"OK")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Nonconformance (NCR) Log&amp;R&amp;8&amp;A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Start Here</vt:lpstr>
      <vt:lpstr>Setup</vt:lpstr>
      <vt:lpstr>NCR Log</vt:lpstr>
      <vt:lpstr>Dashboard</vt:lpstr>
      <vt:lpstr>Method</vt:lpstr>
      <vt:lpstr>Verify</vt:lpstr>
      <vt:lpstr>AdminCost</vt:lpstr>
      <vt:lpstr>AsOf</vt:lpstr>
      <vt:lpstr>CloseDays</vt:lpstr>
      <vt:lpstr>Currency</vt:lpstr>
      <vt:lpstr>DashFrom</vt:lpstr>
      <vt:lpstr>DashOrigin</vt:lpstr>
      <vt:lpstr>DashSource</vt:lpstr>
      <vt:lpstr>DashTo</vt:lpstr>
      <vt:lpstr>DueSoonDays</vt:lpstr>
      <vt:lpstr>KpiAvgClose</vt:lpstr>
      <vt:lpstr>KpiClear</vt:lpstr>
      <vt:lpstr>KpiCost</vt:lpstr>
      <vt:lpstr>KpiOpen</vt:lpstr>
      <vt:lpstr>KpiOverdue</vt:lpstr>
      <vt:lpstr>KpiQty</vt:lpstr>
      <vt:lpstr>KpiRaised</vt:lpstr>
      <vt:lpstr>KpiTop</vt:lpstr>
      <vt:lpstr>Dashboard!Print_Area</vt:lpstr>
      <vt:lpstr>Method!Print_Area</vt:lpstr>
      <vt:lpstr>'NCR Log'!Print_Area</vt:lpstr>
      <vt:lpstr>Setup!Print_Area</vt:lpstr>
      <vt:lpstr>'Start Here'!Print_Area</vt:lpstr>
      <vt:lpstr>Verify!Print_Area</vt:lpstr>
      <vt:lpstr>Method!Print_Titles</vt:lpstr>
      <vt:lpstr>'NCR Log'!Print_Titles</vt:lpstr>
      <vt:lpstr>SelfCheck</vt:lpstr>
      <vt:lpstr>SelfCheckSummary</vt:lpstr>
      <vt:lpstr>ShopName</vt:lpstr>
      <vt:lpstr>TargetClear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Nonconformance (NCR) Log - free Excel template from MFG Calcs</dc:title>
  <dc:subject>Log every nonconformance with its disposition and cost, and see what it costs, where it comes from and whether NCRs are being closed as fast as they are raised.</dc:subject>
  <dc:creator>MFG Calcs</dc:creator>
  <cp:keywords>NCR, nonconformance report, nonconforming product, MRB, disposition, scrap, rework, AS9100, ISO 9001</cp:keywords>
  <dc:description>https://www.mfgcalcs.com/templates/nonconformance-ncr-log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nonconformance-ncr-log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https://www.mfgcalcs.com/templates/nonconformance-ncr-log</vt:lpwstr>
  </property>
  <property fmtid="{D5CDD505-2E9C-101B-9397-08002B2CF9AE}" pid="7" name="Template sheet roles">
    <vt:lpwstr>Start Here=start;Setup=setup;NCR Log=work;Dashboard=dashboard;Method=method;Verify=verify</vt:lpwstr>
  </property>
</Properties>
</file>