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hift Log" sheetId="3" r:id="rId3"/>
    <sheet name="Downtime Log" sheetId="4" r:id="rId4"/>
    <sheet name="Dashboard" sheetId="5" r:id="rId5"/>
    <sheet name="Method" sheetId="6" r:id="rId6"/>
    <sheet name="Verify" sheetId="7" r:id="rId7"/>
  </sheets>
  <definedNames>
    <definedName name="Currency">Setup!$C$7</definedName>
    <definedName name="DashFrom">Dashboard!$G$4</definedName>
    <definedName name="DashMachine">Dashboard!$C$4</definedName>
    <definedName name="DashTo">Dashboard!$K$4</definedName>
    <definedName name="FFrom">IF(DashFrom="",0,DashFrom)</definedName>
    <definedName name="FTo">IF(DashTo="",2958465,DashTo)</definedName>
    <definedName name="KpiA">Dashboard!$D$8</definedName>
    <definedName name="KpiDown">Dashboard!$D$30</definedName>
    <definedName name="KpiGood">Dashboard!$B$30</definedName>
    <definedName name="KpiLost">Dashboard!$G$30</definedName>
    <definedName name="KpiOEE">Dashboard!$B$8</definedName>
    <definedName name="KpiP">Dashboard!$G$8</definedName>
    <definedName name="KpiQ">Dashboard!$J$8</definedName>
    <definedName name="KpiTop">Dashboard!$J$30</definedName>
    <definedName name="Machines">tblMachines[Machine]</definedName>
    <definedName name="PlantName">Setup!$C$6</definedName>
    <definedName name="_xlnm.Print_Area" localSheetId="4">Dashboard!$A$1:$L$96</definedName>
    <definedName name="_xlnm.Print_Area" localSheetId="3">'Downtime Log'!$A$1:$J$146</definedName>
    <definedName name="_xlnm.Print_Area" localSheetId="5">Method!$A$1:$D$61</definedName>
    <definedName name="_xlnm.Print_Area" localSheetId="1">Setup!$A$1:$E$50</definedName>
    <definedName name="_xlnm.Print_Area" localSheetId="2">'Shift Log'!$A$1:$U$85</definedName>
    <definedName name="_xlnm.Print_Area" localSheetId="0">'Start Here'!$A$1:$F$57</definedName>
    <definedName name="_xlnm.Print_Area" localSheetId="6">Verify!$A$1:$U$48</definedName>
    <definedName name="_xlnm.Print_Titles" localSheetId="3">'Downtime Log'!$1:$5</definedName>
    <definedName name="_xlnm.Print_Titles" localSheetId="5">Method!$1:$2</definedName>
    <definedName name="_xlnm.Print_Titles" localSheetId="2">'Shift Log'!$1:$5</definedName>
    <definedName name="Products">tblProducts[Product]</definedName>
    <definedName name="Reasons">tblReasons[Reason]</definedName>
    <definedName name="SelfCheck">Verify!$D$4</definedName>
    <definedName name="SelfCheckSummary">Verify!$F$4</definedName>
    <definedName name="ShiftList">tblShiftList[Shift]</definedName>
    <definedName name="TargetA">Setup!$C$10</definedName>
    <definedName name="TargetOEE">Setup!$C$9</definedName>
    <definedName name="TargetP">Setup!$C$11</definedName>
    <definedName name="TargetQ">Setup!$C$12</definedName>
    <definedName name="ValuePerHour">Setup!$C$8</definedName>
  </definedNames>
  <calcPr calcId="124519" fullCalcOnLoad="1"/>
</workbook>
</file>

<file path=xl/sharedStrings.xml><?xml version="1.0" encoding="utf-8"?>
<sst xmlns="http://schemas.openxmlformats.org/spreadsheetml/2006/main" count="1376" uniqueCount="302">
  <si>
    <t>OEE Tracker</t>
  </si>
  <si>
    <t>Read this first: what the workbook does and how to use it.</t>
  </si>
  <si>
    <t>mfgcalcs.com</t>
  </si>
  <si>
    <t>Log every shift and every stop, and see OEE, its three losses and the biggest downtime reasons update as you type.</t>
  </si>
  <si>
    <t>For: Line supervisors, process and continuous-improvement engineers, maintenance leads and plant managers.</t>
  </si>
  <si>
    <t>Version 1.0.0  ·  updated 15 October 2026</t>
  </si>
  <si>
    <t>Quick start</t>
  </si>
  <si>
    <t>1.</t>
  </si>
  <si>
    <t>On Setup, type your plant name and targets, then replace the example machines, shifts, products (with their ideal cycle times) and downtime reasons.</t>
  </si>
  <si>
    <t>2.</t>
  </si>
  <si>
    <t>On Shift Log, add one row per machine per shift: date, shift, machine, product, planned production minutes, total count and good count.</t>
  </si>
  <si>
    <t>3.</t>
  </si>
  <si>
    <t>On Downtime Log, add one row per stop with its reason and minutes. Each shift row picks up its downtime automatically.</t>
  </si>
  <si>
    <t>4.</t>
  </si>
  <si>
    <t>Read the Check columns: anything other than OK names the problem in words.</t>
  </si>
  <si>
    <t>5.</t>
  </si>
  <si>
    <t>Open the Dashboard. Use the machine and date filters at the top to look at one machine or one week.</t>
  </si>
  <si>
    <t>What is in this workbook</t>
  </si>
  <si>
    <t>Start Here</t>
  </si>
  <si>
    <t>Setup</t>
  </si>
  <si>
    <t>Your plant, currency, targets and the dropdown lists.</t>
  </si>
  <si>
    <t>Shift Log</t>
  </si>
  <si>
    <t>One row per machine per shift: planned time and counts. Downtime comes from the Downtime Log.</t>
  </si>
  <si>
    <t>Downtime Log</t>
  </si>
  <si>
    <t>One row per stop inside planned production time, with its reason code and minutes.</t>
  </si>
  <si>
    <t>Dashboard</t>
  </si>
  <si>
    <t>OEE, its three losses and the biggest downtime reasons, for the machine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</si>
  <si>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</si>
  <si>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</si>
  <si>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</si>
  <si>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</si>
  <si>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</si>
  <si>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</si>
  <si>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</si>
  <si>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</si>
  <si>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</si>
  <si>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</si>
  <si>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</si>
  <si>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</si>
  <si>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</si>
  <si>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</si>
  <si>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</si>
  <si>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</si>
  <si>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</si>
  <si>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</si>
  <si>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</si>
  <si>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</si>
  <si>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OEE Calculator on mfgcalcs.com</t>
  </si>
  <si>
    <t>Latest version</t>
  </si>
  <si>
    <t>mfgcalcs.com/templates/oee-tracker</t>
  </si>
  <si>
    <t>More free templates</t>
  </si>
  <si>
    <t>mfgcalcs.com/templates</t>
  </si>
  <si>
    <t>Version</t>
  </si>
  <si>
    <t>1.0.0 (updated 15 October 2026)</t>
  </si>
  <si>
    <t>About the example data</t>
  </si>
  <si>
    <t>Every number already in this workbook is example data for Riverside Plastics, a fictional business invented for this template, so the dashboard and charts show something meaningful on day one. It covers four injection moulding presses on two shifts over ten working days (7 to 18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</si>
  <si>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</si>
  <si>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</si>
  <si>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</si>
  <si>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</si>
  <si>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</si>
  <si>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</si>
  <si>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</si>
  <si>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</si>
  <si>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Machine</t>
  </si>
  <si>
    <t>Area</t>
  </si>
  <si>
    <t>Description</t>
  </si>
  <si>
    <t>Shift</t>
  </si>
  <si>
    <t>Hours</t>
  </si>
  <si>
    <t>Notes</t>
  </si>
  <si>
    <t>Product</t>
  </si>
  <si>
    <t>Ideal cycle (s/unit)</t>
  </si>
  <si>
    <t>Reason</t>
  </si>
  <si>
    <t>Loss category</t>
  </si>
  <si>
    <t>Definition</t>
  </si>
  <si>
    <t>Plant and targets</t>
  </si>
  <si>
    <t>Plant or line name</t>
  </si>
  <si>
    <t>Riverside Plastics (example)</t>
  </si>
  <si>
    <t>Currency label</t>
  </si>
  <si>
    <t>USD</t>
  </si>
  <si>
    <t>Value of one production hour</t>
  </si>
  <si>
    <t>OEE target</t>
  </si>
  <si>
    <t>Availability target</t>
  </si>
  <si>
    <t>Performance target</t>
  </si>
  <si>
    <t>Quality target</t>
  </si>
  <si>
    <t>Targets are yours to set; nothing in this workbook assumes an industry benchmark. 'Near target' means within 5% of the target (66.5% to 70% against a 70% OEE target).</t>
  </si>
  <si>
    <t>Lists that feed the dropdowns</t>
  </si>
  <si>
    <t>Edit, add or remove rows; every dropdown on the logs reads these lists. Keep names unique, and rename with care: log rows that use an old name stop matching (their Check column says so).</t>
  </si>
  <si>
    <t>Machines</t>
  </si>
  <si>
    <t>IM-01</t>
  </si>
  <si>
    <t>Line 1</t>
  </si>
  <si>
    <t>150 t injection press</t>
  </si>
  <si>
    <t>IM-02</t>
  </si>
  <si>
    <t>150 t injection press with sprue picker</t>
  </si>
  <si>
    <t>IM-03</t>
  </si>
  <si>
    <t>Line 2</t>
  </si>
  <si>
    <t>300 t injection press, robot unload</t>
  </si>
  <si>
    <t>IM-04</t>
  </si>
  <si>
    <t>Shifts</t>
  </si>
  <si>
    <t>Day</t>
  </si>
  <si>
    <t>06:00 to 14:30</t>
  </si>
  <si>
    <t>30 min break and 30 min handover are not planned time</t>
  </si>
  <si>
    <t>Night</t>
  </si>
  <si>
    <t>22:00 to 06:30</t>
  </si>
  <si>
    <t>Products and ideal cycle times</t>
  </si>
  <si>
    <t>Bezel B-118</t>
  </si>
  <si>
    <t>4-cavity mould, 32 s shot</t>
  </si>
  <si>
    <t>Clip L-12</t>
  </si>
  <si>
    <t>8-cavity mould, 24 s shot</t>
  </si>
  <si>
    <t>Housing H-210</t>
  </si>
  <si>
    <t>2-cavity mould, 24 s shot</t>
  </si>
  <si>
    <t>Cover C-90</t>
  </si>
  <si>
    <t>1-cavity mould, 20 s shot</t>
  </si>
  <si>
    <t>Bracket K-55</t>
  </si>
  <si>
    <t>4-cavity mould, 24 s shot</t>
  </si>
  <si>
    <t>Downtime reason codes</t>
  </si>
  <si>
    <t>Mould change</t>
  </si>
  <si>
    <t>Changeover</t>
  </si>
  <si>
    <t>Last good part to first good part of the next product</t>
  </si>
  <si>
    <t>Material shortage</t>
  </si>
  <si>
    <t>Material</t>
  </si>
  <si>
    <t>No resin, colour or inserts at the press</t>
  </si>
  <si>
    <t>Hydraulic fault</t>
  </si>
  <si>
    <t>Breakdown</t>
  </si>
  <si>
    <t>Leak, pressure or pump fault until handed back</t>
  </si>
  <si>
    <t>Electrical fault</t>
  </si>
  <si>
    <t>Heater band, thermocouple, drive or control fault</t>
  </si>
  <si>
    <t>Mould repair</t>
  </si>
  <si>
    <t>Unplanned tool work in the press</t>
  </si>
  <si>
    <t>Robot fault</t>
  </si>
  <si>
    <t>Unload robot or sprue picker stop</t>
  </si>
  <si>
    <t>Start-up and purge</t>
  </si>
  <si>
    <t>Heat-up and purge after a stop, until parts are good</t>
  </si>
  <si>
    <t>Quality hold</t>
  </si>
  <si>
    <t>Quality</t>
  </si>
  <si>
    <t>Press stopped pending a quality decision</t>
  </si>
  <si>
    <t>Waiting for operator</t>
  </si>
  <si>
    <t>Labour</t>
  </si>
  <si>
    <t>Press ready but unattended</t>
  </si>
  <si>
    <t>Other</t>
  </si>
  <si>
    <t>Anything else; say what in the Notes</t>
  </si>
  <si>
    <t>Date</t>
  </si>
  <si>
    <t>Planned (min)</t>
  </si>
  <si>
    <t>Total (units)</t>
  </si>
  <si>
    <t>Good (units)</t>
  </si>
  <si>
    <t>Downtime (min)</t>
  </si>
  <si>
    <t>Run (min)</t>
  </si>
  <si>
    <t>Net run (min)</t>
  </si>
  <si>
    <t>Productive (min)</t>
  </si>
  <si>
    <t>Availability</t>
  </si>
  <si>
    <t>Performance</t>
  </si>
  <si>
    <t>OEE</t>
  </si>
  <si>
    <t>OEE status</t>
  </si>
  <si>
    <t>View date</t>
  </si>
  <si>
    <t>Check</t>
  </si>
  <si>
    <t>Example data for Riverside Plastics (fictional). Replace it with your own: select the example rows, right-click, Delete &gt; Table Rows. Yellow = you type; blue = calculated; Check names any problem.</t>
  </si>
  <si>
    <t/>
  </si>
  <si>
    <t>Changed over to Bezel B-118</t>
  </si>
  <si>
    <t>Changed over to Cover C-90</t>
  </si>
  <si>
    <t>Changed over to Housing H-210</t>
  </si>
  <si>
    <t>Changed over to Clip L-12</t>
  </si>
  <si>
    <t>Changed over to Bracket K-55</t>
  </si>
  <si>
    <t>Minutes</t>
  </si>
  <si>
    <t>Example data for Riverside Plastics (fictional). A stop counts against the shift row with the same date, shift and machine; Check flags stops that match no shift.</t>
  </si>
  <si>
    <t>From</t>
  </si>
  <si>
    <t>To</t>
  </si>
  <si>
    <t>AVAILABILITY</t>
  </si>
  <si>
    <t>PERFORMANCE</t>
  </si>
  <si>
    <t>QUALITY</t>
  </si>
  <si>
    <t>GOOD UNITS</t>
  </si>
  <si>
    <t>DOWNTIME HOURS</t>
  </si>
  <si>
    <t>BIGGEST DOWNTIME REASON</t>
  </si>
  <si>
    <t>First-pass good count in view</t>
  </si>
  <si>
    <t>Logged stops in view</t>
  </si>
  <si>
    <t>Lost hours x value per hour (Setup)</t>
  </si>
  <si>
    <t>Ranked by minutes, see the Pareto</t>
  </si>
  <si>
    <t>Daily summary (last 10 production days in view)</t>
  </si>
  <si>
    <t>Planned (h)</t>
  </si>
  <si>
    <t>Downtime (h)</t>
  </si>
  <si>
    <t>By machine</t>
  </si>
  <si>
    <t>Productive (h)</t>
  </si>
  <si>
    <t>Availability loss (h)</t>
  </si>
  <si>
    <t>Performance loss (h)</t>
  </si>
  <si>
    <t>Quality loss (h)</t>
  </si>
  <si>
    <t>By shift</t>
  </si>
  <si>
    <t>Downtime by reason (Pareto)</t>
  </si>
  <si>
    <t>Avail.</t>
  </si>
  <si>
    <t>Perf.</t>
  </si>
  <si>
    <t>Rank</t>
  </si>
  <si>
    <t>Share</t>
  </si>
  <si>
    <t>Cumulative</t>
  </si>
  <si>
    <t>Helper: Reason (list order)</t>
  </si>
  <si>
    <t>Helper: value (-1 = unused slot)</t>
  </si>
  <si>
    <t>Helper: rank, ties by list order</t>
  </si>
  <si>
    <t>min</t>
  </si>
  <si>
    <t>%</t>
  </si>
  <si>
    <t>Total</t>
  </si>
  <si>
    <t>Weekly summary (newest first)</t>
  </si>
  <si>
    <t>Week starting (Mon)</t>
  </si>
  <si>
    <t>The Dashboard shows the 4 machines and 10 reasons of the Setup lists. If you add more, extend the 'By machine' and Pareto blocks (see Method) or they will not appear here.</t>
  </si>
  <si>
    <t>What this workbook calculates</t>
  </si>
  <si>
    <t>Overall Equipment Effectiveness (OEE) is the share of planned production time that produced good units at the ideal rate. This workbook builds it from a time model, one shift row at a time: planned time, minus logged downtime, gives run time; ideal cycle time multiplied by the total count gives net run time; ideal cycle time multiplied by the good count gives productive time. Each loss is the gap between two of those times, so availability x performance x quality equals OEE exactly, for one shift or for any filter on the Dashboard.</t>
  </si>
  <si>
    <t>Calculations</t>
  </si>
  <si>
    <t>Quantity</t>
  </si>
  <si>
    <t>How it is calculated</t>
  </si>
  <si>
    <t>Units</t>
  </si>
  <si>
    <t>Planned time</t>
  </si>
  <si>
    <t>Typed per shift row: shift length minus planned stops (breaks, meetings, planned maintenance, no-demand time).</t>
  </si>
  <si>
    <t>Downtime</t>
  </si>
  <si>
    <t>Sum of the Downtime Log minutes with the same date, shift and machine.
Excel: =SUMIFS(tblDowntime[Minutes], tblDowntime[Date], [@Date], tblDowntime[Shift], [@Shift], tblDowntime[Machine], [@Machine])</t>
  </si>
  <si>
    <t>Run time</t>
  </si>
  <si>
    <t>Planned time - downtime.</t>
  </si>
  <si>
    <t>Ideal cycle time</t>
  </si>
  <si>
    <t>Looked up from the Products list on Setup by product (INDEX/MATCH). Seconds per unit at the fastest sustainable rate; for a multi-cavity mould, shot time divided by cavities.</t>
  </si>
  <si>
    <t>s/unit</t>
  </si>
  <si>
    <t>Net run time</t>
  </si>
  <si>
    <t>Ideal cycle time x total count / 60: the time the units made would have taken at the ideal rate.</t>
  </si>
  <si>
    <t>Productive time</t>
  </si>
  <si>
    <t>Ideal cycle time x good count / 60: the time the good units would have taken at the ideal rate.</t>
  </si>
  <si>
    <t>Run time / planned time.</t>
  </si>
  <si>
    <t>Net run time / run time (= ideal cycle x total / run time). Above 100% means the ideal cycle time is set too slow, and the Check column says so.</t>
  </si>
  <si>
    <t>Good count / total count for a row. Over several rows: productive time / net run time, which weights each product by its ideal cycle so the three factors still multiply to OEE.</t>
  </si>
  <si>
    <t>Productive time / planned time = ideal cycle x good count / (planned minutes x 60) = availability x performance x quality.</t>
  </si>
  <si>
    <t>Dashboard roll-ups</t>
  </si>
  <si>
    <t>Every Dashboard figure is a SUMIFS over the log columns restricted to rows whose View date is filled in (the row is inside the machine and date filters), e.g. OEE = SUMIFS(Productive) / SUMIFS(Planned).</t>
  </si>
  <si>
    <t>-</t>
  </si>
  <si>
    <t>Availability, performance and quality loss</t>
  </si>
  <si>
    <t>Downtime; run time - net run time; net run time - productive time. Together with productive time they add up to planned time.</t>
  </si>
  <si>
    <t>h</t>
  </si>
  <si>
    <t>Value of lost time</t>
  </si>
  <si>
    <t>(Planned time - productive time) in hours x the value of one hour from Setup. An estimate in your currency; no exchange rate is applied.</t>
  </si>
  <si>
    <t>currency</t>
  </si>
  <si>
    <t>Pareto</t>
  </si>
  <si>
    <t>Downtime minutes per reason code, ranked largest first by COUNTIF ranks (ties keep list order), with each reason's share and the cumulative share. Helper columns AO:AQ on the Dashboard (hidden) hold the unsorted values and ranks.</t>
  </si>
  <si>
    <t>min, %</t>
  </si>
  <si>
    <t>Assumptions</t>
  </si>
  <si>
    <t>One product per shift row. If a press runs two products in a shift, split the shift into two rows with their own planned minutes.</t>
  </si>
  <si>
    <t>Ideal cycle time is per product and the same on every machine that runs it.</t>
  </si>
  <si>
    <t>All logged downtime falls inside planned production time; planned stops are excluded from planned time, not logged as downtime.</t>
  </si>
  <si>
    <t>Good count is first-pass good: reworked units count as total but not good.</t>
  </si>
  <si>
    <t>Limitations</t>
  </si>
  <si>
    <t>Minor stops and slow running are not logged individually; they show up together as performance loss.</t>
  </si>
  <si>
    <t>The Dashboard has fixed blocks for the number of machines and reasons in the example lists; longer lists need the blocks extended (a warning appears on the Dashboard).</t>
  </si>
  <si>
    <t>Daily and weekly blocks show the last 10 production days and 6 weeks inside the filters.</t>
  </si>
  <si>
    <t>OEE compares a machine with itself; it is not a fair league table across machines with different ideal cycle times or product mixes.</t>
  </si>
  <si>
    <t>Agreement with the live calculator</t>
  </si>
  <si>
    <t>For one shift row, this workbook and the live OEE Calculator use the same inputs and formulas: run time = planned - downtime; availability = run / planned; performance = ideal cycle x total / (run x 60); quality = good / total; OEE = ideal cycle x good / (planned x 60). The calculator works on one run; this workbook adds the logs, the roll-ups and the Dashboard. The template's reference implementation is checked against the calculator's engine for the calculator's own worked example (480 min planned, 60 min down, 30 s ideal cycle, 700 made, 665 good: OEE 69.27%) on every build.</t>
  </si>
  <si>
    <t>Open the OEE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</si>
  <si>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</si>
  <si>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</si>
  <si>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22400-2:2014, Automation systems and integration - Key performance indicators for manufacturing operations management - Part 2: Definitions and descriptions (time model and OEE index).</t>
  </si>
  <si>
    <t>Nakajima, S., Introduction to TPM: Total Productive Maintenance, Productivity Press, 1988 (availability x performance x quality).</t>
  </si>
  <si>
    <t>MFG Calcs OEE Calculator (oee-calculator): the same formulas for a single run.</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</si>
  <si>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</si>
  <si>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</si>
  <si>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</si>
  <si>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</si>
  <si>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</si>
  <si>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</si>
  <si>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</si>
  <si>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</si>
  <si>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</si>
  <si>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</si>
  <si>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</si>
  <si>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</si>
  <si>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</si>
  <si>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</si>
  <si>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</si>
  <si>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Availability</t>
  </si>
  <si>
    <t>Row 1 (calculator example): Performance</t>
  </si>
  <si>
    <t>Row 1 (calculator example): Quality</t>
  </si>
  <si>
    <t>Row 1 (calculator example): OEE</t>
  </si>
  <si>
    <t>Row 2 (night shift): Availability</t>
  </si>
  <si>
    <t>Row 2 (night shift): Performance</t>
  </si>
  <si>
    <t>Row 2 (night shift): Quality</t>
  </si>
  <si>
    <t>Row 2 (night shift): OEE</t>
  </si>
  <si>
    <t>Row 3 (no downtime): Availability</t>
  </si>
  <si>
    <t>Row 3 (no downtime): Performance</t>
  </si>
  <si>
    <t>Row 3 (no downtime): Quality</t>
  </si>
  <si>
    <t>Row 3 (no downtime): OEE</t>
  </si>
  <si>
    <t>Row 1: OEE status against a 70% target</t>
  </si>
  <si>
    <t>Near target</t>
  </si>
  <si>
    <t>exact</t>
  </si>
  <si>
    <t>Row 4: Check reports good &gt; total</t>
  </si>
  <si>
    <t>Good &gt; total</t>
  </si>
  <si>
    <t>All rows: OEE (Dashboard formula)</t>
  </si>
  <si>
    <t>All rows: availability (Dashboard formula)</t>
  </si>
  <si>
    <t>All rows: performance (Dashboard formula)</t>
  </si>
  <si>
    <t>All rows: quality (Dashboard formula)</t>
  </si>
  <si>
    <t>All rows: availability x performance x quality = OEE</t>
  </si>
  <si>
    <t>Fixed test inputs</t>
  </si>
  <si>
    <t>White cells are fixed test inputs; blue cells are the workbook's formulas evaluated on them.</t>
  </si>
  <si>
    <t>Parameters</t>
  </si>
  <si>
    <t>Filter: from (0 = no limit)</t>
  </si>
  <si>
    <t>Filter: to (2958465 = no limit)</t>
  </si>
  <si>
    <t>Filter: machine (blank = all)</t>
  </si>
  <si>
    <t>Test table: Shifts</t>
  </si>
  <si>
    <t>M1</t>
  </si>
  <si>
    <t>P1</t>
  </si>
  <si>
    <t>P2</t>
  </si>
  <si>
    <t>M2</t>
  </si>
  <si>
    <t>P3</t>
  </si>
</sst>
</file>

<file path=xl/styles.xml><?xml version="1.0" encoding="utf-8"?>
<styleSheet xmlns="http://schemas.openxmlformats.org/spreadsheetml/2006/main">
  <numFmts count="8">
    <numFmt numFmtId="164" formatCode="#,##0.00"/>
    <numFmt numFmtId="165" formatCode="0.0%"/>
    <numFmt numFmtId="166" formatCode="d mmm yyyy"/>
    <numFmt numFmtId="167" formatCode="#,##0"/>
    <numFmt numFmtId="168" formatCode="#,##0.0"/>
    <numFmt numFmtId="169" formatCode="&quot;Target &quot;0.0%"/>
    <numFmt numFmtId="170" formatCode="ddd d mmm"/>
    <numFmt numFmtId="171"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7"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23" fillId="9" borderId="7" xfId="0" applyFont="1" applyFill="1" applyBorder="1" applyAlignment="1">
      <alignment vertical="center"/>
    </xf>
    <xf numFmtId="0" fontId="18" fillId="2" borderId="5" xfId="0" applyFont="1" applyFill="1" applyBorder="1" applyAlignment="1">
      <alignment horizontal="left" vertical="center" wrapText="1"/>
    </xf>
    <xf numFmtId="170" fontId="9" fillId="0" borderId="9" xfId="0" applyNumberFormat="1" applyFont="1" applyBorder="1" applyAlignment="1">
      <alignment vertical="center"/>
    </xf>
    <xf numFmtId="165" fontId="10" fillId="0" borderId="9" xfId="0" applyNumberFormat="1" applyFont="1" applyBorder="1" applyAlignment="1">
      <alignment vertical="center"/>
    </xf>
    <xf numFmtId="0" fontId="9" fillId="0" borderId="9" xfId="0" applyFont="1" applyBorder="1" applyAlignment="1">
      <alignment vertical="center"/>
    </xf>
    <xf numFmtId="0" fontId="21" fillId="0" borderId="0" xfId="0" applyFont="1" applyAlignment="1">
      <alignment horizontal="center" vertical="center"/>
    </xf>
    <xf numFmtId="167" fontId="9" fillId="0" borderId="9" xfId="0" applyNumberFormat="1" applyFont="1" applyBorder="1" applyAlignment="1">
      <alignment horizontal="center" vertical="center"/>
    </xf>
    <xf numFmtId="167" fontId="10" fillId="0" borderId="0" xfId="0" applyNumberFormat="1" applyFont="1" applyAlignment="1">
      <alignment vertical="center"/>
    </xf>
    <xf numFmtId="0" fontId="9" fillId="4" borderId="10" xfId="0" applyFont="1" applyFill="1" applyBorder="1" applyAlignment="1">
      <alignment vertical="center"/>
    </xf>
    <xf numFmtId="167" fontId="9" fillId="4" borderId="10" xfId="0" applyNumberFormat="1" applyFont="1" applyFill="1" applyBorder="1" applyAlignment="1">
      <alignment vertical="center"/>
    </xf>
    <xf numFmtId="166"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7" fontId="10" fillId="0" borderId="9" xfId="0" applyNumberFormat="1" applyFont="1" applyBorder="1" applyAlignment="1">
      <alignment vertical="center"/>
    </xf>
    <xf numFmtId="166" fontId="10" fillId="0" borderId="9" xfId="0" applyNumberFormat="1" applyFont="1" applyBorder="1" applyAlignment="1">
      <alignment vertical="center"/>
    </xf>
    <xf numFmtId="164"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OEE by day</a:t>
            </a:r>
          </a:p>
        </c:rich>
      </c:tx>
      <c:layout/>
    </c:title>
    <c:plotArea>
      <c:layout/>
      <c:barChart>
        <c:barDir val="col"/>
        <c:grouping val="clustered"/>
        <c:ser>
          <c:idx val="0"/>
          <c:order val="0"/>
          <c:tx>
            <c:v>OEE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Dashboard!$B$53:$B$62</c:f>
              <c:numCache>
                <c:formatCode>General</c:formatCode>
                <c:ptCount val="10"/>
                <c:pt idx="0">
                  <c:v>46272</c:v>
                </c:pt>
                <c:pt idx="1">
                  <c:v>46273</c:v>
                </c:pt>
                <c:pt idx="2">
                  <c:v>46274</c:v>
                </c:pt>
                <c:pt idx="3">
                  <c:v>46275</c:v>
                </c:pt>
                <c:pt idx="4">
                  <c:v>46276</c:v>
                </c:pt>
                <c:pt idx="5">
                  <c:v>46279</c:v>
                </c:pt>
                <c:pt idx="6">
                  <c:v>46280</c:v>
                </c:pt>
                <c:pt idx="7">
                  <c:v>46281</c:v>
                </c:pt>
                <c:pt idx="8">
                  <c:v>46282</c:v>
                </c:pt>
                <c:pt idx="9">
                  <c:v>46283</c:v>
                </c:pt>
              </c:numCache>
            </c:numRef>
          </c:cat>
          <c:val>
            <c:numRef>
              <c:f>Dashboard!$I$53:$I$62</c:f>
              <c:numCache>
                <c:formatCode>General</c:formatCode>
                <c:ptCount val="10"/>
                <c:pt idx="0">
                  <c:v>0.692185185185185</c:v>
                </c:pt>
                <c:pt idx="1">
                  <c:v>0.741222222222222</c:v>
                </c:pt>
                <c:pt idx="2">
                  <c:v>0.774574074074074</c:v>
                </c:pt>
                <c:pt idx="3">
                  <c:v>0.768074074074074</c:v>
                </c:pt>
                <c:pt idx="4">
                  <c:v>0.709013888888889</c:v>
                </c:pt>
                <c:pt idx="5">
                  <c:v>0.711425925925926</c:v>
                </c:pt>
                <c:pt idx="6">
                  <c:v>0.706296296296296</c:v>
                </c:pt>
                <c:pt idx="7">
                  <c:v>0.613162037037037</c:v>
                </c:pt>
                <c:pt idx="8">
                  <c:v>0.709305555555556</c:v>
                </c:pt>
                <c:pt idx="9">
                  <c:v>0.654523148148148</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Dashboard!$B$53:$B$62</c:f>
              <c:numCache>
                <c:formatCode>General</c:formatCode>
                <c:ptCount val="10"/>
                <c:pt idx="0">
                  <c:v>46272</c:v>
                </c:pt>
                <c:pt idx="1">
                  <c:v>46273</c:v>
                </c:pt>
                <c:pt idx="2">
                  <c:v>46274</c:v>
                </c:pt>
                <c:pt idx="3">
                  <c:v>46275</c:v>
                </c:pt>
                <c:pt idx="4">
                  <c:v>46276</c:v>
                </c:pt>
                <c:pt idx="5">
                  <c:v>46279</c:v>
                </c:pt>
                <c:pt idx="6">
                  <c:v>46280</c:v>
                </c:pt>
                <c:pt idx="7">
                  <c:v>46281</c:v>
                </c:pt>
                <c:pt idx="8">
                  <c:v>46282</c:v>
                </c:pt>
                <c:pt idx="9">
                  <c:v>46283</c:v>
                </c:pt>
              </c:numCache>
            </c:numRef>
          </c:cat>
          <c:val>
            <c:numRef>
              <c:f>Dashboard!$J$53:$J$62</c:f>
              <c:numCache>
                <c:formatCode>General</c:formatCode>
                <c:ptCount val="10"/>
                <c:pt idx="0">
                  <c:v>0.7</c:v>
                </c:pt>
                <c:pt idx="1">
                  <c:v>0.7</c:v>
                </c:pt>
                <c:pt idx="2">
                  <c:v>0.7</c:v>
                </c:pt>
                <c:pt idx="3">
                  <c:v>0.7</c:v>
                </c:pt>
                <c:pt idx="4">
                  <c:v>0.7</c:v>
                </c:pt>
                <c:pt idx="5">
                  <c:v>0.7</c:v>
                </c:pt>
                <c:pt idx="6">
                  <c:v>0.7</c:v>
                </c:pt>
                <c:pt idx="7">
                  <c:v>0.7</c:v>
                </c:pt>
                <c:pt idx="8">
                  <c:v>0.7</c:v>
                </c:pt>
                <c:pt idx="9">
                  <c:v>0.7</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OEE by machine</a:t>
            </a:r>
          </a:p>
        </c:rich>
      </c:tx>
      <c:layout/>
    </c:title>
    <c:plotArea>
      <c:layout/>
      <c:barChart>
        <c:barDir val="col"/>
        <c:grouping val="clustered"/>
        <c:ser>
          <c:idx val="0"/>
          <c:order val="0"/>
          <c:tx>
            <c:v>OEE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Dashboard!$B$66:$B$69</c:f>
              <c:strCache>
                <c:ptCount val="4"/>
                <c:pt idx="0">
                  <c:v>IM-01</c:v>
                </c:pt>
                <c:pt idx="1">
                  <c:v>IM-02</c:v>
                </c:pt>
                <c:pt idx="2">
                  <c:v>IM-03</c:v>
                </c:pt>
                <c:pt idx="3">
                  <c:v>IM-04</c:v>
                </c:pt>
              </c:strCache>
            </c:strRef>
          </c:cat>
          <c:val>
            <c:numRef>
              <c:f>Dashboard!$H$66:$H$69</c:f>
              <c:numCache>
                <c:formatCode>General</c:formatCode>
                <c:ptCount val="4"/>
                <c:pt idx="0">
                  <c:v>0.732174074074074</c:v>
                </c:pt>
                <c:pt idx="1">
                  <c:v>0.734901851851852</c:v>
                </c:pt>
                <c:pt idx="2">
                  <c:v>0.629985185185185</c:v>
                </c:pt>
                <c:pt idx="3">
                  <c:v>0.734851851851852</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strRef>
              <c:f>Dashboard!$B$66:$B$69</c:f>
              <c:strCache>
                <c:ptCount val="4"/>
                <c:pt idx="0">
                  <c:v>IM-01</c:v>
                </c:pt>
                <c:pt idx="1">
                  <c:v>IM-02</c:v>
                </c:pt>
                <c:pt idx="2">
                  <c:v>IM-03</c:v>
                </c:pt>
                <c:pt idx="3">
                  <c:v>IM-04</c:v>
                </c:pt>
              </c:strCache>
            </c:strRef>
          </c:cat>
          <c:val>
            <c:numRef>
              <c:f>Dashboard!$I$66:$I$69</c:f>
              <c:numCache>
                <c:formatCode>General</c:formatCode>
                <c:ptCount val="4"/>
                <c:pt idx="0">
                  <c:v>0.7</c:v>
                </c:pt>
                <c:pt idx="1">
                  <c:v>0.7</c:v>
                </c:pt>
                <c:pt idx="2">
                  <c:v>0.7</c:v>
                </c:pt>
                <c:pt idx="3">
                  <c:v>0.7</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planned time went, by machine (hours)</a:t>
            </a:r>
          </a:p>
        </c:rich>
      </c:tx>
      <c:layout/>
    </c:title>
    <c:plotArea>
      <c:layout/>
      <c:barChart>
        <c:barDir val="bar"/>
        <c:grouping val="stacked"/>
        <c:ser>
          <c:idx val="0"/>
          <c:order val="0"/>
          <c:tx>
            <c:v>Productive</c:v>
          </c:tx>
          <c:spPr>
            <a:solidFill>
              <a:srgbClr val="3B64D8"/>
            </a:solidFill>
            <a:ln w="9525">
              <a:solidFill>
                <a:srgbClr val="FFFFFF"/>
              </a:solidFill>
            </a:ln>
          </c:spPr>
          <c:cat>
            <c:strRef>
              <c:f>Dashboard!$B$66:$B$69</c:f>
              <c:strCache>
                <c:ptCount val="4"/>
                <c:pt idx="0">
                  <c:v>IM-01</c:v>
                </c:pt>
                <c:pt idx="1">
                  <c:v>IM-02</c:v>
                </c:pt>
                <c:pt idx="2">
                  <c:v>IM-03</c:v>
                </c:pt>
                <c:pt idx="3">
                  <c:v>IM-04</c:v>
                </c:pt>
              </c:strCache>
            </c:strRef>
          </c:cat>
          <c:val>
            <c:numRef>
              <c:f>Dashboard!$D$66:$D$69</c:f>
              <c:numCache>
                <c:formatCode>General</c:formatCode>
                <c:ptCount val="4"/>
                <c:pt idx="0">
                  <c:v>109.826111111111</c:v>
                </c:pt>
                <c:pt idx="1">
                  <c:v>110.235277777778</c:v>
                </c:pt>
                <c:pt idx="2">
                  <c:v>94.4977777777778</c:v>
                </c:pt>
                <c:pt idx="3">
                  <c:v>110.227777777778</c:v>
                </c:pt>
              </c:numCache>
            </c:numRef>
          </c:val>
        </c:ser>
        <c:ser>
          <c:idx val="1"/>
          <c:order val="1"/>
          <c:tx>
            <c:v>Availability loss</c:v>
          </c:tx>
          <c:spPr>
            <a:solidFill>
              <a:srgbClr val="E8702A"/>
            </a:solidFill>
            <a:ln w="9525">
              <a:solidFill>
                <a:srgbClr val="FFFFFF"/>
              </a:solidFill>
            </a:ln>
          </c:spPr>
          <c:cat>
            <c:strRef>
              <c:f>Dashboard!$B$66:$B$69</c:f>
              <c:strCache>
                <c:ptCount val="4"/>
                <c:pt idx="0">
                  <c:v>IM-01</c:v>
                </c:pt>
                <c:pt idx="1">
                  <c:v>IM-02</c:v>
                </c:pt>
                <c:pt idx="2">
                  <c:v>IM-03</c:v>
                </c:pt>
                <c:pt idx="3">
                  <c:v>IM-04</c:v>
                </c:pt>
              </c:strCache>
            </c:strRef>
          </c:cat>
          <c:val>
            <c:numRef>
              <c:f>Dashboard!$E$66:$E$69</c:f>
              <c:numCache>
                <c:formatCode>General</c:formatCode>
                <c:ptCount val="4"/>
                <c:pt idx="0">
                  <c:v>20.0833333333333</c:v>
                </c:pt>
                <c:pt idx="1">
                  <c:v>17.3333333333333</c:v>
                </c:pt>
                <c:pt idx="2">
                  <c:v>35.6666666666667</c:v>
                </c:pt>
                <c:pt idx="3">
                  <c:v>18.5833333333333</c:v>
                </c:pt>
              </c:numCache>
            </c:numRef>
          </c:val>
        </c:ser>
        <c:ser>
          <c:idx val="2"/>
          <c:order val="2"/>
          <c:tx>
            <c:v>Performance loss</c:v>
          </c:tx>
          <c:spPr>
            <a:solidFill>
              <a:srgbClr val="1BA37A"/>
            </a:solidFill>
            <a:ln w="9525">
              <a:solidFill>
                <a:srgbClr val="FFFFFF"/>
              </a:solidFill>
            </a:ln>
          </c:spPr>
          <c:cat>
            <c:strRef>
              <c:f>Dashboard!$B$66:$B$69</c:f>
              <c:strCache>
                <c:ptCount val="4"/>
                <c:pt idx="0">
                  <c:v>IM-01</c:v>
                </c:pt>
                <c:pt idx="1">
                  <c:v>IM-02</c:v>
                </c:pt>
                <c:pt idx="2">
                  <c:v>IM-03</c:v>
                </c:pt>
                <c:pt idx="3">
                  <c:v>IM-04</c:v>
                </c:pt>
              </c:strCache>
            </c:strRef>
          </c:cat>
          <c:val>
            <c:numRef>
              <c:f>Dashboard!$F$66:$F$69</c:f>
              <c:numCache>
                <c:formatCode>General</c:formatCode>
                <c:ptCount val="4"/>
                <c:pt idx="0">
                  <c:v>18.1755555555556</c:v>
                </c:pt>
                <c:pt idx="1">
                  <c:v>20.3436111111111</c:v>
                </c:pt>
                <c:pt idx="2">
                  <c:v>15.9555555555556</c:v>
                </c:pt>
                <c:pt idx="3">
                  <c:v>18.9622222222222</c:v>
                </c:pt>
              </c:numCache>
            </c:numRef>
          </c:val>
        </c:ser>
        <c:ser>
          <c:idx val="3"/>
          <c:order val="3"/>
          <c:tx>
            <c:v>Quality loss</c:v>
          </c:tx>
          <c:spPr>
            <a:solidFill>
              <a:srgbClr val="E0A100"/>
            </a:solidFill>
            <a:ln w="9525">
              <a:solidFill>
                <a:srgbClr val="FFFFFF"/>
              </a:solidFill>
            </a:ln>
          </c:spPr>
          <c:cat>
            <c:strRef>
              <c:f>Dashboard!$B$66:$B$69</c:f>
              <c:strCache>
                <c:ptCount val="4"/>
                <c:pt idx="0">
                  <c:v>IM-01</c:v>
                </c:pt>
                <c:pt idx="1">
                  <c:v>IM-02</c:v>
                </c:pt>
                <c:pt idx="2">
                  <c:v>IM-03</c:v>
                </c:pt>
                <c:pt idx="3">
                  <c:v>IM-04</c:v>
                </c:pt>
              </c:strCache>
            </c:strRef>
          </c:cat>
          <c:val>
            <c:numRef>
              <c:f>Dashboard!$G$66:$G$69</c:f>
              <c:numCache>
                <c:formatCode>General</c:formatCode>
                <c:ptCount val="4"/>
                <c:pt idx="0">
                  <c:v>1.91499999999999</c:v>
                </c:pt>
                <c:pt idx="1">
                  <c:v>2.08777777777777</c:v>
                </c:pt>
                <c:pt idx="2">
                  <c:v>3.88</c:v>
                </c:pt>
                <c:pt idx="3">
                  <c:v>2.22666666666666</c:v>
                </c:pt>
              </c:numCache>
            </c:numRef>
          </c:val>
        </c:ser>
        <c:gapWidth val="60"/>
        <c:overlap val="10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Downtime Pareto</a:t>
            </a:r>
          </a:p>
        </c:rich>
      </c:tx>
      <c:layout/>
    </c:title>
    <c:plotArea>
      <c:layout/>
      <c:barChart>
        <c:barDir val="col"/>
        <c:grouping val="clustered"/>
        <c:ser>
          <c:idx val="0"/>
          <c:order val="0"/>
          <c:tx>
            <c:v>Minutes</c:v>
          </c:tx>
          <c:spPr>
            <a:solidFill>
              <a:srgbClr val="3B64D8"/>
            </a:solidFill>
            <a:ln w="9525">
              <a:solidFill>
                <a:srgbClr val="FFFFFF"/>
              </a:solidFill>
            </a:ln>
          </c:spPr>
          <c:cat>
            <c:strRef>
              <c:f>Dashboard!$H$74:$H$83</c:f>
              <c:strCache>
                <c:ptCount val="10"/>
                <c:pt idx="0">
                  <c:v>Mould change</c:v>
                </c:pt>
                <c:pt idx="1">
                  <c:v>Mould repair</c:v>
                </c:pt>
                <c:pt idx="2">
                  <c:v>Hydraulic fault</c:v>
                </c:pt>
                <c:pt idx="3">
                  <c:v>Material shortage</c:v>
                </c:pt>
                <c:pt idx="4">
                  <c:v>Start-up and purge</c:v>
                </c:pt>
                <c:pt idx="5">
                  <c:v>Electrical fault</c:v>
                </c:pt>
                <c:pt idx="6">
                  <c:v>Robot fault</c:v>
                </c:pt>
                <c:pt idx="7">
                  <c:v>Quality hold</c:v>
                </c:pt>
                <c:pt idx="8">
                  <c:v>Waiting for operator</c:v>
                </c:pt>
                <c:pt idx="9">
                  <c:v>Other</c:v>
                </c:pt>
              </c:strCache>
            </c:strRef>
          </c:cat>
          <c:val>
            <c:numRef>
              <c:f>Dashboard!$J$74:$J$83</c:f>
              <c:numCache>
                <c:formatCode>General</c:formatCode>
                <c:ptCount val="10"/>
                <c:pt idx="0">
                  <c:v>1590</c:v>
                </c:pt>
                <c:pt idx="1">
                  <c:v>770</c:v>
                </c:pt>
                <c:pt idx="2">
                  <c:v>700</c:v>
                </c:pt>
                <c:pt idx="3">
                  <c:v>620</c:v>
                </c:pt>
                <c:pt idx="4">
                  <c:v>470</c:v>
                </c:pt>
                <c:pt idx="5">
                  <c:v>460</c:v>
                </c:pt>
                <c:pt idx="6">
                  <c:v>320</c:v>
                </c:pt>
                <c:pt idx="7">
                  <c:v>255</c:v>
                </c:pt>
                <c:pt idx="8">
                  <c:v>250</c:v>
                </c:pt>
                <c:pt idx="9">
                  <c:v>65</c:v>
                </c:pt>
              </c:numCache>
            </c:numRef>
          </c:val>
        </c:ser>
        <c:gapWidth val="40"/>
        <c:axId val="50040001"/>
        <c:axId val="5004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Dashboard!$H$74:$H$83</c:f>
              <c:strCache>
                <c:ptCount val="10"/>
                <c:pt idx="0">
                  <c:v>Mould change</c:v>
                </c:pt>
                <c:pt idx="1">
                  <c:v>Mould repair</c:v>
                </c:pt>
                <c:pt idx="2">
                  <c:v>Hydraulic fault</c:v>
                </c:pt>
                <c:pt idx="3">
                  <c:v>Material shortage</c:v>
                </c:pt>
                <c:pt idx="4">
                  <c:v>Start-up and purge</c:v>
                </c:pt>
                <c:pt idx="5">
                  <c:v>Electrical fault</c:v>
                </c:pt>
                <c:pt idx="6">
                  <c:v>Robot fault</c:v>
                </c:pt>
                <c:pt idx="7">
                  <c:v>Quality hold</c:v>
                </c:pt>
                <c:pt idx="8">
                  <c:v>Waiting for operator</c:v>
                </c:pt>
                <c:pt idx="9">
                  <c:v>Other</c:v>
                </c:pt>
              </c:strCache>
            </c:strRef>
          </c:cat>
          <c:val>
            <c:numRef>
              <c:f>Dashboard!$L$74:$L$83</c:f>
              <c:numCache>
                <c:formatCode>General</c:formatCode>
                <c:ptCount val="10"/>
                <c:pt idx="0">
                  <c:v>0.289090909090909</c:v>
                </c:pt>
                <c:pt idx="1">
                  <c:v>0.429090909090909</c:v>
                </c:pt>
                <c:pt idx="2">
                  <c:v>0.556363636363636</c:v>
                </c:pt>
                <c:pt idx="3">
                  <c:v>0.669090909090909</c:v>
                </c:pt>
                <c:pt idx="4">
                  <c:v>0.754545454545455</c:v>
                </c:pt>
                <c:pt idx="5">
                  <c:v>0.838181818181818</c:v>
                </c:pt>
                <c:pt idx="6">
                  <c:v>0.896363636363636</c:v>
                </c:pt>
                <c:pt idx="7">
                  <c:v>0.942727272727273</c:v>
                </c:pt>
                <c:pt idx="8">
                  <c:v>0.988181818181818</c:v>
                </c:pt>
                <c:pt idx="9">
                  <c:v>1</c:v>
                </c:pt>
              </c:numCache>
            </c:numRef>
          </c:val>
        </c:ser>
        <c:marker val="1"/>
        <c:axId val="60040001"/>
        <c:axId val="60040002"/>
      </c:line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valAx>
        <c:axId val="6004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40001"/>
        <c:crosses val="max"/>
        <c:crossBetween val="between"/>
        <c:majorUnit val="0.2"/>
      </c:valAx>
      <c:catAx>
        <c:axId val="60040001"/>
        <c:scaling>
          <c:orientation val="minMax"/>
        </c:scaling>
        <c:delete val="1"/>
        <c:axPos val="b"/>
        <c:tickLblPos val="none"/>
        <c:crossAx val="6004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daily OEE for the last ten production days in view, with the OE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OEE for each machine over the dates in view, with the OE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Stacked bar chart splitting each machine's planned hours into productive time and availability, performance and quality loss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Pareto chart of downtime minutes by reason code, largest first, with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Machines" displayName="tblMachines" ref="B20:D24" totalsRowShown="0">
  <autoFilter ref="B20:D24"/>
  <tableColumns count="3">
    <tableColumn id="1" name="Machine"/>
    <tableColumn id="2" name="Area"/>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ShiftList" displayName="tblShiftList" ref="B27:D29" totalsRowShown="0">
  <autoFilter ref="B27:D29"/>
  <tableColumns count="3">
    <tableColumn id="1" name="Shift"/>
    <tableColumn id="2" name="Hour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Products" displayName="tblProducts" ref="B32:D37" totalsRowShown="0">
  <autoFilter ref="B32:D37"/>
  <tableColumns count="3">
    <tableColumn id="1" name="Product"/>
    <tableColumn id="2" name="Ideal cycle (s/unit)"/>
    <tableColumn id="3" name="Notes"/>
  </tableColumns>
  <tableStyleInfo name="TableStyleLight1" showFirstColumn="0" showLastColumn="0" showRowStripes="0" showColumnStripes="0"/>
</table>
</file>

<file path=xl/tables/table4.xml><?xml version="1.0" encoding="utf-8"?>
<table xmlns="http://schemas.openxmlformats.org/spreadsheetml/2006/main" id="4" name="tblReasons" displayName="tblReasons" ref="B40:D50" totalsRowShown="0">
  <autoFilter ref="B40:D50"/>
  <tableColumns count="3">
    <tableColumn id="1" name="Reason"/>
    <tableColumn id="2" name="Loss category"/>
    <tableColumn id="3" name="Definition"/>
  </tableColumns>
  <tableStyleInfo name="TableStyleLight1" showFirstColumn="0" showLastColumn="0" showRowStripes="0" showColumnStripes="0"/>
</table>
</file>

<file path=xl/tables/table5.xml><?xml version="1.0" encoding="utf-8"?>
<table xmlns="http://schemas.openxmlformats.org/spreadsheetml/2006/main" id="5" name="tblShifts" displayName="tblShifts" ref="B5:U85" totalsRowShown="0">
  <autoFilter ref="B5:U85"/>
  <tableColumns count="20">
    <tableColumn id="1" name="Date"/>
    <tableColumn id="2" name="Shift"/>
    <tableColumn id="3" name="Machine"/>
    <tableColumn id="4" name="Product"/>
    <tableColumn id="5" name="Planned (min)"/>
    <tableColumn id="6" name="Total (units)"/>
    <tableColumn id="7" name="Good (units)"/>
    <tableColumn id="8" name="Downtime (min)">
      <calculatedColumnFormula>IF(tblShifts[[#This Row],[Date]]="","",SUMIFS(tblDowntime[Minutes],tblDowntime[Date],tblShifts[[#This Row],[Date]],tblDowntime[Shift],tblShifts[[#This Row],[Shift]],tblDowntime[Machine],tblShifts[[#This Row],[Machine]]))</calculatedColumnFormula>
    </tableColumn>
    <tableColumn id="9" name="Run (min)">
      <calculatedColumnFormula>IF(tblShifts[[#This Row],[Date]]="","",tblShifts[[#This Row],[Planned (min)]]-tblShifts[[#This Row],[Downtime (min)]])</calculatedColumnFormula>
    </tableColumn>
    <tableColumn id="10" name="Ideal cycle (s/unit)">
      <calculatedColumnFormula>IF(tblShifts[[#This Row],[Date]]="","",IFERROR(INDEX(tblProducts[Ideal cycle (s/unit)],MATCH(tblShifts[[#This Row],[Product]],tblProducts[Product],0)),""))</calculatedColumnFormula>
    </tableColumn>
    <tableColumn id="11" name="Net run (min)">
      <calculatedColumnFormula>IF(tblShifts[[#This Row],[Date]]="","",IF(tblShifts[[#This Row],[Ideal cycle (s/unit)]]="","",tblShifts[[#This Row],[Ideal cycle (s/unit)]]*tblShifts[[#This Row],[Total (units)]]/60))</calculatedColumnFormula>
    </tableColumn>
    <tableColumn id="12" name="Productive (min)">
      <calculatedColumnFormula>IF(tblShifts[[#This Row],[Date]]="","",IF(tblShifts[[#This Row],[Ideal cycle (s/unit)]]="","",tblShifts[[#This Row],[Ideal cycle (s/unit)]]*tblShifts[[#This Row],[Good (units)]]/60))</calculatedColumnFormula>
    </tableColumn>
    <tableColumn id="13" name="Availability">
      <calculatedColumnFormula>IF(tblShifts[[#This Row],[Date]]="","",IF(tblShifts[[#This Row],[Planned (min)]]&gt;0,tblShifts[[#This Row],[Run (min)]]/tblShifts[[#This Row],[Planned (min)]],""))</calculatedColumnFormula>
    </tableColumn>
    <tableColumn id="14" name="Performance">
      <calculatedColumnFormula>IF(tblShifts[[#This Row],[Date]]="","",IF(AND(tblShifts[[#This Row],[Run (min)]]&gt;0,ISNUMBER(tblShifts[[#This Row],[Net run (min)]])),tblShifts[[#This Row],[Net run (min)]]/tblShifts[[#This Row],[Run (min)]],""))</calculatedColumnFormula>
    </tableColumn>
    <tableColumn id="15" name="Quality">
      <calculatedColumnFormula>IF(tblShifts[[#This Row],[Date]]="","",IF(tblShifts[[#This Row],[Total (units)]]&gt;0,tblShifts[[#This Row],[Good (units)]]/tblShifts[[#This Row],[Total (units)]],""))</calculatedColumnFormula>
    </tableColumn>
    <tableColumn id="16" name="OEE">
      <calculatedColumnFormula>IF(tblShifts[[#This Row],[Date]]="","",IF(AND(tblShifts[[#This Row],[Planned (min)]]&gt;0,ISNUMBER(tblShifts[[#This Row],[Productive (min)]])),tblShifts[[#This Row],[Productive (min)]]/tblShifts[[#This Row],[Planned (min)]],""))</calculatedColumnFormula>
    </tableColumn>
    <tableColumn id="17" name="OEE status">
      <calculatedColumnFormula>IF(NOT(ISNUMBER(tblShifts[[#This Row],[OEE]])),"",IF(tblShifts[[#This Row],[OEE]]&gt;=TargetOEE,"On target",IF(tblShifts[[#This Row],[OEE]]&gt;=TargetOEE*(1-0.05),"Near target","Below target")))</calculatedColumnFormula>
    </tableColumn>
    <tableColumn id="18" name="View date">
      <calculatedColumnFormula>IF(tblShifts[[#This Row],[Date]]="","",IF(AND(tblShifts[[#This Row],[Date]]&gt;=FFrom,tblShifts[[#This Row],[Date]]&lt;=FTo,OR(DashMachine="",tblShifts[[#This Row],[Machine]]=DashMachine)),tblShifts[[#This Row],[Date]],""))</calculatedColumnFormula>
    </tableColumn>
    <tableColumn id="19" name="Check">
      <calculatedColumnFormula>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calculatedColumnFormula>
    </tableColumn>
    <tableColumn id="20" name="Notes"/>
  </tableColumns>
  <tableStyleInfo name="TableStyleLight1" showFirstColumn="0" showLastColumn="0" showRowStripes="0" showColumnStripes="0"/>
</table>
</file>

<file path=xl/tables/table6.xml><?xml version="1.0" encoding="utf-8"?>
<table xmlns="http://schemas.openxmlformats.org/spreadsheetml/2006/main" id="6" name="tblDowntime" displayName="tblDowntime" ref="B5:J146" totalsRowShown="0">
  <autoFilter ref="B5:J146"/>
  <tableColumns count="9">
    <tableColumn id="1" name="Date"/>
    <tableColumn id="2" name="Shift"/>
    <tableColumn id="3" name="Machine"/>
    <tableColumn id="4" name="Reason"/>
    <tableColumn id="5" name="Minutes"/>
    <tableColumn id="6" name="Loss category">
      <calculatedColumnFormula>IF(tblDowntime[[#This Row],[Date]]="","",IFERROR(INDEX(tblReasons[Loss category],MATCH(tblDowntime[[#This Row],[Reason]],tblReasons[Reason],0)),""))</calculatedColumnFormula>
    </tableColumn>
    <tableColumn id="7" name="View date">
      <calculatedColumnFormula>IF(tblDowntime[[#This Row],[Date]]="","",IF(AND(tblDowntime[[#This Row],[Date]]&gt;=FFrom,tblDowntime[[#This Row],[Date]]&lt;=FTo,OR(DashMachine="",tblDowntime[[#This Row],[Machine]]=DashMachine)),tblDowntime[[#This Row],[Date]],""))</calculatedColumnFormula>
    </tableColumn>
    <tableColumn id="8" name="Check">
      <calculatedColumnFormula>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calculatedColumnFormula>
    </tableColumn>
    <tableColumn id="9" name="Notes"/>
  </tableColumns>
  <tableStyleInfo name="TableStyleLight1" showFirstColumn="0" showLastColumn="0" showRowStripes="0" showColumnStripes="0"/>
</table>
</file>

<file path=xl/tables/table7.xml><?xml version="1.0" encoding="utf-8"?>
<table xmlns="http://schemas.openxmlformats.org/spreadsheetml/2006/main" id="7" name="tblVerifyShifts" displayName="tblVerifyShifts" ref="B44:U48" totalsRowShown="0">
  <tableColumns count="20">
    <tableColumn id="1" name="Date"/>
    <tableColumn id="2" name="Shift"/>
    <tableColumn id="3" name="Machine"/>
    <tableColumn id="4" name="Product"/>
    <tableColumn id="5" name="Planned (min)"/>
    <tableColumn id="6" name="Total (units)"/>
    <tableColumn id="7" name="Good (units)"/>
    <tableColumn id="8" name="Downtime (min)"/>
    <tableColumn id="9" name="Run (min)">
      <calculatedColumnFormula>IF(tblVerifyShifts[[#This Row],[Date]]="","",tblVerifyShifts[[#This Row],[Planned (min)]]-tblVerifyShifts[[#This Row],[Downtime (min)]])</calculatedColumnFormula>
    </tableColumn>
    <tableColumn id="10" name="Ideal cycle (s/unit)"/>
    <tableColumn id="11" name="Net run (min)">
      <calculatedColumnFormula>IF(tblVerifyShifts[[#This Row],[Date]]="","",IF(tblVerifyShifts[[#This Row],[Ideal cycle (s/unit)]]="","",tblVerifyShifts[[#This Row],[Ideal cycle (s/unit)]]*tblVerifyShifts[[#This Row],[Total (units)]]/60))</calculatedColumnFormula>
    </tableColumn>
    <tableColumn id="12" name="Productive (min)">
      <calculatedColumnFormula>IF(tblVerifyShifts[[#This Row],[Date]]="","",IF(tblVerifyShifts[[#This Row],[Ideal cycle (s/unit)]]="","",tblVerifyShifts[[#This Row],[Ideal cycle (s/unit)]]*tblVerifyShifts[[#This Row],[Good (units)]]/60))</calculatedColumnFormula>
    </tableColumn>
    <tableColumn id="13" name="Availability">
      <calculatedColumnFormula>IF(tblVerifyShifts[[#This Row],[Date]]="","",IF(tblVerifyShifts[[#This Row],[Planned (min)]]&gt;0,tblVerifyShifts[[#This Row],[Run (min)]]/tblVerifyShifts[[#This Row],[Planned (min)]],""))</calculatedColumnFormula>
    </tableColumn>
    <tableColumn id="14" name="Performance">
      <calculatedColumnFormula>IF(tblVerifyShifts[[#This Row],[Date]]="","",IF(AND(tblVerifyShifts[[#This Row],[Run (min)]]&gt;0,ISNUMBER(tblVerifyShifts[[#This Row],[Net run (min)]])),tblVerifyShifts[[#This Row],[Net run (min)]]/tblVerifyShifts[[#This Row],[Run (min)]],""))</calculatedColumnFormula>
    </tableColumn>
    <tableColumn id="15" name="Quality">
      <calculatedColumnFormula>IF(tblVerifyShifts[[#This Row],[Date]]="","",IF(tblVerifyShifts[[#This Row],[Total (units)]]&gt;0,tblVerifyShifts[[#This Row],[Good (units)]]/tblVerifyShifts[[#This Row],[Total (units)]],""))</calculatedColumnFormula>
    </tableColumn>
    <tableColumn id="16" name="OEE">
      <calculatedColumnFormula>IF(tblVerifyShifts[[#This Row],[Date]]="","",IF(AND(tblVerifyShifts[[#This Row],[Planned (min)]]&gt;0,ISNUMBER(tblVerifyShifts[[#This Row],[Productive (min)]])),tblVerifyShifts[[#This Row],[Productive (min)]]/tblVerifyShifts[[#This Row],[Planned (min)]],""))</calculatedColumnFormula>
    </tableColumn>
    <tableColumn id="17" name="OEE status">
      <calculatedColumnFormula>IF(NOT(ISNUMBER(tblVerifyShifts[[#This Row],[OEE]])),"",IF(tblVerifyShifts[[#This Row],[OEE]]&gt;=$E$38,"On target",IF(tblVerifyShifts[[#This Row],[OEE]]&gt;=$E$38*(1-0.05),"Near target","Below target")))</calculatedColumnFormula>
    </tableColumn>
    <tableColumn id="18" name="View date">
      <calculatedColumnFormula>IF(tblVerifyShifts[[#This Row],[Date]]="","",IF(AND(tblVerifyShifts[[#This Row],[Date]]&gt;=$E$35,tblVerifyShifts[[#This Row],[Date]]&lt;=$E$36,OR($E$37="",tblVerifyShifts[[#This Row],[Machine]]=$E$37)),tblVerifyShifts[[#This Row],[Date]],""))</calculatedColumnFormula>
    </tableColumn>
    <tableColumn id="19" name="Check">
      <calculatedColumnFormula>IF(tblVerifyShifts[[#This Row],[Date]]="","",IF(tblVerifyShifts[[#This Row],[Machine]]="","Missing machine",IF(tblVerifyShifts[[#This Row],[Product]]="","Missing product",IF(tblVerifyShifts[[#This Row],[Planned (min)]]="","Missing planned",IF(tblVerifyShifts[[#This Row],[Total (units)]]="","Missing total",IF(tblVerifyShifts[[#This Row],[Good (units)]]="","Missing good",IF(tblVerifyShifts[[#This Row],[Ideal cycle (s/unit)]]="","Product not on Setup list",IF(tblVerifyShifts[[#This Row],[Good (units)]]&gt;tblVerifyShifts[[#This Row],[Total (units)]],"Good &gt; total",IF(tblVerifyShifts[[#This Row],[Downtime (min)]]&gt;tblVerifyShifts[[#This Row],[Planned (min)]],"Downtime &gt; planned time",IF(tblVerifyShifts[[#This Row],[Net run (min)]]&gt;tblVerifyShifts[[#This Row],[Run (min)]],"Above ideal rate: check ideal cycle",IF(COUNTIFS(tblVerifyShifts[Date],tblVerifyShifts[[#This Row],[Date]],tblVerifyShifts[Shift],tblVerifyShifts[[#This Row],[Shift]],tblVerifyShifts[Machine],tblVerifyShifts[[#This Row],[Machine]])&gt;1,"Duplicate shift row","OK")))))))))))</calculatedColumnFormula>
    </tableColumn>
    <tableColumn id="20"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hyperlink" Target="https://www.mfgcalcs.com/calculators/oee-factory-performance-smart-manufacturing/oee-calculator?utm_source=mfgcalcs-template&amp;utm_medium=xlsx&amp;utm_campaign=oee-tracker" TargetMode="External"/><Relationship Id="rId3" Type="http://schemas.openxmlformats.org/officeDocument/2006/relationships/hyperlink" Target="https://www.mfgcalcs.com/templates/oee-tracker?utm_source=mfgcalcs-template&amp;utm_medium=xlsx&amp;utm_campaign=oee-tracker" TargetMode="External"/><Relationship Id="rId4" Type="http://schemas.openxmlformats.org/officeDocument/2006/relationships/hyperlink" Target="https://www.mfgcalcs.com/templates?utm_source=mfgcalcs-template&amp;utm_medium=xlsx&amp;utm_campaign=oe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hyperlink" Target="https://www.mfgcalcs.com/calculators/oee-factory-performance-smart-manufacturing/oee-calculator?utm_source=mfgcalcs-template&amp;utm_medium=xlsx&amp;utm_campaign=oee-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oee-tracker" TargetMode="External"/><Relationship Id="rId2"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19 of 19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hift Log'!A1" tooltip="Go to Shift Log" display="Shift Log"/>
    <hyperlink ref="C23" location="'Downtime Log'!A1" tooltip="Go to Downtime Log" display="Downtime Log"/>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OEE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0"/>
  <sheetViews>
    <sheetView showGridLines="0" workbookViewId="0"/>
  </sheetViews>
  <sheetFormatPr defaultRowHeight="15"/>
  <cols>
    <col min="1" max="1" width="2.7109375" customWidth="1"/>
    <col min="2" max="2" width="26.7109375" customWidth="1"/>
    <col min="3" max="3" width="16.7109375" customWidth="1"/>
    <col min="4" max="4" width="44.7109375" customWidth="1"/>
  </cols>
  <sheetData>
    <row r="1" spans="1:5" ht="30" customHeight="1">
      <c r="A1" s="1" t="s">
        <v>0</v>
      </c>
      <c r="B1" s="1"/>
      <c r="C1" s="1"/>
      <c r="D1" s="1"/>
      <c r="E1" s="1"/>
    </row>
    <row r="2" spans="1:5" ht="21" customHeight="1">
      <c r="B2" s="2" t="s">
        <v>20</v>
      </c>
      <c r="C2" s="2"/>
      <c r="D2" s="3" t="s">
        <v>2</v>
      </c>
      <c r="E2" s="3"/>
    </row>
    <row r="3" spans="1:5" ht="6" customHeight="1"/>
    <row r="4" spans="1:5" ht="21" customHeight="1">
      <c r="B4" s="8" t="s">
        <v>75</v>
      </c>
      <c r="C4" s="8"/>
      <c r="D4" s="8"/>
    </row>
    <row r="5" spans="1:5" ht="5" customHeight="1"/>
    <row r="6" spans="1:5">
      <c r="B6" s="27" t="s">
        <v>76</v>
      </c>
      <c r="C6" s="28" t="s">
        <v>77</v>
      </c>
      <c r="D6" s="28"/>
    </row>
    <row r="7" spans="1:5">
      <c r="B7" s="27" t="s">
        <v>78</v>
      </c>
      <c r="C7" s="28" t="s">
        <v>79</v>
      </c>
      <c r="D7" s="28"/>
    </row>
    <row r="8" spans="1:5">
      <c r="B8" s="27" t="s">
        <v>80</v>
      </c>
      <c r="C8" s="29">
        <v>180</v>
      </c>
      <c r="D8" s="7" t="str">
        <f>Currency&amp;" per hour"</f>
        <v>USD per hour</v>
      </c>
    </row>
    <row r="9" spans="1:5">
      <c r="B9" s="27" t="s">
        <v>81</v>
      </c>
      <c r="C9" s="30">
        <v>0.7</v>
      </c>
      <c r="D9" s="7"/>
    </row>
    <row r="10" spans="1:5">
      <c r="B10" s="27" t="s">
        <v>82</v>
      </c>
      <c r="C10" s="30">
        <v>0.85</v>
      </c>
      <c r="D10" s="7"/>
    </row>
    <row r="11" spans="1:5">
      <c r="B11" s="27" t="s">
        <v>83</v>
      </c>
      <c r="C11" s="30">
        <v>0.88</v>
      </c>
      <c r="D11" s="7"/>
    </row>
    <row r="12" spans="1:5">
      <c r="B12" s="27" t="s">
        <v>84</v>
      </c>
      <c r="C12" s="30">
        <v>0.98</v>
      </c>
      <c r="D12" s="7"/>
    </row>
    <row r="14" spans="1:5" ht="35.4" customHeight="1">
      <c r="B14" s="25" t="s">
        <v>85</v>
      </c>
      <c r="C14" s="25"/>
      <c r="D14" s="25"/>
    </row>
    <row r="16" spans="1:5" ht="21" customHeight="1">
      <c r="B16" s="8" t="s">
        <v>86</v>
      </c>
      <c r="C16" s="8"/>
      <c r="D16" s="8"/>
    </row>
    <row r="17" spans="2:4" ht="5" customHeight="1"/>
    <row r="18" spans="2:4" ht="26.76" customHeight="1">
      <c r="B18" s="21" t="s">
        <v>87</v>
      </c>
      <c r="C18" s="21"/>
      <c r="D18" s="21"/>
    </row>
    <row r="19" spans="2:4">
      <c r="B19" s="31" t="s">
        <v>88</v>
      </c>
      <c r="C19" s="31"/>
      <c r="D19" s="31"/>
    </row>
    <row r="20" spans="2:4" ht="20" customHeight="1">
      <c r="B20" s="32" t="s">
        <v>64</v>
      </c>
      <c r="C20" s="32" t="s">
        <v>65</v>
      </c>
      <c r="D20" s="32" t="s">
        <v>66</v>
      </c>
    </row>
    <row r="21" spans="2:4">
      <c r="B21" s="28" t="s">
        <v>89</v>
      </c>
      <c r="C21" s="28" t="s">
        <v>90</v>
      </c>
      <c r="D21" s="28" t="s">
        <v>91</v>
      </c>
    </row>
    <row r="22" spans="2:4">
      <c r="B22" s="28" t="s">
        <v>92</v>
      </c>
      <c r="C22" s="28" t="s">
        <v>90</v>
      </c>
      <c r="D22" s="28" t="s">
        <v>93</v>
      </c>
    </row>
    <row r="23" spans="2:4">
      <c r="B23" s="28" t="s">
        <v>94</v>
      </c>
      <c r="C23" s="28" t="s">
        <v>95</v>
      </c>
      <c r="D23" s="28" t="s">
        <v>96</v>
      </c>
    </row>
    <row r="24" spans="2:4">
      <c r="B24" s="28" t="s">
        <v>97</v>
      </c>
      <c r="C24" s="28" t="s">
        <v>95</v>
      </c>
      <c r="D24" s="28" t="s">
        <v>96</v>
      </c>
    </row>
    <row r="26" spans="2:4">
      <c r="B26" s="31" t="s">
        <v>98</v>
      </c>
      <c r="C26" s="31"/>
      <c r="D26" s="31"/>
    </row>
    <row r="27" spans="2:4" ht="20" customHeight="1">
      <c r="B27" s="32" t="s">
        <v>67</v>
      </c>
      <c r="C27" s="32" t="s">
        <v>68</v>
      </c>
      <c r="D27" s="32" t="s">
        <v>69</v>
      </c>
    </row>
    <row r="28" spans="2:4">
      <c r="B28" s="28" t="s">
        <v>99</v>
      </c>
      <c r="C28" s="28" t="s">
        <v>100</v>
      </c>
      <c r="D28" s="28" t="s">
        <v>101</v>
      </c>
    </row>
    <row r="29" spans="2:4">
      <c r="B29" s="28" t="s">
        <v>102</v>
      </c>
      <c r="C29" s="28" t="s">
        <v>103</v>
      </c>
      <c r="D29" s="28" t="s">
        <v>101</v>
      </c>
    </row>
    <row r="31" spans="2:4">
      <c r="B31" s="31" t="s">
        <v>104</v>
      </c>
      <c r="C31" s="31"/>
      <c r="D31" s="31"/>
    </row>
    <row r="32" spans="2:4" ht="32" customHeight="1">
      <c r="B32" s="32" t="s">
        <v>70</v>
      </c>
      <c r="C32" s="32" t="s">
        <v>71</v>
      </c>
      <c r="D32" s="32" t="s">
        <v>69</v>
      </c>
    </row>
    <row r="33" spans="2:4">
      <c r="B33" s="28" t="s">
        <v>105</v>
      </c>
      <c r="C33" s="29">
        <v>8</v>
      </c>
      <c r="D33" s="28" t="s">
        <v>106</v>
      </c>
    </row>
    <row r="34" spans="2:4">
      <c r="B34" s="28" t="s">
        <v>107</v>
      </c>
      <c r="C34" s="29">
        <v>3</v>
      </c>
      <c r="D34" s="28" t="s">
        <v>108</v>
      </c>
    </row>
    <row r="35" spans="2:4">
      <c r="B35" s="28" t="s">
        <v>109</v>
      </c>
      <c r="C35" s="29">
        <v>12</v>
      </c>
      <c r="D35" s="28" t="s">
        <v>110</v>
      </c>
    </row>
    <row r="36" spans="2:4">
      <c r="B36" s="28" t="s">
        <v>111</v>
      </c>
      <c r="C36" s="29">
        <v>20</v>
      </c>
      <c r="D36" s="28" t="s">
        <v>112</v>
      </c>
    </row>
    <row r="37" spans="2:4">
      <c r="B37" s="28" t="s">
        <v>113</v>
      </c>
      <c r="C37" s="29">
        <v>6</v>
      </c>
      <c r="D37" s="28" t="s">
        <v>114</v>
      </c>
    </row>
    <row r="39" spans="2:4">
      <c r="B39" s="31" t="s">
        <v>115</v>
      </c>
      <c r="C39" s="31"/>
      <c r="D39" s="31"/>
    </row>
    <row r="40" spans="2:4" ht="20" customHeight="1">
      <c r="B40" s="32" t="s">
        <v>72</v>
      </c>
      <c r="C40" s="32" t="s">
        <v>73</v>
      </c>
      <c r="D40" s="32" t="s">
        <v>74</v>
      </c>
    </row>
    <row r="41" spans="2:4">
      <c r="B41" s="28" t="s">
        <v>116</v>
      </c>
      <c r="C41" s="28" t="s">
        <v>117</v>
      </c>
      <c r="D41" s="28" t="s">
        <v>118</v>
      </c>
    </row>
    <row r="42" spans="2:4">
      <c r="B42" s="28" t="s">
        <v>119</v>
      </c>
      <c r="C42" s="28" t="s">
        <v>120</v>
      </c>
      <c r="D42" s="28" t="s">
        <v>121</v>
      </c>
    </row>
    <row r="43" spans="2:4">
      <c r="B43" s="28" t="s">
        <v>122</v>
      </c>
      <c r="C43" s="28" t="s">
        <v>123</v>
      </c>
      <c r="D43" s="28" t="s">
        <v>124</v>
      </c>
    </row>
    <row r="44" spans="2:4">
      <c r="B44" s="28" t="s">
        <v>125</v>
      </c>
      <c r="C44" s="28" t="s">
        <v>123</v>
      </c>
      <c r="D44" s="28" t="s">
        <v>126</v>
      </c>
    </row>
    <row r="45" spans="2:4">
      <c r="B45" s="28" t="s">
        <v>127</v>
      </c>
      <c r="C45" s="28" t="s">
        <v>123</v>
      </c>
      <c r="D45" s="28" t="s">
        <v>128</v>
      </c>
    </row>
    <row r="46" spans="2:4">
      <c r="B46" s="28" t="s">
        <v>129</v>
      </c>
      <c r="C46" s="28" t="s">
        <v>123</v>
      </c>
      <c r="D46" s="28" t="s">
        <v>130</v>
      </c>
    </row>
    <row r="47" spans="2:4">
      <c r="B47" s="28" t="s">
        <v>131</v>
      </c>
      <c r="C47" s="28" t="s">
        <v>117</v>
      </c>
      <c r="D47" s="28" t="s">
        <v>132</v>
      </c>
    </row>
    <row r="48" spans="2:4">
      <c r="B48" s="28" t="s">
        <v>133</v>
      </c>
      <c r="C48" s="28" t="s">
        <v>134</v>
      </c>
      <c r="D48" s="28" t="s">
        <v>135</v>
      </c>
    </row>
    <row r="49" spans="2:4">
      <c r="B49" s="28" t="s">
        <v>136</v>
      </c>
      <c r="C49" s="28" t="s">
        <v>137</v>
      </c>
      <c r="D49" s="28" t="s">
        <v>138</v>
      </c>
    </row>
    <row r="50" spans="2:4">
      <c r="B50" s="28" t="s">
        <v>139</v>
      </c>
      <c r="C50" s="28" t="s">
        <v>139</v>
      </c>
      <c r="D50" s="28" t="s">
        <v>140</v>
      </c>
    </row>
  </sheetData>
  <mergeCells count="13">
    <mergeCell ref="A1:E1"/>
    <mergeCell ref="B2:C2"/>
    <mergeCell ref="D2:E2"/>
    <mergeCell ref="B4:D4"/>
    <mergeCell ref="C6:D6"/>
    <mergeCell ref="C7:D7"/>
    <mergeCell ref="B14:D14"/>
    <mergeCell ref="B16:D16"/>
    <mergeCell ref="B18:D18"/>
    <mergeCell ref="B19:D19"/>
    <mergeCell ref="B26:D26"/>
    <mergeCell ref="B31:D31"/>
    <mergeCell ref="B39:D39"/>
  </mergeCells>
  <dataValidations count="19">
    <dataValidation type="textLength" allowBlank="1" showInputMessage="1" showErrorMessage="1" errorTitle="Check this entry" error="Text up to 255 characters." promptTitle="Plant or line name" prompt="Shown on the Dashboard header. Text up to 255 characters." sqref="C6">
      <formula1>0</formula1>
      <formula2>255</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 to 10,000,000." promptTitle="Value of one production hour" prompt="Contribution or cost you attach to an hour of lost output. Used only for the 'value of lost time' estimate. Enter a number from 0 to 10,000,000." sqref="C8">
      <formula1>0</formula1>
      <formula2>10000000.0</formula2>
    </dataValidation>
    <dataValidation type="decimal" allowBlank="1" showInputMessage="1" showErrorMessage="1" errorTitle="Check this entry" error="Enter a percentage from 0% to 100% (type 85% or 0.85)." promptTitle="OEE target" prompt="Your own target. Published 'world class' figures are rarely sourced; set what your plant has committed to. Enter a percentage from 0% to 100% (type 85% or 0.85)." sqref="C9">
      <formula1>0</formula1>
      <formula2>1</formula2>
    </dataValidation>
    <dataValidation type="decimal" allowBlank="1" showInputMessage="1" showErrorMessage="1" errorTitle="Check this entry" error="Enter a percentage from 0% to 100% (type 85% or 0.85)." promptTitle="Availability target" prompt="Enter a percentage from 0% to 100% (type 85% or 0.85)." sqref="C10">
      <formula1>0</formula1>
      <formula2>1</formula2>
    </dataValidation>
    <dataValidation type="decimal" allowBlank="1" showInputMessage="1" showErrorMessage="1" errorTitle="Check this entry" error="Enter a percentage from 0% to 100% (type 85% or 0.85)." promptTitle="Performance target" prompt="Enter a percentage from 0% to 100% (type 85% or 0.85)." sqref="C11">
      <formula1>0</formula1>
      <formula2>1</formula2>
    </dataValidation>
    <dataValidation type="decimal" allowBlank="1" showInputMessage="1" showErrorMessage="1" errorTitle="Check this entry" error="Enter a percentage from 0% to 100% (type 85% or 0.85)." promptTitle="Quality target" prompt="Enter a percentage from 0% to 100% (type 85% or 0.85)." sqref="C12">
      <formula1>0</formula1>
      <formula2>1</formula2>
    </dataValidation>
    <dataValidation type="textLength" allowBlank="1" showInputMessage="1" showErrorMessage="1" errorTitle="Check this entry" error="Text up to 40 characters." promptTitle="Machine" prompt="Text up to 40 characters." sqref="B21:B124">
      <formula1>0</formula1>
      <formula2>40</formula2>
    </dataValidation>
    <dataValidation type="textLength" allowBlank="1" showInputMessage="1" showErrorMessage="1" errorTitle="Check this entry" error="Text up to 40 characters." promptTitle="Area" prompt="Text up to 40 characters." sqref="C21:C124">
      <formula1>0</formula1>
      <formula2>40</formula2>
    </dataValidation>
    <dataValidation type="textLength" allowBlank="1" showInputMessage="1" showErrorMessage="1" errorTitle="Check this entry" error="Text up to 120 characters." promptTitle="Description" prompt="Text up to 120 characters." sqref="D21:D124">
      <formula1>0</formula1>
      <formula2>120</formula2>
    </dataValidation>
    <dataValidation type="textLength" allowBlank="1" showInputMessage="1" showErrorMessage="1" errorTitle="Check this entry" error="Text up to 20 characters." promptTitle="Shift" prompt="Text up to 20 characters." sqref="B28:B129">
      <formula1>0</formula1>
      <formula2>20</formula2>
    </dataValidation>
    <dataValidation type="textLength" allowBlank="1" showInputMessage="1" showErrorMessage="1" errorTitle="Check this entry" error="Text up to 40 characters." promptTitle="Hours" prompt="Text up to 40 characters." sqref="C28:C129">
      <formula1>0</formula1>
      <formula2>40</formula2>
    </dataValidation>
    <dataValidation type="textLength" allowBlank="1" showInputMessage="1" showErrorMessage="1" errorTitle="Check this entry" error="Text up to 120 characters." promptTitle="Notes" prompt="Text up to 120 characters." sqref="D28:D129">
      <formula1>0</formula1>
      <formula2>120</formula2>
    </dataValidation>
    <dataValidation type="textLength" allowBlank="1" showInputMessage="1" showErrorMessage="1" errorTitle="Check this entry" error="Text up to 60 characters." promptTitle="Product" prompt="Text up to 60 characters." sqref="B33:B137">
      <formula1>0</formula1>
      <formula2>60</formula2>
    </dataValidation>
    <dataValidation type="decimal" allowBlank="1" showInputMessage="1" showErrorMessage="1" errorTitle="Check this entry" error="Enter a number from 0.01 to 86,400." promptTitle="Ideal cycle (s/unit)" prompt="Fastest sustainable cycle per unit: shot time divided by cavities. From the process sheet, not from a slow average. Enter a number from 0.01 to 86,400." sqref="C33:C137">
      <formula1>0.01</formula1>
      <formula2>86400</formula2>
    </dataValidation>
    <dataValidation type="textLength" allowBlank="1" showInputMessage="1" showErrorMessage="1" errorTitle="Check this entry" error="Text up to 120 characters." promptTitle="Notes" prompt="Text up to 120 characters." sqref="D33:D137">
      <formula1>0</formula1>
      <formula2>120</formula2>
    </dataValidation>
    <dataValidation type="textLength" allowBlank="1" showInputMessage="1" showErrorMessage="1" errorTitle="Check this entry" error="Text up to 60 characters." promptTitle="Reason" prompt="Text up to 60 characters." sqref="B41:B150">
      <formula1>0</formula1>
      <formula2>60</formula2>
    </dataValidation>
    <dataValidation type="list" allowBlank="1" showInputMessage="1" showErrorMessage="1" errorTitle="Check this entry" error="Pick one of: Breakdown, Changeover, Material, Quality, Labour, Other." promptTitle="Loss category" prompt="Pick one of: Breakdown, Changeover, Material, Quality, Labour, Other." sqref="C41:C150">
      <formula1>"Breakdown,Changeover,Material,Quality,Labour,Other"</formula1>
    </dataValidation>
    <dataValidation type="textLength" allowBlank="1" showInputMessage="1" showErrorMessage="1" errorTitle="Check this entry" error="Text up to 160 characters." promptTitle="Definition" prompt="Text up to 160 characters." sqref="D41:D150">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OEE Tracker&amp;R&amp;8&amp;A</oddHeader>
    <oddFooter>&amp;L&amp;8mfgcalcs.com - free manufacturing templates&amp;R&amp;8Page &amp;P of &amp;N</oddFooter>
  </headerFooter>
  <rowBreaks count="1" manualBreakCount="1">
    <brk id="38"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U85"/>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2.7109375" customWidth="1"/>
    <col min="2" max="2" width="12.28515625" customWidth="1"/>
    <col min="3" max="3" width="8.7109375" customWidth="1"/>
    <col min="4" max="4" width="9.7109375" customWidth="1"/>
    <col min="5" max="5" width="14.7109375" customWidth="1"/>
    <col min="6" max="6" width="9.7109375" customWidth="1"/>
    <col min="7" max="8" width="10.28515625" customWidth="1"/>
    <col min="9" max="9" width="10.7109375" customWidth="1"/>
    <col min="10" max="10" width="9.28515625" customWidth="1"/>
    <col min="11" max="11" width="10.28515625" customWidth="1"/>
    <col min="12" max="12" width="9.7109375" customWidth="1"/>
    <col min="13" max="14" width="11.28515625" customWidth="1"/>
    <col min="15" max="15" width="12.28515625" customWidth="1"/>
    <col min="16" max="16" width="9.28515625" customWidth="1"/>
    <col min="17" max="17" width="8.7109375" customWidth="1"/>
    <col min="18" max="19" width="12.28515625" customWidth="1"/>
    <col min="20" max="20" width="24.7109375" customWidth="1"/>
    <col min="21" max="21" width="26.7109375" customWidth="1"/>
  </cols>
  <sheetData>
    <row r="1" spans="1:21" ht="30" customHeight="1" x14ac:dyDescent="0.25">
      <c r="A1" s="1" t="s">
        <v>0</v>
      </c>
      <c r="B1" s="1"/>
      <c r="C1" s="1"/>
      <c r="D1" s="1"/>
      <c r="E1" s="1"/>
      <c r="F1" s="1"/>
      <c r="G1" s="1"/>
      <c r="H1" s="1"/>
      <c r="I1" s="1"/>
      <c r="J1" s="1"/>
      <c r="K1" s="1"/>
      <c r="L1" s="1"/>
      <c r="M1" s="1"/>
      <c r="N1" s="1"/>
      <c r="O1" s="1"/>
      <c r="P1" s="1"/>
      <c r="Q1" s="1"/>
      <c r="R1" s="1"/>
      <c r="S1" s="1"/>
      <c r="T1" s="1"/>
      <c r="U1" s="1"/>
    </row>
    <row r="2" spans="1:21" ht="21" customHeight="1" x14ac:dyDescent="0.25">
      <c r="B2" s="2" t="s">
        <v>22</v>
      </c>
      <c r="C2" s="2"/>
      <c r="D2" s="2"/>
      <c r="E2" s="2"/>
      <c r="F2" s="2"/>
      <c r="G2" s="2"/>
      <c r="H2" s="2"/>
      <c r="I2" s="2"/>
      <c r="J2" s="2"/>
      <c r="K2" s="2"/>
      <c r="L2" s="2"/>
      <c r="M2" s="2"/>
      <c r="N2" s="2"/>
      <c r="O2" s="2"/>
      <c r="P2" s="2"/>
      <c r="Q2" s="2"/>
      <c r="R2" s="2"/>
      <c r="S2" s="2"/>
      <c r="T2" s="2"/>
      <c r="U2" s="3" t="s">
        <v>2</v>
      </c>
    </row>
    <row r="3" spans="1:21" ht="6" customHeight="1" x14ac:dyDescent="0.25"/>
    <row r="4" spans="1:21" ht="18" customHeight="1" x14ac:dyDescent="0.25">
      <c r="B4" s="33" t="s">
        <v>155</v>
      </c>
      <c r="C4" s="33"/>
      <c r="D4" s="33"/>
      <c r="E4" s="33"/>
      <c r="F4" s="33"/>
      <c r="G4" s="33"/>
      <c r="H4" s="33"/>
      <c r="I4" s="33"/>
      <c r="J4" s="33"/>
      <c r="K4" s="33"/>
      <c r="L4" s="33"/>
      <c r="M4" s="33"/>
      <c r="N4" s="33"/>
      <c r="O4" s="33"/>
      <c r="P4" s="33"/>
      <c r="Q4" s="33"/>
      <c r="R4" s="33"/>
      <c r="S4" s="33"/>
      <c r="T4" s="33"/>
      <c r="U4" s="33"/>
    </row>
    <row r="5" spans="1:21" ht="32" customHeight="1" x14ac:dyDescent="0.25">
      <c r="B5" s="32" t="s">
        <v>141</v>
      </c>
      <c r="C5" s="32" t="s">
        <v>67</v>
      </c>
      <c r="D5" s="32" t="s">
        <v>64</v>
      </c>
      <c r="E5" s="32" t="s">
        <v>70</v>
      </c>
      <c r="F5" s="32" t="s">
        <v>142</v>
      </c>
      <c r="G5" s="32" t="s">
        <v>143</v>
      </c>
      <c r="H5" s="32" t="s">
        <v>144</v>
      </c>
      <c r="I5" s="32" t="s">
        <v>145</v>
      </c>
      <c r="J5" s="32" t="s">
        <v>146</v>
      </c>
      <c r="K5" s="32" t="s">
        <v>71</v>
      </c>
      <c r="L5" s="32" t="s">
        <v>147</v>
      </c>
      <c r="M5" s="32" t="s">
        <v>148</v>
      </c>
      <c r="N5" s="32" t="s">
        <v>149</v>
      </c>
      <c r="O5" s="32" t="s">
        <v>150</v>
      </c>
      <c r="P5" s="32" t="s">
        <v>134</v>
      </c>
      <c r="Q5" s="32" t="s">
        <v>151</v>
      </c>
      <c r="R5" s="32" t="s">
        <v>152</v>
      </c>
      <c r="S5" s="32" t="s">
        <v>153</v>
      </c>
      <c r="T5" s="32" t="s">
        <v>154</v>
      </c>
      <c r="U5" s="32" t="s">
        <v>69</v>
      </c>
    </row>
    <row r="6" spans="1:21" x14ac:dyDescent="0.25">
      <c r="B6" s="34">
        <v>46272</v>
      </c>
      <c r="C6" s="28" t="s">
        <v>99</v>
      </c>
      <c r="D6" s="28" t="s">
        <v>89</v>
      </c>
      <c r="E6" s="28" t="s">
        <v>105</v>
      </c>
      <c r="F6" s="35">
        <v>450</v>
      </c>
      <c r="G6" s="35">
        <v>2825</v>
      </c>
      <c r="H6" s="35">
        <v>2755</v>
      </c>
      <c r="I6" s="36">
        <f>IF(tblShifts[[#This Row],[Date]]="","",SUMIFS(tblDowntime[Minutes],tblDowntime[Date],tblShifts[[#This Row],[Date]],tblDowntime[Shift],tblShifts[[#This Row],[Shift]],tblDowntime[Machine],tblShifts[[#This Row],[Machine]]))</f>
        <v>0</v>
      </c>
      <c r="J6" s="36">
        <f>IF(tblShifts[[#This Row],[Date]]="","",tblShifts[[#This Row],[Planned (min)]]-tblShifts[[#This Row],[Downtime (min)]])</f>
        <v>450</v>
      </c>
      <c r="K6" s="37">
        <f>IF(tblShifts[[#This Row],[Date]]="","",IFERROR(INDEX(tblProducts[Ideal cycle (s/unit)],MATCH(tblShifts[[#This Row],[Product]],tblProducts[Product],0)),""))</f>
        <v>8</v>
      </c>
      <c r="L6" s="38">
        <f>IF(tblShifts[[#This Row],[Date]]="","",IF(tblShifts[[#This Row],[Ideal cycle (s/unit)]]="","",tblShifts[[#This Row],[Ideal cycle (s/unit)]]*tblShifts[[#This Row],[Total (units)]]/60))</f>
        <v>376.666666666667</v>
      </c>
      <c r="M6" s="38">
        <f>IF(tblShifts[[#This Row],[Date]]="","",IF(tblShifts[[#This Row],[Ideal cycle (s/unit)]]="","",tblShifts[[#This Row],[Ideal cycle (s/unit)]]*tblShifts[[#This Row],[Good (units)]]/60))</f>
        <v>367.333333333333</v>
      </c>
      <c r="N6" s="39">
        <f>IF(tblShifts[[#This Row],[Date]]="","",IF(tblShifts[[#This Row],[Planned (min)]]&gt;0,tblShifts[[#This Row],[Run (min)]]/tblShifts[[#This Row],[Planned (min)]],""))</f>
        <v>1</v>
      </c>
      <c r="O6" s="39">
        <f>IF(tblShifts[[#This Row],[Date]]="","",IF(AND(tblShifts[[#This Row],[Run (min)]]&gt;0,ISNUMBER(tblShifts[[#This Row],[Net run (min)]])),tblShifts[[#This Row],[Net run (min)]]/tblShifts[[#This Row],[Run (min)]],""))</f>
        <v>0.837037037037037</v>
      </c>
      <c r="P6" s="39">
        <f>IF(tblShifts[[#This Row],[Date]]="","",IF(tblShifts[[#This Row],[Total (units)]]&gt;0,tblShifts[[#This Row],[Good (units)]]/tblShifts[[#This Row],[Total (units)]],""))</f>
        <v>0.975221238938053</v>
      </c>
      <c r="Q6" s="39">
        <f>IF(tblShifts[[#This Row],[Date]]="","",IF(AND(tblShifts[[#This Row],[Planned (min)]]&gt;0,ISNUMBER(tblShifts[[#This Row],[Productive (min)]])),tblShifts[[#This Row],[Productive (min)]]/tblShifts[[#This Row],[Planned (min)]],""))</f>
        <v>0.816296296296296</v>
      </c>
      <c r="R6" s="40" t="str">
        <f>IF(NOT(ISNUMBER(tblShifts[[#This Row],[OEE]])),"",IF(tblShifts[[#This Row],[OEE]]&gt;=TargetOEE,"On target",IF(tblShifts[[#This Row],[OEE]]&gt;=TargetOEE*(1-0.05),"Near target","Below target")))</f>
        <v>On target</v>
      </c>
      <c r="S6" s="41">
        <f>IF(tblShifts[[#This Row],[Date]]="","",IF(AND(tblShifts[[#This Row],[Date]]&gt;=FFrom,tblShifts[[#This Row],[Date]]&lt;=FTo,OR(DashMachine="",tblShifts[[#This Row],[Machine]]=DashMachine)),tblShifts[[#This Row],[Date]],""))</f>
        <v>46272</v>
      </c>
      <c r="T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 s="28" t="s">
        <v>156</v>
      </c>
    </row>
    <row r="7" spans="1:21" x14ac:dyDescent="0.25">
      <c r="B7" s="34">
        <v>46272</v>
      </c>
      <c r="C7" s="28" t="s">
        <v>99</v>
      </c>
      <c r="D7" s="28" t="s">
        <v>92</v>
      </c>
      <c r="E7" s="28" t="s">
        <v>107</v>
      </c>
      <c r="F7" s="35">
        <v>450</v>
      </c>
      <c r="G7" s="35">
        <v>7081</v>
      </c>
      <c r="H7" s="35">
        <v>6928</v>
      </c>
      <c r="I7" s="36">
        <f>IF(tblShifts[[#This Row],[Date]]="","",SUMIFS(tblDowntime[Minutes],tblDowntime[Date],tblShifts[[#This Row],[Date]],tblDowntime[Shift],tblShifts[[#This Row],[Shift]],tblDowntime[Machine],tblShifts[[#This Row],[Machine]]))</f>
        <v>30</v>
      </c>
      <c r="J7" s="36">
        <f>IF(tblShifts[[#This Row],[Date]]="","",tblShifts[[#This Row],[Planned (min)]]-tblShifts[[#This Row],[Downtime (min)]])</f>
        <v>420</v>
      </c>
      <c r="K7" s="37">
        <f>IF(tblShifts[[#This Row],[Date]]="","",IFERROR(INDEX(tblProducts[Ideal cycle (s/unit)],MATCH(tblShifts[[#This Row],[Product]],tblProducts[Product],0)),""))</f>
        <v>3</v>
      </c>
      <c r="L7" s="38">
        <f>IF(tblShifts[[#This Row],[Date]]="","",IF(tblShifts[[#This Row],[Ideal cycle (s/unit)]]="","",tblShifts[[#This Row],[Ideal cycle (s/unit)]]*tblShifts[[#This Row],[Total (units)]]/60))</f>
        <v>354.05</v>
      </c>
      <c r="M7" s="38">
        <f>IF(tblShifts[[#This Row],[Date]]="","",IF(tblShifts[[#This Row],[Ideal cycle (s/unit)]]="","",tblShifts[[#This Row],[Ideal cycle (s/unit)]]*tblShifts[[#This Row],[Good (units)]]/60))</f>
        <v>346.4</v>
      </c>
      <c r="N7" s="39">
        <f>IF(tblShifts[[#This Row],[Date]]="","",IF(tblShifts[[#This Row],[Planned (min)]]&gt;0,tblShifts[[#This Row],[Run (min)]]/tblShifts[[#This Row],[Planned (min)]],""))</f>
        <v>0.933333333333333</v>
      </c>
      <c r="O7" s="39">
        <f>IF(tblShifts[[#This Row],[Date]]="","",IF(AND(tblShifts[[#This Row],[Run (min)]]&gt;0,ISNUMBER(tblShifts[[#This Row],[Net run (min)]])),tblShifts[[#This Row],[Net run (min)]]/tblShifts[[#This Row],[Run (min)]],""))</f>
        <v>0.842976190476191</v>
      </c>
      <c r="P7" s="39">
        <f>IF(tblShifts[[#This Row],[Date]]="","",IF(tblShifts[[#This Row],[Total (units)]]&gt;0,tblShifts[[#This Row],[Good (units)]]/tblShifts[[#This Row],[Total (units)]],""))</f>
        <v>0.978392882361248</v>
      </c>
      <c r="Q7" s="39">
        <f>IF(tblShifts[[#This Row],[Date]]="","",IF(AND(tblShifts[[#This Row],[Planned (min)]]&gt;0,ISNUMBER(tblShifts[[#This Row],[Productive (min)]])),tblShifts[[#This Row],[Productive (min)]]/tblShifts[[#This Row],[Planned (min)]],""))</f>
        <v>0.769777777777778</v>
      </c>
      <c r="R7" s="40" t="str">
        <f>IF(NOT(ISNUMBER(tblShifts[[#This Row],[OEE]])),"",IF(tblShifts[[#This Row],[OEE]]&gt;=TargetOEE,"On target",IF(tblShifts[[#This Row],[OEE]]&gt;=TargetOEE*(1-0.05),"Near target","Below target")))</f>
        <v>On target</v>
      </c>
      <c r="S7" s="41">
        <f>IF(tblShifts[[#This Row],[Date]]="","",IF(AND(tblShifts[[#This Row],[Date]]&gt;=FFrom,tblShifts[[#This Row],[Date]]&lt;=FTo,OR(DashMachine="",tblShifts[[#This Row],[Machine]]=DashMachine)),tblShifts[[#This Row],[Date]],""))</f>
        <v>46272</v>
      </c>
      <c r="T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 s="28" t="s">
        <v>156</v>
      </c>
    </row>
    <row r="8" spans="1:21" x14ac:dyDescent="0.25">
      <c r="B8" s="34">
        <v>46272</v>
      </c>
      <c r="C8" s="28" t="s">
        <v>99</v>
      </c>
      <c r="D8" s="28" t="s">
        <v>94</v>
      </c>
      <c r="E8" s="28" t="s">
        <v>109</v>
      </c>
      <c r="F8" s="35">
        <v>450</v>
      </c>
      <c r="G8" s="35">
        <v>1601</v>
      </c>
      <c r="H8" s="35">
        <v>1515</v>
      </c>
      <c r="I8" s="36">
        <f>IF(tblShifts[[#This Row],[Date]]="","",SUMIFS(tblDowntime[Minutes],tblDowntime[Date],tblShifts[[#This Row],[Date]],tblDowntime[Shift],tblShifts[[#This Row],[Shift]],tblDowntime[Machine],tblShifts[[#This Row],[Machine]]))</f>
        <v>50</v>
      </c>
      <c r="J8" s="36">
        <f>IF(tblShifts[[#This Row],[Date]]="","",tblShifts[[#This Row],[Planned (min)]]-tblShifts[[#This Row],[Downtime (min)]])</f>
        <v>400</v>
      </c>
      <c r="K8" s="37">
        <f>IF(tblShifts[[#This Row],[Date]]="","",IFERROR(INDEX(tblProducts[Ideal cycle (s/unit)],MATCH(tblShifts[[#This Row],[Product]],tblProducts[Product],0)),""))</f>
        <v>12</v>
      </c>
      <c r="L8" s="38">
        <f>IF(tblShifts[[#This Row],[Date]]="","",IF(tblShifts[[#This Row],[Ideal cycle (s/unit)]]="","",tblShifts[[#This Row],[Ideal cycle (s/unit)]]*tblShifts[[#This Row],[Total (units)]]/60))</f>
        <v>320.2</v>
      </c>
      <c r="M8" s="38">
        <f>IF(tblShifts[[#This Row],[Date]]="","",IF(tblShifts[[#This Row],[Ideal cycle (s/unit)]]="","",tblShifts[[#This Row],[Ideal cycle (s/unit)]]*tblShifts[[#This Row],[Good (units)]]/60))</f>
        <v>303</v>
      </c>
      <c r="N8" s="39">
        <f>IF(tblShifts[[#This Row],[Date]]="","",IF(tblShifts[[#This Row],[Planned (min)]]&gt;0,tblShifts[[#This Row],[Run (min)]]/tblShifts[[#This Row],[Planned (min)]],""))</f>
        <v>0.888888888888889</v>
      </c>
      <c r="O8" s="39">
        <f>IF(tblShifts[[#This Row],[Date]]="","",IF(AND(tblShifts[[#This Row],[Run (min)]]&gt;0,ISNUMBER(tblShifts[[#This Row],[Net run (min)]])),tblShifts[[#This Row],[Net run (min)]]/tblShifts[[#This Row],[Run (min)]],""))</f>
        <v>0.8005</v>
      </c>
      <c r="P8" s="39">
        <f>IF(tblShifts[[#This Row],[Date]]="","",IF(tblShifts[[#This Row],[Total (units)]]&gt;0,tblShifts[[#This Row],[Good (units)]]/tblShifts[[#This Row],[Total (units)]],""))</f>
        <v>0.946283572767021</v>
      </c>
      <c r="Q8" s="39">
        <f>IF(tblShifts[[#This Row],[Date]]="","",IF(AND(tblShifts[[#This Row],[Planned (min)]]&gt;0,ISNUMBER(tblShifts[[#This Row],[Productive (min)]])),tblShifts[[#This Row],[Productive (min)]]/tblShifts[[#This Row],[Planned (min)]],""))</f>
        <v>0.673333333333333</v>
      </c>
      <c r="R8" s="40" t="str">
        <f>IF(NOT(ISNUMBER(tblShifts[[#This Row],[OEE]])),"",IF(tblShifts[[#This Row],[OEE]]&gt;=TargetOEE,"On target",IF(tblShifts[[#This Row],[OEE]]&gt;=TargetOEE*(1-0.05),"Near target","Below target")))</f>
        <v>Near target</v>
      </c>
      <c r="S8" s="41">
        <f>IF(tblShifts[[#This Row],[Date]]="","",IF(AND(tblShifts[[#This Row],[Date]]&gt;=FFrom,tblShifts[[#This Row],[Date]]&lt;=FTo,OR(DashMachine="",tblShifts[[#This Row],[Machine]]=DashMachine)),tblShifts[[#This Row],[Date]],""))</f>
        <v>46272</v>
      </c>
      <c r="T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 s="28" t="s">
        <v>156</v>
      </c>
    </row>
    <row r="9" spans="1:21" x14ac:dyDescent="0.25">
      <c r="B9" s="34">
        <v>46272</v>
      </c>
      <c r="C9" s="28" t="s">
        <v>99</v>
      </c>
      <c r="D9" s="28" t="s">
        <v>97</v>
      </c>
      <c r="E9" s="28" t="s">
        <v>111</v>
      </c>
      <c r="F9" s="35">
        <v>450</v>
      </c>
      <c r="G9" s="35">
        <v>812</v>
      </c>
      <c r="H9" s="35">
        <v>788</v>
      </c>
      <c r="I9" s="36">
        <f>IF(tblShifts[[#This Row],[Date]]="","",SUMIFS(tblDowntime[Minutes],tblDowntime[Date],tblShifts[[#This Row],[Date]],tblDowntime[Shift],tblShifts[[#This Row],[Shift]],tblDowntime[Machine],tblShifts[[#This Row],[Machine]]))</f>
        <v>140</v>
      </c>
      <c r="J9" s="36">
        <f>IF(tblShifts[[#This Row],[Date]]="","",tblShifts[[#This Row],[Planned (min)]]-tblShifts[[#This Row],[Downtime (min)]])</f>
        <v>310</v>
      </c>
      <c r="K9" s="37">
        <f>IF(tblShifts[[#This Row],[Date]]="","",IFERROR(INDEX(tblProducts[Ideal cycle (s/unit)],MATCH(tblShifts[[#This Row],[Product]],tblProducts[Product],0)),""))</f>
        <v>20</v>
      </c>
      <c r="L9" s="38">
        <f>IF(tblShifts[[#This Row],[Date]]="","",IF(tblShifts[[#This Row],[Ideal cycle (s/unit)]]="","",tblShifts[[#This Row],[Ideal cycle (s/unit)]]*tblShifts[[#This Row],[Total (units)]]/60))</f>
        <v>270.666666666667</v>
      </c>
      <c r="M9" s="38">
        <f>IF(tblShifts[[#This Row],[Date]]="","",IF(tblShifts[[#This Row],[Ideal cycle (s/unit)]]="","",tblShifts[[#This Row],[Ideal cycle (s/unit)]]*tblShifts[[#This Row],[Good (units)]]/60))</f>
        <v>262.666666666667</v>
      </c>
      <c r="N9" s="39">
        <f>IF(tblShifts[[#This Row],[Date]]="","",IF(tblShifts[[#This Row],[Planned (min)]]&gt;0,tblShifts[[#This Row],[Run (min)]]/tblShifts[[#This Row],[Planned (min)]],""))</f>
        <v>0.688888888888889</v>
      </c>
      <c r="O9" s="39">
        <f>IF(tblShifts[[#This Row],[Date]]="","",IF(AND(tblShifts[[#This Row],[Run (min)]]&gt;0,ISNUMBER(tblShifts[[#This Row],[Net run (min)]])),tblShifts[[#This Row],[Net run (min)]]/tblShifts[[#This Row],[Run (min)]],""))</f>
        <v>0.873118279569893</v>
      </c>
      <c r="P9" s="39">
        <f>IF(tblShifts[[#This Row],[Date]]="","",IF(tblShifts[[#This Row],[Total (units)]]&gt;0,tblShifts[[#This Row],[Good (units)]]/tblShifts[[#This Row],[Total (units)]],""))</f>
        <v>0.970443349753695</v>
      </c>
      <c r="Q9" s="39">
        <f>IF(tblShifts[[#This Row],[Date]]="","",IF(AND(tblShifts[[#This Row],[Planned (min)]]&gt;0,ISNUMBER(tblShifts[[#This Row],[Productive (min)]])),tblShifts[[#This Row],[Productive (min)]]/tblShifts[[#This Row],[Planned (min)]],""))</f>
        <v>0.583703703703704</v>
      </c>
      <c r="R9" s="40" t="str">
        <f>IF(NOT(ISNUMBER(tblShifts[[#This Row],[OEE]])),"",IF(tblShifts[[#This Row],[OEE]]&gt;=TargetOEE,"On target",IF(tblShifts[[#This Row],[OEE]]&gt;=TargetOEE*(1-0.05),"Near target","Below target")))</f>
        <v>Below target</v>
      </c>
      <c r="S9" s="41">
        <f>IF(tblShifts[[#This Row],[Date]]="","",IF(AND(tblShifts[[#This Row],[Date]]&gt;=FFrom,tblShifts[[#This Row],[Date]]&lt;=FTo,OR(DashMachine="",tblShifts[[#This Row],[Machine]]=DashMachine)),tblShifts[[#This Row],[Date]],""))</f>
        <v>46272</v>
      </c>
      <c r="T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9" s="28" t="s">
        <v>156</v>
      </c>
    </row>
    <row r="10" spans="1:21" x14ac:dyDescent="0.25">
      <c r="B10" s="34">
        <v>46272</v>
      </c>
      <c r="C10" s="28" t="s">
        <v>102</v>
      </c>
      <c r="D10" s="28" t="s">
        <v>89</v>
      </c>
      <c r="E10" s="28" t="s">
        <v>105</v>
      </c>
      <c r="F10" s="35">
        <v>450</v>
      </c>
      <c r="G10" s="35">
        <v>2674</v>
      </c>
      <c r="H10" s="35">
        <v>2637</v>
      </c>
      <c r="I10" s="36">
        <f>IF(tblShifts[[#This Row],[Date]]="","",SUMIFS(tblDowntime[Minutes],tblDowntime[Date],tblShifts[[#This Row],[Date]],tblDowntime[Shift],tblShifts[[#This Row],[Shift]],tblDowntime[Machine],tblShifts[[#This Row],[Machine]]))</f>
        <v>25</v>
      </c>
      <c r="J10" s="36">
        <f>IF(tblShifts[[#This Row],[Date]]="","",tblShifts[[#This Row],[Planned (min)]]-tblShifts[[#This Row],[Downtime (min)]])</f>
        <v>425</v>
      </c>
      <c r="K10" s="37">
        <f>IF(tblShifts[[#This Row],[Date]]="","",IFERROR(INDEX(tblProducts[Ideal cycle (s/unit)],MATCH(tblShifts[[#This Row],[Product]],tblProducts[Product],0)),""))</f>
        <v>8</v>
      </c>
      <c r="L10" s="38">
        <f>IF(tblShifts[[#This Row],[Date]]="","",IF(tblShifts[[#This Row],[Ideal cycle (s/unit)]]="","",tblShifts[[#This Row],[Ideal cycle (s/unit)]]*tblShifts[[#This Row],[Total (units)]]/60))</f>
        <v>356.533333333333</v>
      </c>
      <c r="M10" s="38">
        <f>IF(tblShifts[[#This Row],[Date]]="","",IF(tblShifts[[#This Row],[Ideal cycle (s/unit)]]="","",tblShifts[[#This Row],[Ideal cycle (s/unit)]]*tblShifts[[#This Row],[Good (units)]]/60))</f>
        <v>351.6</v>
      </c>
      <c r="N10" s="39">
        <f>IF(tblShifts[[#This Row],[Date]]="","",IF(tblShifts[[#This Row],[Planned (min)]]&gt;0,tblShifts[[#This Row],[Run (min)]]/tblShifts[[#This Row],[Planned (min)]],""))</f>
        <v>0.944444444444444</v>
      </c>
      <c r="O10" s="39">
        <f>IF(tblShifts[[#This Row],[Date]]="","",IF(AND(tblShifts[[#This Row],[Run (min)]]&gt;0,ISNUMBER(tblShifts[[#This Row],[Net run (min)]])),tblShifts[[#This Row],[Net run (min)]]/tblShifts[[#This Row],[Run (min)]],""))</f>
        <v>0.838901960784314</v>
      </c>
      <c r="P10" s="39">
        <f>IF(tblShifts[[#This Row],[Date]]="","",IF(tblShifts[[#This Row],[Total (units)]]&gt;0,tblShifts[[#This Row],[Good (units)]]/tblShifts[[#This Row],[Total (units)]],""))</f>
        <v>0.986163051608078</v>
      </c>
      <c r="Q10" s="39">
        <f>IF(tblShifts[[#This Row],[Date]]="","",IF(AND(tblShifts[[#This Row],[Planned (min)]]&gt;0,ISNUMBER(tblShifts[[#This Row],[Productive (min)]])),tblShifts[[#This Row],[Productive (min)]]/tblShifts[[#This Row],[Planned (min)]],""))</f>
        <v>0.781333333333333</v>
      </c>
      <c r="R10" s="40" t="str">
        <f>IF(NOT(ISNUMBER(tblShifts[[#This Row],[OEE]])),"",IF(tblShifts[[#This Row],[OEE]]&gt;=TargetOEE,"On target",IF(tblShifts[[#This Row],[OEE]]&gt;=TargetOEE*(1-0.05),"Near target","Below target")))</f>
        <v>On target</v>
      </c>
      <c r="S10" s="41">
        <f>IF(tblShifts[[#This Row],[Date]]="","",IF(AND(tblShifts[[#This Row],[Date]]&gt;=FFrom,tblShifts[[#This Row],[Date]]&lt;=FTo,OR(DashMachine="",tblShifts[[#This Row],[Machine]]=DashMachine)),tblShifts[[#This Row],[Date]],""))</f>
        <v>46272</v>
      </c>
      <c r="T1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0" s="28" t="s">
        <v>156</v>
      </c>
    </row>
    <row r="11" spans="1:21" x14ac:dyDescent="0.25">
      <c r="B11" s="34">
        <v>46272</v>
      </c>
      <c r="C11" s="28" t="s">
        <v>102</v>
      </c>
      <c r="D11" s="28" t="s">
        <v>92</v>
      </c>
      <c r="E11" s="28" t="s">
        <v>105</v>
      </c>
      <c r="F11" s="35">
        <v>450</v>
      </c>
      <c r="G11" s="35">
        <v>2032</v>
      </c>
      <c r="H11" s="35">
        <v>2009</v>
      </c>
      <c r="I11" s="36">
        <f>IF(tblShifts[[#This Row],[Date]]="","",SUMIFS(tblDowntime[Minutes],tblDowntime[Date],tblShifts[[#This Row],[Date]],tblDowntime[Shift],tblShifts[[#This Row],[Shift]],tblDowntime[Machine],tblShifts[[#This Row],[Machine]]))</f>
        <v>130</v>
      </c>
      <c r="J11" s="36">
        <f>IF(tblShifts[[#This Row],[Date]]="","",tblShifts[[#This Row],[Planned (min)]]-tblShifts[[#This Row],[Downtime (min)]])</f>
        <v>320</v>
      </c>
      <c r="K11" s="37">
        <f>IF(tblShifts[[#This Row],[Date]]="","",IFERROR(INDEX(tblProducts[Ideal cycle (s/unit)],MATCH(tblShifts[[#This Row],[Product]],tblProducts[Product],0)),""))</f>
        <v>8</v>
      </c>
      <c r="L11" s="38">
        <f>IF(tblShifts[[#This Row],[Date]]="","",IF(tblShifts[[#This Row],[Ideal cycle (s/unit)]]="","",tblShifts[[#This Row],[Ideal cycle (s/unit)]]*tblShifts[[#This Row],[Total (units)]]/60))</f>
        <v>270.933333333333</v>
      </c>
      <c r="M11" s="38">
        <f>IF(tblShifts[[#This Row],[Date]]="","",IF(tblShifts[[#This Row],[Ideal cycle (s/unit)]]="","",tblShifts[[#This Row],[Ideal cycle (s/unit)]]*tblShifts[[#This Row],[Good (units)]]/60))</f>
        <v>267.866666666667</v>
      </c>
      <c r="N11" s="39">
        <f>IF(tblShifts[[#This Row],[Date]]="","",IF(tblShifts[[#This Row],[Planned (min)]]&gt;0,tblShifts[[#This Row],[Run (min)]]/tblShifts[[#This Row],[Planned (min)]],""))</f>
        <v>0.711111111111111</v>
      </c>
      <c r="O11" s="39">
        <f>IF(tblShifts[[#This Row],[Date]]="","",IF(AND(tblShifts[[#This Row],[Run (min)]]&gt;0,ISNUMBER(tblShifts[[#This Row],[Net run (min)]])),tblShifts[[#This Row],[Net run (min)]]/tblShifts[[#This Row],[Run (min)]],""))</f>
        <v>0.846666666666667</v>
      </c>
      <c r="P11" s="39">
        <f>IF(tblShifts[[#This Row],[Date]]="","",IF(tblShifts[[#This Row],[Total (units)]]&gt;0,tblShifts[[#This Row],[Good (units)]]/tblShifts[[#This Row],[Total (units)]],""))</f>
        <v>0.988681102362205</v>
      </c>
      <c r="Q11" s="39">
        <f>IF(tblShifts[[#This Row],[Date]]="","",IF(AND(tblShifts[[#This Row],[Planned (min)]]&gt;0,ISNUMBER(tblShifts[[#This Row],[Productive (min)]])),tblShifts[[#This Row],[Productive (min)]]/tblShifts[[#This Row],[Planned (min)]],""))</f>
        <v>0.595259259259259</v>
      </c>
      <c r="R11" s="40" t="str">
        <f>IF(NOT(ISNUMBER(tblShifts[[#This Row],[OEE]])),"",IF(tblShifts[[#This Row],[OEE]]&gt;=TargetOEE,"On target",IF(tblShifts[[#This Row],[OEE]]&gt;=TargetOEE*(1-0.05),"Near target","Below target")))</f>
        <v>Below target</v>
      </c>
      <c r="S11" s="41">
        <f>IF(tblShifts[[#This Row],[Date]]="","",IF(AND(tblShifts[[#This Row],[Date]]&gt;=FFrom,tblShifts[[#This Row],[Date]]&lt;=FTo,OR(DashMachine="",tblShifts[[#This Row],[Machine]]=DashMachine)),tblShifts[[#This Row],[Date]],""))</f>
        <v>46272</v>
      </c>
      <c r="T1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1" s="28" t="s">
        <v>157</v>
      </c>
    </row>
    <row r="12" spans="1:21" x14ac:dyDescent="0.25">
      <c r="B12" s="34">
        <v>46272</v>
      </c>
      <c r="C12" s="28" t="s">
        <v>102</v>
      </c>
      <c r="D12" s="28" t="s">
        <v>94</v>
      </c>
      <c r="E12" s="28" t="s">
        <v>111</v>
      </c>
      <c r="F12" s="35">
        <v>450</v>
      </c>
      <c r="G12" s="35">
        <v>801</v>
      </c>
      <c r="H12" s="35">
        <v>774</v>
      </c>
      <c r="I12" s="36">
        <f>IF(tblShifts[[#This Row],[Date]]="","",SUMIFS(tblDowntime[Minutes],tblDowntime[Date],tblShifts[[#This Row],[Date]],tblDowntime[Shift],tblShifts[[#This Row],[Shift]],tblDowntime[Machine],tblShifts[[#This Row],[Machine]]))</f>
        <v>155</v>
      </c>
      <c r="J12" s="36">
        <f>IF(tblShifts[[#This Row],[Date]]="","",tblShifts[[#This Row],[Planned (min)]]-tblShifts[[#This Row],[Downtime (min)]])</f>
        <v>295</v>
      </c>
      <c r="K12" s="37">
        <f>IF(tblShifts[[#This Row],[Date]]="","",IFERROR(INDEX(tblProducts[Ideal cycle (s/unit)],MATCH(tblShifts[[#This Row],[Product]],tblProducts[Product],0)),""))</f>
        <v>20</v>
      </c>
      <c r="L12" s="38">
        <f>IF(tblShifts[[#This Row],[Date]]="","",IF(tblShifts[[#This Row],[Ideal cycle (s/unit)]]="","",tblShifts[[#This Row],[Ideal cycle (s/unit)]]*tblShifts[[#This Row],[Total (units)]]/60))</f>
        <v>267</v>
      </c>
      <c r="M12" s="38">
        <f>IF(tblShifts[[#This Row],[Date]]="","",IF(tblShifts[[#This Row],[Ideal cycle (s/unit)]]="","",tblShifts[[#This Row],[Ideal cycle (s/unit)]]*tblShifts[[#This Row],[Good (units)]]/60))</f>
        <v>258</v>
      </c>
      <c r="N12" s="39">
        <f>IF(tblShifts[[#This Row],[Date]]="","",IF(tblShifts[[#This Row],[Planned (min)]]&gt;0,tblShifts[[#This Row],[Run (min)]]/tblShifts[[#This Row],[Planned (min)]],""))</f>
        <v>0.655555555555556</v>
      </c>
      <c r="O12" s="39">
        <f>IF(tblShifts[[#This Row],[Date]]="","",IF(AND(tblShifts[[#This Row],[Run (min)]]&gt;0,ISNUMBER(tblShifts[[#This Row],[Net run (min)]])),tblShifts[[#This Row],[Net run (min)]]/tblShifts[[#This Row],[Run (min)]],""))</f>
        <v>0.905084745762712</v>
      </c>
      <c r="P12" s="39">
        <f>IF(tblShifts[[#This Row],[Date]]="","",IF(tblShifts[[#This Row],[Total (units)]]&gt;0,tblShifts[[#This Row],[Good (units)]]/tblShifts[[#This Row],[Total (units)]],""))</f>
        <v>0.966292134831461</v>
      </c>
      <c r="Q12" s="39">
        <f>IF(tblShifts[[#This Row],[Date]]="","",IF(AND(tblShifts[[#This Row],[Planned (min)]]&gt;0,ISNUMBER(tblShifts[[#This Row],[Productive (min)]])),tblShifts[[#This Row],[Productive (min)]]/tblShifts[[#This Row],[Planned (min)]],""))</f>
        <v>0.573333333333333</v>
      </c>
      <c r="R12" s="40" t="str">
        <f>IF(NOT(ISNUMBER(tblShifts[[#This Row],[OEE]])),"",IF(tblShifts[[#This Row],[OEE]]&gt;=TargetOEE,"On target",IF(tblShifts[[#This Row],[OEE]]&gt;=TargetOEE*(1-0.05),"Near target","Below target")))</f>
        <v>Below target</v>
      </c>
      <c r="S12" s="41">
        <f>IF(tblShifts[[#This Row],[Date]]="","",IF(AND(tblShifts[[#This Row],[Date]]&gt;=FFrom,tblShifts[[#This Row],[Date]]&lt;=FTo,OR(DashMachine="",tblShifts[[#This Row],[Machine]]=DashMachine)),tblShifts[[#This Row],[Date]],""))</f>
        <v>46272</v>
      </c>
      <c r="T1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2" s="28" t="s">
        <v>158</v>
      </c>
    </row>
    <row r="13" spans="1:21" x14ac:dyDescent="0.25">
      <c r="B13" s="34">
        <v>46272</v>
      </c>
      <c r="C13" s="28" t="s">
        <v>102</v>
      </c>
      <c r="D13" s="28" t="s">
        <v>97</v>
      </c>
      <c r="E13" s="28" t="s">
        <v>111</v>
      </c>
      <c r="F13" s="35">
        <v>450</v>
      </c>
      <c r="G13" s="35">
        <v>1024</v>
      </c>
      <c r="H13" s="35">
        <v>1005</v>
      </c>
      <c r="I13" s="36">
        <f>IF(tblShifts[[#This Row],[Date]]="","",SUMIFS(tblDowntime[Minutes],tblDowntime[Date],tblShifts[[#This Row],[Date]],tblDowntime[Shift],tblShifts[[#This Row],[Shift]],tblDowntime[Machine],tblShifts[[#This Row],[Machine]]))</f>
        <v>55</v>
      </c>
      <c r="J13" s="36">
        <f>IF(tblShifts[[#This Row],[Date]]="","",tblShifts[[#This Row],[Planned (min)]]-tblShifts[[#This Row],[Downtime (min)]])</f>
        <v>395</v>
      </c>
      <c r="K13" s="37">
        <f>IF(tblShifts[[#This Row],[Date]]="","",IFERROR(INDEX(tblProducts[Ideal cycle (s/unit)],MATCH(tblShifts[[#This Row],[Product]],tblProducts[Product],0)),""))</f>
        <v>20</v>
      </c>
      <c r="L13" s="38">
        <f>IF(tblShifts[[#This Row],[Date]]="","",IF(tblShifts[[#This Row],[Ideal cycle (s/unit)]]="","",tblShifts[[#This Row],[Ideal cycle (s/unit)]]*tblShifts[[#This Row],[Total (units)]]/60))</f>
        <v>341.333333333333</v>
      </c>
      <c r="M13" s="38">
        <f>IF(tblShifts[[#This Row],[Date]]="","",IF(tblShifts[[#This Row],[Ideal cycle (s/unit)]]="","",tblShifts[[#This Row],[Ideal cycle (s/unit)]]*tblShifts[[#This Row],[Good (units)]]/60))</f>
        <v>335</v>
      </c>
      <c r="N13" s="39">
        <f>IF(tblShifts[[#This Row],[Date]]="","",IF(tblShifts[[#This Row],[Planned (min)]]&gt;0,tblShifts[[#This Row],[Run (min)]]/tblShifts[[#This Row],[Planned (min)]],""))</f>
        <v>0.877777777777778</v>
      </c>
      <c r="O13" s="39">
        <f>IF(tblShifts[[#This Row],[Date]]="","",IF(AND(tblShifts[[#This Row],[Run (min)]]&gt;0,ISNUMBER(tblShifts[[#This Row],[Net run (min)]])),tblShifts[[#This Row],[Net run (min)]]/tblShifts[[#This Row],[Run (min)]],""))</f>
        <v>0.864135021097046</v>
      </c>
      <c r="P13" s="39">
        <f>IF(tblShifts[[#This Row],[Date]]="","",IF(tblShifts[[#This Row],[Total (units)]]&gt;0,tblShifts[[#This Row],[Good (units)]]/tblShifts[[#This Row],[Total (units)]],""))</f>
        <v>0.9814453125</v>
      </c>
      <c r="Q13" s="39">
        <f>IF(tblShifts[[#This Row],[Date]]="","",IF(AND(tblShifts[[#This Row],[Planned (min)]]&gt;0,ISNUMBER(tblShifts[[#This Row],[Productive (min)]])),tblShifts[[#This Row],[Productive (min)]]/tblShifts[[#This Row],[Planned (min)]],""))</f>
        <v>0.744444444444445</v>
      </c>
      <c r="R13" s="40" t="str">
        <f>IF(NOT(ISNUMBER(tblShifts[[#This Row],[OEE]])),"",IF(tblShifts[[#This Row],[OEE]]&gt;=TargetOEE,"On target",IF(tblShifts[[#This Row],[OEE]]&gt;=TargetOEE*(1-0.05),"Near target","Below target")))</f>
        <v>On target</v>
      </c>
      <c r="S13" s="41">
        <f>IF(tblShifts[[#This Row],[Date]]="","",IF(AND(tblShifts[[#This Row],[Date]]&gt;=FFrom,tblShifts[[#This Row],[Date]]&lt;=FTo,OR(DashMachine="",tblShifts[[#This Row],[Machine]]=DashMachine)),tblShifts[[#This Row],[Date]],""))</f>
        <v>46272</v>
      </c>
      <c r="T1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3" s="28" t="s">
        <v>156</v>
      </c>
    </row>
    <row r="14" spans="1:21" x14ac:dyDescent="0.25">
      <c r="B14" s="34">
        <v>46273</v>
      </c>
      <c r="C14" s="28" t="s">
        <v>99</v>
      </c>
      <c r="D14" s="28" t="s">
        <v>89</v>
      </c>
      <c r="E14" s="28" t="s">
        <v>105</v>
      </c>
      <c r="F14" s="35">
        <v>450</v>
      </c>
      <c r="G14" s="35">
        <v>2197</v>
      </c>
      <c r="H14" s="35">
        <v>2187</v>
      </c>
      <c r="I14" s="36">
        <f>IF(tblShifts[[#This Row],[Date]]="","",SUMIFS(tblDowntime[Minutes],tblDowntime[Date],tblShifts[[#This Row],[Date]],tblDowntime[Shift],tblShifts[[#This Row],[Shift]],tblDowntime[Machine],tblShifts[[#This Row],[Machine]]))</f>
        <v>120</v>
      </c>
      <c r="J14" s="36">
        <f>IF(tblShifts[[#This Row],[Date]]="","",tblShifts[[#This Row],[Planned (min)]]-tblShifts[[#This Row],[Downtime (min)]])</f>
        <v>330</v>
      </c>
      <c r="K14" s="37">
        <f>IF(tblShifts[[#This Row],[Date]]="","",IFERROR(INDEX(tblProducts[Ideal cycle (s/unit)],MATCH(tblShifts[[#This Row],[Product]],tblProducts[Product],0)),""))</f>
        <v>8</v>
      </c>
      <c r="L14" s="38">
        <f>IF(tblShifts[[#This Row],[Date]]="","",IF(tblShifts[[#This Row],[Ideal cycle (s/unit)]]="","",tblShifts[[#This Row],[Ideal cycle (s/unit)]]*tblShifts[[#This Row],[Total (units)]]/60))</f>
        <v>292.933333333333</v>
      </c>
      <c r="M14" s="38">
        <f>IF(tblShifts[[#This Row],[Date]]="","",IF(tblShifts[[#This Row],[Ideal cycle (s/unit)]]="","",tblShifts[[#This Row],[Ideal cycle (s/unit)]]*tblShifts[[#This Row],[Good (units)]]/60))</f>
        <v>291.6</v>
      </c>
      <c r="N14" s="39">
        <f>IF(tblShifts[[#This Row],[Date]]="","",IF(tblShifts[[#This Row],[Planned (min)]]&gt;0,tblShifts[[#This Row],[Run (min)]]/tblShifts[[#This Row],[Planned (min)]],""))</f>
        <v>0.733333333333333</v>
      </c>
      <c r="O14" s="39">
        <f>IF(tblShifts[[#This Row],[Date]]="","",IF(AND(tblShifts[[#This Row],[Run (min)]]&gt;0,ISNUMBER(tblShifts[[#This Row],[Net run (min)]])),tblShifts[[#This Row],[Net run (min)]]/tblShifts[[#This Row],[Run (min)]],""))</f>
        <v>0.887676767676768</v>
      </c>
      <c r="P14" s="39">
        <f>IF(tblShifts[[#This Row],[Date]]="","",IF(tblShifts[[#This Row],[Total (units)]]&gt;0,tblShifts[[#This Row],[Good (units)]]/tblShifts[[#This Row],[Total (units)]],""))</f>
        <v>0.995448338643605</v>
      </c>
      <c r="Q14" s="39">
        <f>IF(tblShifts[[#This Row],[Date]]="","",IF(AND(tblShifts[[#This Row],[Planned (min)]]&gt;0,ISNUMBER(tblShifts[[#This Row],[Productive (min)]])),tblShifts[[#This Row],[Productive (min)]]/tblShifts[[#This Row],[Planned (min)]],""))</f>
        <v>0.648</v>
      </c>
      <c r="R14" s="40" t="str">
        <f>IF(NOT(ISNUMBER(tblShifts[[#This Row],[OEE]])),"",IF(tblShifts[[#This Row],[OEE]]&gt;=TargetOEE,"On target",IF(tblShifts[[#This Row],[OEE]]&gt;=TargetOEE*(1-0.05),"Near target","Below target")))</f>
        <v>Below target</v>
      </c>
      <c r="S14" s="41">
        <f>IF(tblShifts[[#This Row],[Date]]="","",IF(AND(tblShifts[[#This Row],[Date]]&gt;=FFrom,tblShifts[[#This Row],[Date]]&lt;=FTo,OR(DashMachine="",tblShifts[[#This Row],[Machine]]=DashMachine)),tblShifts[[#This Row],[Date]],""))</f>
        <v>46273</v>
      </c>
      <c r="T1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4" s="28" t="s">
        <v>156</v>
      </c>
    </row>
    <row r="15" spans="1:21" x14ac:dyDescent="0.25">
      <c r="B15" s="34">
        <v>46273</v>
      </c>
      <c r="C15" s="28" t="s">
        <v>99</v>
      </c>
      <c r="D15" s="28" t="s">
        <v>92</v>
      </c>
      <c r="E15" s="28" t="s">
        <v>105</v>
      </c>
      <c r="F15" s="35">
        <v>450</v>
      </c>
      <c r="G15" s="35">
        <v>2753</v>
      </c>
      <c r="H15" s="35">
        <v>2673</v>
      </c>
      <c r="I15" s="36">
        <f>IF(tblShifts[[#This Row],[Date]]="","",SUMIFS(tblDowntime[Minutes],tblDowntime[Date],tblShifts[[#This Row],[Date]],tblDowntime[Shift],tblShifts[[#This Row],[Shift]],tblDowntime[Machine],tblShifts[[#This Row],[Machine]]))</f>
        <v>5</v>
      </c>
      <c r="J15" s="36">
        <f>IF(tblShifts[[#This Row],[Date]]="","",tblShifts[[#This Row],[Planned (min)]]-tblShifts[[#This Row],[Downtime (min)]])</f>
        <v>445</v>
      </c>
      <c r="K15" s="37">
        <f>IF(tblShifts[[#This Row],[Date]]="","",IFERROR(INDEX(tblProducts[Ideal cycle (s/unit)],MATCH(tblShifts[[#This Row],[Product]],tblProducts[Product],0)),""))</f>
        <v>8</v>
      </c>
      <c r="L15" s="38">
        <f>IF(tblShifts[[#This Row],[Date]]="","",IF(tblShifts[[#This Row],[Ideal cycle (s/unit)]]="","",tblShifts[[#This Row],[Ideal cycle (s/unit)]]*tblShifts[[#This Row],[Total (units)]]/60))</f>
        <v>367.066666666667</v>
      </c>
      <c r="M15" s="38">
        <f>IF(tblShifts[[#This Row],[Date]]="","",IF(tblShifts[[#This Row],[Ideal cycle (s/unit)]]="","",tblShifts[[#This Row],[Ideal cycle (s/unit)]]*tblShifts[[#This Row],[Good (units)]]/60))</f>
        <v>356.4</v>
      </c>
      <c r="N15" s="39">
        <f>IF(tblShifts[[#This Row],[Date]]="","",IF(tblShifts[[#This Row],[Planned (min)]]&gt;0,tblShifts[[#This Row],[Run (min)]]/tblShifts[[#This Row],[Planned (min)]],""))</f>
        <v>0.988888888888889</v>
      </c>
      <c r="O15" s="39">
        <f>IF(tblShifts[[#This Row],[Date]]="","",IF(AND(tblShifts[[#This Row],[Run (min)]]&gt;0,ISNUMBER(tblShifts[[#This Row],[Net run (min)]])),tblShifts[[#This Row],[Net run (min)]]/tblShifts[[#This Row],[Run (min)]],""))</f>
        <v>0.824868913857678</v>
      </c>
      <c r="P15" s="39">
        <f>IF(tblShifts[[#This Row],[Date]]="","",IF(tblShifts[[#This Row],[Total (units)]]&gt;0,tblShifts[[#This Row],[Good (units)]]/tblShifts[[#This Row],[Total (units)]],""))</f>
        <v>0.970940791863422</v>
      </c>
      <c r="Q15" s="39">
        <f>IF(tblShifts[[#This Row],[Date]]="","",IF(AND(tblShifts[[#This Row],[Planned (min)]]&gt;0,ISNUMBER(tblShifts[[#This Row],[Productive (min)]])),tblShifts[[#This Row],[Productive (min)]]/tblShifts[[#This Row],[Planned (min)]],""))</f>
        <v>0.792</v>
      </c>
      <c r="R15" s="40" t="str">
        <f>IF(NOT(ISNUMBER(tblShifts[[#This Row],[OEE]])),"",IF(tblShifts[[#This Row],[OEE]]&gt;=TargetOEE,"On target",IF(tblShifts[[#This Row],[OEE]]&gt;=TargetOEE*(1-0.05),"Near target","Below target")))</f>
        <v>On target</v>
      </c>
      <c r="S15" s="41">
        <f>IF(tblShifts[[#This Row],[Date]]="","",IF(AND(tblShifts[[#This Row],[Date]]&gt;=FFrom,tblShifts[[#This Row],[Date]]&lt;=FTo,OR(DashMachine="",tblShifts[[#This Row],[Machine]]=DashMachine)),tblShifts[[#This Row],[Date]],""))</f>
        <v>46273</v>
      </c>
      <c r="T1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5" s="28" t="s">
        <v>156</v>
      </c>
    </row>
    <row r="16" spans="1:21" x14ac:dyDescent="0.25">
      <c r="B16" s="34">
        <v>46273</v>
      </c>
      <c r="C16" s="28" t="s">
        <v>99</v>
      </c>
      <c r="D16" s="28" t="s">
        <v>94</v>
      </c>
      <c r="E16" s="28" t="s">
        <v>111</v>
      </c>
      <c r="F16" s="35">
        <v>450</v>
      </c>
      <c r="G16" s="35">
        <v>1139</v>
      </c>
      <c r="H16" s="35">
        <v>1101</v>
      </c>
      <c r="I16" s="36">
        <f>IF(tblShifts[[#This Row],[Date]]="","",SUMIFS(tblDowntime[Minutes],tblDowntime[Date],tblShifts[[#This Row],[Date]],tblDowntime[Shift],tblShifts[[#This Row],[Shift]],tblDowntime[Machine],tblShifts[[#This Row],[Machine]]))</f>
        <v>30</v>
      </c>
      <c r="J16" s="36">
        <f>IF(tblShifts[[#This Row],[Date]]="","",tblShifts[[#This Row],[Planned (min)]]-tblShifts[[#This Row],[Downtime (min)]])</f>
        <v>420</v>
      </c>
      <c r="K16" s="37">
        <f>IF(tblShifts[[#This Row],[Date]]="","",IFERROR(INDEX(tblProducts[Ideal cycle (s/unit)],MATCH(tblShifts[[#This Row],[Product]],tblProducts[Product],0)),""))</f>
        <v>20</v>
      </c>
      <c r="L16" s="38">
        <f>IF(tblShifts[[#This Row],[Date]]="","",IF(tblShifts[[#This Row],[Ideal cycle (s/unit)]]="","",tblShifts[[#This Row],[Ideal cycle (s/unit)]]*tblShifts[[#This Row],[Total (units)]]/60))</f>
        <v>379.666666666667</v>
      </c>
      <c r="M16" s="38">
        <f>IF(tblShifts[[#This Row],[Date]]="","",IF(tblShifts[[#This Row],[Ideal cycle (s/unit)]]="","",tblShifts[[#This Row],[Ideal cycle (s/unit)]]*tblShifts[[#This Row],[Good (units)]]/60))</f>
        <v>367</v>
      </c>
      <c r="N16" s="39">
        <f>IF(tblShifts[[#This Row],[Date]]="","",IF(tblShifts[[#This Row],[Planned (min)]]&gt;0,tblShifts[[#This Row],[Run (min)]]/tblShifts[[#This Row],[Planned (min)]],""))</f>
        <v>0.933333333333333</v>
      </c>
      <c r="O16" s="39">
        <f>IF(tblShifts[[#This Row],[Date]]="","",IF(AND(tblShifts[[#This Row],[Run (min)]]&gt;0,ISNUMBER(tblShifts[[#This Row],[Net run (min)]])),tblShifts[[#This Row],[Net run (min)]]/tblShifts[[#This Row],[Run (min)]],""))</f>
        <v>0.903968253968254</v>
      </c>
      <c r="P16" s="39">
        <f>IF(tblShifts[[#This Row],[Date]]="","",IF(tblShifts[[#This Row],[Total (units)]]&gt;0,tblShifts[[#This Row],[Good (units)]]/tblShifts[[#This Row],[Total (units)]],""))</f>
        <v>0.966637401229148</v>
      </c>
      <c r="Q16" s="39">
        <f>IF(tblShifts[[#This Row],[Date]]="","",IF(AND(tblShifts[[#This Row],[Planned (min)]]&gt;0,ISNUMBER(tblShifts[[#This Row],[Productive (min)]])),tblShifts[[#This Row],[Productive (min)]]/tblShifts[[#This Row],[Planned (min)]],""))</f>
        <v>0.815555555555556</v>
      </c>
      <c r="R16" s="40" t="str">
        <f>IF(NOT(ISNUMBER(tblShifts[[#This Row],[OEE]])),"",IF(tblShifts[[#This Row],[OEE]]&gt;=TargetOEE,"On target",IF(tblShifts[[#This Row],[OEE]]&gt;=TargetOEE*(1-0.05),"Near target","Below target")))</f>
        <v>On target</v>
      </c>
      <c r="S16" s="41">
        <f>IF(tblShifts[[#This Row],[Date]]="","",IF(AND(tblShifts[[#This Row],[Date]]&gt;=FFrom,tblShifts[[#This Row],[Date]]&lt;=FTo,OR(DashMachine="",tblShifts[[#This Row],[Machine]]=DashMachine)),tblShifts[[#This Row],[Date]],""))</f>
        <v>46273</v>
      </c>
      <c r="T1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6" s="28" t="s">
        <v>156</v>
      </c>
    </row>
    <row r="17" spans="2:21" x14ac:dyDescent="0.25">
      <c r="B17" s="34">
        <v>46273</v>
      </c>
      <c r="C17" s="28" t="s">
        <v>99</v>
      </c>
      <c r="D17" s="28" t="s">
        <v>97</v>
      </c>
      <c r="E17" s="28" t="s">
        <v>111</v>
      </c>
      <c r="F17" s="35">
        <v>450</v>
      </c>
      <c r="G17" s="35">
        <v>1008</v>
      </c>
      <c r="H17" s="35">
        <v>984</v>
      </c>
      <c r="I17" s="36">
        <f>IF(tblShifts[[#This Row],[Date]]="","",SUMIFS(tblDowntime[Minutes],tblDowntime[Date],tblShifts[[#This Row],[Date]],tblDowntime[Shift],tblShifts[[#This Row],[Shift]],tblDowntime[Machine],tblShifts[[#This Row],[Machine]]))</f>
        <v>65</v>
      </c>
      <c r="J17" s="36">
        <f>IF(tblShifts[[#This Row],[Date]]="","",tblShifts[[#This Row],[Planned (min)]]-tblShifts[[#This Row],[Downtime (min)]])</f>
        <v>385</v>
      </c>
      <c r="K17" s="37">
        <f>IF(tblShifts[[#This Row],[Date]]="","",IFERROR(INDEX(tblProducts[Ideal cycle (s/unit)],MATCH(tblShifts[[#This Row],[Product]],tblProducts[Product],0)),""))</f>
        <v>20</v>
      </c>
      <c r="L17" s="38">
        <f>IF(tblShifts[[#This Row],[Date]]="","",IF(tblShifts[[#This Row],[Ideal cycle (s/unit)]]="","",tblShifts[[#This Row],[Ideal cycle (s/unit)]]*tblShifts[[#This Row],[Total (units)]]/60))</f>
        <v>336</v>
      </c>
      <c r="M17" s="38">
        <f>IF(tblShifts[[#This Row],[Date]]="","",IF(tblShifts[[#This Row],[Ideal cycle (s/unit)]]="","",tblShifts[[#This Row],[Ideal cycle (s/unit)]]*tblShifts[[#This Row],[Good (units)]]/60))</f>
        <v>328</v>
      </c>
      <c r="N17" s="39">
        <f>IF(tblShifts[[#This Row],[Date]]="","",IF(tblShifts[[#This Row],[Planned (min)]]&gt;0,tblShifts[[#This Row],[Run (min)]]/tblShifts[[#This Row],[Planned (min)]],""))</f>
        <v>0.855555555555556</v>
      </c>
      <c r="O17" s="39">
        <f>IF(tblShifts[[#This Row],[Date]]="","",IF(AND(tblShifts[[#This Row],[Run (min)]]&gt;0,ISNUMBER(tblShifts[[#This Row],[Net run (min)]])),tblShifts[[#This Row],[Net run (min)]]/tblShifts[[#This Row],[Run (min)]],""))</f>
        <v>0.872727272727273</v>
      </c>
      <c r="P17" s="39">
        <f>IF(tblShifts[[#This Row],[Date]]="","",IF(tblShifts[[#This Row],[Total (units)]]&gt;0,tblShifts[[#This Row],[Good (units)]]/tblShifts[[#This Row],[Total (units)]],""))</f>
        <v>0.976190476190476</v>
      </c>
      <c r="Q17" s="39">
        <f>IF(tblShifts[[#This Row],[Date]]="","",IF(AND(tblShifts[[#This Row],[Planned (min)]]&gt;0,ISNUMBER(tblShifts[[#This Row],[Productive (min)]])),tblShifts[[#This Row],[Productive (min)]]/tblShifts[[#This Row],[Planned (min)]],""))</f>
        <v>0.728888888888889</v>
      </c>
      <c r="R17" s="40" t="str">
        <f>IF(NOT(ISNUMBER(tblShifts[[#This Row],[OEE]])),"",IF(tblShifts[[#This Row],[OEE]]&gt;=TargetOEE,"On target",IF(tblShifts[[#This Row],[OEE]]&gt;=TargetOEE*(1-0.05),"Near target","Below target")))</f>
        <v>On target</v>
      </c>
      <c r="S17" s="41">
        <f>IF(tblShifts[[#This Row],[Date]]="","",IF(AND(tblShifts[[#This Row],[Date]]&gt;=FFrom,tblShifts[[#This Row],[Date]]&lt;=FTo,OR(DashMachine="",tblShifts[[#This Row],[Machine]]=DashMachine)),tblShifts[[#This Row],[Date]],""))</f>
        <v>46273</v>
      </c>
      <c r="T1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7" s="28" t="s">
        <v>156</v>
      </c>
    </row>
    <row r="18" spans="2:21" x14ac:dyDescent="0.25">
      <c r="B18" s="34">
        <v>46273</v>
      </c>
      <c r="C18" s="28" t="s">
        <v>102</v>
      </c>
      <c r="D18" s="28" t="s">
        <v>89</v>
      </c>
      <c r="E18" s="28" t="s">
        <v>105</v>
      </c>
      <c r="F18" s="35">
        <v>450</v>
      </c>
      <c r="G18" s="35">
        <v>3015</v>
      </c>
      <c r="H18" s="35">
        <v>2983</v>
      </c>
      <c r="I18" s="36">
        <f>IF(tblShifts[[#This Row],[Date]]="","",SUMIFS(tblDowntime[Minutes],tblDowntime[Date],tblShifts[[#This Row],[Date]],tblDowntime[Shift],tblShifts[[#This Row],[Shift]],tblDowntime[Machine],tblShifts[[#This Row],[Machine]]))</f>
        <v>0</v>
      </c>
      <c r="J18" s="36">
        <f>IF(tblShifts[[#This Row],[Date]]="","",tblShifts[[#This Row],[Planned (min)]]-tblShifts[[#This Row],[Downtime (min)]])</f>
        <v>450</v>
      </c>
      <c r="K18" s="37">
        <f>IF(tblShifts[[#This Row],[Date]]="","",IFERROR(INDEX(tblProducts[Ideal cycle (s/unit)],MATCH(tblShifts[[#This Row],[Product]],tblProducts[Product],0)),""))</f>
        <v>8</v>
      </c>
      <c r="L18" s="38">
        <f>IF(tblShifts[[#This Row],[Date]]="","",IF(tblShifts[[#This Row],[Ideal cycle (s/unit)]]="","",tblShifts[[#This Row],[Ideal cycle (s/unit)]]*tblShifts[[#This Row],[Total (units)]]/60))</f>
        <v>402</v>
      </c>
      <c r="M18" s="38">
        <f>IF(tblShifts[[#This Row],[Date]]="","",IF(tblShifts[[#This Row],[Ideal cycle (s/unit)]]="","",tblShifts[[#This Row],[Ideal cycle (s/unit)]]*tblShifts[[#This Row],[Good (units)]]/60))</f>
        <v>397.733333333333</v>
      </c>
      <c r="N18" s="39">
        <f>IF(tblShifts[[#This Row],[Date]]="","",IF(tblShifts[[#This Row],[Planned (min)]]&gt;0,tblShifts[[#This Row],[Run (min)]]/tblShifts[[#This Row],[Planned (min)]],""))</f>
        <v>1</v>
      </c>
      <c r="O18" s="39">
        <f>IF(tblShifts[[#This Row],[Date]]="","",IF(AND(tblShifts[[#This Row],[Run (min)]]&gt;0,ISNUMBER(tblShifts[[#This Row],[Net run (min)]])),tblShifts[[#This Row],[Net run (min)]]/tblShifts[[#This Row],[Run (min)]],""))</f>
        <v>0.893333333333333</v>
      </c>
      <c r="P18" s="39">
        <f>IF(tblShifts[[#This Row],[Date]]="","",IF(tblShifts[[#This Row],[Total (units)]]&gt;0,tblShifts[[#This Row],[Good (units)]]/tblShifts[[#This Row],[Total (units)]],""))</f>
        <v>0.9893864013267</v>
      </c>
      <c r="Q18" s="39">
        <f>IF(tblShifts[[#This Row],[Date]]="","",IF(AND(tblShifts[[#This Row],[Planned (min)]]&gt;0,ISNUMBER(tblShifts[[#This Row],[Productive (min)]])),tblShifts[[#This Row],[Productive (min)]]/tblShifts[[#This Row],[Planned (min)]],""))</f>
        <v>0.883851851851852</v>
      </c>
      <c r="R18" s="40" t="str">
        <f>IF(NOT(ISNUMBER(tblShifts[[#This Row],[OEE]])),"",IF(tblShifts[[#This Row],[OEE]]&gt;=TargetOEE,"On target",IF(tblShifts[[#This Row],[OEE]]&gt;=TargetOEE*(1-0.05),"Near target","Below target")))</f>
        <v>On target</v>
      </c>
      <c r="S18" s="41">
        <f>IF(tblShifts[[#This Row],[Date]]="","",IF(AND(tblShifts[[#This Row],[Date]]&gt;=FFrom,tblShifts[[#This Row],[Date]]&lt;=FTo,OR(DashMachine="",tblShifts[[#This Row],[Machine]]=DashMachine)),tblShifts[[#This Row],[Date]],""))</f>
        <v>46273</v>
      </c>
      <c r="T1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8" s="28" t="s">
        <v>156</v>
      </c>
    </row>
    <row r="19" spans="2:21" x14ac:dyDescent="0.25">
      <c r="B19" s="34">
        <v>46273</v>
      </c>
      <c r="C19" s="28" t="s">
        <v>102</v>
      </c>
      <c r="D19" s="28" t="s">
        <v>92</v>
      </c>
      <c r="E19" s="28" t="s">
        <v>105</v>
      </c>
      <c r="F19" s="35">
        <v>450</v>
      </c>
      <c r="G19" s="35">
        <v>2470</v>
      </c>
      <c r="H19" s="35">
        <v>2448</v>
      </c>
      <c r="I19" s="36">
        <f>IF(tblShifts[[#This Row],[Date]]="","",SUMIFS(tblDowntime[Minutes],tblDowntime[Date],tblShifts[[#This Row],[Date]],tblDowntime[Shift],tblShifts[[#This Row],[Shift]],tblDowntime[Machine],tblShifts[[#This Row],[Machine]]))</f>
        <v>45</v>
      </c>
      <c r="J19" s="36">
        <f>IF(tblShifts[[#This Row],[Date]]="","",tblShifts[[#This Row],[Planned (min)]]-tblShifts[[#This Row],[Downtime (min)]])</f>
        <v>405</v>
      </c>
      <c r="K19" s="37">
        <f>IF(tblShifts[[#This Row],[Date]]="","",IFERROR(INDEX(tblProducts[Ideal cycle (s/unit)],MATCH(tblShifts[[#This Row],[Product]],tblProducts[Product],0)),""))</f>
        <v>8</v>
      </c>
      <c r="L19" s="38">
        <f>IF(tblShifts[[#This Row],[Date]]="","",IF(tblShifts[[#This Row],[Ideal cycle (s/unit)]]="","",tblShifts[[#This Row],[Ideal cycle (s/unit)]]*tblShifts[[#This Row],[Total (units)]]/60))</f>
        <v>329.333333333333</v>
      </c>
      <c r="M19" s="38">
        <f>IF(tblShifts[[#This Row],[Date]]="","",IF(tblShifts[[#This Row],[Ideal cycle (s/unit)]]="","",tblShifts[[#This Row],[Ideal cycle (s/unit)]]*tblShifts[[#This Row],[Good (units)]]/60))</f>
        <v>326.4</v>
      </c>
      <c r="N19" s="39">
        <f>IF(tblShifts[[#This Row],[Date]]="","",IF(tblShifts[[#This Row],[Planned (min)]]&gt;0,tblShifts[[#This Row],[Run (min)]]/tblShifts[[#This Row],[Planned (min)]],""))</f>
        <v>0.9</v>
      </c>
      <c r="O19" s="39">
        <f>IF(tblShifts[[#This Row],[Date]]="","",IF(AND(tblShifts[[#This Row],[Run (min)]]&gt;0,ISNUMBER(tblShifts[[#This Row],[Net run (min)]])),tblShifts[[#This Row],[Net run (min)]]/tblShifts[[#This Row],[Run (min)]],""))</f>
        <v>0.813168724279835</v>
      </c>
      <c r="P19" s="39">
        <f>IF(tblShifts[[#This Row],[Date]]="","",IF(tblShifts[[#This Row],[Total (units)]]&gt;0,tblShifts[[#This Row],[Good (units)]]/tblShifts[[#This Row],[Total (units)]],""))</f>
        <v>0.991093117408907</v>
      </c>
      <c r="Q19" s="39">
        <f>IF(tblShifts[[#This Row],[Date]]="","",IF(AND(tblShifts[[#This Row],[Planned (min)]]&gt;0,ISNUMBER(tblShifts[[#This Row],[Productive (min)]])),tblShifts[[#This Row],[Productive (min)]]/tblShifts[[#This Row],[Planned (min)]],""))</f>
        <v>0.725333333333333</v>
      </c>
      <c r="R19" s="40" t="str">
        <f>IF(NOT(ISNUMBER(tblShifts[[#This Row],[OEE]])),"",IF(tblShifts[[#This Row],[OEE]]&gt;=TargetOEE,"On target",IF(tblShifts[[#This Row],[OEE]]&gt;=TargetOEE*(1-0.05),"Near target","Below target")))</f>
        <v>On target</v>
      </c>
      <c r="S19" s="41">
        <f>IF(tblShifts[[#This Row],[Date]]="","",IF(AND(tblShifts[[#This Row],[Date]]&gt;=FFrom,tblShifts[[#This Row],[Date]]&lt;=FTo,OR(DashMachine="",tblShifts[[#This Row],[Machine]]=DashMachine)),tblShifts[[#This Row],[Date]],""))</f>
        <v>46273</v>
      </c>
      <c r="T1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19" s="28" t="s">
        <v>156</v>
      </c>
    </row>
    <row r="20" spans="2:21" x14ac:dyDescent="0.25">
      <c r="B20" s="34">
        <v>46273</v>
      </c>
      <c r="C20" s="28" t="s">
        <v>102</v>
      </c>
      <c r="D20" s="28" t="s">
        <v>94</v>
      </c>
      <c r="E20" s="28" t="s">
        <v>111</v>
      </c>
      <c r="F20" s="35">
        <v>450</v>
      </c>
      <c r="G20" s="35">
        <v>1048</v>
      </c>
      <c r="H20" s="35">
        <v>1007</v>
      </c>
      <c r="I20" s="36">
        <f>IF(tblShifts[[#This Row],[Date]]="","",SUMIFS(tblDowntime[Minutes],tblDowntime[Date],tblShifts[[#This Row],[Date]],tblDowntime[Shift],tblShifts[[#This Row],[Shift]],tblDowntime[Machine],tblShifts[[#This Row],[Machine]]))</f>
        <v>0</v>
      </c>
      <c r="J20" s="36">
        <f>IF(tblShifts[[#This Row],[Date]]="","",tblShifts[[#This Row],[Planned (min)]]-tblShifts[[#This Row],[Downtime (min)]])</f>
        <v>450</v>
      </c>
      <c r="K20" s="37">
        <f>IF(tblShifts[[#This Row],[Date]]="","",IFERROR(INDEX(tblProducts[Ideal cycle (s/unit)],MATCH(tblShifts[[#This Row],[Product]],tblProducts[Product],0)),""))</f>
        <v>20</v>
      </c>
      <c r="L20" s="38">
        <f>IF(tblShifts[[#This Row],[Date]]="","",IF(tblShifts[[#This Row],[Ideal cycle (s/unit)]]="","",tblShifts[[#This Row],[Ideal cycle (s/unit)]]*tblShifts[[#This Row],[Total (units)]]/60))</f>
        <v>349.333333333333</v>
      </c>
      <c r="M20" s="38">
        <f>IF(tblShifts[[#This Row],[Date]]="","",IF(tblShifts[[#This Row],[Ideal cycle (s/unit)]]="","",tblShifts[[#This Row],[Ideal cycle (s/unit)]]*tblShifts[[#This Row],[Good (units)]]/60))</f>
        <v>335.666666666667</v>
      </c>
      <c r="N20" s="39">
        <f>IF(tblShifts[[#This Row],[Date]]="","",IF(tblShifts[[#This Row],[Planned (min)]]&gt;0,tblShifts[[#This Row],[Run (min)]]/tblShifts[[#This Row],[Planned (min)]],""))</f>
        <v>1</v>
      </c>
      <c r="O20" s="39">
        <f>IF(tblShifts[[#This Row],[Date]]="","",IF(AND(tblShifts[[#This Row],[Run (min)]]&gt;0,ISNUMBER(tblShifts[[#This Row],[Net run (min)]])),tblShifts[[#This Row],[Net run (min)]]/tblShifts[[#This Row],[Run (min)]],""))</f>
        <v>0.776296296296296</v>
      </c>
      <c r="P20" s="39">
        <f>IF(tblShifts[[#This Row],[Date]]="","",IF(tblShifts[[#This Row],[Total (units)]]&gt;0,tblShifts[[#This Row],[Good (units)]]/tblShifts[[#This Row],[Total (units)]],""))</f>
        <v>0.96087786259542</v>
      </c>
      <c r="Q20" s="39">
        <f>IF(tblShifts[[#This Row],[Date]]="","",IF(AND(tblShifts[[#This Row],[Planned (min)]]&gt;0,ISNUMBER(tblShifts[[#This Row],[Productive (min)]])),tblShifts[[#This Row],[Productive (min)]]/tblShifts[[#This Row],[Planned (min)]],""))</f>
        <v>0.745925925925926</v>
      </c>
      <c r="R20" s="40" t="str">
        <f>IF(NOT(ISNUMBER(tblShifts[[#This Row],[OEE]])),"",IF(tblShifts[[#This Row],[OEE]]&gt;=TargetOEE,"On target",IF(tblShifts[[#This Row],[OEE]]&gt;=TargetOEE*(1-0.05),"Near target","Below target")))</f>
        <v>On target</v>
      </c>
      <c r="S20" s="41">
        <f>IF(tblShifts[[#This Row],[Date]]="","",IF(AND(tblShifts[[#This Row],[Date]]&gt;=FFrom,tblShifts[[#This Row],[Date]]&lt;=FTo,OR(DashMachine="",tblShifts[[#This Row],[Machine]]=DashMachine)),tblShifts[[#This Row],[Date]],""))</f>
        <v>46273</v>
      </c>
      <c r="T2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0" s="28" t="s">
        <v>156</v>
      </c>
    </row>
    <row r="21" spans="2:21" x14ac:dyDescent="0.25">
      <c r="B21" s="34">
        <v>46273</v>
      </c>
      <c r="C21" s="28" t="s">
        <v>102</v>
      </c>
      <c r="D21" s="28" t="s">
        <v>97</v>
      </c>
      <c r="E21" s="28" t="s">
        <v>109</v>
      </c>
      <c r="F21" s="35">
        <v>450</v>
      </c>
      <c r="G21" s="35">
        <v>1360</v>
      </c>
      <c r="H21" s="35">
        <v>1328</v>
      </c>
      <c r="I21" s="36">
        <f>IF(tblShifts[[#This Row],[Date]]="","",SUMIFS(tblDowntime[Minutes],tblDowntime[Date],tblShifts[[#This Row],[Date]],tblDowntime[Shift],tblShifts[[#This Row],[Shift]],tblDowntime[Machine],tblShifts[[#This Row],[Machine]]))</f>
        <v>150</v>
      </c>
      <c r="J21" s="36">
        <f>IF(tblShifts[[#This Row],[Date]]="","",tblShifts[[#This Row],[Planned (min)]]-tblShifts[[#This Row],[Downtime (min)]])</f>
        <v>300</v>
      </c>
      <c r="K21" s="37">
        <f>IF(tblShifts[[#This Row],[Date]]="","",IFERROR(INDEX(tblProducts[Ideal cycle (s/unit)],MATCH(tblShifts[[#This Row],[Product]],tblProducts[Product],0)),""))</f>
        <v>12</v>
      </c>
      <c r="L21" s="38">
        <f>IF(tblShifts[[#This Row],[Date]]="","",IF(tblShifts[[#This Row],[Ideal cycle (s/unit)]]="","",tblShifts[[#This Row],[Ideal cycle (s/unit)]]*tblShifts[[#This Row],[Total (units)]]/60))</f>
        <v>272</v>
      </c>
      <c r="M21" s="38">
        <f>IF(tblShifts[[#This Row],[Date]]="","",IF(tblShifts[[#This Row],[Ideal cycle (s/unit)]]="","",tblShifts[[#This Row],[Ideal cycle (s/unit)]]*tblShifts[[#This Row],[Good (units)]]/60))</f>
        <v>265.6</v>
      </c>
      <c r="N21" s="39">
        <f>IF(tblShifts[[#This Row],[Date]]="","",IF(tblShifts[[#This Row],[Planned (min)]]&gt;0,tblShifts[[#This Row],[Run (min)]]/tblShifts[[#This Row],[Planned (min)]],""))</f>
        <v>0.666666666666667</v>
      </c>
      <c r="O21" s="39">
        <f>IF(tblShifts[[#This Row],[Date]]="","",IF(AND(tblShifts[[#This Row],[Run (min)]]&gt;0,ISNUMBER(tblShifts[[#This Row],[Net run (min)]])),tblShifts[[#This Row],[Net run (min)]]/tblShifts[[#This Row],[Run (min)]],""))</f>
        <v>0.906666666666667</v>
      </c>
      <c r="P21" s="39">
        <f>IF(tblShifts[[#This Row],[Date]]="","",IF(tblShifts[[#This Row],[Total (units)]]&gt;0,tblShifts[[#This Row],[Good (units)]]/tblShifts[[#This Row],[Total (units)]],""))</f>
        <v>0.976470588235294</v>
      </c>
      <c r="Q21" s="39">
        <f>IF(tblShifts[[#This Row],[Date]]="","",IF(AND(tblShifts[[#This Row],[Planned (min)]]&gt;0,ISNUMBER(tblShifts[[#This Row],[Productive (min)]])),tblShifts[[#This Row],[Productive (min)]]/tblShifts[[#This Row],[Planned (min)]],""))</f>
        <v>0.590222222222222</v>
      </c>
      <c r="R21" s="40" t="str">
        <f>IF(NOT(ISNUMBER(tblShifts[[#This Row],[OEE]])),"",IF(tblShifts[[#This Row],[OEE]]&gt;=TargetOEE,"On target",IF(tblShifts[[#This Row],[OEE]]&gt;=TargetOEE*(1-0.05),"Near target","Below target")))</f>
        <v>Below target</v>
      </c>
      <c r="S21" s="41">
        <f>IF(tblShifts[[#This Row],[Date]]="","",IF(AND(tblShifts[[#This Row],[Date]]&gt;=FFrom,tblShifts[[#This Row],[Date]]&lt;=FTo,OR(DashMachine="",tblShifts[[#This Row],[Machine]]=DashMachine)),tblShifts[[#This Row],[Date]],""))</f>
        <v>46273</v>
      </c>
      <c r="T2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1" s="28" t="s">
        <v>159</v>
      </c>
    </row>
    <row r="22" spans="2:21" x14ac:dyDescent="0.25">
      <c r="B22" s="34">
        <v>46274</v>
      </c>
      <c r="C22" s="28" t="s">
        <v>99</v>
      </c>
      <c r="D22" s="28" t="s">
        <v>89</v>
      </c>
      <c r="E22" s="28" t="s">
        <v>105</v>
      </c>
      <c r="F22" s="35">
        <v>450</v>
      </c>
      <c r="G22" s="35">
        <v>2904</v>
      </c>
      <c r="H22" s="35">
        <v>2891</v>
      </c>
      <c r="I22" s="36">
        <f>IF(tblShifts[[#This Row],[Date]]="","",SUMIFS(tblDowntime[Minutes],tblDowntime[Date],tblShifts[[#This Row],[Date]],tblDowntime[Shift],tblShifts[[#This Row],[Shift]],tblDowntime[Machine],tblShifts[[#This Row],[Machine]]))</f>
        <v>20</v>
      </c>
      <c r="J22" s="36">
        <f>IF(tblShifts[[#This Row],[Date]]="","",tblShifts[[#This Row],[Planned (min)]]-tblShifts[[#This Row],[Downtime (min)]])</f>
        <v>430</v>
      </c>
      <c r="K22" s="37">
        <f>IF(tblShifts[[#This Row],[Date]]="","",IFERROR(INDEX(tblProducts[Ideal cycle (s/unit)],MATCH(tblShifts[[#This Row],[Product]],tblProducts[Product],0)),""))</f>
        <v>8</v>
      </c>
      <c r="L22" s="38">
        <f>IF(tblShifts[[#This Row],[Date]]="","",IF(tblShifts[[#This Row],[Ideal cycle (s/unit)]]="","",tblShifts[[#This Row],[Ideal cycle (s/unit)]]*tblShifts[[#This Row],[Total (units)]]/60))</f>
        <v>387.2</v>
      </c>
      <c r="M22" s="38">
        <f>IF(tblShifts[[#This Row],[Date]]="","",IF(tblShifts[[#This Row],[Ideal cycle (s/unit)]]="","",tblShifts[[#This Row],[Ideal cycle (s/unit)]]*tblShifts[[#This Row],[Good (units)]]/60))</f>
        <v>385.466666666667</v>
      </c>
      <c r="N22" s="39">
        <f>IF(tblShifts[[#This Row],[Date]]="","",IF(tblShifts[[#This Row],[Planned (min)]]&gt;0,tblShifts[[#This Row],[Run (min)]]/tblShifts[[#This Row],[Planned (min)]],""))</f>
        <v>0.955555555555556</v>
      </c>
      <c r="O22" s="39">
        <f>IF(tblShifts[[#This Row],[Date]]="","",IF(AND(tblShifts[[#This Row],[Run (min)]]&gt;0,ISNUMBER(tblShifts[[#This Row],[Net run (min)]])),tblShifts[[#This Row],[Net run (min)]]/tblShifts[[#This Row],[Run (min)]],""))</f>
        <v>0.90046511627907</v>
      </c>
      <c r="P22" s="39">
        <f>IF(tblShifts[[#This Row],[Date]]="","",IF(tblShifts[[#This Row],[Total (units)]]&gt;0,tblShifts[[#This Row],[Good (units)]]/tblShifts[[#This Row],[Total (units)]],""))</f>
        <v>0.995523415977962</v>
      </c>
      <c r="Q22" s="39">
        <f>IF(tblShifts[[#This Row],[Date]]="","",IF(AND(tblShifts[[#This Row],[Planned (min)]]&gt;0,ISNUMBER(tblShifts[[#This Row],[Productive (min)]])),tblShifts[[#This Row],[Productive (min)]]/tblShifts[[#This Row],[Planned (min)]],""))</f>
        <v>0.856592592592593</v>
      </c>
      <c r="R22" s="40" t="str">
        <f>IF(NOT(ISNUMBER(tblShifts[[#This Row],[OEE]])),"",IF(tblShifts[[#This Row],[OEE]]&gt;=TargetOEE,"On target",IF(tblShifts[[#This Row],[OEE]]&gt;=TargetOEE*(1-0.05),"Near target","Below target")))</f>
        <v>On target</v>
      </c>
      <c r="S22" s="41">
        <f>IF(tblShifts[[#This Row],[Date]]="","",IF(AND(tblShifts[[#This Row],[Date]]&gt;=FFrom,tblShifts[[#This Row],[Date]]&lt;=FTo,OR(DashMachine="",tblShifts[[#This Row],[Machine]]=DashMachine)),tblShifts[[#This Row],[Date]],""))</f>
        <v>46274</v>
      </c>
      <c r="T2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2" s="28" t="s">
        <v>156</v>
      </c>
    </row>
    <row r="23" spans="2:21" x14ac:dyDescent="0.25">
      <c r="B23" s="34">
        <v>46274</v>
      </c>
      <c r="C23" s="28" t="s">
        <v>99</v>
      </c>
      <c r="D23" s="28" t="s">
        <v>92</v>
      </c>
      <c r="E23" s="28" t="s">
        <v>105</v>
      </c>
      <c r="F23" s="35">
        <v>450</v>
      </c>
      <c r="G23" s="35">
        <v>3037</v>
      </c>
      <c r="H23" s="35">
        <v>2983</v>
      </c>
      <c r="I23" s="36">
        <f>IF(tblShifts[[#This Row],[Date]]="","",SUMIFS(tblDowntime[Minutes],tblDowntime[Date],tblShifts[[#This Row],[Date]],tblDowntime[Shift],tblShifts[[#This Row],[Shift]],tblDowntime[Machine],tblShifts[[#This Row],[Machine]]))</f>
        <v>0</v>
      </c>
      <c r="J23" s="36">
        <f>IF(tblShifts[[#This Row],[Date]]="","",tblShifts[[#This Row],[Planned (min)]]-tblShifts[[#This Row],[Downtime (min)]])</f>
        <v>450</v>
      </c>
      <c r="K23" s="37">
        <f>IF(tblShifts[[#This Row],[Date]]="","",IFERROR(INDEX(tblProducts[Ideal cycle (s/unit)],MATCH(tblShifts[[#This Row],[Product]],tblProducts[Product],0)),""))</f>
        <v>8</v>
      </c>
      <c r="L23" s="38">
        <f>IF(tblShifts[[#This Row],[Date]]="","",IF(tblShifts[[#This Row],[Ideal cycle (s/unit)]]="","",tblShifts[[#This Row],[Ideal cycle (s/unit)]]*tblShifts[[#This Row],[Total (units)]]/60))</f>
        <v>404.933333333333</v>
      </c>
      <c r="M23" s="38">
        <f>IF(tblShifts[[#This Row],[Date]]="","",IF(tblShifts[[#This Row],[Ideal cycle (s/unit)]]="","",tblShifts[[#This Row],[Ideal cycle (s/unit)]]*tblShifts[[#This Row],[Good (units)]]/60))</f>
        <v>397.733333333333</v>
      </c>
      <c r="N23" s="39">
        <f>IF(tblShifts[[#This Row],[Date]]="","",IF(tblShifts[[#This Row],[Planned (min)]]&gt;0,tblShifts[[#This Row],[Run (min)]]/tblShifts[[#This Row],[Planned (min)]],""))</f>
        <v>1</v>
      </c>
      <c r="O23" s="39">
        <f>IF(tblShifts[[#This Row],[Date]]="","",IF(AND(tblShifts[[#This Row],[Run (min)]]&gt;0,ISNUMBER(tblShifts[[#This Row],[Net run (min)]])),tblShifts[[#This Row],[Net run (min)]]/tblShifts[[#This Row],[Run (min)]],""))</f>
        <v>0.899851851851852</v>
      </c>
      <c r="P23" s="39">
        <f>IF(tblShifts[[#This Row],[Date]]="","",IF(tblShifts[[#This Row],[Total (units)]]&gt;0,tblShifts[[#This Row],[Good (units)]]/tblShifts[[#This Row],[Total (units)]],""))</f>
        <v>0.982219295357261</v>
      </c>
      <c r="Q23" s="39">
        <f>IF(tblShifts[[#This Row],[Date]]="","",IF(AND(tblShifts[[#This Row],[Planned (min)]]&gt;0,ISNUMBER(tblShifts[[#This Row],[Productive (min)]])),tblShifts[[#This Row],[Productive (min)]]/tblShifts[[#This Row],[Planned (min)]],""))</f>
        <v>0.883851851851852</v>
      </c>
      <c r="R23" s="40" t="str">
        <f>IF(NOT(ISNUMBER(tblShifts[[#This Row],[OEE]])),"",IF(tblShifts[[#This Row],[OEE]]&gt;=TargetOEE,"On target",IF(tblShifts[[#This Row],[OEE]]&gt;=TargetOEE*(1-0.05),"Near target","Below target")))</f>
        <v>On target</v>
      </c>
      <c r="S23" s="41">
        <f>IF(tblShifts[[#This Row],[Date]]="","",IF(AND(tblShifts[[#This Row],[Date]]&gt;=FFrom,tblShifts[[#This Row],[Date]]&lt;=FTo,OR(DashMachine="",tblShifts[[#This Row],[Machine]]=DashMachine)),tblShifts[[#This Row],[Date]],""))</f>
        <v>46274</v>
      </c>
      <c r="T2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3" s="28" t="s">
        <v>156</v>
      </c>
    </row>
    <row r="24" spans="2:21" x14ac:dyDescent="0.25">
      <c r="B24" s="34">
        <v>46274</v>
      </c>
      <c r="C24" s="28" t="s">
        <v>99</v>
      </c>
      <c r="D24" s="28" t="s">
        <v>94</v>
      </c>
      <c r="E24" s="28" t="s">
        <v>111</v>
      </c>
      <c r="F24" s="35">
        <v>450</v>
      </c>
      <c r="G24" s="35">
        <v>811</v>
      </c>
      <c r="H24" s="35">
        <v>787</v>
      </c>
      <c r="I24" s="36">
        <f>IF(tblShifts[[#This Row],[Date]]="","",SUMIFS(tblDowntime[Minutes],tblDowntime[Date],tblShifts[[#This Row],[Date]],tblDowntime[Shift],tblShifts[[#This Row],[Shift]],tblDowntime[Machine],tblShifts[[#This Row],[Machine]]))</f>
        <v>150</v>
      </c>
      <c r="J24" s="36">
        <f>IF(tblShifts[[#This Row],[Date]]="","",tblShifts[[#This Row],[Planned (min)]]-tblShifts[[#This Row],[Downtime (min)]])</f>
        <v>300</v>
      </c>
      <c r="K24" s="37">
        <f>IF(tblShifts[[#This Row],[Date]]="","",IFERROR(INDEX(tblProducts[Ideal cycle (s/unit)],MATCH(tblShifts[[#This Row],[Product]],tblProducts[Product],0)),""))</f>
        <v>20</v>
      </c>
      <c r="L24" s="38">
        <f>IF(tblShifts[[#This Row],[Date]]="","",IF(tblShifts[[#This Row],[Ideal cycle (s/unit)]]="","",tblShifts[[#This Row],[Ideal cycle (s/unit)]]*tblShifts[[#This Row],[Total (units)]]/60))</f>
        <v>270.333333333333</v>
      </c>
      <c r="M24" s="38">
        <f>IF(tblShifts[[#This Row],[Date]]="","",IF(tblShifts[[#This Row],[Ideal cycle (s/unit)]]="","",tblShifts[[#This Row],[Ideal cycle (s/unit)]]*tblShifts[[#This Row],[Good (units)]]/60))</f>
        <v>262.333333333333</v>
      </c>
      <c r="N24" s="39">
        <f>IF(tblShifts[[#This Row],[Date]]="","",IF(tblShifts[[#This Row],[Planned (min)]]&gt;0,tblShifts[[#This Row],[Run (min)]]/tblShifts[[#This Row],[Planned (min)]],""))</f>
        <v>0.666666666666667</v>
      </c>
      <c r="O24" s="39">
        <f>IF(tblShifts[[#This Row],[Date]]="","",IF(AND(tblShifts[[#This Row],[Run (min)]]&gt;0,ISNUMBER(tblShifts[[#This Row],[Net run (min)]])),tblShifts[[#This Row],[Net run (min)]]/tblShifts[[#This Row],[Run (min)]],""))</f>
        <v>0.901111111111111</v>
      </c>
      <c r="P24" s="39">
        <f>IF(tblShifts[[#This Row],[Date]]="","",IF(tblShifts[[#This Row],[Total (units)]]&gt;0,tblShifts[[#This Row],[Good (units)]]/tblShifts[[#This Row],[Total (units)]],""))</f>
        <v>0.970406905055487</v>
      </c>
      <c r="Q24" s="39">
        <f>IF(tblShifts[[#This Row],[Date]]="","",IF(AND(tblShifts[[#This Row],[Planned (min)]]&gt;0,ISNUMBER(tblShifts[[#This Row],[Productive (min)]])),tblShifts[[#This Row],[Productive (min)]]/tblShifts[[#This Row],[Planned (min)]],""))</f>
        <v>0.582962962962963</v>
      </c>
      <c r="R24" s="40" t="str">
        <f>IF(NOT(ISNUMBER(tblShifts[[#This Row],[OEE]])),"",IF(tblShifts[[#This Row],[OEE]]&gt;=TargetOEE,"On target",IF(tblShifts[[#This Row],[OEE]]&gt;=TargetOEE*(1-0.05),"Near target","Below target")))</f>
        <v>Below target</v>
      </c>
      <c r="S24" s="41">
        <f>IF(tblShifts[[#This Row],[Date]]="","",IF(AND(tblShifts[[#This Row],[Date]]&gt;=FFrom,tblShifts[[#This Row],[Date]]&lt;=FTo,OR(DashMachine="",tblShifts[[#This Row],[Machine]]=DashMachine)),tblShifts[[#This Row],[Date]],""))</f>
        <v>46274</v>
      </c>
      <c r="T2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4" s="28" t="s">
        <v>156</v>
      </c>
    </row>
    <row r="25" spans="2:21" x14ac:dyDescent="0.25">
      <c r="B25" s="34">
        <v>46274</v>
      </c>
      <c r="C25" s="28" t="s">
        <v>99</v>
      </c>
      <c r="D25" s="28" t="s">
        <v>97</v>
      </c>
      <c r="E25" s="28" t="s">
        <v>109</v>
      </c>
      <c r="F25" s="35">
        <v>450</v>
      </c>
      <c r="G25" s="35">
        <v>1846</v>
      </c>
      <c r="H25" s="35">
        <v>1830</v>
      </c>
      <c r="I25" s="36">
        <f>IF(tblShifts[[#This Row],[Date]]="","",SUMIFS(tblDowntime[Minutes],tblDowntime[Date],tblShifts[[#This Row],[Date]],tblDowntime[Shift],tblShifts[[#This Row],[Shift]],tblDowntime[Machine],tblShifts[[#This Row],[Machine]]))</f>
        <v>40</v>
      </c>
      <c r="J25" s="36">
        <f>IF(tblShifts[[#This Row],[Date]]="","",tblShifts[[#This Row],[Planned (min)]]-tblShifts[[#This Row],[Downtime (min)]])</f>
        <v>410</v>
      </c>
      <c r="K25" s="37">
        <f>IF(tblShifts[[#This Row],[Date]]="","",IFERROR(INDEX(tblProducts[Ideal cycle (s/unit)],MATCH(tblShifts[[#This Row],[Product]],tblProducts[Product],0)),""))</f>
        <v>12</v>
      </c>
      <c r="L25" s="38">
        <f>IF(tblShifts[[#This Row],[Date]]="","",IF(tblShifts[[#This Row],[Ideal cycle (s/unit)]]="","",tblShifts[[#This Row],[Ideal cycle (s/unit)]]*tblShifts[[#This Row],[Total (units)]]/60))</f>
        <v>369.2</v>
      </c>
      <c r="M25" s="38">
        <f>IF(tblShifts[[#This Row],[Date]]="","",IF(tblShifts[[#This Row],[Ideal cycle (s/unit)]]="","",tblShifts[[#This Row],[Ideal cycle (s/unit)]]*tblShifts[[#This Row],[Good (units)]]/60))</f>
        <v>366</v>
      </c>
      <c r="N25" s="39">
        <f>IF(tblShifts[[#This Row],[Date]]="","",IF(tblShifts[[#This Row],[Planned (min)]]&gt;0,tblShifts[[#This Row],[Run (min)]]/tblShifts[[#This Row],[Planned (min)]],""))</f>
        <v>0.911111111111111</v>
      </c>
      <c r="O25" s="39">
        <f>IF(tblShifts[[#This Row],[Date]]="","",IF(AND(tblShifts[[#This Row],[Run (min)]]&gt;0,ISNUMBER(tblShifts[[#This Row],[Net run (min)]])),tblShifts[[#This Row],[Net run (min)]]/tblShifts[[#This Row],[Run (min)]],""))</f>
        <v>0.900487804878049</v>
      </c>
      <c r="P25" s="39">
        <f>IF(tblShifts[[#This Row],[Date]]="","",IF(tblShifts[[#This Row],[Total (units)]]&gt;0,tblShifts[[#This Row],[Good (units)]]/tblShifts[[#This Row],[Total (units)]],""))</f>
        <v>0.991332611050921</v>
      </c>
      <c r="Q25" s="39">
        <f>IF(tblShifts[[#This Row],[Date]]="","",IF(AND(tblShifts[[#This Row],[Planned (min)]]&gt;0,ISNUMBER(tblShifts[[#This Row],[Productive (min)]])),tblShifts[[#This Row],[Productive (min)]]/tblShifts[[#This Row],[Planned (min)]],""))</f>
        <v>0.813333333333333</v>
      </c>
      <c r="R25" s="40" t="str">
        <f>IF(NOT(ISNUMBER(tblShifts[[#This Row],[OEE]])),"",IF(tblShifts[[#This Row],[OEE]]&gt;=TargetOEE,"On target",IF(tblShifts[[#This Row],[OEE]]&gt;=TargetOEE*(1-0.05),"Near target","Below target")))</f>
        <v>On target</v>
      </c>
      <c r="S25" s="41">
        <f>IF(tblShifts[[#This Row],[Date]]="","",IF(AND(tblShifts[[#This Row],[Date]]&gt;=FFrom,tblShifts[[#This Row],[Date]]&lt;=FTo,OR(DashMachine="",tblShifts[[#This Row],[Machine]]=DashMachine)),tblShifts[[#This Row],[Date]],""))</f>
        <v>46274</v>
      </c>
      <c r="T2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5" s="28" t="s">
        <v>156</v>
      </c>
    </row>
    <row r="26" spans="2:21" x14ac:dyDescent="0.25">
      <c r="B26" s="34">
        <v>46274</v>
      </c>
      <c r="C26" s="28" t="s">
        <v>102</v>
      </c>
      <c r="D26" s="28" t="s">
        <v>89</v>
      </c>
      <c r="E26" s="28" t="s">
        <v>105</v>
      </c>
      <c r="F26" s="35">
        <v>450</v>
      </c>
      <c r="G26" s="35">
        <v>2672</v>
      </c>
      <c r="H26" s="35">
        <v>2629</v>
      </c>
      <c r="I26" s="36">
        <f>IF(tblShifts[[#This Row],[Date]]="","",SUMIFS(tblDowntime[Minutes],tblDowntime[Date],tblShifts[[#This Row],[Date]],tblDowntime[Shift],tblShifts[[#This Row],[Shift]],tblDowntime[Machine],tblShifts[[#This Row],[Machine]]))</f>
        <v>40</v>
      </c>
      <c r="J26" s="36">
        <f>IF(tblShifts[[#This Row],[Date]]="","",tblShifts[[#This Row],[Planned (min)]]-tblShifts[[#This Row],[Downtime (min)]])</f>
        <v>410</v>
      </c>
      <c r="K26" s="37">
        <f>IF(tblShifts[[#This Row],[Date]]="","",IFERROR(INDEX(tblProducts[Ideal cycle (s/unit)],MATCH(tblShifts[[#This Row],[Product]],tblProducts[Product],0)),""))</f>
        <v>8</v>
      </c>
      <c r="L26" s="38">
        <f>IF(tblShifts[[#This Row],[Date]]="","",IF(tblShifts[[#This Row],[Ideal cycle (s/unit)]]="","",tblShifts[[#This Row],[Ideal cycle (s/unit)]]*tblShifts[[#This Row],[Total (units)]]/60))</f>
        <v>356.266666666667</v>
      </c>
      <c r="M26" s="38">
        <f>IF(tblShifts[[#This Row],[Date]]="","",IF(tblShifts[[#This Row],[Ideal cycle (s/unit)]]="","",tblShifts[[#This Row],[Ideal cycle (s/unit)]]*tblShifts[[#This Row],[Good (units)]]/60))</f>
        <v>350.533333333333</v>
      </c>
      <c r="N26" s="39">
        <f>IF(tblShifts[[#This Row],[Date]]="","",IF(tblShifts[[#This Row],[Planned (min)]]&gt;0,tblShifts[[#This Row],[Run (min)]]/tblShifts[[#This Row],[Planned (min)]],""))</f>
        <v>0.911111111111111</v>
      </c>
      <c r="O26" s="39">
        <f>IF(tblShifts[[#This Row],[Date]]="","",IF(AND(tblShifts[[#This Row],[Run (min)]]&gt;0,ISNUMBER(tblShifts[[#This Row],[Net run (min)]])),tblShifts[[#This Row],[Net run (min)]]/tblShifts[[#This Row],[Run (min)]],""))</f>
        <v>0.868943089430894</v>
      </c>
      <c r="P26" s="39">
        <f>IF(tblShifts[[#This Row],[Date]]="","",IF(tblShifts[[#This Row],[Total (units)]]&gt;0,tblShifts[[#This Row],[Good (units)]]/tblShifts[[#This Row],[Total (units)]],""))</f>
        <v>0.983907185628743</v>
      </c>
      <c r="Q26" s="39">
        <f>IF(tblShifts[[#This Row],[Date]]="","",IF(AND(tblShifts[[#This Row],[Planned (min)]]&gt;0,ISNUMBER(tblShifts[[#This Row],[Productive (min)]])),tblShifts[[#This Row],[Productive (min)]]/tblShifts[[#This Row],[Planned (min)]],""))</f>
        <v>0.778962962962963</v>
      </c>
      <c r="R26" s="40" t="str">
        <f>IF(NOT(ISNUMBER(tblShifts[[#This Row],[OEE]])),"",IF(tblShifts[[#This Row],[OEE]]&gt;=TargetOEE,"On target",IF(tblShifts[[#This Row],[OEE]]&gt;=TargetOEE*(1-0.05),"Near target","Below target")))</f>
        <v>On target</v>
      </c>
      <c r="S26" s="41">
        <f>IF(tblShifts[[#This Row],[Date]]="","",IF(AND(tblShifts[[#This Row],[Date]]&gt;=FFrom,tblShifts[[#This Row],[Date]]&lt;=FTo,OR(DashMachine="",tblShifts[[#This Row],[Machine]]=DashMachine)),tblShifts[[#This Row],[Date]],""))</f>
        <v>46274</v>
      </c>
      <c r="T2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6" s="28" t="s">
        <v>156</v>
      </c>
    </row>
    <row r="27" spans="2:21" x14ac:dyDescent="0.25">
      <c r="B27" s="34">
        <v>46274</v>
      </c>
      <c r="C27" s="28" t="s">
        <v>102</v>
      </c>
      <c r="D27" s="28" t="s">
        <v>92</v>
      </c>
      <c r="E27" s="28" t="s">
        <v>105</v>
      </c>
      <c r="F27" s="35">
        <v>450</v>
      </c>
      <c r="G27" s="35">
        <v>2898</v>
      </c>
      <c r="H27" s="35">
        <v>2836</v>
      </c>
      <c r="I27" s="36">
        <f>IF(tblShifts[[#This Row],[Date]]="","",SUMIFS(tblDowntime[Minutes],tblDowntime[Date],tblShifts[[#This Row],[Date]],tblDowntime[Shift],tblShifts[[#This Row],[Shift]],tblDowntime[Machine],tblShifts[[#This Row],[Machine]]))</f>
        <v>0</v>
      </c>
      <c r="J27" s="36">
        <f>IF(tblShifts[[#This Row],[Date]]="","",tblShifts[[#This Row],[Planned (min)]]-tblShifts[[#This Row],[Downtime (min)]])</f>
        <v>450</v>
      </c>
      <c r="K27" s="37">
        <f>IF(tblShifts[[#This Row],[Date]]="","",IFERROR(INDEX(tblProducts[Ideal cycle (s/unit)],MATCH(tblShifts[[#This Row],[Product]],tblProducts[Product],0)),""))</f>
        <v>8</v>
      </c>
      <c r="L27" s="38">
        <f>IF(tblShifts[[#This Row],[Date]]="","",IF(tblShifts[[#This Row],[Ideal cycle (s/unit)]]="","",tblShifts[[#This Row],[Ideal cycle (s/unit)]]*tblShifts[[#This Row],[Total (units)]]/60))</f>
        <v>386.4</v>
      </c>
      <c r="M27" s="38">
        <f>IF(tblShifts[[#This Row],[Date]]="","",IF(tblShifts[[#This Row],[Ideal cycle (s/unit)]]="","",tblShifts[[#This Row],[Ideal cycle (s/unit)]]*tblShifts[[#This Row],[Good (units)]]/60))</f>
        <v>378.133333333333</v>
      </c>
      <c r="N27" s="39">
        <f>IF(tblShifts[[#This Row],[Date]]="","",IF(tblShifts[[#This Row],[Planned (min)]]&gt;0,tblShifts[[#This Row],[Run (min)]]/tblShifts[[#This Row],[Planned (min)]],""))</f>
        <v>1</v>
      </c>
      <c r="O27" s="39">
        <f>IF(tblShifts[[#This Row],[Date]]="","",IF(AND(tblShifts[[#This Row],[Run (min)]]&gt;0,ISNUMBER(tblShifts[[#This Row],[Net run (min)]])),tblShifts[[#This Row],[Net run (min)]]/tblShifts[[#This Row],[Run (min)]],""))</f>
        <v>0.858666666666667</v>
      </c>
      <c r="P27" s="39">
        <f>IF(tblShifts[[#This Row],[Date]]="","",IF(tblShifts[[#This Row],[Total (units)]]&gt;0,tblShifts[[#This Row],[Good (units)]]/tblShifts[[#This Row],[Total (units)]],""))</f>
        <v>0.978605935127674</v>
      </c>
      <c r="Q27" s="39">
        <f>IF(tblShifts[[#This Row],[Date]]="","",IF(AND(tblShifts[[#This Row],[Planned (min)]]&gt;0,ISNUMBER(tblShifts[[#This Row],[Productive (min)]])),tblShifts[[#This Row],[Productive (min)]]/tblShifts[[#This Row],[Planned (min)]],""))</f>
        <v>0.840296296296296</v>
      </c>
      <c r="R27" s="40" t="str">
        <f>IF(NOT(ISNUMBER(tblShifts[[#This Row],[OEE]])),"",IF(tblShifts[[#This Row],[OEE]]&gt;=TargetOEE,"On target",IF(tblShifts[[#This Row],[OEE]]&gt;=TargetOEE*(1-0.05),"Near target","Below target")))</f>
        <v>On target</v>
      </c>
      <c r="S27" s="41">
        <f>IF(tblShifts[[#This Row],[Date]]="","",IF(AND(tblShifts[[#This Row],[Date]]&gt;=FFrom,tblShifts[[#This Row],[Date]]&lt;=FTo,OR(DashMachine="",tblShifts[[#This Row],[Machine]]=DashMachine)),tblShifts[[#This Row],[Date]],""))</f>
        <v>46274</v>
      </c>
      <c r="T2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7" s="28" t="s">
        <v>156</v>
      </c>
    </row>
    <row r="28" spans="2:21" x14ac:dyDescent="0.25">
      <c r="B28" s="34">
        <v>46274</v>
      </c>
      <c r="C28" s="28" t="s">
        <v>102</v>
      </c>
      <c r="D28" s="28" t="s">
        <v>94</v>
      </c>
      <c r="E28" s="28" t="s">
        <v>111</v>
      </c>
      <c r="F28" s="35">
        <v>450</v>
      </c>
      <c r="G28" s="35">
        <v>966</v>
      </c>
      <c r="H28" s="35">
        <v>926</v>
      </c>
      <c r="I28" s="36">
        <f>IF(tblShifts[[#This Row],[Date]]="","",SUMIFS(tblDowntime[Minutes],tblDowntime[Date],tblShifts[[#This Row],[Date]],tblDowntime[Shift],tblShifts[[#This Row],[Shift]],tblDowntime[Machine],tblShifts[[#This Row],[Machine]]))</f>
        <v>50</v>
      </c>
      <c r="J28" s="36">
        <f>IF(tblShifts[[#This Row],[Date]]="","",tblShifts[[#This Row],[Planned (min)]]-tblShifts[[#This Row],[Downtime (min)]])</f>
        <v>400</v>
      </c>
      <c r="K28" s="37">
        <f>IF(tblShifts[[#This Row],[Date]]="","",IFERROR(INDEX(tblProducts[Ideal cycle (s/unit)],MATCH(tblShifts[[#This Row],[Product]],tblProducts[Product],0)),""))</f>
        <v>20</v>
      </c>
      <c r="L28" s="38">
        <f>IF(tblShifts[[#This Row],[Date]]="","",IF(tblShifts[[#This Row],[Ideal cycle (s/unit)]]="","",tblShifts[[#This Row],[Ideal cycle (s/unit)]]*tblShifts[[#This Row],[Total (units)]]/60))</f>
        <v>322</v>
      </c>
      <c r="M28" s="38">
        <f>IF(tblShifts[[#This Row],[Date]]="","",IF(tblShifts[[#This Row],[Ideal cycle (s/unit)]]="","",tblShifts[[#This Row],[Ideal cycle (s/unit)]]*tblShifts[[#This Row],[Good (units)]]/60))</f>
        <v>308.666666666667</v>
      </c>
      <c r="N28" s="39">
        <f>IF(tblShifts[[#This Row],[Date]]="","",IF(tblShifts[[#This Row],[Planned (min)]]&gt;0,tblShifts[[#This Row],[Run (min)]]/tblShifts[[#This Row],[Planned (min)]],""))</f>
        <v>0.888888888888889</v>
      </c>
      <c r="O28" s="39">
        <f>IF(tblShifts[[#This Row],[Date]]="","",IF(AND(tblShifts[[#This Row],[Run (min)]]&gt;0,ISNUMBER(tblShifts[[#This Row],[Net run (min)]])),tblShifts[[#This Row],[Net run (min)]]/tblShifts[[#This Row],[Run (min)]],""))</f>
        <v>0.805</v>
      </c>
      <c r="P28" s="39">
        <f>IF(tblShifts[[#This Row],[Date]]="","",IF(tblShifts[[#This Row],[Total (units)]]&gt;0,tblShifts[[#This Row],[Good (units)]]/tblShifts[[#This Row],[Total (units)]],""))</f>
        <v>0.958592132505176</v>
      </c>
      <c r="Q28" s="39">
        <f>IF(tblShifts[[#This Row],[Date]]="","",IF(AND(tblShifts[[#This Row],[Planned (min)]]&gt;0,ISNUMBER(tblShifts[[#This Row],[Productive (min)]])),tblShifts[[#This Row],[Productive (min)]]/tblShifts[[#This Row],[Planned (min)]],""))</f>
        <v>0.685925925925926</v>
      </c>
      <c r="R28" s="40" t="str">
        <f>IF(NOT(ISNUMBER(tblShifts[[#This Row],[OEE]])),"",IF(tblShifts[[#This Row],[OEE]]&gt;=TargetOEE,"On target",IF(tblShifts[[#This Row],[OEE]]&gt;=TargetOEE*(1-0.05),"Near target","Below target")))</f>
        <v>Near target</v>
      </c>
      <c r="S28" s="41">
        <f>IF(tblShifts[[#This Row],[Date]]="","",IF(AND(tblShifts[[#This Row],[Date]]&gt;=FFrom,tblShifts[[#This Row],[Date]]&lt;=FTo,OR(DashMachine="",tblShifts[[#This Row],[Machine]]=DashMachine)),tblShifts[[#This Row],[Date]],""))</f>
        <v>46274</v>
      </c>
      <c r="T2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8" s="28" t="s">
        <v>156</v>
      </c>
    </row>
    <row r="29" spans="2:21" x14ac:dyDescent="0.25">
      <c r="B29" s="34">
        <v>46274</v>
      </c>
      <c r="C29" s="28" t="s">
        <v>102</v>
      </c>
      <c r="D29" s="28" t="s">
        <v>97</v>
      </c>
      <c r="E29" s="28" t="s">
        <v>109</v>
      </c>
      <c r="F29" s="35">
        <v>450</v>
      </c>
      <c r="G29" s="35">
        <v>1713</v>
      </c>
      <c r="H29" s="35">
        <v>1698</v>
      </c>
      <c r="I29" s="36">
        <f>IF(tblShifts[[#This Row],[Date]]="","",SUMIFS(tblDowntime[Minutes],tblDowntime[Date],tblShifts[[#This Row],[Date]],tblDowntime[Shift],tblShifts[[#This Row],[Shift]],tblDowntime[Machine],tblShifts[[#This Row],[Machine]]))</f>
        <v>10</v>
      </c>
      <c r="J29" s="36">
        <f>IF(tblShifts[[#This Row],[Date]]="","",tblShifts[[#This Row],[Planned (min)]]-tblShifts[[#This Row],[Downtime (min)]])</f>
        <v>440</v>
      </c>
      <c r="K29" s="37">
        <f>IF(tblShifts[[#This Row],[Date]]="","",IFERROR(INDEX(tblProducts[Ideal cycle (s/unit)],MATCH(tblShifts[[#This Row],[Product]],tblProducts[Product],0)),""))</f>
        <v>12</v>
      </c>
      <c r="L29" s="38">
        <f>IF(tblShifts[[#This Row],[Date]]="","",IF(tblShifts[[#This Row],[Ideal cycle (s/unit)]]="","",tblShifts[[#This Row],[Ideal cycle (s/unit)]]*tblShifts[[#This Row],[Total (units)]]/60))</f>
        <v>342.6</v>
      </c>
      <c r="M29" s="38">
        <f>IF(tblShifts[[#This Row],[Date]]="","",IF(tblShifts[[#This Row],[Ideal cycle (s/unit)]]="","",tblShifts[[#This Row],[Ideal cycle (s/unit)]]*tblShifts[[#This Row],[Good (units)]]/60))</f>
        <v>339.6</v>
      </c>
      <c r="N29" s="39">
        <f>IF(tblShifts[[#This Row],[Date]]="","",IF(tblShifts[[#This Row],[Planned (min)]]&gt;0,tblShifts[[#This Row],[Run (min)]]/tblShifts[[#This Row],[Planned (min)]],""))</f>
        <v>0.977777777777778</v>
      </c>
      <c r="O29" s="39">
        <f>IF(tblShifts[[#This Row],[Date]]="","",IF(AND(tblShifts[[#This Row],[Run (min)]]&gt;0,ISNUMBER(tblShifts[[#This Row],[Net run (min)]])),tblShifts[[#This Row],[Net run (min)]]/tblShifts[[#This Row],[Run (min)]],""))</f>
        <v>0.778636363636364</v>
      </c>
      <c r="P29" s="39">
        <f>IF(tblShifts[[#This Row],[Date]]="","",IF(tblShifts[[#This Row],[Total (units)]]&gt;0,tblShifts[[#This Row],[Good (units)]]/tblShifts[[#This Row],[Total (units)]],""))</f>
        <v>0.991243432574431</v>
      </c>
      <c r="Q29" s="39">
        <f>IF(tblShifts[[#This Row],[Date]]="","",IF(AND(tblShifts[[#This Row],[Planned (min)]]&gt;0,ISNUMBER(tblShifts[[#This Row],[Productive (min)]])),tblShifts[[#This Row],[Productive (min)]]/tblShifts[[#This Row],[Planned (min)]],""))</f>
        <v>0.754666666666667</v>
      </c>
      <c r="R29" s="40" t="str">
        <f>IF(NOT(ISNUMBER(tblShifts[[#This Row],[OEE]])),"",IF(tblShifts[[#This Row],[OEE]]&gt;=TargetOEE,"On target",IF(tblShifts[[#This Row],[OEE]]&gt;=TargetOEE*(1-0.05),"Near target","Below target")))</f>
        <v>On target</v>
      </c>
      <c r="S29" s="41">
        <f>IF(tblShifts[[#This Row],[Date]]="","",IF(AND(tblShifts[[#This Row],[Date]]&gt;=FFrom,tblShifts[[#This Row],[Date]]&lt;=FTo,OR(DashMachine="",tblShifts[[#This Row],[Machine]]=DashMachine)),tblShifts[[#This Row],[Date]],""))</f>
        <v>46274</v>
      </c>
      <c r="T2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29" s="28" t="s">
        <v>156</v>
      </c>
    </row>
    <row r="30" spans="2:21" x14ac:dyDescent="0.25">
      <c r="B30" s="34">
        <v>46275</v>
      </c>
      <c r="C30" s="28" t="s">
        <v>99</v>
      </c>
      <c r="D30" s="28" t="s">
        <v>89</v>
      </c>
      <c r="E30" s="28" t="s">
        <v>105</v>
      </c>
      <c r="F30" s="35">
        <v>450</v>
      </c>
      <c r="G30" s="35">
        <v>2768</v>
      </c>
      <c r="H30" s="35">
        <v>2757</v>
      </c>
      <c r="I30" s="36">
        <f>IF(tblShifts[[#This Row],[Date]]="","",SUMIFS(tblDowntime[Minutes],tblDowntime[Date],tblShifts[[#This Row],[Date]],tblDowntime[Shift],tblShifts[[#This Row],[Shift]],tblDowntime[Machine],tblShifts[[#This Row],[Machine]]))</f>
        <v>60</v>
      </c>
      <c r="J30" s="36">
        <f>IF(tblShifts[[#This Row],[Date]]="","",tblShifts[[#This Row],[Planned (min)]]-tblShifts[[#This Row],[Downtime (min)]])</f>
        <v>390</v>
      </c>
      <c r="K30" s="37">
        <f>IF(tblShifts[[#This Row],[Date]]="","",IFERROR(INDEX(tblProducts[Ideal cycle (s/unit)],MATCH(tblShifts[[#This Row],[Product]],tblProducts[Product],0)),""))</f>
        <v>8</v>
      </c>
      <c r="L30" s="38">
        <f>IF(tblShifts[[#This Row],[Date]]="","",IF(tblShifts[[#This Row],[Ideal cycle (s/unit)]]="","",tblShifts[[#This Row],[Ideal cycle (s/unit)]]*tblShifts[[#This Row],[Total (units)]]/60))</f>
        <v>369.066666666667</v>
      </c>
      <c r="M30" s="38">
        <f>IF(tblShifts[[#This Row],[Date]]="","",IF(tblShifts[[#This Row],[Ideal cycle (s/unit)]]="","",tblShifts[[#This Row],[Ideal cycle (s/unit)]]*tblShifts[[#This Row],[Good (units)]]/60))</f>
        <v>367.6</v>
      </c>
      <c r="N30" s="39">
        <f>IF(tblShifts[[#This Row],[Date]]="","",IF(tblShifts[[#This Row],[Planned (min)]]&gt;0,tblShifts[[#This Row],[Run (min)]]/tblShifts[[#This Row],[Planned (min)]],""))</f>
        <v>0.866666666666667</v>
      </c>
      <c r="O30" s="39">
        <f>IF(tblShifts[[#This Row],[Date]]="","",IF(AND(tblShifts[[#This Row],[Run (min)]]&gt;0,ISNUMBER(tblShifts[[#This Row],[Net run (min)]])),tblShifts[[#This Row],[Net run (min)]]/tblShifts[[#This Row],[Run (min)]],""))</f>
        <v>0.946324786324786</v>
      </c>
      <c r="P30" s="39">
        <f>IF(tblShifts[[#This Row],[Date]]="","",IF(tblShifts[[#This Row],[Total (units)]]&gt;0,tblShifts[[#This Row],[Good (units)]]/tblShifts[[#This Row],[Total (units)]],""))</f>
        <v>0.996026011560694</v>
      </c>
      <c r="Q30" s="39">
        <f>IF(tblShifts[[#This Row],[Date]]="","",IF(AND(tblShifts[[#This Row],[Planned (min)]]&gt;0,ISNUMBER(tblShifts[[#This Row],[Productive (min)]])),tblShifts[[#This Row],[Productive (min)]]/tblShifts[[#This Row],[Planned (min)]],""))</f>
        <v>0.816888888888889</v>
      </c>
      <c r="R30" s="40" t="str">
        <f>IF(NOT(ISNUMBER(tblShifts[[#This Row],[OEE]])),"",IF(tblShifts[[#This Row],[OEE]]&gt;=TargetOEE,"On target",IF(tblShifts[[#This Row],[OEE]]&gt;=TargetOEE*(1-0.05),"Near target","Below target")))</f>
        <v>On target</v>
      </c>
      <c r="S30" s="41">
        <f>IF(tblShifts[[#This Row],[Date]]="","",IF(AND(tblShifts[[#This Row],[Date]]&gt;=FFrom,tblShifts[[#This Row],[Date]]&lt;=FTo,OR(DashMachine="",tblShifts[[#This Row],[Machine]]=DashMachine)),tblShifts[[#This Row],[Date]],""))</f>
        <v>46275</v>
      </c>
      <c r="T3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0" s="28" t="s">
        <v>156</v>
      </c>
    </row>
    <row r="31" spans="2:21" x14ac:dyDescent="0.25">
      <c r="B31" s="34">
        <v>46275</v>
      </c>
      <c r="C31" s="28" t="s">
        <v>99</v>
      </c>
      <c r="D31" s="28" t="s">
        <v>92</v>
      </c>
      <c r="E31" s="28" t="s">
        <v>105</v>
      </c>
      <c r="F31" s="35">
        <v>450</v>
      </c>
      <c r="G31" s="35">
        <v>2481</v>
      </c>
      <c r="H31" s="35">
        <v>2454</v>
      </c>
      <c r="I31" s="36">
        <f>IF(tblShifts[[#This Row],[Date]]="","",SUMIFS(tblDowntime[Minutes],tblDowntime[Date],tblShifts[[#This Row],[Date]],tblDowntime[Shift],tblShifts[[#This Row],[Shift]],tblDowntime[Machine],tblShifts[[#This Row],[Machine]]))</f>
        <v>50</v>
      </c>
      <c r="J31" s="36">
        <f>IF(tblShifts[[#This Row],[Date]]="","",tblShifts[[#This Row],[Planned (min)]]-tblShifts[[#This Row],[Downtime (min)]])</f>
        <v>400</v>
      </c>
      <c r="K31" s="37">
        <f>IF(tblShifts[[#This Row],[Date]]="","",IFERROR(INDEX(tblProducts[Ideal cycle (s/unit)],MATCH(tblShifts[[#This Row],[Product]],tblProducts[Product],0)),""))</f>
        <v>8</v>
      </c>
      <c r="L31" s="38">
        <f>IF(tblShifts[[#This Row],[Date]]="","",IF(tblShifts[[#This Row],[Ideal cycle (s/unit)]]="","",tblShifts[[#This Row],[Ideal cycle (s/unit)]]*tblShifts[[#This Row],[Total (units)]]/60))</f>
        <v>330.8</v>
      </c>
      <c r="M31" s="38">
        <f>IF(tblShifts[[#This Row],[Date]]="","",IF(tblShifts[[#This Row],[Ideal cycle (s/unit)]]="","",tblShifts[[#This Row],[Ideal cycle (s/unit)]]*tblShifts[[#This Row],[Good (units)]]/60))</f>
        <v>327.2</v>
      </c>
      <c r="N31" s="39">
        <f>IF(tblShifts[[#This Row],[Date]]="","",IF(tblShifts[[#This Row],[Planned (min)]]&gt;0,tblShifts[[#This Row],[Run (min)]]/tblShifts[[#This Row],[Planned (min)]],""))</f>
        <v>0.888888888888889</v>
      </c>
      <c r="O31" s="39">
        <f>IF(tblShifts[[#This Row],[Date]]="","",IF(AND(tblShifts[[#This Row],[Run (min)]]&gt;0,ISNUMBER(tblShifts[[#This Row],[Net run (min)]])),tblShifts[[#This Row],[Net run (min)]]/tblShifts[[#This Row],[Run (min)]],""))</f>
        <v>0.827</v>
      </c>
      <c r="P31" s="39">
        <f>IF(tblShifts[[#This Row],[Date]]="","",IF(tblShifts[[#This Row],[Total (units)]]&gt;0,tblShifts[[#This Row],[Good (units)]]/tblShifts[[#This Row],[Total (units)]],""))</f>
        <v>0.989117291414752</v>
      </c>
      <c r="Q31" s="39">
        <f>IF(tblShifts[[#This Row],[Date]]="","",IF(AND(tblShifts[[#This Row],[Planned (min)]]&gt;0,ISNUMBER(tblShifts[[#This Row],[Productive (min)]])),tblShifts[[#This Row],[Productive (min)]]/tblShifts[[#This Row],[Planned (min)]],""))</f>
        <v>0.727111111111111</v>
      </c>
      <c r="R31" s="40" t="str">
        <f>IF(NOT(ISNUMBER(tblShifts[[#This Row],[OEE]])),"",IF(tblShifts[[#This Row],[OEE]]&gt;=TargetOEE,"On target",IF(tblShifts[[#This Row],[OEE]]&gt;=TargetOEE*(1-0.05),"Near target","Below target")))</f>
        <v>On target</v>
      </c>
      <c r="S31" s="41">
        <f>IF(tblShifts[[#This Row],[Date]]="","",IF(AND(tblShifts[[#This Row],[Date]]&gt;=FFrom,tblShifts[[#This Row],[Date]]&lt;=FTo,OR(DashMachine="",tblShifts[[#This Row],[Machine]]=DashMachine)),tblShifts[[#This Row],[Date]],""))</f>
        <v>46275</v>
      </c>
      <c r="T3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1" s="28" t="s">
        <v>156</v>
      </c>
    </row>
    <row r="32" spans="2:21" x14ac:dyDescent="0.25">
      <c r="B32" s="34">
        <v>46275</v>
      </c>
      <c r="C32" s="28" t="s">
        <v>99</v>
      </c>
      <c r="D32" s="28" t="s">
        <v>94</v>
      </c>
      <c r="E32" s="28" t="s">
        <v>111</v>
      </c>
      <c r="F32" s="35">
        <v>450</v>
      </c>
      <c r="G32" s="35">
        <v>1151</v>
      </c>
      <c r="H32" s="35">
        <v>1092</v>
      </c>
      <c r="I32" s="36">
        <f>IF(tblShifts[[#This Row],[Date]]="","",SUMIFS(tblDowntime[Minutes],tblDowntime[Date],tblShifts[[#This Row],[Date]],tblDowntime[Shift],tblShifts[[#This Row],[Shift]],tblDowntime[Machine],tblShifts[[#This Row],[Machine]]))</f>
        <v>25</v>
      </c>
      <c r="J32" s="36">
        <f>IF(tblShifts[[#This Row],[Date]]="","",tblShifts[[#This Row],[Planned (min)]]-tblShifts[[#This Row],[Downtime (min)]])</f>
        <v>425</v>
      </c>
      <c r="K32" s="37">
        <f>IF(tblShifts[[#This Row],[Date]]="","",IFERROR(INDEX(tblProducts[Ideal cycle (s/unit)],MATCH(tblShifts[[#This Row],[Product]],tblProducts[Product],0)),""))</f>
        <v>20</v>
      </c>
      <c r="L32" s="38">
        <f>IF(tblShifts[[#This Row],[Date]]="","",IF(tblShifts[[#This Row],[Ideal cycle (s/unit)]]="","",tblShifts[[#This Row],[Ideal cycle (s/unit)]]*tblShifts[[#This Row],[Total (units)]]/60))</f>
        <v>383.666666666667</v>
      </c>
      <c r="M32" s="38">
        <f>IF(tblShifts[[#This Row],[Date]]="","",IF(tblShifts[[#This Row],[Ideal cycle (s/unit)]]="","",tblShifts[[#This Row],[Ideal cycle (s/unit)]]*tblShifts[[#This Row],[Good (units)]]/60))</f>
        <v>364</v>
      </c>
      <c r="N32" s="39">
        <f>IF(tblShifts[[#This Row],[Date]]="","",IF(tblShifts[[#This Row],[Planned (min)]]&gt;0,tblShifts[[#This Row],[Run (min)]]/tblShifts[[#This Row],[Planned (min)]],""))</f>
        <v>0.944444444444444</v>
      </c>
      <c r="O32" s="39">
        <f>IF(tblShifts[[#This Row],[Date]]="","",IF(AND(tblShifts[[#This Row],[Run (min)]]&gt;0,ISNUMBER(tblShifts[[#This Row],[Net run (min)]])),tblShifts[[#This Row],[Net run (min)]]/tblShifts[[#This Row],[Run (min)]],""))</f>
        <v>0.902745098039216</v>
      </c>
      <c r="P32" s="39">
        <f>IF(tblShifts[[#This Row],[Date]]="","",IF(tblShifts[[#This Row],[Total (units)]]&gt;0,tblShifts[[#This Row],[Good (units)]]/tblShifts[[#This Row],[Total (units)]],""))</f>
        <v>0.94874022589053</v>
      </c>
      <c r="Q32" s="39">
        <f>IF(tblShifts[[#This Row],[Date]]="","",IF(AND(tblShifts[[#This Row],[Planned (min)]]&gt;0,ISNUMBER(tblShifts[[#This Row],[Productive (min)]])),tblShifts[[#This Row],[Productive (min)]]/tblShifts[[#This Row],[Planned (min)]],""))</f>
        <v>0.808888888888889</v>
      </c>
      <c r="R32" s="40" t="str">
        <f>IF(NOT(ISNUMBER(tblShifts[[#This Row],[OEE]])),"",IF(tblShifts[[#This Row],[OEE]]&gt;=TargetOEE,"On target",IF(tblShifts[[#This Row],[OEE]]&gt;=TargetOEE*(1-0.05),"Near target","Below target")))</f>
        <v>On target</v>
      </c>
      <c r="S32" s="41">
        <f>IF(tblShifts[[#This Row],[Date]]="","",IF(AND(tblShifts[[#This Row],[Date]]&gt;=FFrom,tblShifts[[#This Row],[Date]]&lt;=FTo,OR(DashMachine="",tblShifts[[#This Row],[Machine]]=DashMachine)),tblShifts[[#This Row],[Date]],""))</f>
        <v>46275</v>
      </c>
      <c r="T3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2" s="28" t="s">
        <v>156</v>
      </c>
    </row>
    <row r="33" spans="2:21" x14ac:dyDescent="0.25">
      <c r="B33" s="34">
        <v>46275</v>
      </c>
      <c r="C33" s="28" t="s">
        <v>99</v>
      </c>
      <c r="D33" s="28" t="s">
        <v>97</v>
      </c>
      <c r="E33" s="28" t="s">
        <v>109</v>
      </c>
      <c r="F33" s="35">
        <v>450</v>
      </c>
      <c r="G33" s="35">
        <v>1816</v>
      </c>
      <c r="H33" s="35">
        <v>1796</v>
      </c>
      <c r="I33" s="36">
        <f>IF(tblShifts[[#This Row],[Date]]="","",SUMIFS(tblDowntime[Minutes],tblDowntime[Date],tblShifts[[#This Row],[Date]],tblDowntime[Shift],tblShifts[[#This Row],[Shift]],tblDowntime[Machine],tblShifts[[#This Row],[Machine]]))</f>
        <v>0</v>
      </c>
      <c r="J33" s="36">
        <f>IF(tblShifts[[#This Row],[Date]]="","",tblShifts[[#This Row],[Planned (min)]]-tblShifts[[#This Row],[Downtime (min)]])</f>
        <v>450</v>
      </c>
      <c r="K33" s="37">
        <f>IF(tblShifts[[#This Row],[Date]]="","",IFERROR(INDEX(tblProducts[Ideal cycle (s/unit)],MATCH(tblShifts[[#This Row],[Product]],tblProducts[Product],0)),""))</f>
        <v>12</v>
      </c>
      <c r="L33" s="38">
        <f>IF(tblShifts[[#This Row],[Date]]="","",IF(tblShifts[[#This Row],[Ideal cycle (s/unit)]]="","",tblShifts[[#This Row],[Ideal cycle (s/unit)]]*tblShifts[[#This Row],[Total (units)]]/60))</f>
        <v>363.2</v>
      </c>
      <c r="M33" s="38">
        <f>IF(tblShifts[[#This Row],[Date]]="","",IF(tblShifts[[#This Row],[Ideal cycle (s/unit)]]="","",tblShifts[[#This Row],[Ideal cycle (s/unit)]]*tblShifts[[#This Row],[Good (units)]]/60))</f>
        <v>359.2</v>
      </c>
      <c r="N33" s="39">
        <f>IF(tblShifts[[#This Row],[Date]]="","",IF(tblShifts[[#This Row],[Planned (min)]]&gt;0,tblShifts[[#This Row],[Run (min)]]/tblShifts[[#This Row],[Planned (min)]],""))</f>
        <v>1</v>
      </c>
      <c r="O33" s="39">
        <f>IF(tblShifts[[#This Row],[Date]]="","",IF(AND(tblShifts[[#This Row],[Run (min)]]&gt;0,ISNUMBER(tblShifts[[#This Row],[Net run (min)]])),tblShifts[[#This Row],[Net run (min)]]/tblShifts[[#This Row],[Run (min)]],""))</f>
        <v>0.807111111111111</v>
      </c>
      <c r="P33" s="39">
        <f>IF(tblShifts[[#This Row],[Date]]="","",IF(tblShifts[[#This Row],[Total (units)]]&gt;0,tblShifts[[#This Row],[Good (units)]]/tblShifts[[#This Row],[Total (units)]],""))</f>
        <v>0.988986784140969</v>
      </c>
      <c r="Q33" s="39">
        <f>IF(tblShifts[[#This Row],[Date]]="","",IF(AND(tblShifts[[#This Row],[Planned (min)]]&gt;0,ISNUMBER(tblShifts[[#This Row],[Productive (min)]])),tblShifts[[#This Row],[Productive (min)]]/tblShifts[[#This Row],[Planned (min)]],""))</f>
        <v>0.798222222222222</v>
      </c>
      <c r="R33" s="40" t="str">
        <f>IF(NOT(ISNUMBER(tblShifts[[#This Row],[OEE]])),"",IF(tblShifts[[#This Row],[OEE]]&gt;=TargetOEE,"On target",IF(tblShifts[[#This Row],[OEE]]&gt;=TargetOEE*(1-0.05),"Near target","Below target")))</f>
        <v>On target</v>
      </c>
      <c r="S33" s="41">
        <f>IF(tblShifts[[#This Row],[Date]]="","",IF(AND(tblShifts[[#This Row],[Date]]&gt;=FFrom,tblShifts[[#This Row],[Date]]&lt;=FTo,OR(DashMachine="",tblShifts[[#This Row],[Machine]]=DashMachine)),tblShifts[[#This Row],[Date]],""))</f>
        <v>46275</v>
      </c>
      <c r="T3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3" s="28" t="s">
        <v>156</v>
      </c>
    </row>
    <row r="34" spans="2:21" x14ac:dyDescent="0.25">
      <c r="B34" s="34">
        <v>46275</v>
      </c>
      <c r="C34" s="28" t="s">
        <v>102</v>
      </c>
      <c r="D34" s="28" t="s">
        <v>89</v>
      </c>
      <c r="E34" s="28" t="s">
        <v>105</v>
      </c>
      <c r="F34" s="35">
        <v>450</v>
      </c>
      <c r="G34" s="35">
        <v>2694</v>
      </c>
      <c r="H34" s="35">
        <v>2662</v>
      </c>
      <c r="I34" s="36">
        <f>IF(tblShifts[[#This Row],[Date]]="","",SUMIFS(tblDowntime[Minutes],tblDowntime[Date],tblShifts[[#This Row],[Date]],tblDowntime[Shift],tblShifts[[#This Row],[Shift]],tblDowntime[Machine],tblShifts[[#This Row],[Machine]]))</f>
        <v>50</v>
      </c>
      <c r="J34" s="36">
        <f>IF(tblShifts[[#This Row],[Date]]="","",tblShifts[[#This Row],[Planned (min)]]-tblShifts[[#This Row],[Downtime (min)]])</f>
        <v>400</v>
      </c>
      <c r="K34" s="37">
        <f>IF(tblShifts[[#This Row],[Date]]="","",IFERROR(INDEX(tblProducts[Ideal cycle (s/unit)],MATCH(tblShifts[[#This Row],[Product]],tblProducts[Product],0)),""))</f>
        <v>8</v>
      </c>
      <c r="L34" s="38">
        <f>IF(tblShifts[[#This Row],[Date]]="","",IF(tblShifts[[#This Row],[Ideal cycle (s/unit)]]="","",tblShifts[[#This Row],[Ideal cycle (s/unit)]]*tblShifts[[#This Row],[Total (units)]]/60))</f>
        <v>359.2</v>
      </c>
      <c r="M34" s="38">
        <f>IF(tblShifts[[#This Row],[Date]]="","",IF(tblShifts[[#This Row],[Ideal cycle (s/unit)]]="","",tblShifts[[#This Row],[Ideal cycle (s/unit)]]*tblShifts[[#This Row],[Good (units)]]/60))</f>
        <v>354.933333333333</v>
      </c>
      <c r="N34" s="39">
        <f>IF(tblShifts[[#This Row],[Date]]="","",IF(tblShifts[[#This Row],[Planned (min)]]&gt;0,tblShifts[[#This Row],[Run (min)]]/tblShifts[[#This Row],[Planned (min)]],""))</f>
        <v>0.888888888888889</v>
      </c>
      <c r="O34" s="39">
        <f>IF(tblShifts[[#This Row],[Date]]="","",IF(AND(tblShifts[[#This Row],[Run (min)]]&gt;0,ISNUMBER(tblShifts[[#This Row],[Net run (min)]])),tblShifts[[#This Row],[Net run (min)]]/tblShifts[[#This Row],[Run (min)]],""))</f>
        <v>0.898</v>
      </c>
      <c r="P34" s="39">
        <f>IF(tblShifts[[#This Row],[Date]]="","",IF(tblShifts[[#This Row],[Total (units)]]&gt;0,tblShifts[[#This Row],[Good (units)]]/tblShifts[[#This Row],[Total (units)]],""))</f>
        <v>0.988121752041574</v>
      </c>
      <c r="Q34" s="39">
        <f>IF(tblShifts[[#This Row],[Date]]="","",IF(AND(tblShifts[[#This Row],[Planned (min)]]&gt;0,ISNUMBER(tblShifts[[#This Row],[Productive (min)]])),tblShifts[[#This Row],[Productive (min)]]/tblShifts[[#This Row],[Planned (min)]],""))</f>
        <v>0.788740740740741</v>
      </c>
      <c r="R34" s="40" t="str">
        <f>IF(NOT(ISNUMBER(tblShifts[[#This Row],[OEE]])),"",IF(tblShifts[[#This Row],[OEE]]&gt;=TargetOEE,"On target",IF(tblShifts[[#This Row],[OEE]]&gt;=TargetOEE*(1-0.05),"Near target","Below target")))</f>
        <v>On target</v>
      </c>
      <c r="S34" s="41">
        <f>IF(tblShifts[[#This Row],[Date]]="","",IF(AND(tblShifts[[#This Row],[Date]]&gt;=FFrom,tblShifts[[#This Row],[Date]]&lt;=FTo,OR(DashMachine="",tblShifts[[#This Row],[Machine]]=DashMachine)),tblShifts[[#This Row],[Date]],""))</f>
        <v>46275</v>
      </c>
      <c r="T3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4" s="28" t="s">
        <v>156</v>
      </c>
    </row>
    <row r="35" spans="2:21" x14ac:dyDescent="0.25">
      <c r="B35" s="34">
        <v>46275</v>
      </c>
      <c r="C35" s="28" t="s">
        <v>102</v>
      </c>
      <c r="D35" s="28" t="s">
        <v>92</v>
      </c>
      <c r="E35" s="28" t="s">
        <v>105</v>
      </c>
      <c r="F35" s="35">
        <v>450</v>
      </c>
      <c r="G35" s="35">
        <v>2608</v>
      </c>
      <c r="H35" s="35">
        <v>2527</v>
      </c>
      <c r="I35" s="36">
        <f>IF(tblShifts[[#This Row],[Date]]="","",SUMIFS(tblDowntime[Minutes],tblDowntime[Date],tblShifts[[#This Row],[Date]],tblDowntime[Shift],tblShifts[[#This Row],[Shift]],tblDowntime[Machine],tblShifts[[#This Row],[Machine]]))</f>
        <v>45</v>
      </c>
      <c r="J35" s="36">
        <f>IF(tblShifts[[#This Row],[Date]]="","",tblShifts[[#This Row],[Planned (min)]]-tblShifts[[#This Row],[Downtime (min)]])</f>
        <v>405</v>
      </c>
      <c r="K35" s="37">
        <f>IF(tblShifts[[#This Row],[Date]]="","",IFERROR(INDEX(tblProducts[Ideal cycle (s/unit)],MATCH(tblShifts[[#This Row],[Product]],tblProducts[Product],0)),""))</f>
        <v>8</v>
      </c>
      <c r="L35" s="38">
        <f>IF(tblShifts[[#This Row],[Date]]="","",IF(tblShifts[[#This Row],[Ideal cycle (s/unit)]]="","",tblShifts[[#This Row],[Ideal cycle (s/unit)]]*tblShifts[[#This Row],[Total (units)]]/60))</f>
        <v>347.733333333333</v>
      </c>
      <c r="M35" s="38">
        <f>IF(tblShifts[[#This Row],[Date]]="","",IF(tblShifts[[#This Row],[Ideal cycle (s/unit)]]="","",tblShifts[[#This Row],[Ideal cycle (s/unit)]]*tblShifts[[#This Row],[Good (units)]]/60))</f>
        <v>336.933333333333</v>
      </c>
      <c r="N35" s="39">
        <f>IF(tblShifts[[#This Row],[Date]]="","",IF(tblShifts[[#This Row],[Planned (min)]]&gt;0,tblShifts[[#This Row],[Run (min)]]/tblShifts[[#This Row],[Planned (min)]],""))</f>
        <v>0.9</v>
      </c>
      <c r="O35" s="39">
        <f>IF(tblShifts[[#This Row],[Date]]="","",IF(AND(tblShifts[[#This Row],[Run (min)]]&gt;0,ISNUMBER(tblShifts[[#This Row],[Net run (min)]])),tblShifts[[#This Row],[Net run (min)]]/tblShifts[[#This Row],[Run (min)]],""))</f>
        <v>0.858600823045268</v>
      </c>
      <c r="P35" s="39">
        <f>IF(tblShifts[[#This Row],[Date]]="","",IF(tblShifts[[#This Row],[Total (units)]]&gt;0,tblShifts[[#This Row],[Good (units)]]/tblShifts[[#This Row],[Total (units)]],""))</f>
        <v>0.968941717791411</v>
      </c>
      <c r="Q35" s="39">
        <f>IF(tblShifts[[#This Row],[Date]]="","",IF(AND(tblShifts[[#This Row],[Planned (min)]]&gt;0,ISNUMBER(tblShifts[[#This Row],[Productive (min)]])),tblShifts[[#This Row],[Productive (min)]]/tblShifts[[#This Row],[Planned (min)]],""))</f>
        <v>0.748740740740741</v>
      </c>
      <c r="R35" s="40" t="str">
        <f>IF(NOT(ISNUMBER(tblShifts[[#This Row],[OEE]])),"",IF(tblShifts[[#This Row],[OEE]]&gt;=TargetOEE,"On target",IF(tblShifts[[#This Row],[OEE]]&gt;=TargetOEE*(1-0.05),"Near target","Below target")))</f>
        <v>On target</v>
      </c>
      <c r="S35" s="41">
        <f>IF(tblShifts[[#This Row],[Date]]="","",IF(AND(tblShifts[[#This Row],[Date]]&gt;=FFrom,tblShifts[[#This Row],[Date]]&lt;=FTo,OR(DashMachine="",tblShifts[[#This Row],[Machine]]=DashMachine)),tblShifts[[#This Row],[Date]],""))</f>
        <v>46275</v>
      </c>
      <c r="T3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5" s="28" t="s">
        <v>156</v>
      </c>
    </row>
    <row r="36" spans="2:21" x14ac:dyDescent="0.25">
      <c r="B36" s="34">
        <v>46275</v>
      </c>
      <c r="C36" s="28" t="s">
        <v>102</v>
      </c>
      <c r="D36" s="28" t="s">
        <v>94</v>
      </c>
      <c r="E36" s="28" t="s">
        <v>111</v>
      </c>
      <c r="F36" s="35">
        <v>450</v>
      </c>
      <c r="G36" s="35">
        <v>899</v>
      </c>
      <c r="H36" s="35">
        <v>870</v>
      </c>
      <c r="I36" s="36">
        <f>IF(tblShifts[[#This Row],[Date]]="","",SUMIFS(tblDowntime[Minutes],tblDowntime[Date],tblShifts[[#This Row],[Date]],tblDowntime[Shift],tblShifts[[#This Row],[Shift]],tblDowntime[Machine],tblShifts[[#This Row],[Machine]]))</f>
        <v>85</v>
      </c>
      <c r="J36" s="36">
        <f>IF(tblShifts[[#This Row],[Date]]="","",tblShifts[[#This Row],[Planned (min)]]-tblShifts[[#This Row],[Downtime (min)]])</f>
        <v>365</v>
      </c>
      <c r="K36" s="37">
        <f>IF(tblShifts[[#This Row],[Date]]="","",IFERROR(INDEX(tblProducts[Ideal cycle (s/unit)],MATCH(tblShifts[[#This Row],[Product]],tblProducts[Product],0)),""))</f>
        <v>20</v>
      </c>
      <c r="L36" s="38">
        <f>IF(tblShifts[[#This Row],[Date]]="","",IF(tblShifts[[#This Row],[Ideal cycle (s/unit)]]="","",tblShifts[[#This Row],[Ideal cycle (s/unit)]]*tblShifts[[#This Row],[Total (units)]]/60))</f>
        <v>299.666666666667</v>
      </c>
      <c r="M36" s="38">
        <f>IF(tblShifts[[#This Row],[Date]]="","",IF(tblShifts[[#This Row],[Ideal cycle (s/unit)]]="","",tblShifts[[#This Row],[Ideal cycle (s/unit)]]*tblShifts[[#This Row],[Good (units)]]/60))</f>
        <v>290</v>
      </c>
      <c r="N36" s="39">
        <f>IF(tblShifts[[#This Row],[Date]]="","",IF(tblShifts[[#This Row],[Planned (min)]]&gt;0,tblShifts[[#This Row],[Run (min)]]/tblShifts[[#This Row],[Planned (min)]],""))</f>
        <v>0.811111111111111</v>
      </c>
      <c r="O36" s="39">
        <f>IF(tblShifts[[#This Row],[Date]]="","",IF(AND(tblShifts[[#This Row],[Run (min)]]&gt;0,ISNUMBER(tblShifts[[#This Row],[Net run (min)]])),tblShifts[[#This Row],[Net run (min)]]/tblShifts[[#This Row],[Run (min)]],""))</f>
        <v>0.821004566210046</v>
      </c>
      <c r="P36" s="39">
        <f>IF(tblShifts[[#This Row],[Date]]="","",IF(tblShifts[[#This Row],[Total (units)]]&gt;0,tblShifts[[#This Row],[Good (units)]]/tblShifts[[#This Row],[Total (units)]],""))</f>
        <v>0.967741935483871</v>
      </c>
      <c r="Q36" s="39">
        <f>IF(tblShifts[[#This Row],[Date]]="","",IF(AND(tblShifts[[#This Row],[Planned (min)]]&gt;0,ISNUMBER(tblShifts[[#This Row],[Productive (min)]])),tblShifts[[#This Row],[Productive (min)]]/tblShifts[[#This Row],[Planned (min)]],""))</f>
        <v>0.644444444444445</v>
      </c>
      <c r="R36" s="40" t="str">
        <f>IF(NOT(ISNUMBER(tblShifts[[#This Row],[OEE]])),"",IF(tblShifts[[#This Row],[OEE]]&gt;=TargetOEE,"On target",IF(tblShifts[[#This Row],[OEE]]&gt;=TargetOEE*(1-0.05),"Near target","Below target")))</f>
        <v>Below target</v>
      </c>
      <c r="S36" s="41">
        <f>IF(tblShifts[[#This Row],[Date]]="","",IF(AND(tblShifts[[#This Row],[Date]]&gt;=FFrom,tblShifts[[#This Row],[Date]]&lt;=FTo,OR(DashMachine="",tblShifts[[#This Row],[Machine]]=DashMachine)),tblShifts[[#This Row],[Date]],""))</f>
        <v>46275</v>
      </c>
      <c r="T3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6" s="28" t="s">
        <v>156</v>
      </c>
    </row>
    <row r="37" spans="2:21" x14ac:dyDescent="0.25">
      <c r="B37" s="34">
        <v>46275</v>
      </c>
      <c r="C37" s="28" t="s">
        <v>102</v>
      </c>
      <c r="D37" s="28" t="s">
        <v>97</v>
      </c>
      <c r="E37" s="28" t="s">
        <v>109</v>
      </c>
      <c r="F37" s="35">
        <v>450</v>
      </c>
      <c r="G37" s="35">
        <v>1843</v>
      </c>
      <c r="H37" s="35">
        <v>1826</v>
      </c>
      <c r="I37" s="36">
        <f>IF(tblShifts[[#This Row],[Date]]="","",SUMIFS(tblDowntime[Minutes],tblDowntime[Date],tblShifts[[#This Row],[Date]],tblDowntime[Shift],tblShifts[[#This Row],[Shift]],tblDowntime[Machine],tblShifts[[#This Row],[Machine]]))</f>
        <v>35</v>
      </c>
      <c r="J37" s="36">
        <f>IF(tblShifts[[#This Row],[Date]]="","",tblShifts[[#This Row],[Planned (min)]]-tblShifts[[#This Row],[Downtime (min)]])</f>
        <v>415</v>
      </c>
      <c r="K37" s="37">
        <f>IF(tblShifts[[#This Row],[Date]]="","",IFERROR(INDEX(tblProducts[Ideal cycle (s/unit)],MATCH(tblShifts[[#This Row],[Product]],tblProducts[Product],0)),""))</f>
        <v>12</v>
      </c>
      <c r="L37" s="38">
        <f>IF(tblShifts[[#This Row],[Date]]="","",IF(tblShifts[[#This Row],[Ideal cycle (s/unit)]]="","",tblShifts[[#This Row],[Ideal cycle (s/unit)]]*tblShifts[[#This Row],[Total (units)]]/60))</f>
        <v>368.6</v>
      </c>
      <c r="M37" s="38">
        <f>IF(tblShifts[[#This Row],[Date]]="","",IF(tblShifts[[#This Row],[Ideal cycle (s/unit)]]="","",tblShifts[[#This Row],[Ideal cycle (s/unit)]]*tblShifts[[#This Row],[Good (units)]]/60))</f>
        <v>365.2</v>
      </c>
      <c r="N37" s="39">
        <f>IF(tblShifts[[#This Row],[Date]]="","",IF(tblShifts[[#This Row],[Planned (min)]]&gt;0,tblShifts[[#This Row],[Run (min)]]/tblShifts[[#This Row],[Planned (min)]],""))</f>
        <v>0.922222222222222</v>
      </c>
      <c r="O37" s="39">
        <f>IF(tblShifts[[#This Row],[Date]]="","",IF(AND(tblShifts[[#This Row],[Run (min)]]&gt;0,ISNUMBER(tblShifts[[#This Row],[Net run (min)]])),tblShifts[[#This Row],[Net run (min)]]/tblShifts[[#This Row],[Run (min)]],""))</f>
        <v>0.888192771084337</v>
      </c>
      <c r="P37" s="39">
        <f>IF(tblShifts[[#This Row],[Date]]="","",IF(tblShifts[[#This Row],[Total (units)]]&gt;0,tblShifts[[#This Row],[Good (units)]]/tblShifts[[#This Row],[Total (units)]],""))</f>
        <v>0.990775908844276</v>
      </c>
      <c r="Q37" s="39">
        <f>IF(tblShifts[[#This Row],[Date]]="","",IF(AND(tblShifts[[#This Row],[Planned (min)]]&gt;0,ISNUMBER(tblShifts[[#This Row],[Productive (min)]])),tblShifts[[#This Row],[Productive (min)]]/tblShifts[[#This Row],[Planned (min)]],""))</f>
        <v>0.811555555555556</v>
      </c>
      <c r="R37" s="40" t="str">
        <f>IF(NOT(ISNUMBER(tblShifts[[#This Row],[OEE]])),"",IF(tblShifts[[#This Row],[OEE]]&gt;=TargetOEE,"On target",IF(tblShifts[[#This Row],[OEE]]&gt;=TargetOEE*(1-0.05),"Near target","Below target")))</f>
        <v>On target</v>
      </c>
      <c r="S37" s="41">
        <f>IF(tblShifts[[#This Row],[Date]]="","",IF(AND(tblShifts[[#This Row],[Date]]&gt;=FFrom,tblShifts[[#This Row],[Date]]&lt;=FTo,OR(DashMachine="",tblShifts[[#This Row],[Machine]]=DashMachine)),tblShifts[[#This Row],[Date]],""))</f>
        <v>46275</v>
      </c>
      <c r="T3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7" s="28" t="s">
        <v>156</v>
      </c>
    </row>
    <row r="38" spans="2:21" x14ac:dyDescent="0.25">
      <c r="B38" s="34">
        <v>46276</v>
      </c>
      <c r="C38" s="28" t="s">
        <v>99</v>
      </c>
      <c r="D38" s="28" t="s">
        <v>89</v>
      </c>
      <c r="E38" s="28" t="s">
        <v>105</v>
      </c>
      <c r="F38" s="35">
        <v>450</v>
      </c>
      <c r="G38" s="35">
        <v>2797</v>
      </c>
      <c r="H38" s="35">
        <v>2751</v>
      </c>
      <c r="I38" s="36">
        <f>IF(tblShifts[[#This Row],[Date]]="","",SUMIFS(tblDowntime[Minutes],tblDowntime[Date],tblShifts[[#This Row],[Date]],tblDowntime[Shift],tblShifts[[#This Row],[Shift]],tblDowntime[Machine],tblShifts[[#This Row],[Machine]]))</f>
        <v>25</v>
      </c>
      <c r="J38" s="36">
        <f>IF(tblShifts[[#This Row],[Date]]="","",tblShifts[[#This Row],[Planned (min)]]-tblShifts[[#This Row],[Downtime (min)]])</f>
        <v>425</v>
      </c>
      <c r="K38" s="37">
        <f>IF(tblShifts[[#This Row],[Date]]="","",IFERROR(INDEX(tblProducts[Ideal cycle (s/unit)],MATCH(tblShifts[[#This Row],[Product]],tblProducts[Product],0)),""))</f>
        <v>8</v>
      </c>
      <c r="L38" s="38">
        <f>IF(tblShifts[[#This Row],[Date]]="","",IF(tblShifts[[#This Row],[Ideal cycle (s/unit)]]="","",tblShifts[[#This Row],[Ideal cycle (s/unit)]]*tblShifts[[#This Row],[Total (units)]]/60))</f>
        <v>372.933333333333</v>
      </c>
      <c r="M38" s="38">
        <f>IF(tblShifts[[#This Row],[Date]]="","",IF(tblShifts[[#This Row],[Ideal cycle (s/unit)]]="","",tblShifts[[#This Row],[Ideal cycle (s/unit)]]*tblShifts[[#This Row],[Good (units)]]/60))</f>
        <v>366.8</v>
      </c>
      <c r="N38" s="39">
        <f>IF(tblShifts[[#This Row],[Date]]="","",IF(tblShifts[[#This Row],[Planned (min)]]&gt;0,tblShifts[[#This Row],[Run (min)]]/tblShifts[[#This Row],[Planned (min)]],""))</f>
        <v>0.944444444444444</v>
      </c>
      <c r="O38" s="39">
        <f>IF(tblShifts[[#This Row],[Date]]="","",IF(AND(tblShifts[[#This Row],[Run (min)]]&gt;0,ISNUMBER(tblShifts[[#This Row],[Net run (min)]])),tblShifts[[#This Row],[Net run (min)]]/tblShifts[[#This Row],[Run (min)]],""))</f>
        <v>0.877490196078431</v>
      </c>
      <c r="P38" s="39">
        <f>IF(tblShifts[[#This Row],[Date]]="","",IF(tblShifts[[#This Row],[Total (units)]]&gt;0,tblShifts[[#This Row],[Good (units)]]/tblShifts[[#This Row],[Total (units)]],""))</f>
        <v>0.983553807651055</v>
      </c>
      <c r="Q38" s="39">
        <f>IF(tblShifts[[#This Row],[Date]]="","",IF(AND(tblShifts[[#This Row],[Planned (min)]]&gt;0,ISNUMBER(tblShifts[[#This Row],[Productive (min)]])),tblShifts[[#This Row],[Productive (min)]]/tblShifts[[#This Row],[Planned (min)]],""))</f>
        <v>0.815111111111111</v>
      </c>
      <c r="R38" s="40" t="str">
        <f>IF(NOT(ISNUMBER(tblShifts[[#This Row],[OEE]])),"",IF(tblShifts[[#This Row],[OEE]]&gt;=TargetOEE,"On target",IF(tblShifts[[#This Row],[OEE]]&gt;=TargetOEE*(1-0.05),"Near target","Below target")))</f>
        <v>On target</v>
      </c>
      <c r="S38" s="41">
        <f>IF(tblShifts[[#This Row],[Date]]="","",IF(AND(tblShifts[[#This Row],[Date]]&gt;=FFrom,tblShifts[[#This Row],[Date]]&lt;=FTo,OR(DashMachine="",tblShifts[[#This Row],[Machine]]=DashMachine)),tblShifts[[#This Row],[Date]],""))</f>
        <v>46276</v>
      </c>
      <c r="T3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8" s="28" t="s">
        <v>156</v>
      </c>
    </row>
    <row r="39" spans="2:21" x14ac:dyDescent="0.25">
      <c r="B39" s="34">
        <v>46276</v>
      </c>
      <c r="C39" s="28" t="s">
        <v>99</v>
      </c>
      <c r="D39" s="28" t="s">
        <v>92</v>
      </c>
      <c r="E39" s="28" t="s">
        <v>107</v>
      </c>
      <c r="F39" s="35">
        <v>450</v>
      </c>
      <c r="G39" s="35">
        <v>5180</v>
      </c>
      <c r="H39" s="35">
        <v>5067</v>
      </c>
      <c r="I39" s="36">
        <f>IF(tblShifts[[#This Row],[Date]]="","",SUMIFS(tblDowntime[Minutes],tblDowntime[Date],tblShifts[[#This Row],[Date]],tblDowntime[Shift],tblShifts[[#This Row],[Shift]],tblDowntime[Machine],tblShifts[[#This Row],[Machine]]))</f>
        <v>165</v>
      </c>
      <c r="J39" s="36">
        <f>IF(tblShifts[[#This Row],[Date]]="","",tblShifts[[#This Row],[Planned (min)]]-tblShifts[[#This Row],[Downtime (min)]])</f>
        <v>285</v>
      </c>
      <c r="K39" s="37">
        <f>IF(tblShifts[[#This Row],[Date]]="","",IFERROR(INDEX(tblProducts[Ideal cycle (s/unit)],MATCH(tblShifts[[#This Row],[Product]],tblProducts[Product],0)),""))</f>
        <v>3</v>
      </c>
      <c r="L39" s="38">
        <f>IF(tblShifts[[#This Row],[Date]]="","",IF(tblShifts[[#This Row],[Ideal cycle (s/unit)]]="","",tblShifts[[#This Row],[Ideal cycle (s/unit)]]*tblShifts[[#This Row],[Total (units)]]/60))</f>
        <v>259</v>
      </c>
      <c r="M39" s="38">
        <f>IF(tblShifts[[#This Row],[Date]]="","",IF(tblShifts[[#This Row],[Ideal cycle (s/unit)]]="","",tblShifts[[#This Row],[Ideal cycle (s/unit)]]*tblShifts[[#This Row],[Good (units)]]/60))</f>
        <v>253.35</v>
      </c>
      <c r="N39" s="39">
        <f>IF(tblShifts[[#This Row],[Date]]="","",IF(tblShifts[[#This Row],[Planned (min)]]&gt;0,tblShifts[[#This Row],[Run (min)]]/tblShifts[[#This Row],[Planned (min)]],""))</f>
        <v>0.633333333333333</v>
      </c>
      <c r="O39" s="39">
        <f>IF(tblShifts[[#This Row],[Date]]="","",IF(AND(tblShifts[[#This Row],[Run (min)]]&gt;0,ISNUMBER(tblShifts[[#This Row],[Net run (min)]])),tblShifts[[#This Row],[Net run (min)]]/tblShifts[[#This Row],[Run (min)]],""))</f>
        <v>0.908771929824562</v>
      </c>
      <c r="P39" s="39">
        <f>IF(tblShifts[[#This Row],[Date]]="","",IF(tblShifts[[#This Row],[Total (units)]]&gt;0,tblShifts[[#This Row],[Good (units)]]/tblShifts[[#This Row],[Total (units)]],""))</f>
        <v>0.978185328185328</v>
      </c>
      <c r="Q39" s="39">
        <f>IF(tblShifts[[#This Row],[Date]]="","",IF(AND(tblShifts[[#This Row],[Planned (min)]]&gt;0,ISNUMBER(tblShifts[[#This Row],[Productive (min)]])),tblShifts[[#This Row],[Productive (min)]]/tblShifts[[#This Row],[Planned (min)]],""))</f>
        <v>0.563</v>
      </c>
      <c r="R39" s="40" t="str">
        <f>IF(NOT(ISNUMBER(tblShifts[[#This Row],[OEE]])),"",IF(tblShifts[[#This Row],[OEE]]&gt;=TargetOEE,"On target",IF(tblShifts[[#This Row],[OEE]]&gt;=TargetOEE*(1-0.05),"Near target","Below target")))</f>
        <v>Below target</v>
      </c>
      <c r="S39" s="41">
        <f>IF(tblShifts[[#This Row],[Date]]="","",IF(AND(tblShifts[[#This Row],[Date]]&gt;=FFrom,tblShifts[[#This Row],[Date]]&lt;=FTo,OR(DashMachine="",tblShifts[[#This Row],[Machine]]=DashMachine)),tblShifts[[#This Row],[Date]],""))</f>
        <v>46276</v>
      </c>
      <c r="T3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39" s="28" t="s">
        <v>160</v>
      </c>
    </row>
    <row r="40" spans="2:21" x14ac:dyDescent="0.25">
      <c r="B40" s="34">
        <v>46276</v>
      </c>
      <c r="C40" s="28" t="s">
        <v>99</v>
      </c>
      <c r="D40" s="28" t="s">
        <v>94</v>
      </c>
      <c r="E40" s="28" t="s">
        <v>111</v>
      </c>
      <c r="F40" s="35">
        <v>450</v>
      </c>
      <c r="G40" s="35">
        <v>1017</v>
      </c>
      <c r="H40" s="35">
        <v>984</v>
      </c>
      <c r="I40" s="36">
        <f>IF(tblShifts[[#This Row],[Date]]="","",SUMIFS(tblDowntime[Minutes],tblDowntime[Date],tblShifts[[#This Row],[Date]],tblDowntime[Shift],tblShifts[[#This Row],[Shift]],tblDowntime[Machine],tblShifts[[#This Row],[Machine]]))</f>
        <v>70</v>
      </c>
      <c r="J40" s="36">
        <f>IF(tblShifts[[#This Row],[Date]]="","",tblShifts[[#This Row],[Planned (min)]]-tblShifts[[#This Row],[Downtime (min)]])</f>
        <v>380</v>
      </c>
      <c r="K40" s="37">
        <f>IF(tblShifts[[#This Row],[Date]]="","",IFERROR(INDEX(tblProducts[Ideal cycle (s/unit)],MATCH(tblShifts[[#This Row],[Product]],tblProducts[Product],0)),""))</f>
        <v>20</v>
      </c>
      <c r="L40" s="38">
        <f>IF(tblShifts[[#This Row],[Date]]="","",IF(tblShifts[[#This Row],[Ideal cycle (s/unit)]]="","",tblShifts[[#This Row],[Ideal cycle (s/unit)]]*tblShifts[[#This Row],[Total (units)]]/60))</f>
        <v>339</v>
      </c>
      <c r="M40" s="38">
        <f>IF(tblShifts[[#This Row],[Date]]="","",IF(tblShifts[[#This Row],[Ideal cycle (s/unit)]]="","",tblShifts[[#This Row],[Ideal cycle (s/unit)]]*tblShifts[[#This Row],[Good (units)]]/60))</f>
        <v>328</v>
      </c>
      <c r="N40" s="39">
        <f>IF(tblShifts[[#This Row],[Date]]="","",IF(tblShifts[[#This Row],[Planned (min)]]&gt;0,tblShifts[[#This Row],[Run (min)]]/tblShifts[[#This Row],[Planned (min)]],""))</f>
        <v>0.844444444444444</v>
      </c>
      <c r="O40" s="39">
        <f>IF(tblShifts[[#This Row],[Date]]="","",IF(AND(tblShifts[[#This Row],[Run (min)]]&gt;0,ISNUMBER(tblShifts[[#This Row],[Net run (min)]])),tblShifts[[#This Row],[Net run (min)]]/tblShifts[[#This Row],[Run (min)]],""))</f>
        <v>0.892105263157895</v>
      </c>
      <c r="P40" s="39">
        <f>IF(tblShifts[[#This Row],[Date]]="","",IF(tblShifts[[#This Row],[Total (units)]]&gt;0,tblShifts[[#This Row],[Good (units)]]/tblShifts[[#This Row],[Total (units)]],""))</f>
        <v>0.967551622418879</v>
      </c>
      <c r="Q40" s="39">
        <f>IF(tblShifts[[#This Row],[Date]]="","",IF(AND(tblShifts[[#This Row],[Planned (min)]]&gt;0,ISNUMBER(tblShifts[[#This Row],[Productive (min)]])),tblShifts[[#This Row],[Productive (min)]]/tblShifts[[#This Row],[Planned (min)]],""))</f>
        <v>0.728888888888889</v>
      </c>
      <c r="R40" s="40" t="str">
        <f>IF(NOT(ISNUMBER(tblShifts[[#This Row],[OEE]])),"",IF(tblShifts[[#This Row],[OEE]]&gt;=TargetOEE,"On target",IF(tblShifts[[#This Row],[OEE]]&gt;=TargetOEE*(1-0.05),"Near target","Below target")))</f>
        <v>On target</v>
      </c>
      <c r="S40" s="41">
        <f>IF(tblShifts[[#This Row],[Date]]="","",IF(AND(tblShifts[[#This Row],[Date]]&gt;=FFrom,tblShifts[[#This Row],[Date]]&lt;=FTo,OR(DashMachine="",tblShifts[[#This Row],[Machine]]=DashMachine)),tblShifts[[#This Row],[Date]],""))</f>
        <v>46276</v>
      </c>
      <c r="T4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0" s="28" t="s">
        <v>156</v>
      </c>
    </row>
    <row r="41" spans="2:21" x14ac:dyDescent="0.25">
      <c r="B41" s="34">
        <v>46276</v>
      </c>
      <c r="C41" s="28" t="s">
        <v>99</v>
      </c>
      <c r="D41" s="28" t="s">
        <v>97</v>
      </c>
      <c r="E41" s="28" t="s">
        <v>109</v>
      </c>
      <c r="F41" s="35">
        <v>450</v>
      </c>
      <c r="G41" s="35">
        <v>1650</v>
      </c>
      <c r="H41" s="35">
        <v>1603</v>
      </c>
      <c r="I41" s="36">
        <f>IF(tblShifts[[#This Row],[Date]]="","",SUMIFS(tblDowntime[Minutes],tblDowntime[Date],tblShifts[[#This Row],[Date]],tblDowntime[Shift],tblShifts[[#This Row],[Shift]],tblDowntime[Machine],tblShifts[[#This Row],[Machine]]))</f>
        <v>85</v>
      </c>
      <c r="J41" s="36">
        <f>IF(tblShifts[[#This Row],[Date]]="","",tblShifts[[#This Row],[Planned (min)]]-tblShifts[[#This Row],[Downtime (min)]])</f>
        <v>365</v>
      </c>
      <c r="K41" s="37">
        <f>IF(tblShifts[[#This Row],[Date]]="","",IFERROR(INDEX(tblProducts[Ideal cycle (s/unit)],MATCH(tblShifts[[#This Row],[Product]],tblProducts[Product],0)),""))</f>
        <v>12</v>
      </c>
      <c r="L41" s="38">
        <f>IF(tblShifts[[#This Row],[Date]]="","",IF(tblShifts[[#This Row],[Ideal cycle (s/unit)]]="","",tblShifts[[#This Row],[Ideal cycle (s/unit)]]*tblShifts[[#This Row],[Total (units)]]/60))</f>
        <v>330</v>
      </c>
      <c r="M41" s="38">
        <f>IF(tblShifts[[#This Row],[Date]]="","",IF(tblShifts[[#This Row],[Ideal cycle (s/unit)]]="","",tblShifts[[#This Row],[Ideal cycle (s/unit)]]*tblShifts[[#This Row],[Good (units)]]/60))</f>
        <v>320.6</v>
      </c>
      <c r="N41" s="39">
        <f>IF(tblShifts[[#This Row],[Date]]="","",IF(tblShifts[[#This Row],[Planned (min)]]&gt;0,tblShifts[[#This Row],[Run (min)]]/tblShifts[[#This Row],[Planned (min)]],""))</f>
        <v>0.811111111111111</v>
      </c>
      <c r="O41" s="39">
        <f>IF(tblShifts[[#This Row],[Date]]="","",IF(AND(tblShifts[[#This Row],[Run (min)]]&gt;0,ISNUMBER(tblShifts[[#This Row],[Net run (min)]])),tblShifts[[#This Row],[Net run (min)]]/tblShifts[[#This Row],[Run (min)]],""))</f>
        <v>0.904109589041096</v>
      </c>
      <c r="P41" s="39">
        <f>IF(tblShifts[[#This Row],[Date]]="","",IF(tblShifts[[#This Row],[Total (units)]]&gt;0,tblShifts[[#This Row],[Good (units)]]/tblShifts[[#This Row],[Total (units)]],""))</f>
        <v>0.971515151515152</v>
      </c>
      <c r="Q41" s="39">
        <f>IF(tblShifts[[#This Row],[Date]]="","",IF(AND(tblShifts[[#This Row],[Planned (min)]]&gt;0,ISNUMBER(tblShifts[[#This Row],[Productive (min)]])),tblShifts[[#This Row],[Productive (min)]]/tblShifts[[#This Row],[Planned (min)]],""))</f>
        <v>0.712444444444445</v>
      </c>
      <c r="R41" s="40" t="str">
        <f>IF(NOT(ISNUMBER(tblShifts[[#This Row],[OEE]])),"",IF(tblShifts[[#This Row],[OEE]]&gt;=TargetOEE,"On target",IF(tblShifts[[#This Row],[OEE]]&gt;=TargetOEE*(1-0.05),"Near target","Below target")))</f>
        <v>On target</v>
      </c>
      <c r="S41" s="41">
        <f>IF(tblShifts[[#This Row],[Date]]="","",IF(AND(tblShifts[[#This Row],[Date]]&gt;=FFrom,tblShifts[[#This Row],[Date]]&lt;=FTo,OR(DashMachine="",tblShifts[[#This Row],[Machine]]=DashMachine)),tblShifts[[#This Row],[Date]],""))</f>
        <v>46276</v>
      </c>
      <c r="T4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1" s="28" t="s">
        <v>156</v>
      </c>
    </row>
    <row r="42" spans="2:21" x14ac:dyDescent="0.25">
      <c r="B42" s="34">
        <v>46276</v>
      </c>
      <c r="C42" s="28" t="s">
        <v>102</v>
      </c>
      <c r="D42" s="28" t="s">
        <v>89</v>
      </c>
      <c r="E42" s="28" t="s">
        <v>113</v>
      </c>
      <c r="F42" s="35">
        <v>450</v>
      </c>
      <c r="G42" s="35">
        <v>2268</v>
      </c>
      <c r="H42" s="35">
        <v>2222</v>
      </c>
      <c r="I42" s="36">
        <f>IF(tblShifts[[#This Row],[Date]]="","",SUMIFS(tblDowntime[Minutes],tblDowntime[Date],tblShifts[[#This Row],[Date]],tblDowntime[Shift],tblShifts[[#This Row],[Shift]],tblDowntime[Machine],tblShifts[[#This Row],[Machine]]))</f>
        <v>170</v>
      </c>
      <c r="J42" s="36">
        <f>IF(tblShifts[[#This Row],[Date]]="","",tblShifts[[#This Row],[Planned (min)]]-tblShifts[[#This Row],[Downtime (min)]])</f>
        <v>280</v>
      </c>
      <c r="K42" s="37">
        <f>IF(tblShifts[[#This Row],[Date]]="","",IFERROR(INDEX(tblProducts[Ideal cycle (s/unit)],MATCH(tblShifts[[#This Row],[Product]],tblProducts[Product],0)),""))</f>
        <v>6</v>
      </c>
      <c r="L42" s="38">
        <f>IF(tblShifts[[#This Row],[Date]]="","",IF(tblShifts[[#This Row],[Ideal cycle (s/unit)]]="","",tblShifts[[#This Row],[Ideal cycle (s/unit)]]*tblShifts[[#This Row],[Total (units)]]/60))</f>
        <v>226.8</v>
      </c>
      <c r="M42" s="38">
        <f>IF(tblShifts[[#This Row],[Date]]="","",IF(tblShifts[[#This Row],[Ideal cycle (s/unit)]]="","",tblShifts[[#This Row],[Ideal cycle (s/unit)]]*tblShifts[[#This Row],[Good (units)]]/60))</f>
        <v>222.2</v>
      </c>
      <c r="N42" s="39">
        <f>IF(tblShifts[[#This Row],[Date]]="","",IF(tblShifts[[#This Row],[Planned (min)]]&gt;0,tblShifts[[#This Row],[Run (min)]]/tblShifts[[#This Row],[Planned (min)]],""))</f>
        <v>0.622222222222222</v>
      </c>
      <c r="O42" s="39">
        <f>IF(tblShifts[[#This Row],[Date]]="","",IF(AND(tblShifts[[#This Row],[Run (min)]]&gt;0,ISNUMBER(tblShifts[[#This Row],[Net run (min)]])),tblShifts[[#This Row],[Net run (min)]]/tblShifts[[#This Row],[Run (min)]],""))</f>
        <v>0.81</v>
      </c>
      <c r="P42" s="39">
        <f>IF(tblShifts[[#This Row],[Date]]="","",IF(tblShifts[[#This Row],[Total (units)]]&gt;0,tblShifts[[#This Row],[Good (units)]]/tblShifts[[#This Row],[Total (units)]],""))</f>
        <v>0.979717813051146</v>
      </c>
      <c r="Q42" s="39">
        <f>IF(tblShifts[[#This Row],[Date]]="","",IF(AND(tblShifts[[#This Row],[Planned (min)]]&gt;0,ISNUMBER(tblShifts[[#This Row],[Productive (min)]])),tblShifts[[#This Row],[Productive (min)]]/tblShifts[[#This Row],[Planned (min)]],""))</f>
        <v>0.493777777777778</v>
      </c>
      <c r="R42" s="40" t="str">
        <f>IF(NOT(ISNUMBER(tblShifts[[#This Row],[OEE]])),"",IF(tblShifts[[#This Row],[OEE]]&gt;=TargetOEE,"On target",IF(tblShifts[[#This Row],[OEE]]&gt;=TargetOEE*(1-0.05),"Near target","Below target")))</f>
        <v>Below target</v>
      </c>
      <c r="S42" s="41">
        <f>IF(tblShifts[[#This Row],[Date]]="","",IF(AND(tblShifts[[#This Row],[Date]]&gt;=FFrom,tblShifts[[#This Row],[Date]]&lt;=FTo,OR(DashMachine="",tblShifts[[#This Row],[Machine]]=DashMachine)),tblShifts[[#This Row],[Date]],""))</f>
        <v>46276</v>
      </c>
      <c r="T4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2" s="28" t="s">
        <v>161</v>
      </c>
    </row>
    <row r="43" spans="2:21" x14ac:dyDescent="0.25">
      <c r="B43" s="34">
        <v>46276</v>
      </c>
      <c r="C43" s="28" t="s">
        <v>102</v>
      </c>
      <c r="D43" s="28" t="s">
        <v>92</v>
      </c>
      <c r="E43" s="28" t="s">
        <v>107</v>
      </c>
      <c r="F43" s="35">
        <v>450</v>
      </c>
      <c r="G43" s="35">
        <v>6621</v>
      </c>
      <c r="H43" s="35">
        <v>6442</v>
      </c>
      <c r="I43" s="36">
        <f>IF(tblShifts[[#This Row],[Date]]="","",SUMIFS(tblDowntime[Minutes],tblDowntime[Date],tblShifts[[#This Row],[Date]],tblDowntime[Shift],tblShifts[[#This Row],[Shift]],tblDowntime[Machine],tblShifts[[#This Row],[Machine]]))</f>
        <v>30</v>
      </c>
      <c r="J43" s="36">
        <f>IF(tblShifts[[#This Row],[Date]]="","",tblShifts[[#This Row],[Planned (min)]]-tblShifts[[#This Row],[Downtime (min)]])</f>
        <v>420</v>
      </c>
      <c r="K43" s="37">
        <f>IF(tblShifts[[#This Row],[Date]]="","",IFERROR(INDEX(tblProducts[Ideal cycle (s/unit)],MATCH(tblShifts[[#This Row],[Product]],tblProducts[Product],0)),""))</f>
        <v>3</v>
      </c>
      <c r="L43" s="38">
        <f>IF(tblShifts[[#This Row],[Date]]="","",IF(tblShifts[[#This Row],[Ideal cycle (s/unit)]]="","",tblShifts[[#This Row],[Ideal cycle (s/unit)]]*tblShifts[[#This Row],[Total (units)]]/60))</f>
        <v>331.05</v>
      </c>
      <c r="M43" s="38">
        <f>IF(tblShifts[[#This Row],[Date]]="","",IF(tblShifts[[#This Row],[Ideal cycle (s/unit)]]="","",tblShifts[[#This Row],[Ideal cycle (s/unit)]]*tblShifts[[#This Row],[Good (units)]]/60))</f>
        <v>322.1</v>
      </c>
      <c r="N43" s="39">
        <f>IF(tblShifts[[#This Row],[Date]]="","",IF(tblShifts[[#This Row],[Planned (min)]]&gt;0,tblShifts[[#This Row],[Run (min)]]/tblShifts[[#This Row],[Planned (min)]],""))</f>
        <v>0.933333333333333</v>
      </c>
      <c r="O43" s="39">
        <f>IF(tblShifts[[#This Row],[Date]]="","",IF(AND(tblShifts[[#This Row],[Run (min)]]&gt;0,ISNUMBER(tblShifts[[#This Row],[Net run (min)]])),tblShifts[[#This Row],[Net run (min)]]/tblShifts[[#This Row],[Run (min)]],""))</f>
        <v>0.788214285714286</v>
      </c>
      <c r="P43" s="39">
        <f>IF(tblShifts[[#This Row],[Date]]="","",IF(tblShifts[[#This Row],[Total (units)]]&gt;0,tblShifts[[#This Row],[Good (units)]]/tblShifts[[#This Row],[Total (units)]],""))</f>
        <v>0.972964808941248</v>
      </c>
      <c r="Q43" s="39">
        <f>IF(tblShifts[[#This Row],[Date]]="","",IF(AND(tblShifts[[#This Row],[Planned (min)]]&gt;0,ISNUMBER(tblShifts[[#This Row],[Productive (min)]])),tblShifts[[#This Row],[Productive (min)]]/tblShifts[[#This Row],[Planned (min)]],""))</f>
        <v>0.715777777777778</v>
      </c>
      <c r="R43" s="40" t="str">
        <f>IF(NOT(ISNUMBER(tblShifts[[#This Row],[OEE]])),"",IF(tblShifts[[#This Row],[OEE]]&gt;=TargetOEE,"On target",IF(tblShifts[[#This Row],[OEE]]&gt;=TargetOEE*(1-0.05),"Near target","Below target")))</f>
        <v>On target</v>
      </c>
      <c r="S43" s="41">
        <f>IF(tblShifts[[#This Row],[Date]]="","",IF(AND(tblShifts[[#This Row],[Date]]&gt;=FFrom,tblShifts[[#This Row],[Date]]&lt;=FTo,OR(DashMachine="",tblShifts[[#This Row],[Machine]]=DashMachine)),tblShifts[[#This Row],[Date]],""))</f>
        <v>46276</v>
      </c>
      <c r="T4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3" s="28" t="s">
        <v>156</v>
      </c>
    </row>
    <row r="44" spans="2:21" x14ac:dyDescent="0.25">
      <c r="B44" s="34">
        <v>46276</v>
      </c>
      <c r="C44" s="28" t="s">
        <v>102</v>
      </c>
      <c r="D44" s="28" t="s">
        <v>94</v>
      </c>
      <c r="E44" s="28" t="s">
        <v>111</v>
      </c>
      <c r="F44" s="35">
        <v>450</v>
      </c>
      <c r="G44" s="35">
        <v>1096</v>
      </c>
      <c r="H44" s="35">
        <v>1047</v>
      </c>
      <c r="I44" s="36">
        <f>IF(tblShifts[[#This Row],[Date]]="","",SUMIFS(tblDowntime[Minutes],tblDowntime[Date],tblShifts[[#This Row],[Date]],tblDowntime[Shift],tblShifts[[#This Row],[Shift]],tblDowntime[Machine],tblShifts[[#This Row],[Machine]]))</f>
        <v>35</v>
      </c>
      <c r="J44" s="36">
        <f>IF(tblShifts[[#This Row],[Date]]="","",tblShifts[[#This Row],[Planned (min)]]-tblShifts[[#This Row],[Downtime (min)]])</f>
        <v>415</v>
      </c>
      <c r="K44" s="37">
        <f>IF(tblShifts[[#This Row],[Date]]="","",IFERROR(INDEX(tblProducts[Ideal cycle (s/unit)],MATCH(tblShifts[[#This Row],[Product]],tblProducts[Product],0)),""))</f>
        <v>20</v>
      </c>
      <c r="L44" s="38">
        <f>IF(tblShifts[[#This Row],[Date]]="","",IF(tblShifts[[#This Row],[Ideal cycle (s/unit)]]="","",tblShifts[[#This Row],[Ideal cycle (s/unit)]]*tblShifts[[#This Row],[Total (units)]]/60))</f>
        <v>365.333333333333</v>
      </c>
      <c r="M44" s="38">
        <f>IF(tblShifts[[#This Row],[Date]]="","",IF(tblShifts[[#This Row],[Ideal cycle (s/unit)]]="","",tblShifts[[#This Row],[Ideal cycle (s/unit)]]*tblShifts[[#This Row],[Good (units)]]/60))</f>
        <v>349</v>
      </c>
      <c r="N44" s="39">
        <f>IF(tblShifts[[#This Row],[Date]]="","",IF(tblShifts[[#This Row],[Planned (min)]]&gt;0,tblShifts[[#This Row],[Run (min)]]/tblShifts[[#This Row],[Planned (min)]],""))</f>
        <v>0.922222222222222</v>
      </c>
      <c r="O44" s="39">
        <f>IF(tblShifts[[#This Row],[Date]]="","",IF(AND(tblShifts[[#This Row],[Run (min)]]&gt;0,ISNUMBER(tblShifts[[#This Row],[Net run (min)]])),tblShifts[[#This Row],[Net run (min)]]/tblShifts[[#This Row],[Run (min)]],""))</f>
        <v>0.880321285140562</v>
      </c>
      <c r="P44" s="39">
        <f>IF(tblShifts[[#This Row],[Date]]="","",IF(tblShifts[[#This Row],[Total (units)]]&gt;0,tblShifts[[#This Row],[Good (units)]]/tblShifts[[#This Row],[Total (units)]],""))</f>
        <v>0.95529197080292</v>
      </c>
      <c r="Q44" s="39">
        <f>IF(tblShifts[[#This Row],[Date]]="","",IF(AND(tblShifts[[#This Row],[Planned (min)]]&gt;0,ISNUMBER(tblShifts[[#This Row],[Productive (min)]])),tblShifts[[#This Row],[Productive (min)]]/tblShifts[[#This Row],[Planned (min)]],""))</f>
        <v>0.775555555555556</v>
      </c>
      <c r="R44" s="40" t="str">
        <f>IF(NOT(ISNUMBER(tblShifts[[#This Row],[OEE]])),"",IF(tblShifts[[#This Row],[OEE]]&gt;=TargetOEE,"On target",IF(tblShifts[[#This Row],[OEE]]&gt;=TargetOEE*(1-0.05),"Near target","Below target")))</f>
        <v>On target</v>
      </c>
      <c r="S44" s="41">
        <f>IF(tblShifts[[#This Row],[Date]]="","",IF(AND(tblShifts[[#This Row],[Date]]&gt;=FFrom,tblShifts[[#This Row],[Date]]&lt;=FTo,OR(DashMachine="",tblShifts[[#This Row],[Machine]]=DashMachine)),tblShifts[[#This Row],[Date]],""))</f>
        <v>46276</v>
      </c>
      <c r="T4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4" s="28" t="s">
        <v>156</v>
      </c>
    </row>
    <row r="45" spans="2:21" x14ac:dyDescent="0.25">
      <c r="B45" s="34">
        <v>46276</v>
      </c>
      <c r="C45" s="28" t="s">
        <v>102</v>
      </c>
      <c r="D45" s="28" t="s">
        <v>97</v>
      </c>
      <c r="E45" s="28" t="s">
        <v>109</v>
      </c>
      <c r="F45" s="35">
        <v>450</v>
      </c>
      <c r="G45" s="35">
        <v>2000</v>
      </c>
      <c r="H45" s="35">
        <v>1952</v>
      </c>
      <c r="I45" s="36">
        <f>IF(tblShifts[[#This Row],[Date]]="","",SUMIFS(tblDowntime[Minutes],tblDowntime[Date],tblShifts[[#This Row],[Date]],tblDowntime[Shift],tblShifts[[#This Row],[Shift]],tblDowntime[Machine],tblShifts[[#This Row],[Machine]]))</f>
        <v>0</v>
      </c>
      <c r="J45" s="36">
        <f>IF(tblShifts[[#This Row],[Date]]="","",tblShifts[[#This Row],[Planned (min)]]-tblShifts[[#This Row],[Downtime (min)]])</f>
        <v>450</v>
      </c>
      <c r="K45" s="37">
        <f>IF(tblShifts[[#This Row],[Date]]="","",IFERROR(INDEX(tblProducts[Ideal cycle (s/unit)],MATCH(tblShifts[[#This Row],[Product]],tblProducts[Product],0)),""))</f>
        <v>12</v>
      </c>
      <c r="L45" s="38">
        <f>IF(tblShifts[[#This Row],[Date]]="","",IF(tblShifts[[#This Row],[Ideal cycle (s/unit)]]="","",tblShifts[[#This Row],[Ideal cycle (s/unit)]]*tblShifts[[#This Row],[Total (units)]]/60))</f>
        <v>400</v>
      </c>
      <c r="M45" s="38">
        <f>IF(tblShifts[[#This Row],[Date]]="","",IF(tblShifts[[#This Row],[Ideal cycle (s/unit)]]="","",tblShifts[[#This Row],[Ideal cycle (s/unit)]]*tblShifts[[#This Row],[Good (units)]]/60))</f>
        <v>390.4</v>
      </c>
      <c r="N45" s="39">
        <f>IF(tblShifts[[#This Row],[Date]]="","",IF(tblShifts[[#This Row],[Planned (min)]]&gt;0,tblShifts[[#This Row],[Run (min)]]/tblShifts[[#This Row],[Planned (min)]],""))</f>
        <v>1</v>
      </c>
      <c r="O45" s="39">
        <f>IF(tblShifts[[#This Row],[Date]]="","",IF(AND(tblShifts[[#This Row],[Run (min)]]&gt;0,ISNUMBER(tblShifts[[#This Row],[Net run (min)]])),tblShifts[[#This Row],[Net run (min)]]/tblShifts[[#This Row],[Run (min)]],""))</f>
        <v>0.888888888888889</v>
      </c>
      <c r="P45" s="39">
        <f>IF(tblShifts[[#This Row],[Date]]="","",IF(tblShifts[[#This Row],[Total (units)]]&gt;0,tblShifts[[#This Row],[Good (units)]]/tblShifts[[#This Row],[Total (units)]],""))</f>
        <v>0.976</v>
      </c>
      <c r="Q45" s="39">
        <f>IF(tblShifts[[#This Row],[Date]]="","",IF(AND(tblShifts[[#This Row],[Planned (min)]]&gt;0,ISNUMBER(tblShifts[[#This Row],[Productive (min)]])),tblShifts[[#This Row],[Productive (min)]]/tblShifts[[#This Row],[Planned (min)]],""))</f>
        <v>0.867555555555556</v>
      </c>
      <c r="R45" s="40" t="str">
        <f>IF(NOT(ISNUMBER(tblShifts[[#This Row],[OEE]])),"",IF(tblShifts[[#This Row],[OEE]]&gt;=TargetOEE,"On target",IF(tblShifts[[#This Row],[OEE]]&gt;=TargetOEE*(1-0.05),"Near target","Below target")))</f>
        <v>On target</v>
      </c>
      <c r="S45" s="41">
        <f>IF(tblShifts[[#This Row],[Date]]="","",IF(AND(tblShifts[[#This Row],[Date]]&gt;=FFrom,tblShifts[[#This Row],[Date]]&lt;=FTo,OR(DashMachine="",tblShifts[[#This Row],[Machine]]=DashMachine)),tblShifts[[#This Row],[Date]],""))</f>
        <v>46276</v>
      </c>
      <c r="T4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5" s="28" t="s">
        <v>156</v>
      </c>
    </row>
    <row r="46" spans="2:21" x14ac:dyDescent="0.25">
      <c r="B46" s="34">
        <v>46279</v>
      </c>
      <c r="C46" s="28" t="s">
        <v>99</v>
      </c>
      <c r="D46" s="28" t="s">
        <v>89</v>
      </c>
      <c r="E46" s="28" t="s">
        <v>105</v>
      </c>
      <c r="F46" s="35">
        <v>450</v>
      </c>
      <c r="G46" s="35">
        <v>1771</v>
      </c>
      <c r="H46" s="35">
        <v>1725</v>
      </c>
      <c r="I46" s="36">
        <f>IF(tblShifts[[#This Row],[Date]]="","",SUMIFS(tblDowntime[Minutes],tblDowntime[Date],tblShifts[[#This Row],[Date]],tblDowntime[Shift],tblShifts[[#This Row],[Shift]],tblDowntime[Machine],tblShifts[[#This Row],[Machine]]))</f>
        <v>180</v>
      </c>
      <c r="J46" s="36">
        <f>IF(tblShifts[[#This Row],[Date]]="","",tblShifts[[#This Row],[Planned (min)]]-tblShifts[[#This Row],[Downtime (min)]])</f>
        <v>270</v>
      </c>
      <c r="K46" s="37">
        <f>IF(tblShifts[[#This Row],[Date]]="","",IFERROR(INDEX(tblProducts[Ideal cycle (s/unit)],MATCH(tblShifts[[#This Row],[Product]],tblProducts[Product],0)),""))</f>
        <v>8</v>
      </c>
      <c r="L46" s="38">
        <f>IF(tblShifts[[#This Row],[Date]]="","",IF(tblShifts[[#This Row],[Ideal cycle (s/unit)]]="","",tblShifts[[#This Row],[Ideal cycle (s/unit)]]*tblShifts[[#This Row],[Total (units)]]/60))</f>
        <v>236.133333333333</v>
      </c>
      <c r="M46" s="38">
        <f>IF(tblShifts[[#This Row],[Date]]="","",IF(tblShifts[[#This Row],[Ideal cycle (s/unit)]]="","",tblShifts[[#This Row],[Ideal cycle (s/unit)]]*tblShifts[[#This Row],[Good (units)]]/60))</f>
        <v>230</v>
      </c>
      <c r="N46" s="39">
        <f>IF(tblShifts[[#This Row],[Date]]="","",IF(tblShifts[[#This Row],[Planned (min)]]&gt;0,tblShifts[[#This Row],[Run (min)]]/tblShifts[[#This Row],[Planned (min)]],""))</f>
        <v>0.6</v>
      </c>
      <c r="O46" s="39">
        <f>IF(tblShifts[[#This Row],[Date]]="","",IF(AND(tblShifts[[#This Row],[Run (min)]]&gt;0,ISNUMBER(tblShifts[[#This Row],[Net run (min)]])),tblShifts[[#This Row],[Net run (min)]]/tblShifts[[#This Row],[Run (min)]],""))</f>
        <v>0.874567901234568</v>
      </c>
      <c r="P46" s="39">
        <f>IF(tblShifts[[#This Row],[Date]]="","",IF(tblShifts[[#This Row],[Total (units)]]&gt;0,tblShifts[[#This Row],[Good (units)]]/tblShifts[[#This Row],[Total (units)]],""))</f>
        <v>0.974025974025974</v>
      </c>
      <c r="Q46" s="39">
        <f>IF(tblShifts[[#This Row],[Date]]="","",IF(AND(tblShifts[[#This Row],[Planned (min)]]&gt;0,ISNUMBER(tblShifts[[#This Row],[Productive (min)]])),tblShifts[[#This Row],[Productive (min)]]/tblShifts[[#This Row],[Planned (min)]],""))</f>
        <v>0.511111111111111</v>
      </c>
      <c r="R46" s="40" t="str">
        <f>IF(NOT(ISNUMBER(tblShifts[[#This Row],[OEE]])),"",IF(tblShifts[[#This Row],[OEE]]&gt;=TargetOEE,"On target",IF(tblShifts[[#This Row],[OEE]]&gt;=TargetOEE*(1-0.05),"Near target","Below target")))</f>
        <v>Below target</v>
      </c>
      <c r="S46" s="41">
        <f>IF(tblShifts[[#This Row],[Date]]="","",IF(AND(tblShifts[[#This Row],[Date]]&gt;=FFrom,tblShifts[[#This Row],[Date]]&lt;=FTo,OR(DashMachine="",tblShifts[[#This Row],[Machine]]=DashMachine)),tblShifts[[#This Row],[Date]],""))</f>
        <v>46279</v>
      </c>
      <c r="T4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6" s="28" t="s">
        <v>157</v>
      </c>
    </row>
    <row r="47" spans="2:21" x14ac:dyDescent="0.25">
      <c r="B47" s="34">
        <v>46279</v>
      </c>
      <c r="C47" s="28" t="s">
        <v>99</v>
      </c>
      <c r="D47" s="28" t="s">
        <v>92</v>
      </c>
      <c r="E47" s="28" t="s">
        <v>105</v>
      </c>
      <c r="F47" s="35">
        <v>450</v>
      </c>
      <c r="G47" s="35">
        <v>2198</v>
      </c>
      <c r="H47" s="35">
        <v>2172</v>
      </c>
      <c r="I47" s="36">
        <f>IF(tblShifts[[#This Row],[Date]]="","",SUMIFS(tblDowntime[Minutes],tblDowntime[Date],tblShifts[[#This Row],[Date]],tblDowntime[Shift],tblShifts[[#This Row],[Shift]],tblDowntime[Machine],tblShifts[[#This Row],[Machine]]))</f>
        <v>95</v>
      </c>
      <c r="J47" s="36">
        <f>IF(tblShifts[[#This Row],[Date]]="","",tblShifts[[#This Row],[Planned (min)]]-tblShifts[[#This Row],[Downtime (min)]])</f>
        <v>355</v>
      </c>
      <c r="K47" s="37">
        <f>IF(tblShifts[[#This Row],[Date]]="","",IFERROR(INDEX(tblProducts[Ideal cycle (s/unit)],MATCH(tblShifts[[#This Row],[Product]],tblProducts[Product],0)),""))</f>
        <v>8</v>
      </c>
      <c r="L47" s="38">
        <f>IF(tblShifts[[#This Row],[Date]]="","",IF(tblShifts[[#This Row],[Ideal cycle (s/unit)]]="","",tblShifts[[#This Row],[Ideal cycle (s/unit)]]*tblShifts[[#This Row],[Total (units)]]/60))</f>
        <v>293.066666666667</v>
      </c>
      <c r="M47" s="38">
        <f>IF(tblShifts[[#This Row],[Date]]="","",IF(tblShifts[[#This Row],[Ideal cycle (s/unit)]]="","",tblShifts[[#This Row],[Ideal cycle (s/unit)]]*tblShifts[[#This Row],[Good (units)]]/60))</f>
        <v>289.6</v>
      </c>
      <c r="N47" s="39">
        <f>IF(tblShifts[[#This Row],[Date]]="","",IF(tblShifts[[#This Row],[Planned (min)]]&gt;0,tblShifts[[#This Row],[Run (min)]]/tblShifts[[#This Row],[Planned (min)]],""))</f>
        <v>0.788888888888889</v>
      </c>
      <c r="O47" s="39">
        <f>IF(tblShifts[[#This Row],[Date]]="","",IF(AND(tblShifts[[#This Row],[Run (min)]]&gt;0,ISNUMBER(tblShifts[[#This Row],[Net run (min)]])),tblShifts[[#This Row],[Net run (min)]]/tblShifts[[#This Row],[Run (min)]],""))</f>
        <v>0.825539906103286</v>
      </c>
      <c r="P47" s="39">
        <f>IF(tblShifts[[#This Row],[Date]]="","",IF(tblShifts[[#This Row],[Total (units)]]&gt;0,tblShifts[[#This Row],[Good (units)]]/tblShifts[[#This Row],[Total (units)]],""))</f>
        <v>0.988171064604186</v>
      </c>
      <c r="Q47" s="39">
        <f>IF(tblShifts[[#This Row],[Date]]="","",IF(AND(tblShifts[[#This Row],[Planned (min)]]&gt;0,ISNUMBER(tblShifts[[#This Row],[Productive (min)]])),tblShifts[[#This Row],[Productive (min)]]/tblShifts[[#This Row],[Planned (min)]],""))</f>
        <v>0.643555555555556</v>
      </c>
      <c r="R47" s="40" t="str">
        <f>IF(NOT(ISNUMBER(tblShifts[[#This Row],[OEE]])),"",IF(tblShifts[[#This Row],[OEE]]&gt;=TargetOEE,"On target",IF(tblShifts[[#This Row],[OEE]]&gt;=TargetOEE*(1-0.05),"Near target","Below target")))</f>
        <v>Below target</v>
      </c>
      <c r="S47" s="41">
        <f>IF(tblShifts[[#This Row],[Date]]="","",IF(AND(tblShifts[[#This Row],[Date]]&gt;=FFrom,tblShifts[[#This Row],[Date]]&lt;=FTo,OR(DashMachine="",tblShifts[[#This Row],[Machine]]=DashMachine)),tblShifts[[#This Row],[Date]],""))</f>
        <v>46279</v>
      </c>
      <c r="T4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7" s="28" t="s">
        <v>157</v>
      </c>
    </row>
    <row r="48" spans="2:21" x14ac:dyDescent="0.25">
      <c r="B48" s="34">
        <v>46279</v>
      </c>
      <c r="C48" s="28" t="s">
        <v>99</v>
      </c>
      <c r="D48" s="28" t="s">
        <v>94</v>
      </c>
      <c r="E48" s="28" t="s">
        <v>111</v>
      </c>
      <c r="F48" s="35">
        <v>450</v>
      </c>
      <c r="G48" s="35">
        <v>1009</v>
      </c>
      <c r="H48" s="35">
        <v>977</v>
      </c>
      <c r="I48" s="36">
        <f>IF(tblShifts[[#This Row],[Date]]="","",SUMIFS(tblDowntime[Minutes],tblDowntime[Date],tblShifts[[#This Row],[Date]],tblDowntime[Shift],tblShifts[[#This Row],[Shift]],tblDowntime[Machine],tblShifts[[#This Row],[Machine]]))</f>
        <v>40</v>
      </c>
      <c r="J48" s="36">
        <f>IF(tblShifts[[#This Row],[Date]]="","",tblShifts[[#This Row],[Planned (min)]]-tblShifts[[#This Row],[Downtime (min)]])</f>
        <v>410</v>
      </c>
      <c r="K48" s="37">
        <f>IF(tblShifts[[#This Row],[Date]]="","",IFERROR(INDEX(tblProducts[Ideal cycle (s/unit)],MATCH(tblShifts[[#This Row],[Product]],tblProducts[Product],0)),""))</f>
        <v>20</v>
      </c>
      <c r="L48" s="38">
        <f>IF(tblShifts[[#This Row],[Date]]="","",IF(tblShifts[[#This Row],[Ideal cycle (s/unit)]]="","",tblShifts[[#This Row],[Ideal cycle (s/unit)]]*tblShifts[[#This Row],[Total (units)]]/60))</f>
        <v>336.333333333333</v>
      </c>
      <c r="M48" s="38">
        <f>IF(tblShifts[[#This Row],[Date]]="","",IF(tblShifts[[#This Row],[Ideal cycle (s/unit)]]="","",tblShifts[[#This Row],[Ideal cycle (s/unit)]]*tblShifts[[#This Row],[Good (units)]]/60))</f>
        <v>325.666666666667</v>
      </c>
      <c r="N48" s="39">
        <f>IF(tblShifts[[#This Row],[Date]]="","",IF(tblShifts[[#This Row],[Planned (min)]]&gt;0,tblShifts[[#This Row],[Run (min)]]/tblShifts[[#This Row],[Planned (min)]],""))</f>
        <v>0.911111111111111</v>
      </c>
      <c r="O48" s="39">
        <f>IF(tblShifts[[#This Row],[Date]]="","",IF(AND(tblShifts[[#This Row],[Run (min)]]&gt;0,ISNUMBER(tblShifts[[#This Row],[Net run (min)]])),tblShifts[[#This Row],[Net run (min)]]/tblShifts[[#This Row],[Run (min)]],""))</f>
        <v>0.820325203252033</v>
      </c>
      <c r="P48" s="39">
        <f>IF(tblShifts[[#This Row],[Date]]="","",IF(tblShifts[[#This Row],[Total (units)]]&gt;0,tblShifts[[#This Row],[Good (units)]]/tblShifts[[#This Row],[Total (units)]],""))</f>
        <v>0.968285431119921</v>
      </c>
      <c r="Q48" s="39">
        <f>IF(tblShifts[[#This Row],[Date]]="","",IF(AND(tblShifts[[#This Row],[Planned (min)]]&gt;0,ISNUMBER(tblShifts[[#This Row],[Productive (min)]])),tblShifts[[#This Row],[Productive (min)]]/tblShifts[[#This Row],[Planned (min)]],""))</f>
        <v>0.723703703703704</v>
      </c>
      <c r="R48" s="40" t="str">
        <f>IF(NOT(ISNUMBER(tblShifts[[#This Row],[OEE]])),"",IF(tblShifts[[#This Row],[OEE]]&gt;=TargetOEE,"On target",IF(tblShifts[[#This Row],[OEE]]&gt;=TargetOEE*(1-0.05),"Near target","Below target")))</f>
        <v>On target</v>
      </c>
      <c r="S48" s="41">
        <f>IF(tblShifts[[#This Row],[Date]]="","",IF(AND(tblShifts[[#This Row],[Date]]&gt;=FFrom,tblShifts[[#This Row],[Date]]&lt;=FTo,OR(DashMachine="",tblShifts[[#This Row],[Machine]]=DashMachine)),tblShifts[[#This Row],[Date]],""))</f>
        <v>46279</v>
      </c>
      <c r="T4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8" s="28" t="s">
        <v>156</v>
      </c>
    </row>
    <row r="49" spans="2:21" x14ac:dyDescent="0.25">
      <c r="B49" s="34">
        <v>46279</v>
      </c>
      <c r="C49" s="28" t="s">
        <v>99</v>
      </c>
      <c r="D49" s="28" t="s">
        <v>97</v>
      </c>
      <c r="E49" s="28" t="s">
        <v>109</v>
      </c>
      <c r="F49" s="35">
        <v>450</v>
      </c>
      <c r="G49" s="35">
        <v>1744</v>
      </c>
      <c r="H49" s="35">
        <v>1707</v>
      </c>
      <c r="I49" s="36">
        <f>IF(tblShifts[[#This Row],[Date]]="","",SUMIFS(tblDowntime[Minutes],tblDowntime[Date],tblShifts[[#This Row],[Date]],tblDowntime[Shift],tblShifts[[#This Row],[Shift]],tblDowntime[Machine],tblShifts[[#This Row],[Machine]]))</f>
        <v>30</v>
      </c>
      <c r="J49" s="36">
        <f>IF(tblShifts[[#This Row],[Date]]="","",tblShifts[[#This Row],[Planned (min)]]-tblShifts[[#This Row],[Downtime (min)]])</f>
        <v>420</v>
      </c>
      <c r="K49" s="37">
        <f>IF(tblShifts[[#This Row],[Date]]="","",IFERROR(INDEX(tblProducts[Ideal cycle (s/unit)],MATCH(tblShifts[[#This Row],[Product]],tblProducts[Product],0)),""))</f>
        <v>12</v>
      </c>
      <c r="L49" s="38">
        <f>IF(tblShifts[[#This Row],[Date]]="","",IF(tblShifts[[#This Row],[Ideal cycle (s/unit)]]="","",tblShifts[[#This Row],[Ideal cycle (s/unit)]]*tblShifts[[#This Row],[Total (units)]]/60))</f>
        <v>348.8</v>
      </c>
      <c r="M49" s="38">
        <f>IF(tblShifts[[#This Row],[Date]]="","",IF(tblShifts[[#This Row],[Ideal cycle (s/unit)]]="","",tblShifts[[#This Row],[Ideal cycle (s/unit)]]*tblShifts[[#This Row],[Good (units)]]/60))</f>
        <v>341.4</v>
      </c>
      <c r="N49" s="39">
        <f>IF(tblShifts[[#This Row],[Date]]="","",IF(tblShifts[[#This Row],[Planned (min)]]&gt;0,tblShifts[[#This Row],[Run (min)]]/tblShifts[[#This Row],[Planned (min)]],""))</f>
        <v>0.933333333333333</v>
      </c>
      <c r="O49" s="39">
        <f>IF(tblShifts[[#This Row],[Date]]="","",IF(AND(tblShifts[[#This Row],[Run (min)]]&gt;0,ISNUMBER(tblShifts[[#This Row],[Net run (min)]])),tblShifts[[#This Row],[Net run (min)]]/tblShifts[[#This Row],[Run (min)]],""))</f>
        <v>0.830476190476191</v>
      </c>
      <c r="P49" s="39">
        <f>IF(tblShifts[[#This Row],[Date]]="","",IF(tblShifts[[#This Row],[Total (units)]]&gt;0,tblShifts[[#This Row],[Good (units)]]/tblShifts[[#This Row],[Total (units)]],""))</f>
        <v>0.978784403669725</v>
      </c>
      <c r="Q49" s="39">
        <f>IF(tblShifts[[#This Row],[Date]]="","",IF(AND(tblShifts[[#This Row],[Planned (min)]]&gt;0,ISNUMBER(tblShifts[[#This Row],[Productive (min)]])),tblShifts[[#This Row],[Productive (min)]]/tblShifts[[#This Row],[Planned (min)]],""))</f>
        <v>0.758666666666667</v>
      </c>
      <c r="R49" s="40" t="str">
        <f>IF(NOT(ISNUMBER(tblShifts[[#This Row],[OEE]])),"",IF(tblShifts[[#This Row],[OEE]]&gt;=TargetOEE,"On target",IF(tblShifts[[#This Row],[OEE]]&gt;=TargetOEE*(1-0.05),"Near target","Below target")))</f>
        <v>On target</v>
      </c>
      <c r="S49" s="41">
        <f>IF(tblShifts[[#This Row],[Date]]="","",IF(AND(tblShifts[[#This Row],[Date]]&gt;=FFrom,tblShifts[[#This Row],[Date]]&lt;=FTo,OR(DashMachine="",tblShifts[[#This Row],[Machine]]=DashMachine)),tblShifts[[#This Row],[Date]],""))</f>
        <v>46279</v>
      </c>
      <c r="T4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49" s="28" t="s">
        <v>156</v>
      </c>
    </row>
    <row r="50" spans="2:21" x14ac:dyDescent="0.25">
      <c r="B50" s="34">
        <v>46279</v>
      </c>
      <c r="C50" s="28" t="s">
        <v>102</v>
      </c>
      <c r="D50" s="28" t="s">
        <v>89</v>
      </c>
      <c r="E50" s="28" t="s">
        <v>105</v>
      </c>
      <c r="F50" s="35">
        <v>450</v>
      </c>
      <c r="G50" s="35">
        <v>2447</v>
      </c>
      <c r="H50" s="35">
        <v>2397</v>
      </c>
      <c r="I50" s="36">
        <f>IF(tblShifts[[#This Row],[Date]]="","",SUMIFS(tblDowntime[Minutes],tblDowntime[Date],tblShifts[[#This Row],[Date]],tblDowntime[Shift],tblShifts[[#This Row],[Shift]],tblDowntime[Machine],tblShifts[[#This Row],[Machine]]))</f>
        <v>45</v>
      </c>
      <c r="J50" s="36">
        <f>IF(tblShifts[[#This Row],[Date]]="","",tblShifts[[#This Row],[Planned (min)]]-tblShifts[[#This Row],[Downtime (min)]])</f>
        <v>405</v>
      </c>
      <c r="K50" s="37">
        <f>IF(tblShifts[[#This Row],[Date]]="","",IFERROR(INDEX(tblProducts[Ideal cycle (s/unit)],MATCH(tblShifts[[#This Row],[Product]],tblProducts[Product],0)),""))</f>
        <v>8</v>
      </c>
      <c r="L50" s="38">
        <f>IF(tblShifts[[#This Row],[Date]]="","",IF(tblShifts[[#This Row],[Ideal cycle (s/unit)]]="","",tblShifts[[#This Row],[Ideal cycle (s/unit)]]*tblShifts[[#This Row],[Total (units)]]/60))</f>
        <v>326.266666666667</v>
      </c>
      <c r="M50" s="38">
        <f>IF(tblShifts[[#This Row],[Date]]="","",IF(tblShifts[[#This Row],[Ideal cycle (s/unit)]]="","",tblShifts[[#This Row],[Ideal cycle (s/unit)]]*tblShifts[[#This Row],[Good (units)]]/60))</f>
        <v>319.6</v>
      </c>
      <c r="N50" s="39">
        <f>IF(tblShifts[[#This Row],[Date]]="","",IF(tblShifts[[#This Row],[Planned (min)]]&gt;0,tblShifts[[#This Row],[Run (min)]]/tblShifts[[#This Row],[Planned (min)]],""))</f>
        <v>0.9</v>
      </c>
      <c r="O50" s="39">
        <f>IF(tblShifts[[#This Row],[Date]]="","",IF(AND(tblShifts[[#This Row],[Run (min)]]&gt;0,ISNUMBER(tblShifts[[#This Row],[Net run (min)]])),tblShifts[[#This Row],[Net run (min)]]/tblShifts[[#This Row],[Run (min)]],""))</f>
        <v>0.80559670781893</v>
      </c>
      <c r="P50" s="39">
        <f>IF(tblShifts[[#This Row],[Date]]="","",IF(tblShifts[[#This Row],[Total (units)]]&gt;0,tblShifts[[#This Row],[Good (units)]]/tblShifts[[#This Row],[Total (units)]],""))</f>
        <v>0.979566816510012</v>
      </c>
      <c r="Q50" s="39">
        <f>IF(tblShifts[[#This Row],[Date]]="","",IF(AND(tblShifts[[#This Row],[Planned (min)]]&gt;0,ISNUMBER(tblShifts[[#This Row],[Productive (min)]])),tblShifts[[#This Row],[Productive (min)]]/tblShifts[[#This Row],[Planned (min)]],""))</f>
        <v>0.710222222222222</v>
      </c>
      <c r="R50" s="40" t="str">
        <f>IF(NOT(ISNUMBER(tblShifts[[#This Row],[OEE]])),"",IF(tblShifts[[#This Row],[OEE]]&gt;=TargetOEE,"On target",IF(tblShifts[[#This Row],[OEE]]&gt;=TargetOEE*(1-0.05),"Near target","Below target")))</f>
        <v>On target</v>
      </c>
      <c r="S50" s="41">
        <f>IF(tblShifts[[#This Row],[Date]]="","",IF(AND(tblShifts[[#This Row],[Date]]&gt;=FFrom,tblShifts[[#This Row],[Date]]&lt;=FTo,OR(DashMachine="",tblShifts[[#This Row],[Machine]]=DashMachine)),tblShifts[[#This Row],[Date]],""))</f>
        <v>46279</v>
      </c>
      <c r="T5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0" s="28" t="s">
        <v>156</v>
      </c>
    </row>
    <row r="51" spans="2:21" x14ac:dyDescent="0.25">
      <c r="B51" s="34">
        <v>46279</v>
      </c>
      <c r="C51" s="28" t="s">
        <v>102</v>
      </c>
      <c r="D51" s="28" t="s">
        <v>92</v>
      </c>
      <c r="E51" s="28" t="s">
        <v>105</v>
      </c>
      <c r="F51" s="35">
        <v>450</v>
      </c>
      <c r="G51" s="35">
        <v>2805</v>
      </c>
      <c r="H51" s="35">
        <v>2764</v>
      </c>
      <c r="I51" s="36">
        <f>IF(tblShifts[[#This Row],[Date]]="","",SUMIFS(tblDowntime[Minutes],tblDowntime[Date],tblShifts[[#This Row],[Date]],tblDowntime[Shift],tblShifts[[#This Row],[Shift]],tblDowntime[Machine],tblShifts[[#This Row],[Machine]]))</f>
        <v>0</v>
      </c>
      <c r="J51" s="36">
        <f>IF(tblShifts[[#This Row],[Date]]="","",tblShifts[[#This Row],[Planned (min)]]-tblShifts[[#This Row],[Downtime (min)]])</f>
        <v>450</v>
      </c>
      <c r="K51" s="37">
        <f>IF(tblShifts[[#This Row],[Date]]="","",IFERROR(INDEX(tblProducts[Ideal cycle (s/unit)],MATCH(tblShifts[[#This Row],[Product]],tblProducts[Product],0)),""))</f>
        <v>8</v>
      </c>
      <c r="L51" s="38">
        <f>IF(tblShifts[[#This Row],[Date]]="","",IF(tblShifts[[#This Row],[Ideal cycle (s/unit)]]="","",tblShifts[[#This Row],[Ideal cycle (s/unit)]]*tblShifts[[#This Row],[Total (units)]]/60))</f>
        <v>374</v>
      </c>
      <c r="M51" s="38">
        <f>IF(tblShifts[[#This Row],[Date]]="","",IF(tblShifts[[#This Row],[Ideal cycle (s/unit)]]="","",tblShifts[[#This Row],[Ideal cycle (s/unit)]]*tblShifts[[#This Row],[Good (units)]]/60))</f>
        <v>368.533333333333</v>
      </c>
      <c r="N51" s="39">
        <f>IF(tblShifts[[#This Row],[Date]]="","",IF(tblShifts[[#This Row],[Planned (min)]]&gt;0,tblShifts[[#This Row],[Run (min)]]/tblShifts[[#This Row],[Planned (min)]],""))</f>
        <v>1</v>
      </c>
      <c r="O51" s="39">
        <f>IF(tblShifts[[#This Row],[Date]]="","",IF(AND(tblShifts[[#This Row],[Run (min)]]&gt;0,ISNUMBER(tblShifts[[#This Row],[Net run (min)]])),tblShifts[[#This Row],[Net run (min)]]/tblShifts[[#This Row],[Run (min)]],""))</f>
        <v>0.831111111111111</v>
      </c>
      <c r="P51" s="39">
        <f>IF(tblShifts[[#This Row],[Date]]="","",IF(tblShifts[[#This Row],[Total (units)]]&gt;0,tblShifts[[#This Row],[Good (units)]]/tblShifts[[#This Row],[Total (units)]],""))</f>
        <v>0.985383244206774</v>
      </c>
      <c r="Q51" s="39">
        <f>IF(tblShifts[[#This Row],[Date]]="","",IF(AND(tblShifts[[#This Row],[Planned (min)]]&gt;0,ISNUMBER(tblShifts[[#This Row],[Productive (min)]])),tblShifts[[#This Row],[Productive (min)]]/tblShifts[[#This Row],[Planned (min)]],""))</f>
        <v>0.818962962962963</v>
      </c>
      <c r="R51" s="40" t="str">
        <f>IF(NOT(ISNUMBER(tblShifts[[#This Row],[OEE]])),"",IF(tblShifts[[#This Row],[OEE]]&gt;=TargetOEE,"On target",IF(tblShifts[[#This Row],[OEE]]&gt;=TargetOEE*(1-0.05),"Near target","Below target")))</f>
        <v>On target</v>
      </c>
      <c r="S51" s="41">
        <f>IF(tblShifts[[#This Row],[Date]]="","",IF(AND(tblShifts[[#This Row],[Date]]&gt;=FFrom,tblShifts[[#This Row],[Date]]&lt;=FTo,OR(DashMachine="",tblShifts[[#This Row],[Machine]]=DashMachine)),tblShifts[[#This Row],[Date]],""))</f>
        <v>46279</v>
      </c>
      <c r="T5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1" s="28" t="s">
        <v>156</v>
      </c>
    </row>
    <row r="52" spans="2:21" x14ac:dyDescent="0.25">
      <c r="B52" s="34">
        <v>46279</v>
      </c>
      <c r="C52" s="28" t="s">
        <v>102</v>
      </c>
      <c r="D52" s="28" t="s">
        <v>94</v>
      </c>
      <c r="E52" s="28" t="s">
        <v>111</v>
      </c>
      <c r="F52" s="35">
        <v>450</v>
      </c>
      <c r="G52" s="35">
        <v>952</v>
      </c>
      <c r="H52" s="35">
        <v>913</v>
      </c>
      <c r="I52" s="36">
        <f>IF(tblShifts[[#This Row],[Date]]="","",SUMIFS(tblDowntime[Minutes],tblDowntime[Date],tblShifts[[#This Row],[Date]],tblDowntime[Shift],tblShifts[[#This Row],[Shift]],tblDowntime[Machine],tblShifts[[#This Row],[Machine]]))</f>
        <v>95</v>
      </c>
      <c r="J52" s="36">
        <f>IF(tblShifts[[#This Row],[Date]]="","",tblShifts[[#This Row],[Planned (min)]]-tblShifts[[#This Row],[Downtime (min)]])</f>
        <v>355</v>
      </c>
      <c r="K52" s="37">
        <f>IF(tblShifts[[#This Row],[Date]]="","",IFERROR(INDEX(tblProducts[Ideal cycle (s/unit)],MATCH(tblShifts[[#This Row],[Product]],tblProducts[Product],0)),""))</f>
        <v>20</v>
      </c>
      <c r="L52" s="38">
        <f>IF(tblShifts[[#This Row],[Date]]="","",IF(tblShifts[[#This Row],[Ideal cycle (s/unit)]]="","",tblShifts[[#This Row],[Ideal cycle (s/unit)]]*tblShifts[[#This Row],[Total (units)]]/60))</f>
        <v>317.333333333333</v>
      </c>
      <c r="M52" s="38">
        <f>IF(tblShifts[[#This Row],[Date]]="","",IF(tblShifts[[#This Row],[Ideal cycle (s/unit)]]="","",tblShifts[[#This Row],[Ideal cycle (s/unit)]]*tblShifts[[#This Row],[Good (units)]]/60))</f>
        <v>304.333333333333</v>
      </c>
      <c r="N52" s="39">
        <f>IF(tblShifts[[#This Row],[Date]]="","",IF(tblShifts[[#This Row],[Planned (min)]]&gt;0,tblShifts[[#This Row],[Run (min)]]/tblShifts[[#This Row],[Planned (min)]],""))</f>
        <v>0.788888888888889</v>
      </c>
      <c r="O52" s="39">
        <f>IF(tblShifts[[#This Row],[Date]]="","",IF(AND(tblShifts[[#This Row],[Run (min)]]&gt;0,ISNUMBER(tblShifts[[#This Row],[Net run (min)]])),tblShifts[[#This Row],[Net run (min)]]/tblShifts[[#This Row],[Run (min)]],""))</f>
        <v>0.893896713615023</v>
      </c>
      <c r="P52" s="39">
        <f>IF(tblShifts[[#This Row],[Date]]="","",IF(tblShifts[[#This Row],[Total (units)]]&gt;0,tblShifts[[#This Row],[Good (units)]]/tblShifts[[#This Row],[Total (units)]],""))</f>
        <v>0.959033613445378</v>
      </c>
      <c r="Q52" s="39">
        <f>IF(tblShifts[[#This Row],[Date]]="","",IF(AND(tblShifts[[#This Row],[Planned (min)]]&gt;0,ISNUMBER(tblShifts[[#This Row],[Productive (min)]])),tblShifts[[#This Row],[Productive (min)]]/tblShifts[[#This Row],[Planned (min)]],""))</f>
        <v>0.676296296296296</v>
      </c>
      <c r="R52" s="40" t="str">
        <f>IF(NOT(ISNUMBER(tblShifts[[#This Row],[OEE]])),"",IF(tblShifts[[#This Row],[OEE]]&gt;=TargetOEE,"On target",IF(tblShifts[[#This Row],[OEE]]&gt;=TargetOEE*(1-0.05),"Near target","Below target")))</f>
        <v>Near target</v>
      </c>
      <c r="S52" s="41">
        <f>IF(tblShifts[[#This Row],[Date]]="","",IF(AND(tblShifts[[#This Row],[Date]]&gt;=FFrom,tblShifts[[#This Row],[Date]]&lt;=FTo,OR(DashMachine="",tblShifts[[#This Row],[Machine]]=DashMachine)),tblShifts[[#This Row],[Date]],""))</f>
        <v>46279</v>
      </c>
      <c r="T5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2" s="28" t="s">
        <v>156</v>
      </c>
    </row>
    <row r="53" spans="2:21" x14ac:dyDescent="0.25">
      <c r="B53" s="34">
        <v>46279</v>
      </c>
      <c r="C53" s="28" t="s">
        <v>102</v>
      </c>
      <c r="D53" s="28" t="s">
        <v>97</v>
      </c>
      <c r="E53" s="28" t="s">
        <v>109</v>
      </c>
      <c r="F53" s="35">
        <v>450</v>
      </c>
      <c r="G53" s="35">
        <v>1961</v>
      </c>
      <c r="H53" s="35">
        <v>1910</v>
      </c>
      <c r="I53" s="36">
        <f>IF(tblShifts[[#This Row],[Date]]="","",SUMIFS(tblDowntime[Minutes],tblDowntime[Date],tblShifts[[#This Row],[Date]],tblDowntime[Shift],tblShifts[[#This Row],[Shift]],tblDowntime[Machine],tblShifts[[#This Row],[Machine]]))</f>
        <v>5</v>
      </c>
      <c r="J53" s="36">
        <f>IF(tblShifts[[#This Row],[Date]]="","",tblShifts[[#This Row],[Planned (min)]]-tblShifts[[#This Row],[Downtime (min)]])</f>
        <v>445</v>
      </c>
      <c r="K53" s="37">
        <f>IF(tblShifts[[#This Row],[Date]]="","",IFERROR(INDEX(tblProducts[Ideal cycle (s/unit)],MATCH(tblShifts[[#This Row],[Product]],tblProducts[Product],0)),""))</f>
        <v>12</v>
      </c>
      <c r="L53" s="38">
        <f>IF(tblShifts[[#This Row],[Date]]="","",IF(tblShifts[[#This Row],[Ideal cycle (s/unit)]]="","",tblShifts[[#This Row],[Ideal cycle (s/unit)]]*tblShifts[[#This Row],[Total (units)]]/60))</f>
        <v>392.2</v>
      </c>
      <c r="M53" s="38">
        <f>IF(tblShifts[[#This Row],[Date]]="","",IF(tblShifts[[#This Row],[Ideal cycle (s/unit)]]="","",tblShifts[[#This Row],[Ideal cycle (s/unit)]]*tblShifts[[#This Row],[Good (units)]]/60))</f>
        <v>382</v>
      </c>
      <c r="N53" s="39">
        <f>IF(tblShifts[[#This Row],[Date]]="","",IF(tblShifts[[#This Row],[Planned (min)]]&gt;0,tblShifts[[#This Row],[Run (min)]]/tblShifts[[#This Row],[Planned (min)]],""))</f>
        <v>0.988888888888889</v>
      </c>
      <c r="O53" s="39">
        <f>IF(tblShifts[[#This Row],[Date]]="","",IF(AND(tblShifts[[#This Row],[Run (min)]]&gt;0,ISNUMBER(tblShifts[[#This Row],[Net run (min)]])),tblShifts[[#This Row],[Net run (min)]]/tblShifts[[#This Row],[Run (min)]],""))</f>
        <v>0.881348314606742</v>
      </c>
      <c r="P53" s="39">
        <f>IF(tblShifts[[#This Row],[Date]]="","",IF(tblShifts[[#This Row],[Total (units)]]&gt;0,tblShifts[[#This Row],[Good (units)]]/tblShifts[[#This Row],[Total (units)]],""))</f>
        <v>0.973992860785314</v>
      </c>
      <c r="Q53" s="39">
        <f>IF(tblShifts[[#This Row],[Date]]="","",IF(AND(tblShifts[[#This Row],[Planned (min)]]&gt;0,ISNUMBER(tblShifts[[#This Row],[Productive (min)]])),tblShifts[[#This Row],[Productive (min)]]/tblShifts[[#This Row],[Planned (min)]],""))</f>
        <v>0.848888888888889</v>
      </c>
      <c r="R53" s="40" t="str">
        <f>IF(NOT(ISNUMBER(tblShifts[[#This Row],[OEE]])),"",IF(tblShifts[[#This Row],[OEE]]&gt;=TargetOEE,"On target",IF(tblShifts[[#This Row],[OEE]]&gt;=TargetOEE*(1-0.05),"Near target","Below target")))</f>
        <v>On target</v>
      </c>
      <c r="S53" s="41">
        <f>IF(tblShifts[[#This Row],[Date]]="","",IF(AND(tblShifts[[#This Row],[Date]]&gt;=FFrom,tblShifts[[#This Row],[Date]]&lt;=FTo,OR(DashMachine="",tblShifts[[#This Row],[Machine]]=DashMachine)),tblShifts[[#This Row],[Date]],""))</f>
        <v>46279</v>
      </c>
      <c r="T5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3" s="28" t="s">
        <v>156</v>
      </c>
    </row>
    <row r="54" spans="2:21" x14ac:dyDescent="0.25">
      <c r="B54" s="34">
        <v>46280</v>
      </c>
      <c r="C54" s="28" t="s">
        <v>99</v>
      </c>
      <c r="D54" s="28" t="s">
        <v>89</v>
      </c>
      <c r="E54" s="28" t="s">
        <v>105</v>
      </c>
      <c r="F54" s="35">
        <v>450</v>
      </c>
      <c r="G54" s="35">
        <v>1951</v>
      </c>
      <c r="H54" s="35">
        <v>1894</v>
      </c>
      <c r="I54" s="36">
        <f>IF(tblShifts[[#This Row],[Date]]="","",SUMIFS(tblDowntime[Minutes],tblDowntime[Date],tblShifts[[#This Row],[Date]],tblDowntime[Shift],tblShifts[[#This Row],[Shift]],tblDowntime[Machine],tblShifts[[#This Row],[Machine]]))</f>
        <v>140</v>
      </c>
      <c r="J54" s="36">
        <f>IF(tblShifts[[#This Row],[Date]]="","",tblShifts[[#This Row],[Planned (min)]]-tblShifts[[#This Row],[Downtime (min)]])</f>
        <v>310</v>
      </c>
      <c r="K54" s="37">
        <f>IF(tblShifts[[#This Row],[Date]]="","",IFERROR(INDEX(tblProducts[Ideal cycle (s/unit)],MATCH(tblShifts[[#This Row],[Product]],tblProducts[Product],0)),""))</f>
        <v>8</v>
      </c>
      <c r="L54" s="38">
        <f>IF(tblShifts[[#This Row],[Date]]="","",IF(tblShifts[[#This Row],[Ideal cycle (s/unit)]]="","",tblShifts[[#This Row],[Ideal cycle (s/unit)]]*tblShifts[[#This Row],[Total (units)]]/60))</f>
        <v>260.133333333333</v>
      </c>
      <c r="M54" s="38">
        <f>IF(tblShifts[[#This Row],[Date]]="","",IF(tblShifts[[#This Row],[Ideal cycle (s/unit)]]="","",tblShifts[[#This Row],[Ideal cycle (s/unit)]]*tblShifts[[#This Row],[Good (units)]]/60))</f>
        <v>252.533333333333</v>
      </c>
      <c r="N54" s="39">
        <f>IF(tblShifts[[#This Row],[Date]]="","",IF(tblShifts[[#This Row],[Planned (min)]]&gt;0,tblShifts[[#This Row],[Run (min)]]/tblShifts[[#This Row],[Planned (min)]],""))</f>
        <v>0.688888888888889</v>
      </c>
      <c r="O54" s="39">
        <f>IF(tblShifts[[#This Row],[Date]]="","",IF(AND(tblShifts[[#This Row],[Run (min)]]&gt;0,ISNUMBER(tblShifts[[#This Row],[Net run (min)]])),tblShifts[[#This Row],[Net run (min)]]/tblShifts[[#This Row],[Run (min)]],""))</f>
        <v>0.839139784946237</v>
      </c>
      <c r="P54" s="39">
        <f>IF(tblShifts[[#This Row],[Date]]="","",IF(tblShifts[[#This Row],[Total (units)]]&gt;0,tblShifts[[#This Row],[Good (units)]]/tblShifts[[#This Row],[Total (units)]],""))</f>
        <v>0.970784213223988</v>
      </c>
      <c r="Q54" s="39">
        <f>IF(tblShifts[[#This Row],[Date]]="","",IF(AND(tblShifts[[#This Row],[Planned (min)]]&gt;0,ISNUMBER(tblShifts[[#This Row],[Productive (min)]])),tblShifts[[#This Row],[Productive (min)]]/tblShifts[[#This Row],[Planned (min)]],""))</f>
        <v>0.561185185185185</v>
      </c>
      <c r="R54" s="40" t="str">
        <f>IF(NOT(ISNUMBER(tblShifts[[#This Row],[OEE]])),"",IF(tblShifts[[#This Row],[OEE]]&gt;=TargetOEE,"On target",IF(tblShifts[[#This Row],[OEE]]&gt;=TargetOEE*(1-0.05),"Near target","Below target")))</f>
        <v>Below target</v>
      </c>
      <c r="S54" s="41">
        <f>IF(tblShifts[[#This Row],[Date]]="","",IF(AND(tblShifts[[#This Row],[Date]]&gt;=FFrom,tblShifts[[#This Row],[Date]]&lt;=FTo,OR(DashMachine="",tblShifts[[#This Row],[Machine]]=DashMachine)),tblShifts[[#This Row],[Date]],""))</f>
        <v>46280</v>
      </c>
      <c r="T5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4" s="28" t="s">
        <v>156</v>
      </c>
    </row>
    <row r="55" spans="2:21" x14ac:dyDescent="0.25">
      <c r="B55" s="34">
        <v>46280</v>
      </c>
      <c r="C55" s="28" t="s">
        <v>99</v>
      </c>
      <c r="D55" s="28" t="s">
        <v>92</v>
      </c>
      <c r="E55" s="28" t="s">
        <v>105</v>
      </c>
      <c r="F55" s="35">
        <v>450</v>
      </c>
      <c r="G55" s="35">
        <v>2949</v>
      </c>
      <c r="H55" s="35">
        <v>2876</v>
      </c>
      <c r="I55" s="36">
        <f>IF(tblShifts[[#This Row],[Date]]="","",SUMIFS(tblDowntime[Minutes],tblDowntime[Date],tblShifts[[#This Row],[Date]],tblDowntime[Shift],tblShifts[[#This Row],[Shift]],tblDowntime[Machine],tblShifts[[#This Row],[Machine]]))</f>
        <v>20</v>
      </c>
      <c r="J55" s="36">
        <f>IF(tblShifts[[#This Row],[Date]]="","",tblShifts[[#This Row],[Planned (min)]]-tblShifts[[#This Row],[Downtime (min)]])</f>
        <v>430</v>
      </c>
      <c r="K55" s="37">
        <f>IF(tblShifts[[#This Row],[Date]]="","",IFERROR(INDEX(tblProducts[Ideal cycle (s/unit)],MATCH(tblShifts[[#This Row],[Product]],tblProducts[Product],0)),""))</f>
        <v>8</v>
      </c>
      <c r="L55" s="38">
        <f>IF(tblShifts[[#This Row],[Date]]="","",IF(tblShifts[[#This Row],[Ideal cycle (s/unit)]]="","",tblShifts[[#This Row],[Ideal cycle (s/unit)]]*tblShifts[[#This Row],[Total (units)]]/60))</f>
        <v>393.2</v>
      </c>
      <c r="M55" s="38">
        <f>IF(tblShifts[[#This Row],[Date]]="","",IF(tblShifts[[#This Row],[Ideal cycle (s/unit)]]="","",tblShifts[[#This Row],[Ideal cycle (s/unit)]]*tblShifts[[#This Row],[Good (units)]]/60))</f>
        <v>383.466666666667</v>
      </c>
      <c r="N55" s="39">
        <f>IF(tblShifts[[#This Row],[Date]]="","",IF(tblShifts[[#This Row],[Planned (min)]]&gt;0,tblShifts[[#This Row],[Run (min)]]/tblShifts[[#This Row],[Planned (min)]],""))</f>
        <v>0.955555555555556</v>
      </c>
      <c r="O55" s="39">
        <f>IF(tblShifts[[#This Row],[Date]]="","",IF(AND(tblShifts[[#This Row],[Run (min)]]&gt;0,ISNUMBER(tblShifts[[#This Row],[Net run (min)]])),tblShifts[[#This Row],[Net run (min)]]/tblShifts[[#This Row],[Run (min)]],""))</f>
        <v>0.914418604651163</v>
      </c>
      <c r="P55" s="39">
        <f>IF(tblShifts[[#This Row],[Date]]="","",IF(tblShifts[[#This Row],[Total (units)]]&gt;0,tblShifts[[#This Row],[Good (units)]]/tblShifts[[#This Row],[Total (units)]],""))</f>
        <v>0.975245846049508</v>
      </c>
      <c r="Q55" s="39">
        <f>IF(tblShifts[[#This Row],[Date]]="","",IF(AND(tblShifts[[#This Row],[Planned (min)]]&gt;0,ISNUMBER(tblShifts[[#This Row],[Productive (min)]])),tblShifts[[#This Row],[Productive (min)]]/tblShifts[[#This Row],[Planned (min)]],""))</f>
        <v>0.852148148148148</v>
      </c>
      <c r="R55" s="40" t="str">
        <f>IF(NOT(ISNUMBER(tblShifts[[#This Row],[OEE]])),"",IF(tblShifts[[#This Row],[OEE]]&gt;=TargetOEE,"On target",IF(tblShifts[[#This Row],[OEE]]&gt;=TargetOEE*(1-0.05),"Near target","Below target")))</f>
        <v>On target</v>
      </c>
      <c r="S55" s="41">
        <f>IF(tblShifts[[#This Row],[Date]]="","",IF(AND(tblShifts[[#This Row],[Date]]&gt;=FFrom,tblShifts[[#This Row],[Date]]&lt;=FTo,OR(DashMachine="",tblShifts[[#This Row],[Machine]]=DashMachine)),tblShifts[[#This Row],[Date]],""))</f>
        <v>46280</v>
      </c>
      <c r="T5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5" s="28" t="s">
        <v>156</v>
      </c>
    </row>
    <row r="56" spans="2:21" x14ac:dyDescent="0.25">
      <c r="B56" s="34">
        <v>46280</v>
      </c>
      <c r="C56" s="28" t="s">
        <v>99</v>
      </c>
      <c r="D56" s="28" t="s">
        <v>94</v>
      </c>
      <c r="E56" s="28" t="s">
        <v>111</v>
      </c>
      <c r="F56" s="35">
        <v>450</v>
      </c>
      <c r="G56" s="35">
        <v>934</v>
      </c>
      <c r="H56" s="35">
        <v>903</v>
      </c>
      <c r="I56" s="36">
        <f>IF(tblShifts[[#This Row],[Date]]="","",SUMIFS(tblDowntime[Minutes],tblDowntime[Date],tblShifts[[#This Row],[Date]],tblDowntime[Shift],tblShifts[[#This Row],[Shift]],tblDowntime[Machine],tblShifts[[#This Row],[Machine]]))</f>
        <v>95</v>
      </c>
      <c r="J56" s="36">
        <f>IF(tblShifts[[#This Row],[Date]]="","",tblShifts[[#This Row],[Planned (min)]]-tblShifts[[#This Row],[Downtime (min)]])</f>
        <v>355</v>
      </c>
      <c r="K56" s="37">
        <f>IF(tblShifts[[#This Row],[Date]]="","",IFERROR(INDEX(tblProducts[Ideal cycle (s/unit)],MATCH(tblShifts[[#This Row],[Product]],tblProducts[Product],0)),""))</f>
        <v>20</v>
      </c>
      <c r="L56" s="38">
        <f>IF(tblShifts[[#This Row],[Date]]="","",IF(tblShifts[[#This Row],[Ideal cycle (s/unit)]]="","",tblShifts[[#This Row],[Ideal cycle (s/unit)]]*tblShifts[[#This Row],[Total (units)]]/60))</f>
        <v>311.333333333333</v>
      </c>
      <c r="M56" s="38">
        <f>IF(tblShifts[[#This Row],[Date]]="","",IF(tblShifts[[#This Row],[Ideal cycle (s/unit)]]="","",tblShifts[[#This Row],[Ideal cycle (s/unit)]]*tblShifts[[#This Row],[Good (units)]]/60))</f>
        <v>301</v>
      </c>
      <c r="N56" s="39">
        <f>IF(tblShifts[[#This Row],[Date]]="","",IF(tblShifts[[#This Row],[Planned (min)]]&gt;0,tblShifts[[#This Row],[Run (min)]]/tblShifts[[#This Row],[Planned (min)]],""))</f>
        <v>0.788888888888889</v>
      </c>
      <c r="O56" s="39">
        <f>IF(tblShifts[[#This Row],[Date]]="","",IF(AND(tblShifts[[#This Row],[Run (min)]]&gt;0,ISNUMBER(tblShifts[[#This Row],[Net run (min)]])),tblShifts[[#This Row],[Net run (min)]]/tblShifts[[#This Row],[Run (min)]],""))</f>
        <v>0.876995305164319</v>
      </c>
      <c r="P56" s="39">
        <f>IF(tblShifts[[#This Row],[Date]]="","",IF(tblShifts[[#This Row],[Total (units)]]&gt;0,tblShifts[[#This Row],[Good (units)]]/tblShifts[[#This Row],[Total (units)]],""))</f>
        <v>0.966809421841542</v>
      </c>
      <c r="Q56" s="39">
        <f>IF(tblShifts[[#This Row],[Date]]="","",IF(AND(tblShifts[[#This Row],[Planned (min)]]&gt;0,ISNUMBER(tblShifts[[#This Row],[Productive (min)]])),tblShifts[[#This Row],[Productive (min)]]/tblShifts[[#This Row],[Planned (min)]],""))</f>
        <v>0.668888888888889</v>
      </c>
      <c r="R56" s="40" t="str">
        <f>IF(NOT(ISNUMBER(tblShifts[[#This Row],[OEE]])),"",IF(tblShifts[[#This Row],[OEE]]&gt;=TargetOEE,"On target",IF(tblShifts[[#This Row],[OEE]]&gt;=TargetOEE*(1-0.05),"Near target","Below target")))</f>
        <v>Near target</v>
      </c>
      <c r="S56" s="41">
        <f>IF(tblShifts[[#This Row],[Date]]="","",IF(AND(tblShifts[[#This Row],[Date]]&gt;=FFrom,tblShifts[[#This Row],[Date]]&lt;=FTo,OR(DashMachine="",tblShifts[[#This Row],[Machine]]=DashMachine)),tblShifts[[#This Row],[Date]],""))</f>
        <v>46280</v>
      </c>
      <c r="T5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6" s="28" t="s">
        <v>156</v>
      </c>
    </row>
    <row r="57" spans="2:21" x14ac:dyDescent="0.25">
      <c r="B57" s="34">
        <v>46280</v>
      </c>
      <c r="C57" s="28" t="s">
        <v>99</v>
      </c>
      <c r="D57" s="28" t="s">
        <v>97</v>
      </c>
      <c r="E57" s="28" t="s">
        <v>109</v>
      </c>
      <c r="F57" s="35">
        <v>450</v>
      </c>
      <c r="G57" s="35">
        <v>1925</v>
      </c>
      <c r="H57" s="35">
        <v>1901</v>
      </c>
      <c r="I57" s="36">
        <f>IF(tblShifts[[#This Row],[Date]]="","",SUMIFS(tblDowntime[Minutes],tblDowntime[Date],tblShifts[[#This Row],[Date]],tblDowntime[Shift],tblShifts[[#This Row],[Shift]],tblDowntime[Machine],tblShifts[[#This Row],[Machine]]))</f>
        <v>25</v>
      </c>
      <c r="J57" s="36">
        <f>IF(tblShifts[[#This Row],[Date]]="","",tblShifts[[#This Row],[Planned (min)]]-tblShifts[[#This Row],[Downtime (min)]])</f>
        <v>425</v>
      </c>
      <c r="K57" s="37">
        <f>IF(tblShifts[[#This Row],[Date]]="","",IFERROR(INDEX(tblProducts[Ideal cycle (s/unit)],MATCH(tblShifts[[#This Row],[Product]],tblProducts[Product],0)),""))</f>
        <v>12</v>
      </c>
      <c r="L57" s="38">
        <f>IF(tblShifts[[#This Row],[Date]]="","",IF(tblShifts[[#This Row],[Ideal cycle (s/unit)]]="","",tblShifts[[#This Row],[Ideal cycle (s/unit)]]*tblShifts[[#This Row],[Total (units)]]/60))</f>
        <v>385</v>
      </c>
      <c r="M57" s="38">
        <f>IF(tblShifts[[#This Row],[Date]]="","",IF(tblShifts[[#This Row],[Ideal cycle (s/unit)]]="","",tblShifts[[#This Row],[Ideal cycle (s/unit)]]*tblShifts[[#This Row],[Good (units)]]/60))</f>
        <v>380.2</v>
      </c>
      <c r="N57" s="39">
        <f>IF(tblShifts[[#This Row],[Date]]="","",IF(tblShifts[[#This Row],[Planned (min)]]&gt;0,tblShifts[[#This Row],[Run (min)]]/tblShifts[[#This Row],[Planned (min)]],""))</f>
        <v>0.944444444444444</v>
      </c>
      <c r="O57" s="39">
        <f>IF(tblShifts[[#This Row],[Date]]="","",IF(AND(tblShifts[[#This Row],[Run (min)]]&gt;0,ISNUMBER(tblShifts[[#This Row],[Net run (min)]])),tblShifts[[#This Row],[Net run (min)]]/tblShifts[[#This Row],[Run (min)]],""))</f>
        <v>0.905882352941177</v>
      </c>
      <c r="P57" s="39">
        <f>IF(tblShifts[[#This Row],[Date]]="","",IF(tblShifts[[#This Row],[Total (units)]]&gt;0,tblShifts[[#This Row],[Good (units)]]/tblShifts[[#This Row],[Total (units)]],""))</f>
        <v>0.987532467532468</v>
      </c>
      <c r="Q57" s="39">
        <f>IF(tblShifts[[#This Row],[Date]]="","",IF(AND(tblShifts[[#This Row],[Planned (min)]]&gt;0,ISNUMBER(tblShifts[[#This Row],[Productive (min)]])),tblShifts[[#This Row],[Productive (min)]]/tblShifts[[#This Row],[Planned (min)]],""))</f>
        <v>0.844888888888889</v>
      </c>
      <c r="R57" s="40" t="str">
        <f>IF(NOT(ISNUMBER(tblShifts[[#This Row],[OEE]])),"",IF(tblShifts[[#This Row],[OEE]]&gt;=TargetOEE,"On target",IF(tblShifts[[#This Row],[OEE]]&gt;=TargetOEE*(1-0.05),"Near target","Below target")))</f>
        <v>On target</v>
      </c>
      <c r="S57" s="41">
        <f>IF(tblShifts[[#This Row],[Date]]="","",IF(AND(tblShifts[[#This Row],[Date]]&gt;=FFrom,tblShifts[[#This Row],[Date]]&lt;=FTo,OR(DashMachine="",tblShifts[[#This Row],[Machine]]=DashMachine)),tblShifts[[#This Row],[Date]],""))</f>
        <v>46280</v>
      </c>
      <c r="T5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7" s="28" t="s">
        <v>156</v>
      </c>
    </row>
    <row r="58" spans="2:21" x14ac:dyDescent="0.25">
      <c r="B58" s="34">
        <v>46280</v>
      </c>
      <c r="C58" s="28" t="s">
        <v>102</v>
      </c>
      <c r="D58" s="28" t="s">
        <v>89</v>
      </c>
      <c r="E58" s="28" t="s">
        <v>105</v>
      </c>
      <c r="F58" s="35">
        <v>450</v>
      </c>
      <c r="G58" s="35">
        <v>2535</v>
      </c>
      <c r="H58" s="35">
        <v>2480</v>
      </c>
      <c r="I58" s="36">
        <f>IF(tblShifts[[#This Row],[Date]]="","",SUMIFS(tblDowntime[Minutes],tblDowntime[Date],tblShifts[[#This Row],[Date]],tblDowntime[Shift],tblShifts[[#This Row],[Shift]],tblDowntime[Machine],tblShifts[[#This Row],[Machine]]))</f>
        <v>55</v>
      </c>
      <c r="J58" s="36">
        <f>IF(tblShifts[[#This Row],[Date]]="","",tblShifts[[#This Row],[Planned (min)]]-tblShifts[[#This Row],[Downtime (min)]])</f>
        <v>395</v>
      </c>
      <c r="K58" s="37">
        <f>IF(tblShifts[[#This Row],[Date]]="","",IFERROR(INDEX(tblProducts[Ideal cycle (s/unit)],MATCH(tblShifts[[#This Row],[Product]],tblProducts[Product],0)),""))</f>
        <v>8</v>
      </c>
      <c r="L58" s="38">
        <f>IF(tblShifts[[#This Row],[Date]]="","",IF(tblShifts[[#This Row],[Ideal cycle (s/unit)]]="","",tblShifts[[#This Row],[Ideal cycle (s/unit)]]*tblShifts[[#This Row],[Total (units)]]/60))</f>
        <v>338</v>
      </c>
      <c r="M58" s="38">
        <f>IF(tblShifts[[#This Row],[Date]]="","",IF(tblShifts[[#This Row],[Ideal cycle (s/unit)]]="","",tblShifts[[#This Row],[Ideal cycle (s/unit)]]*tblShifts[[#This Row],[Good (units)]]/60))</f>
        <v>330.666666666667</v>
      </c>
      <c r="N58" s="39">
        <f>IF(tblShifts[[#This Row],[Date]]="","",IF(tblShifts[[#This Row],[Planned (min)]]&gt;0,tblShifts[[#This Row],[Run (min)]]/tblShifts[[#This Row],[Planned (min)]],""))</f>
        <v>0.877777777777778</v>
      </c>
      <c r="O58" s="39">
        <f>IF(tblShifts[[#This Row],[Date]]="","",IF(AND(tblShifts[[#This Row],[Run (min)]]&gt;0,ISNUMBER(tblShifts[[#This Row],[Net run (min)]])),tblShifts[[#This Row],[Net run (min)]]/tblShifts[[#This Row],[Run (min)]],""))</f>
        <v>0.855696202531646</v>
      </c>
      <c r="P58" s="39">
        <f>IF(tblShifts[[#This Row],[Date]]="","",IF(tblShifts[[#This Row],[Total (units)]]&gt;0,tblShifts[[#This Row],[Good (units)]]/tblShifts[[#This Row],[Total (units)]],""))</f>
        <v>0.978303747534517</v>
      </c>
      <c r="Q58" s="39">
        <f>IF(tblShifts[[#This Row],[Date]]="","",IF(AND(tblShifts[[#This Row],[Planned (min)]]&gt;0,ISNUMBER(tblShifts[[#This Row],[Productive (min)]])),tblShifts[[#This Row],[Productive (min)]]/tblShifts[[#This Row],[Planned (min)]],""))</f>
        <v>0.734814814814815</v>
      </c>
      <c r="R58" s="40" t="str">
        <f>IF(NOT(ISNUMBER(tblShifts[[#This Row],[OEE]])),"",IF(tblShifts[[#This Row],[OEE]]&gt;=TargetOEE,"On target",IF(tblShifts[[#This Row],[OEE]]&gt;=TargetOEE*(1-0.05),"Near target","Below target")))</f>
        <v>On target</v>
      </c>
      <c r="S58" s="41">
        <f>IF(tblShifts[[#This Row],[Date]]="","",IF(AND(tblShifts[[#This Row],[Date]]&gt;=FFrom,tblShifts[[#This Row],[Date]]&lt;=FTo,OR(DashMachine="",tblShifts[[#This Row],[Machine]]=DashMachine)),tblShifts[[#This Row],[Date]],""))</f>
        <v>46280</v>
      </c>
      <c r="T5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8" s="28" t="s">
        <v>156</v>
      </c>
    </row>
    <row r="59" spans="2:21" x14ac:dyDescent="0.25">
      <c r="B59" s="34">
        <v>46280</v>
      </c>
      <c r="C59" s="28" t="s">
        <v>102</v>
      </c>
      <c r="D59" s="28" t="s">
        <v>92</v>
      </c>
      <c r="E59" s="28" t="s">
        <v>105</v>
      </c>
      <c r="F59" s="35">
        <v>450</v>
      </c>
      <c r="G59" s="35">
        <v>2649</v>
      </c>
      <c r="H59" s="35">
        <v>2634</v>
      </c>
      <c r="I59" s="36">
        <f>IF(tblShifts[[#This Row],[Date]]="","",SUMIFS(tblDowntime[Minutes],tblDowntime[Date],tblShifts[[#This Row],[Date]],tblDowntime[Shift],tblShifts[[#This Row],[Shift]],tblDowntime[Machine],tblShifts[[#This Row],[Machine]]))</f>
        <v>0</v>
      </c>
      <c r="J59" s="36">
        <f>IF(tblShifts[[#This Row],[Date]]="","",tblShifts[[#This Row],[Planned (min)]]-tblShifts[[#This Row],[Downtime (min)]])</f>
        <v>450</v>
      </c>
      <c r="K59" s="37">
        <f>IF(tblShifts[[#This Row],[Date]]="","",IFERROR(INDEX(tblProducts[Ideal cycle (s/unit)],MATCH(tblShifts[[#This Row],[Product]],tblProducts[Product],0)),""))</f>
        <v>8</v>
      </c>
      <c r="L59" s="38">
        <f>IF(tblShifts[[#This Row],[Date]]="","",IF(tblShifts[[#This Row],[Ideal cycle (s/unit)]]="","",tblShifts[[#This Row],[Ideal cycle (s/unit)]]*tblShifts[[#This Row],[Total (units)]]/60))</f>
        <v>353.2</v>
      </c>
      <c r="M59" s="38">
        <f>IF(tblShifts[[#This Row],[Date]]="","",IF(tblShifts[[#This Row],[Ideal cycle (s/unit)]]="","",tblShifts[[#This Row],[Ideal cycle (s/unit)]]*tblShifts[[#This Row],[Good (units)]]/60))</f>
        <v>351.2</v>
      </c>
      <c r="N59" s="39">
        <f>IF(tblShifts[[#This Row],[Date]]="","",IF(tblShifts[[#This Row],[Planned (min)]]&gt;0,tblShifts[[#This Row],[Run (min)]]/tblShifts[[#This Row],[Planned (min)]],""))</f>
        <v>1</v>
      </c>
      <c r="O59" s="39">
        <f>IF(tblShifts[[#This Row],[Date]]="","",IF(AND(tblShifts[[#This Row],[Run (min)]]&gt;0,ISNUMBER(tblShifts[[#This Row],[Net run (min)]])),tblShifts[[#This Row],[Net run (min)]]/tblShifts[[#This Row],[Run (min)]],""))</f>
        <v>0.784888888888889</v>
      </c>
      <c r="P59" s="39">
        <f>IF(tblShifts[[#This Row],[Date]]="","",IF(tblShifts[[#This Row],[Total (units)]]&gt;0,tblShifts[[#This Row],[Good (units)]]/tblShifts[[#This Row],[Total (units)]],""))</f>
        <v>0.994337485843715</v>
      </c>
      <c r="Q59" s="39">
        <f>IF(tblShifts[[#This Row],[Date]]="","",IF(AND(tblShifts[[#This Row],[Planned (min)]]&gt;0,ISNUMBER(tblShifts[[#This Row],[Productive (min)]])),tblShifts[[#This Row],[Productive (min)]]/tblShifts[[#This Row],[Planned (min)]],""))</f>
        <v>0.780444444444444</v>
      </c>
      <c r="R59" s="40" t="str">
        <f>IF(NOT(ISNUMBER(tblShifts[[#This Row],[OEE]])),"",IF(tblShifts[[#This Row],[OEE]]&gt;=TargetOEE,"On target",IF(tblShifts[[#This Row],[OEE]]&gt;=TargetOEE*(1-0.05),"Near target","Below target")))</f>
        <v>On target</v>
      </c>
      <c r="S59" s="41">
        <f>IF(tblShifts[[#This Row],[Date]]="","",IF(AND(tblShifts[[#This Row],[Date]]&gt;=FFrom,tblShifts[[#This Row],[Date]]&lt;=FTo,OR(DashMachine="",tblShifts[[#This Row],[Machine]]=DashMachine)),tblShifts[[#This Row],[Date]],""))</f>
        <v>46280</v>
      </c>
      <c r="T5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59" s="28" t="s">
        <v>156</v>
      </c>
    </row>
    <row r="60" spans="2:21" x14ac:dyDescent="0.25">
      <c r="B60" s="34">
        <v>46280</v>
      </c>
      <c r="C60" s="28" t="s">
        <v>102</v>
      </c>
      <c r="D60" s="28" t="s">
        <v>94</v>
      </c>
      <c r="E60" s="28" t="s">
        <v>111</v>
      </c>
      <c r="F60" s="35">
        <v>450</v>
      </c>
      <c r="G60" s="35">
        <v>881</v>
      </c>
      <c r="H60" s="35">
        <v>843</v>
      </c>
      <c r="I60" s="36">
        <f>IF(tblShifts[[#This Row],[Date]]="","",SUMIFS(tblDowntime[Minutes],tblDowntime[Date],tblShifts[[#This Row],[Date]],tblDowntime[Shift],tblShifts[[#This Row],[Shift]],tblDowntime[Machine],tblShifts[[#This Row],[Machine]]))</f>
        <v>100</v>
      </c>
      <c r="J60" s="36">
        <f>IF(tblShifts[[#This Row],[Date]]="","",tblShifts[[#This Row],[Planned (min)]]-tblShifts[[#This Row],[Downtime (min)]])</f>
        <v>350</v>
      </c>
      <c r="K60" s="37">
        <f>IF(tblShifts[[#This Row],[Date]]="","",IFERROR(INDEX(tblProducts[Ideal cycle (s/unit)],MATCH(tblShifts[[#This Row],[Product]],tblProducts[Product],0)),""))</f>
        <v>20</v>
      </c>
      <c r="L60" s="38">
        <f>IF(tblShifts[[#This Row],[Date]]="","",IF(tblShifts[[#This Row],[Ideal cycle (s/unit)]]="","",tblShifts[[#This Row],[Ideal cycle (s/unit)]]*tblShifts[[#This Row],[Total (units)]]/60))</f>
        <v>293.666666666667</v>
      </c>
      <c r="M60" s="38">
        <f>IF(tblShifts[[#This Row],[Date]]="","",IF(tblShifts[[#This Row],[Ideal cycle (s/unit)]]="","",tblShifts[[#This Row],[Ideal cycle (s/unit)]]*tblShifts[[#This Row],[Good (units)]]/60))</f>
        <v>281</v>
      </c>
      <c r="N60" s="39">
        <f>IF(tblShifts[[#This Row],[Date]]="","",IF(tblShifts[[#This Row],[Planned (min)]]&gt;0,tblShifts[[#This Row],[Run (min)]]/tblShifts[[#This Row],[Planned (min)]],""))</f>
        <v>0.777777777777778</v>
      </c>
      <c r="O60" s="39">
        <f>IF(tblShifts[[#This Row],[Date]]="","",IF(AND(tblShifts[[#This Row],[Run (min)]]&gt;0,ISNUMBER(tblShifts[[#This Row],[Net run (min)]])),tblShifts[[#This Row],[Net run (min)]]/tblShifts[[#This Row],[Run (min)]],""))</f>
        <v>0.839047619047619</v>
      </c>
      <c r="P60" s="39">
        <f>IF(tblShifts[[#This Row],[Date]]="","",IF(tblShifts[[#This Row],[Total (units)]]&gt;0,tblShifts[[#This Row],[Good (units)]]/tblShifts[[#This Row],[Total (units)]],""))</f>
        <v>0.956867196367764</v>
      </c>
      <c r="Q60" s="39">
        <f>IF(tblShifts[[#This Row],[Date]]="","",IF(AND(tblShifts[[#This Row],[Planned (min)]]&gt;0,ISNUMBER(tblShifts[[#This Row],[Productive (min)]])),tblShifts[[#This Row],[Productive (min)]]/tblShifts[[#This Row],[Planned (min)]],""))</f>
        <v>0.624444444444445</v>
      </c>
      <c r="R60" s="40" t="str">
        <f>IF(NOT(ISNUMBER(tblShifts[[#This Row],[OEE]])),"",IF(tblShifts[[#This Row],[OEE]]&gt;=TargetOEE,"On target",IF(tblShifts[[#This Row],[OEE]]&gt;=TargetOEE*(1-0.05),"Near target","Below target")))</f>
        <v>Below target</v>
      </c>
      <c r="S60" s="41">
        <f>IF(tblShifts[[#This Row],[Date]]="","",IF(AND(tblShifts[[#This Row],[Date]]&gt;=FFrom,tblShifts[[#This Row],[Date]]&lt;=FTo,OR(DashMachine="",tblShifts[[#This Row],[Machine]]=DashMachine)),tblShifts[[#This Row],[Date]],""))</f>
        <v>46280</v>
      </c>
      <c r="T6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0" s="28" t="s">
        <v>156</v>
      </c>
    </row>
    <row r="61" spans="2:21" x14ac:dyDescent="0.25">
      <c r="B61" s="34">
        <v>46280</v>
      </c>
      <c r="C61" s="28" t="s">
        <v>102</v>
      </c>
      <c r="D61" s="28" t="s">
        <v>97</v>
      </c>
      <c r="E61" s="28" t="s">
        <v>109</v>
      </c>
      <c r="F61" s="35">
        <v>450</v>
      </c>
      <c r="G61" s="35">
        <v>1347</v>
      </c>
      <c r="H61" s="35">
        <v>1313</v>
      </c>
      <c r="I61" s="36">
        <f>IF(tblShifts[[#This Row],[Date]]="","",SUMIFS(tblDowntime[Minutes],tblDowntime[Date],tblShifts[[#This Row],[Date]],tblDowntime[Shift],tblShifts[[#This Row],[Shift]],tblDowntime[Machine],tblShifts[[#This Row],[Machine]]))</f>
        <v>130</v>
      </c>
      <c r="J61" s="36">
        <f>IF(tblShifts[[#This Row],[Date]]="","",tblShifts[[#This Row],[Planned (min)]]-tblShifts[[#This Row],[Downtime (min)]])</f>
        <v>320</v>
      </c>
      <c r="K61" s="37">
        <f>IF(tblShifts[[#This Row],[Date]]="","",IFERROR(INDEX(tblProducts[Ideal cycle (s/unit)],MATCH(tblShifts[[#This Row],[Product]],tblProducts[Product],0)),""))</f>
        <v>12</v>
      </c>
      <c r="L61" s="38">
        <f>IF(tblShifts[[#This Row],[Date]]="","",IF(tblShifts[[#This Row],[Ideal cycle (s/unit)]]="","",tblShifts[[#This Row],[Ideal cycle (s/unit)]]*tblShifts[[#This Row],[Total (units)]]/60))</f>
        <v>269.4</v>
      </c>
      <c r="M61" s="38">
        <f>IF(tblShifts[[#This Row],[Date]]="","",IF(tblShifts[[#This Row],[Ideal cycle (s/unit)]]="","",tblShifts[[#This Row],[Ideal cycle (s/unit)]]*tblShifts[[#This Row],[Good (units)]]/60))</f>
        <v>262.6</v>
      </c>
      <c r="N61" s="39">
        <f>IF(tblShifts[[#This Row],[Date]]="","",IF(tblShifts[[#This Row],[Planned (min)]]&gt;0,tblShifts[[#This Row],[Run (min)]]/tblShifts[[#This Row],[Planned (min)]],""))</f>
        <v>0.711111111111111</v>
      </c>
      <c r="O61" s="39">
        <f>IF(tblShifts[[#This Row],[Date]]="","",IF(AND(tblShifts[[#This Row],[Run (min)]]&gt;0,ISNUMBER(tblShifts[[#This Row],[Net run (min)]])),tblShifts[[#This Row],[Net run (min)]]/tblShifts[[#This Row],[Run (min)]],""))</f>
        <v>0.841875</v>
      </c>
      <c r="P61" s="39">
        <f>IF(tblShifts[[#This Row],[Date]]="","",IF(tblShifts[[#This Row],[Total (units)]]&gt;0,tblShifts[[#This Row],[Good (units)]]/tblShifts[[#This Row],[Total (units)]],""))</f>
        <v>0.974758723088344</v>
      </c>
      <c r="Q61" s="39">
        <f>IF(tblShifts[[#This Row],[Date]]="","",IF(AND(tblShifts[[#This Row],[Planned (min)]]&gt;0,ISNUMBER(tblShifts[[#This Row],[Productive (min)]])),tblShifts[[#This Row],[Productive (min)]]/tblShifts[[#This Row],[Planned (min)]],""))</f>
        <v>0.583555555555556</v>
      </c>
      <c r="R61" s="40" t="str">
        <f>IF(NOT(ISNUMBER(tblShifts[[#This Row],[OEE]])),"",IF(tblShifts[[#This Row],[OEE]]&gt;=TargetOEE,"On target",IF(tblShifts[[#This Row],[OEE]]&gt;=TargetOEE*(1-0.05),"Near target","Below target")))</f>
        <v>Below target</v>
      </c>
      <c r="S61" s="41">
        <f>IF(tblShifts[[#This Row],[Date]]="","",IF(AND(tblShifts[[#This Row],[Date]]&gt;=FFrom,tblShifts[[#This Row],[Date]]&lt;=FTo,OR(DashMachine="",tblShifts[[#This Row],[Machine]]=DashMachine)),tblShifts[[#This Row],[Date]],""))</f>
        <v>46280</v>
      </c>
      <c r="T6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1" s="28" t="s">
        <v>156</v>
      </c>
    </row>
    <row r="62" spans="2:21" x14ac:dyDescent="0.25">
      <c r="B62" s="34">
        <v>46281</v>
      </c>
      <c r="C62" s="28" t="s">
        <v>99</v>
      </c>
      <c r="D62" s="28" t="s">
        <v>89</v>
      </c>
      <c r="E62" s="28" t="s">
        <v>105</v>
      </c>
      <c r="F62" s="35">
        <v>450</v>
      </c>
      <c r="G62" s="35">
        <v>2797</v>
      </c>
      <c r="H62" s="35">
        <v>2708</v>
      </c>
      <c r="I62" s="36">
        <f>IF(tblShifts[[#This Row],[Date]]="","",SUMIFS(tblDowntime[Minutes],tblDowntime[Date],tblShifts[[#This Row],[Date]],tblDowntime[Shift],tblShifts[[#This Row],[Shift]],tblDowntime[Machine],tblShifts[[#This Row],[Machine]]))</f>
        <v>0</v>
      </c>
      <c r="J62" s="36">
        <f>IF(tblShifts[[#This Row],[Date]]="","",tblShifts[[#This Row],[Planned (min)]]-tblShifts[[#This Row],[Downtime (min)]])</f>
        <v>450</v>
      </c>
      <c r="K62" s="37">
        <f>IF(tblShifts[[#This Row],[Date]]="","",IFERROR(INDEX(tblProducts[Ideal cycle (s/unit)],MATCH(tblShifts[[#This Row],[Product]],tblProducts[Product],0)),""))</f>
        <v>8</v>
      </c>
      <c r="L62" s="38">
        <f>IF(tblShifts[[#This Row],[Date]]="","",IF(tblShifts[[#This Row],[Ideal cycle (s/unit)]]="","",tblShifts[[#This Row],[Ideal cycle (s/unit)]]*tblShifts[[#This Row],[Total (units)]]/60))</f>
        <v>372.933333333333</v>
      </c>
      <c r="M62" s="38">
        <f>IF(tblShifts[[#This Row],[Date]]="","",IF(tblShifts[[#This Row],[Ideal cycle (s/unit)]]="","",tblShifts[[#This Row],[Ideal cycle (s/unit)]]*tblShifts[[#This Row],[Good (units)]]/60))</f>
        <v>361.066666666667</v>
      </c>
      <c r="N62" s="39">
        <f>IF(tblShifts[[#This Row],[Date]]="","",IF(tblShifts[[#This Row],[Planned (min)]]&gt;0,tblShifts[[#This Row],[Run (min)]]/tblShifts[[#This Row],[Planned (min)]],""))</f>
        <v>1</v>
      </c>
      <c r="O62" s="39">
        <f>IF(tblShifts[[#This Row],[Date]]="","",IF(AND(tblShifts[[#This Row],[Run (min)]]&gt;0,ISNUMBER(tblShifts[[#This Row],[Net run (min)]])),tblShifts[[#This Row],[Net run (min)]]/tblShifts[[#This Row],[Run (min)]],""))</f>
        <v>0.828740740740741</v>
      </c>
      <c r="P62" s="39">
        <f>IF(tblShifts[[#This Row],[Date]]="","",IF(tblShifts[[#This Row],[Total (units)]]&gt;0,tblShifts[[#This Row],[Good (units)]]/tblShifts[[#This Row],[Total (units)]],""))</f>
        <v>0.968180193063997</v>
      </c>
      <c r="Q62" s="39">
        <f>IF(tblShifts[[#This Row],[Date]]="","",IF(AND(tblShifts[[#This Row],[Planned (min)]]&gt;0,ISNUMBER(tblShifts[[#This Row],[Productive (min)]])),tblShifts[[#This Row],[Productive (min)]]/tblShifts[[#This Row],[Planned (min)]],""))</f>
        <v>0.80237037037037</v>
      </c>
      <c r="R62" s="40" t="str">
        <f>IF(NOT(ISNUMBER(tblShifts[[#This Row],[OEE]])),"",IF(tblShifts[[#This Row],[OEE]]&gt;=TargetOEE,"On target",IF(tblShifts[[#This Row],[OEE]]&gt;=TargetOEE*(1-0.05),"Near target","Below target")))</f>
        <v>On target</v>
      </c>
      <c r="S62" s="41">
        <f>IF(tblShifts[[#This Row],[Date]]="","",IF(AND(tblShifts[[#This Row],[Date]]&gt;=FFrom,tblShifts[[#This Row],[Date]]&lt;=FTo,OR(DashMachine="",tblShifts[[#This Row],[Machine]]=DashMachine)),tblShifts[[#This Row],[Date]],""))</f>
        <v>46281</v>
      </c>
      <c r="T6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2" s="28" t="s">
        <v>156</v>
      </c>
    </row>
    <row r="63" spans="2:21" x14ac:dyDescent="0.25">
      <c r="B63" s="34">
        <v>46281</v>
      </c>
      <c r="C63" s="28" t="s">
        <v>99</v>
      </c>
      <c r="D63" s="28" t="s">
        <v>92</v>
      </c>
      <c r="E63" s="28" t="s">
        <v>105</v>
      </c>
      <c r="F63" s="35">
        <v>450</v>
      </c>
      <c r="G63" s="35">
        <v>2832</v>
      </c>
      <c r="H63" s="35">
        <v>2744</v>
      </c>
      <c r="I63" s="36">
        <f>IF(tblShifts[[#This Row],[Date]]="","",SUMIFS(tblDowntime[Minutes],tblDowntime[Date],tblShifts[[#This Row],[Date]],tblDowntime[Shift],tblShifts[[#This Row],[Shift]],tblDowntime[Machine],tblShifts[[#This Row],[Machine]]))</f>
        <v>0</v>
      </c>
      <c r="J63" s="36">
        <f>IF(tblShifts[[#This Row],[Date]]="","",tblShifts[[#This Row],[Planned (min)]]-tblShifts[[#This Row],[Downtime (min)]])</f>
        <v>450</v>
      </c>
      <c r="K63" s="37">
        <f>IF(tblShifts[[#This Row],[Date]]="","",IFERROR(INDEX(tblProducts[Ideal cycle (s/unit)],MATCH(tblShifts[[#This Row],[Product]],tblProducts[Product],0)),""))</f>
        <v>8</v>
      </c>
      <c r="L63" s="38">
        <f>IF(tblShifts[[#This Row],[Date]]="","",IF(tblShifts[[#This Row],[Ideal cycle (s/unit)]]="","",tblShifts[[#This Row],[Ideal cycle (s/unit)]]*tblShifts[[#This Row],[Total (units)]]/60))</f>
        <v>377.6</v>
      </c>
      <c r="M63" s="38">
        <f>IF(tblShifts[[#This Row],[Date]]="","",IF(tblShifts[[#This Row],[Ideal cycle (s/unit)]]="","",tblShifts[[#This Row],[Ideal cycle (s/unit)]]*tblShifts[[#This Row],[Good (units)]]/60))</f>
        <v>365.866666666667</v>
      </c>
      <c r="N63" s="39">
        <f>IF(tblShifts[[#This Row],[Date]]="","",IF(tblShifts[[#This Row],[Planned (min)]]&gt;0,tblShifts[[#This Row],[Run (min)]]/tblShifts[[#This Row],[Planned (min)]],""))</f>
        <v>1</v>
      </c>
      <c r="O63" s="39">
        <f>IF(tblShifts[[#This Row],[Date]]="","",IF(AND(tblShifts[[#This Row],[Run (min)]]&gt;0,ISNUMBER(tblShifts[[#This Row],[Net run (min)]])),tblShifts[[#This Row],[Net run (min)]]/tblShifts[[#This Row],[Run (min)]],""))</f>
        <v>0.839111111111111</v>
      </c>
      <c r="P63" s="39">
        <f>IF(tblShifts[[#This Row],[Date]]="","",IF(tblShifts[[#This Row],[Total (units)]]&gt;0,tblShifts[[#This Row],[Good (units)]]/tblShifts[[#This Row],[Total (units)]],""))</f>
        <v>0.968926553672316</v>
      </c>
      <c r="Q63" s="39">
        <f>IF(tblShifts[[#This Row],[Date]]="","",IF(AND(tblShifts[[#This Row],[Planned (min)]]&gt;0,ISNUMBER(tblShifts[[#This Row],[Productive (min)]])),tblShifts[[#This Row],[Productive (min)]]/tblShifts[[#This Row],[Planned (min)]],""))</f>
        <v>0.813037037037037</v>
      </c>
      <c r="R63" s="40" t="str">
        <f>IF(NOT(ISNUMBER(tblShifts[[#This Row],[OEE]])),"",IF(tblShifts[[#This Row],[OEE]]&gt;=TargetOEE,"On target",IF(tblShifts[[#This Row],[OEE]]&gt;=TargetOEE*(1-0.05),"Near target","Below target")))</f>
        <v>On target</v>
      </c>
      <c r="S63" s="41">
        <f>IF(tblShifts[[#This Row],[Date]]="","",IF(AND(tblShifts[[#This Row],[Date]]&gt;=FFrom,tblShifts[[#This Row],[Date]]&lt;=FTo,OR(DashMachine="",tblShifts[[#This Row],[Machine]]=DashMachine)),tblShifts[[#This Row],[Date]],""))</f>
        <v>46281</v>
      </c>
      <c r="T6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3" s="28" t="s">
        <v>156</v>
      </c>
    </row>
    <row r="64" spans="2:21" x14ac:dyDescent="0.25">
      <c r="B64" s="34">
        <v>46281</v>
      </c>
      <c r="C64" s="28" t="s">
        <v>99</v>
      </c>
      <c r="D64" s="28" t="s">
        <v>94</v>
      </c>
      <c r="E64" s="28" t="s">
        <v>111</v>
      </c>
      <c r="F64" s="35">
        <v>450</v>
      </c>
      <c r="G64" s="35">
        <v>818</v>
      </c>
      <c r="H64" s="35">
        <v>791</v>
      </c>
      <c r="I64" s="36">
        <f>IF(tblShifts[[#This Row],[Date]]="","",SUMIFS(tblDowntime[Minutes],tblDowntime[Date],tblShifts[[#This Row],[Date]],tblDowntime[Shift],tblShifts[[#This Row],[Shift]],tblDowntime[Machine],tblShifts[[#This Row],[Machine]]))</f>
        <v>150</v>
      </c>
      <c r="J64" s="36">
        <f>IF(tblShifts[[#This Row],[Date]]="","",tblShifts[[#This Row],[Planned (min)]]-tblShifts[[#This Row],[Downtime (min)]])</f>
        <v>300</v>
      </c>
      <c r="K64" s="37">
        <f>IF(tblShifts[[#This Row],[Date]]="","",IFERROR(INDEX(tblProducts[Ideal cycle (s/unit)],MATCH(tblShifts[[#This Row],[Product]],tblProducts[Product],0)),""))</f>
        <v>20</v>
      </c>
      <c r="L64" s="38">
        <f>IF(tblShifts[[#This Row],[Date]]="","",IF(tblShifts[[#This Row],[Ideal cycle (s/unit)]]="","",tblShifts[[#This Row],[Ideal cycle (s/unit)]]*tblShifts[[#This Row],[Total (units)]]/60))</f>
        <v>272.666666666667</v>
      </c>
      <c r="M64" s="38">
        <f>IF(tblShifts[[#This Row],[Date]]="","",IF(tblShifts[[#This Row],[Ideal cycle (s/unit)]]="","",tblShifts[[#This Row],[Ideal cycle (s/unit)]]*tblShifts[[#This Row],[Good (units)]]/60))</f>
        <v>263.666666666667</v>
      </c>
      <c r="N64" s="39">
        <f>IF(tblShifts[[#This Row],[Date]]="","",IF(tblShifts[[#This Row],[Planned (min)]]&gt;0,tblShifts[[#This Row],[Run (min)]]/tblShifts[[#This Row],[Planned (min)]],""))</f>
        <v>0.666666666666667</v>
      </c>
      <c r="O64" s="39">
        <f>IF(tblShifts[[#This Row],[Date]]="","",IF(AND(tblShifts[[#This Row],[Run (min)]]&gt;0,ISNUMBER(tblShifts[[#This Row],[Net run (min)]])),tblShifts[[#This Row],[Net run (min)]]/tblShifts[[#This Row],[Run (min)]],""))</f>
        <v>0.908888888888889</v>
      </c>
      <c r="P64" s="39">
        <f>IF(tblShifts[[#This Row],[Date]]="","",IF(tblShifts[[#This Row],[Total (units)]]&gt;0,tblShifts[[#This Row],[Good (units)]]/tblShifts[[#This Row],[Total (units)]],""))</f>
        <v>0.966992665036675</v>
      </c>
      <c r="Q64" s="39">
        <f>IF(tblShifts[[#This Row],[Date]]="","",IF(AND(tblShifts[[#This Row],[Planned (min)]]&gt;0,ISNUMBER(tblShifts[[#This Row],[Productive (min)]])),tblShifts[[#This Row],[Productive (min)]]/tblShifts[[#This Row],[Planned (min)]],""))</f>
        <v>0.585925925925926</v>
      </c>
      <c r="R64" s="40" t="str">
        <f>IF(NOT(ISNUMBER(tblShifts[[#This Row],[OEE]])),"",IF(tblShifts[[#This Row],[OEE]]&gt;=TargetOEE,"On target",IF(tblShifts[[#This Row],[OEE]]&gt;=TargetOEE*(1-0.05),"Near target","Below target")))</f>
        <v>Below target</v>
      </c>
      <c r="S64" s="41">
        <f>IF(tblShifts[[#This Row],[Date]]="","",IF(AND(tblShifts[[#This Row],[Date]]&gt;=FFrom,tblShifts[[#This Row],[Date]]&lt;=FTo,OR(DashMachine="",tblShifts[[#This Row],[Machine]]=DashMachine)),tblShifts[[#This Row],[Date]],""))</f>
        <v>46281</v>
      </c>
      <c r="T6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4" s="28" t="s">
        <v>156</v>
      </c>
    </row>
    <row r="65" spans="2:21" x14ac:dyDescent="0.25">
      <c r="B65" s="34">
        <v>46281</v>
      </c>
      <c r="C65" s="28" t="s">
        <v>99</v>
      </c>
      <c r="D65" s="28" t="s">
        <v>97</v>
      </c>
      <c r="E65" s="28" t="s">
        <v>109</v>
      </c>
      <c r="F65" s="35">
        <v>450</v>
      </c>
      <c r="G65" s="35">
        <v>1668</v>
      </c>
      <c r="H65" s="35">
        <v>1631</v>
      </c>
      <c r="I65" s="36">
        <f>IF(tblShifts[[#This Row],[Date]]="","",SUMIFS(tblDowntime[Minutes],tblDowntime[Date],tblShifts[[#This Row],[Date]],tblDowntime[Shift],tblShifts[[#This Row],[Shift]],tblDowntime[Machine],tblShifts[[#This Row],[Machine]]))</f>
        <v>65</v>
      </c>
      <c r="J65" s="36">
        <f>IF(tblShifts[[#This Row],[Date]]="","",tblShifts[[#This Row],[Planned (min)]]-tblShifts[[#This Row],[Downtime (min)]])</f>
        <v>385</v>
      </c>
      <c r="K65" s="37">
        <f>IF(tblShifts[[#This Row],[Date]]="","",IFERROR(INDEX(tblProducts[Ideal cycle (s/unit)],MATCH(tblShifts[[#This Row],[Product]],tblProducts[Product],0)),""))</f>
        <v>12</v>
      </c>
      <c r="L65" s="38">
        <f>IF(tblShifts[[#This Row],[Date]]="","",IF(tblShifts[[#This Row],[Ideal cycle (s/unit)]]="","",tblShifts[[#This Row],[Ideal cycle (s/unit)]]*tblShifts[[#This Row],[Total (units)]]/60))</f>
        <v>333.6</v>
      </c>
      <c r="M65" s="38">
        <f>IF(tblShifts[[#This Row],[Date]]="","",IF(tblShifts[[#This Row],[Ideal cycle (s/unit)]]="","",tblShifts[[#This Row],[Ideal cycle (s/unit)]]*tblShifts[[#This Row],[Good (units)]]/60))</f>
        <v>326.2</v>
      </c>
      <c r="N65" s="39">
        <f>IF(tblShifts[[#This Row],[Date]]="","",IF(tblShifts[[#This Row],[Planned (min)]]&gt;0,tblShifts[[#This Row],[Run (min)]]/tblShifts[[#This Row],[Planned (min)]],""))</f>
        <v>0.855555555555556</v>
      </c>
      <c r="O65" s="39">
        <f>IF(tblShifts[[#This Row],[Date]]="","",IF(AND(tblShifts[[#This Row],[Run (min)]]&gt;0,ISNUMBER(tblShifts[[#This Row],[Net run (min)]])),tblShifts[[#This Row],[Net run (min)]]/tblShifts[[#This Row],[Run (min)]],""))</f>
        <v>0.866493506493507</v>
      </c>
      <c r="P65" s="39">
        <f>IF(tblShifts[[#This Row],[Date]]="","",IF(tblShifts[[#This Row],[Total (units)]]&gt;0,tblShifts[[#This Row],[Good (units)]]/tblShifts[[#This Row],[Total (units)]],""))</f>
        <v>0.977817745803357</v>
      </c>
      <c r="Q65" s="39">
        <f>IF(tblShifts[[#This Row],[Date]]="","",IF(AND(tblShifts[[#This Row],[Planned (min)]]&gt;0,ISNUMBER(tblShifts[[#This Row],[Productive (min)]])),tblShifts[[#This Row],[Productive (min)]]/tblShifts[[#This Row],[Planned (min)]],""))</f>
        <v>0.724888888888889</v>
      </c>
      <c r="R65" s="40" t="str">
        <f>IF(NOT(ISNUMBER(tblShifts[[#This Row],[OEE]])),"",IF(tblShifts[[#This Row],[OEE]]&gt;=TargetOEE,"On target",IF(tblShifts[[#This Row],[OEE]]&gt;=TargetOEE*(1-0.05),"Near target","Below target")))</f>
        <v>On target</v>
      </c>
      <c r="S65" s="41">
        <f>IF(tblShifts[[#This Row],[Date]]="","",IF(AND(tblShifts[[#This Row],[Date]]&gt;=FFrom,tblShifts[[#This Row],[Date]]&lt;=FTo,OR(DashMachine="",tblShifts[[#This Row],[Machine]]=DashMachine)),tblShifts[[#This Row],[Date]],""))</f>
        <v>46281</v>
      </c>
      <c r="T6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5" s="28" t="s">
        <v>156</v>
      </c>
    </row>
    <row r="66" spans="2:21" x14ac:dyDescent="0.25">
      <c r="B66" s="34">
        <v>46281</v>
      </c>
      <c r="C66" s="28" t="s">
        <v>102</v>
      </c>
      <c r="D66" s="28" t="s">
        <v>89</v>
      </c>
      <c r="E66" s="28" t="s">
        <v>113</v>
      </c>
      <c r="F66" s="35">
        <v>450</v>
      </c>
      <c r="G66" s="35">
        <v>2055</v>
      </c>
      <c r="H66" s="35">
        <v>2038</v>
      </c>
      <c r="I66" s="36">
        <f>IF(tblShifts[[#This Row],[Date]]="","",SUMIFS(tblDowntime[Minutes],tblDowntime[Date],tblShifts[[#This Row],[Date]],tblDowntime[Shift],tblShifts[[#This Row],[Shift]],tblDowntime[Machine],tblShifts[[#This Row],[Machine]]))</f>
        <v>185</v>
      </c>
      <c r="J66" s="36">
        <f>IF(tblShifts[[#This Row],[Date]]="","",tblShifts[[#This Row],[Planned (min)]]-tblShifts[[#This Row],[Downtime (min)]])</f>
        <v>265</v>
      </c>
      <c r="K66" s="37">
        <f>IF(tblShifts[[#This Row],[Date]]="","",IFERROR(INDEX(tblProducts[Ideal cycle (s/unit)],MATCH(tblShifts[[#This Row],[Product]],tblProducts[Product],0)),""))</f>
        <v>6</v>
      </c>
      <c r="L66" s="38">
        <f>IF(tblShifts[[#This Row],[Date]]="","",IF(tblShifts[[#This Row],[Ideal cycle (s/unit)]]="","",tblShifts[[#This Row],[Ideal cycle (s/unit)]]*tblShifts[[#This Row],[Total (units)]]/60))</f>
        <v>205.5</v>
      </c>
      <c r="M66" s="38">
        <f>IF(tblShifts[[#This Row],[Date]]="","",IF(tblShifts[[#This Row],[Ideal cycle (s/unit)]]="","",tblShifts[[#This Row],[Ideal cycle (s/unit)]]*tblShifts[[#This Row],[Good (units)]]/60))</f>
        <v>203.8</v>
      </c>
      <c r="N66" s="39">
        <f>IF(tblShifts[[#This Row],[Date]]="","",IF(tblShifts[[#This Row],[Planned (min)]]&gt;0,tblShifts[[#This Row],[Run (min)]]/tblShifts[[#This Row],[Planned (min)]],""))</f>
        <v>0.588888888888889</v>
      </c>
      <c r="O66" s="39">
        <f>IF(tblShifts[[#This Row],[Date]]="","",IF(AND(tblShifts[[#This Row],[Run (min)]]&gt;0,ISNUMBER(tblShifts[[#This Row],[Net run (min)]])),tblShifts[[#This Row],[Net run (min)]]/tblShifts[[#This Row],[Run (min)]],""))</f>
        <v>0.775471698113208</v>
      </c>
      <c r="P66" s="39">
        <f>IF(tblShifts[[#This Row],[Date]]="","",IF(tblShifts[[#This Row],[Total (units)]]&gt;0,tblShifts[[#This Row],[Good (units)]]/tblShifts[[#This Row],[Total (units)]],""))</f>
        <v>0.991727493917275</v>
      </c>
      <c r="Q66" s="39">
        <f>IF(tblShifts[[#This Row],[Date]]="","",IF(AND(tblShifts[[#This Row],[Planned (min)]]&gt;0,ISNUMBER(tblShifts[[#This Row],[Productive (min)]])),tblShifts[[#This Row],[Productive (min)]]/tblShifts[[#This Row],[Planned (min)]],""))</f>
        <v>0.452888888888889</v>
      </c>
      <c r="R66" s="40" t="str">
        <f>IF(NOT(ISNUMBER(tblShifts[[#This Row],[OEE]])),"",IF(tblShifts[[#This Row],[OEE]]&gt;=TargetOEE,"On target",IF(tblShifts[[#This Row],[OEE]]&gt;=TargetOEE*(1-0.05),"Near target","Below target")))</f>
        <v>Below target</v>
      </c>
      <c r="S66" s="41">
        <f>IF(tblShifts[[#This Row],[Date]]="","",IF(AND(tblShifts[[#This Row],[Date]]&gt;=FFrom,tblShifts[[#This Row],[Date]]&lt;=FTo,OR(DashMachine="",tblShifts[[#This Row],[Machine]]=DashMachine)),tblShifts[[#This Row],[Date]],""))</f>
        <v>46281</v>
      </c>
      <c r="T6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6" s="28" t="s">
        <v>161</v>
      </c>
    </row>
    <row r="67" spans="2:21" x14ac:dyDescent="0.25">
      <c r="B67" s="34">
        <v>46281</v>
      </c>
      <c r="C67" s="28" t="s">
        <v>102</v>
      </c>
      <c r="D67" s="28" t="s">
        <v>92</v>
      </c>
      <c r="E67" s="28" t="s">
        <v>107</v>
      </c>
      <c r="F67" s="35">
        <v>450</v>
      </c>
      <c r="G67" s="35">
        <v>5631</v>
      </c>
      <c r="H67" s="35">
        <v>5485</v>
      </c>
      <c r="I67" s="36">
        <f>IF(tblShifts[[#This Row],[Date]]="","",SUMIFS(tblDowntime[Minutes],tblDowntime[Date],tblShifts[[#This Row],[Date]],tblDowntime[Shift],tblShifts[[#This Row],[Shift]],tblDowntime[Machine],tblShifts[[#This Row],[Machine]]))</f>
        <v>105</v>
      </c>
      <c r="J67" s="36">
        <f>IF(tblShifts[[#This Row],[Date]]="","",tblShifts[[#This Row],[Planned (min)]]-tblShifts[[#This Row],[Downtime (min)]])</f>
        <v>345</v>
      </c>
      <c r="K67" s="37">
        <f>IF(tblShifts[[#This Row],[Date]]="","",IFERROR(INDEX(tblProducts[Ideal cycle (s/unit)],MATCH(tblShifts[[#This Row],[Product]],tblProducts[Product],0)),""))</f>
        <v>3</v>
      </c>
      <c r="L67" s="38">
        <f>IF(tblShifts[[#This Row],[Date]]="","",IF(tblShifts[[#This Row],[Ideal cycle (s/unit)]]="","",tblShifts[[#This Row],[Ideal cycle (s/unit)]]*tblShifts[[#This Row],[Total (units)]]/60))</f>
        <v>281.55</v>
      </c>
      <c r="M67" s="38">
        <f>IF(tblShifts[[#This Row],[Date]]="","",IF(tblShifts[[#This Row],[Ideal cycle (s/unit)]]="","",tblShifts[[#This Row],[Ideal cycle (s/unit)]]*tblShifts[[#This Row],[Good (units)]]/60))</f>
        <v>274.25</v>
      </c>
      <c r="N67" s="39">
        <f>IF(tblShifts[[#This Row],[Date]]="","",IF(tblShifts[[#This Row],[Planned (min)]]&gt;0,tblShifts[[#This Row],[Run (min)]]/tblShifts[[#This Row],[Planned (min)]],""))</f>
        <v>0.766666666666667</v>
      </c>
      <c r="O67" s="39">
        <f>IF(tblShifts[[#This Row],[Date]]="","",IF(AND(tblShifts[[#This Row],[Run (min)]]&gt;0,ISNUMBER(tblShifts[[#This Row],[Net run (min)]])),tblShifts[[#This Row],[Net run (min)]]/tblShifts[[#This Row],[Run (min)]],""))</f>
        <v>0.816086956521739</v>
      </c>
      <c r="P67" s="39">
        <f>IF(tblShifts[[#This Row],[Date]]="","",IF(tblShifts[[#This Row],[Total (units)]]&gt;0,tblShifts[[#This Row],[Good (units)]]/tblShifts[[#This Row],[Total (units)]],""))</f>
        <v>0.974072100870183</v>
      </c>
      <c r="Q67" s="39">
        <f>IF(tblShifts[[#This Row],[Date]]="","",IF(AND(tblShifts[[#This Row],[Planned (min)]]&gt;0,ISNUMBER(tblShifts[[#This Row],[Productive (min)]])),tblShifts[[#This Row],[Productive (min)]]/tblShifts[[#This Row],[Planned (min)]],""))</f>
        <v>0.609444444444445</v>
      </c>
      <c r="R67" s="40" t="str">
        <f>IF(NOT(ISNUMBER(tblShifts[[#This Row],[OEE]])),"",IF(tblShifts[[#This Row],[OEE]]&gt;=TargetOEE,"On target",IF(tblShifts[[#This Row],[OEE]]&gt;=TargetOEE*(1-0.05),"Near target","Below target")))</f>
        <v>Below target</v>
      </c>
      <c r="S67" s="41">
        <f>IF(tblShifts[[#This Row],[Date]]="","",IF(AND(tblShifts[[#This Row],[Date]]&gt;=FFrom,tblShifts[[#This Row],[Date]]&lt;=FTo,OR(DashMachine="",tblShifts[[#This Row],[Machine]]=DashMachine)),tblShifts[[#This Row],[Date]],""))</f>
        <v>46281</v>
      </c>
      <c r="T6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7" s="28" t="s">
        <v>160</v>
      </c>
    </row>
    <row r="68" spans="2:21" x14ac:dyDescent="0.25">
      <c r="B68" s="34">
        <v>46281</v>
      </c>
      <c r="C68" s="28" t="s">
        <v>102</v>
      </c>
      <c r="D68" s="28" t="s">
        <v>94</v>
      </c>
      <c r="E68" s="28" t="s">
        <v>109</v>
      </c>
      <c r="F68" s="35">
        <v>450</v>
      </c>
      <c r="G68" s="35">
        <v>747</v>
      </c>
      <c r="H68" s="35">
        <v>706</v>
      </c>
      <c r="I68" s="36">
        <f>IF(tblShifts[[#This Row],[Date]]="","",SUMIFS(tblDowntime[Minutes],tblDowntime[Date],tblShifts[[#This Row],[Date]],tblDowntime[Shift],tblShifts[[#This Row],[Shift]],tblDowntime[Machine],tblShifts[[#This Row],[Machine]]))</f>
        <v>260</v>
      </c>
      <c r="J68" s="36">
        <f>IF(tblShifts[[#This Row],[Date]]="","",tblShifts[[#This Row],[Planned (min)]]-tblShifts[[#This Row],[Downtime (min)]])</f>
        <v>190</v>
      </c>
      <c r="K68" s="37">
        <f>IF(tblShifts[[#This Row],[Date]]="","",IFERROR(INDEX(tblProducts[Ideal cycle (s/unit)],MATCH(tblShifts[[#This Row],[Product]],tblProducts[Product],0)),""))</f>
        <v>12</v>
      </c>
      <c r="L68" s="38">
        <f>IF(tblShifts[[#This Row],[Date]]="","",IF(tblShifts[[#This Row],[Ideal cycle (s/unit)]]="","",tblShifts[[#This Row],[Ideal cycle (s/unit)]]*tblShifts[[#This Row],[Total (units)]]/60))</f>
        <v>149.4</v>
      </c>
      <c r="M68" s="38">
        <f>IF(tblShifts[[#This Row],[Date]]="","",IF(tblShifts[[#This Row],[Ideal cycle (s/unit)]]="","",tblShifts[[#This Row],[Ideal cycle (s/unit)]]*tblShifts[[#This Row],[Good (units)]]/60))</f>
        <v>141.2</v>
      </c>
      <c r="N68" s="39">
        <f>IF(tblShifts[[#This Row],[Date]]="","",IF(tblShifts[[#This Row],[Planned (min)]]&gt;0,tblShifts[[#This Row],[Run (min)]]/tblShifts[[#This Row],[Planned (min)]],""))</f>
        <v>0.422222222222222</v>
      </c>
      <c r="O68" s="39">
        <f>IF(tblShifts[[#This Row],[Date]]="","",IF(AND(tblShifts[[#This Row],[Run (min)]]&gt;0,ISNUMBER(tblShifts[[#This Row],[Net run (min)]])),tblShifts[[#This Row],[Net run (min)]]/tblShifts[[#This Row],[Run (min)]],""))</f>
        <v>0.786315789473684</v>
      </c>
      <c r="P68" s="39">
        <f>IF(tblShifts[[#This Row],[Date]]="","",IF(tblShifts[[#This Row],[Total (units)]]&gt;0,tblShifts[[#This Row],[Good (units)]]/tblShifts[[#This Row],[Total (units)]],""))</f>
        <v>0.945113788487282</v>
      </c>
      <c r="Q68" s="39">
        <f>IF(tblShifts[[#This Row],[Date]]="","",IF(AND(tblShifts[[#This Row],[Planned (min)]]&gt;0,ISNUMBER(tblShifts[[#This Row],[Productive (min)]])),tblShifts[[#This Row],[Productive (min)]]/tblShifts[[#This Row],[Planned (min)]],""))</f>
        <v>0.313777777777778</v>
      </c>
      <c r="R68" s="40" t="str">
        <f>IF(NOT(ISNUMBER(tblShifts[[#This Row],[OEE]])),"",IF(tblShifts[[#This Row],[OEE]]&gt;=TargetOEE,"On target",IF(tblShifts[[#This Row],[OEE]]&gt;=TargetOEE*(1-0.05),"Near target","Below target")))</f>
        <v>Below target</v>
      </c>
      <c r="S68" s="41">
        <f>IF(tblShifts[[#This Row],[Date]]="","",IF(AND(tblShifts[[#This Row],[Date]]&gt;=FFrom,tblShifts[[#This Row],[Date]]&lt;=FTo,OR(DashMachine="",tblShifts[[#This Row],[Machine]]=DashMachine)),tblShifts[[#This Row],[Date]],""))</f>
        <v>46281</v>
      </c>
      <c r="T6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8" s="28" t="s">
        <v>159</v>
      </c>
    </row>
    <row r="69" spans="2:21" x14ac:dyDescent="0.25">
      <c r="B69" s="34">
        <v>46281</v>
      </c>
      <c r="C69" s="28" t="s">
        <v>102</v>
      </c>
      <c r="D69" s="28" t="s">
        <v>97</v>
      </c>
      <c r="E69" s="28" t="s">
        <v>111</v>
      </c>
      <c r="F69" s="35">
        <v>450</v>
      </c>
      <c r="G69" s="35">
        <v>836</v>
      </c>
      <c r="H69" s="35">
        <v>814</v>
      </c>
      <c r="I69" s="36">
        <f>IF(tblShifts[[#This Row],[Date]]="","",SUMIFS(tblDowntime[Minutes],tblDowntime[Date],tblShifts[[#This Row],[Date]],tblDowntime[Shift],tblShifts[[#This Row],[Shift]],tblDowntime[Machine],tblShifts[[#This Row],[Machine]]))</f>
        <v>140</v>
      </c>
      <c r="J69" s="36">
        <f>IF(tblShifts[[#This Row],[Date]]="","",tblShifts[[#This Row],[Planned (min)]]-tblShifts[[#This Row],[Downtime (min)]])</f>
        <v>310</v>
      </c>
      <c r="K69" s="37">
        <f>IF(tblShifts[[#This Row],[Date]]="","",IFERROR(INDEX(tblProducts[Ideal cycle (s/unit)],MATCH(tblShifts[[#This Row],[Product]],tblProducts[Product],0)),""))</f>
        <v>20</v>
      </c>
      <c r="L69" s="38">
        <f>IF(tblShifts[[#This Row],[Date]]="","",IF(tblShifts[[#This Row],[Ideal cycle (s/unit)]]="","",tblShifts[[#This Row],[Ideal cycle (s/unit)]]*tblShifts[[#This Row],[Total (units)]]/60))</f>
        <v>278.666666666667</v>
      </c>
      <c r="M69" s="38">
        <f>IF(tblShifts[[#This Row],[Date]]="","",IF(tblShifts[[#This Row],[Ideal cycle (s/unit)]]="","",tblShifts[[#This Row],[Ideal cycle (s/unit)]]*tblShifts[[#This Row],[Good (units)]]/60))</f>
        <v>271.333333333333</v>
      </c>
      <c r="N69" s="39">
        <f>IF(tblShifts[[#This Row],[Date]]="","",IF(tblShifts[[#This Row],[Planned (min)]]&gt;0,tblShifts[[#This Row],[Run (min)]]/tblShifts[[#This Row],[Planned (min)]],""))</f>
        <v>0.688888888888889</v>
      </c>
      <c r="O69" s="39">
        <f>IF(tblShifts[[#This Row],[Date]]="","",IF(AND(tblShifts[[#This Row],[Run (min)]]&gt;0,ISNUMBER(tblShifts[[#This Row],[Net run (min)]])),tblShifts[[#This Row],[Net run (min)]]/tblShifts[[#This Row],[Run (min)]],""))</f>
        <v>0.898924731182796</v>
      </c>
      <c r="P69" s="39">
        <f>IF(tblShifts[[#This Row],[Date]]="","",IF(tblShifts[[#This Row],[Total (units)]]&gt;0,tblShifts[[#This Row],[Good (units)]]/tblShifts[[#This Row],[Total (units)]],""))</f>
        <v>0.973684210526316</v>
      </c>
      <c r="Q69" s="39">
        <f>IF(tblShifts[[#This Row],[Date]]="","",IF(AND(tblShifts[[#This Row],[Planned (min)]]&gt;0,ISNUMBER(tblShifts[[#This Row],[Productive (min)]])),tblShifts[[#This Row],[Productive (min)]]/tblShifts[[#This Row],[Planned (min)]],""))</f>
        <v>0.602962962962963</v>
      </c>
      <c r="R69" s="40" t="str">
        <f>IF(NOT(ISNUMBER(tblShifts[[#This Row],[OEE]])),"",IF(tblShifts[[#This Row],[OEE]]&gt;=TargetOEE,"On target",IF(tblShifts[[#This Row],[OEE]]&gt;=TargetOEE*(1-0.05),"Near target","Below target")))</f>
        <v>Below target</v>
      </c>
      <c r="S69" s="41">
        <f>IF(tblShifts[[#This Row],[Date]]="","",IF(AND(tblShifts[[#This Row],[Date]]&gt;=FFrom,tblShifts[[#This Row],[Date]]&lt;=FTo,OR(DashMachine="",tblShifts[[#This Row],[Machine]]=DashMachine)),tblShifts[[#This Row],[Date]],""))</f>
        <v>46281</v>
      </c>
      <c r="T6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69" s="28" t="s">
        <v>158</v>
      </c>
    </row>
    <row r="70" spans="2:21" x14ac:dyDescent="0.25">
      <c r="B70" s="34">
        <v>46282</v>
      </c>
      <c r="C70" s="28" t="s">
        <v>99</v>
      </c>
      <c r="D70" s="28" t="s">
        <v>89</v>
      </c>
      <c r="E70" s="28" t="s">
        <v>113</v>
      </c>
      <c r="F70" s="35">
        <v>450</v>
      </c>
      <c r="G70" s="35">
        <v>3371</v>
      </c>
      <c r="H70" s="35">
        <v>3305</v>
      </c>
      <c r="I70" s="36">
        <f>IF(tblShifts[[#This Row],[Date]]="","",SUMIFS(tblDowntime[Minutes],tblDowntime[Date],tblShifts[[#This Row],[Date]],tblDowntime[Shift],tblShifts[[#This Row],[Shift]],tblDowntime[Machine],tblShifts[[#This Row],[Machine]]))</f>
        <v>75</v>
      </c>
      <c r="J70" s="36">
        <f>IF(tblShifts[[#This Row],[Date]]="","",tblShifts[[#This Row],[Planned (min)]]-tblShifts[[#This Row],[Downtime (min)]])</f>
        <v>375</v>
      </c>
      <c r="K70" s="37">
        <f>IF(tblShifts[[#This Row],[Date]]="","",IFERROR(INDEX(tblProducts[Ideal cycle (s/unit)],MATCH(tblShifts[[#This Row],[Product]],tblProducts[Product],0)),""))</f>
        <v>6</v>
      </c>
      <c r="L70" s="38">
        <f>IF(tblShifts[[#This Row],[Date]]="","",IF(tblShifts[[#This Row],[Ideal cycle (s/unit)]]="","",tblShifts[[#This Row],[Ideal cycle (s/unit)]]*tblShifts[[#This Row],[Total (units)]]/60))</f>
        <v>337.1</v>
      </c>
      <c r="M70" s="38">
        <f>IF(tblShifts[[#This Row],[Date]]="","",IF(tblShifts[[#This Row],[Ideal cycle (s/unit)]]="","",tblShifts[[#This Row],[Ideal cycle (s/unit)]]*tblShifts[[#This Row],[Good (units)]]/60))</f>
        <v>330.5</v>
      </c>
      <c r="N70" s="39">
        <f>IF(tblShifts[[#This Row],[Date]]="","",IF(tblShifts[[#This Row],[Planned (min)]]&gt;0,tblShifts[[#This Row],[Run (min)]]/tblShifts[[#This Row],[Planned (min)]],""))</f>
        <v>0.833333333333333</v>
      </c>
      <c r="O70" s="39">
        <f>IF(tblShifts[[#This Row],[Date]]="","",IF(AND(tblShifts[[#This Row],[Run (min)]]&gt;0,ISNUMBER(tblShifts[[#This Row],[Net run (min)]])),tblShifts[[#This Row],[Net run (min)]]/tblShifts[[#This Row],[Run (min)]],""))</f>
        <v>0.898933333333333</v>
      </c>
      <c r="P70" s="39">
        <f>IF(tblShifts[[#This Row],[Date]]="","",IF(tblShifts[[#This Row],[Total (units)]]&gt;0,tblShifts[[#This Row],[Good (units)]]/tblShifts[[#This Row],[Total (units)]],""))</f>
        <v>0.980421239988134</v>
      </c>
      <c r="Q70" s="39">
        <f>IF(tblShifts[[#This Row],[Date]]="","",IF(AND(tblShifts[[#This Row],[Planned (min)]]&gt;0,ISNUMBER(tblShifts[[#This Row],[Productive (min)]])),tblShifts[[#This Row],[Productive (min)]]/tblShifts[[#This Row],[Planned (min)]],""))</f>
        <v>0.734444444444445</v>
      </c>
      <c r="R70" s="40" t="str">
        <f>IF(NOT(ISNUMBER(tblShifts[[#This Row],[OEE]])),"",IF(tblShifts[[#This Row],[OEE]]&gt;=TargetOEE,"On target",IF(tblShifts[[#This Row],[OEE]]&gt;=TargetOEE*(1-0.05),"Near target","Below target")))</f>
        <v>On target</v>
      </c>
      <c r="S70" s="41">
        <f>IF(tblShifts[[#This Row],[Date]]="","",IF(AND(tblShifts[[#This Row],[Date]]&gt;=FFrom,tblShifts[[#This Row],[Date]]&lt;=FTo,OR(DashMachine="",tblShifts[[#This Row],[Machine]]=DashMachine)),tblShifts[[#This Row],[Date]],""))</f>
        <v>46282</v>
      </c>
      <c r="T7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0" s="28" t="s">
        <v>156</v>
      </c>
    </row>
    <row r="71" spans="2:21" x14ac:dyDescent="0.25">
      <c r="B71" s="34">
        <v>46282</v>
      </c>
      <c r="C71" s="28" t="s">
        <v>99</v>
      </c>
      <c r="D71" s="28" t="s">
        <v>92</v>
      </c>
      <c r="E71" s="28" t="s">
        <v>105</v>
      </c>
      <c r="F71" s="35">
        <v>450</v>
      </c>
      <c r="G71" s="35">
        <v>1966</v>
      </c>
      <c r="H71" s="35">
        <v>1911</v>
      </c>
      <c r="I71" s="36">
        <f>IF(tblShifts[[#This Row],[Date]]="","",SUMIFS(tblDowntime[Minutes],tblDowntime[Date],tblShifts[[#This Row],[Date]],tblDowntime[Shift],tblShifts[[#This Row],[Shift]],tblDowntime[Machine],tblShifts[[#This Row],[Machine]]))</f>
        <v>150</v>
      </c>
      <c r="J71" s="36">
        <f>IF(tblShifts[[#This Row],[Date]]="","",tblShifts[[#This Row],[Planned (min)]]-tblShifts[[#This Row],[Downtime (min)]])</f>
        <v>300</v>
      </c>
      <c r="K71" s="37">
        <f>IF(tblShifts[[#This Row],[Date]]="","",IFERROR(INDEX(tblProducts[Ideal cycle (s/unit)],MATCH(tblShifts[[#This Row],[Product]],tblProducts[Product],0)),""))</f>
        <v>8</v>
      </c>
      <c r="L71" s="38">
        <f>IF(tblShifts[[#This Row],[Date]]="","",IF(tblShifts[[#This Row],[Ideal cycle (s/unit)]]="","",tblShifts[[#This Row],[Ideal cycle (s/unit)]]*tblShifts[[#This Row],[Total (units)]]/60))</f>
        <v>262.133333333333</v>
      </c>
      <c r="M71" s="38">
        <f>IF(tblShifts[[#This Row],[Date]]="","",IF(tblShifts[[#This Row],[Ideal cycle (s/unit)]]="","",tblShifts[[#This Row],[Ideal cycle (s/unit)]]*tblShifts[[#This Row],[Good (units)]]/60))</f>
        <v>254.8</v>
      </c>
      <c r="N71" s="39">
        <f>IF(tblShifts[[#This Row],[Date]]="","",IF(tblShifts[[#This Row],[Planned (min)]]&gt;0,tblShifts[[#This Row],[Run (min)]]/tblShifts[[#This Row],[Planned (min)]],""))</f>
        <v>0.666666666666667</v>
      </c>
      <c r="O71" s="39">
        <f>IF(tblShifts[[#This Row],[Date]]="","",IF(AND(tblShifts[[#This Row],[Run (min)]]&gt;0,ISNUMBER(tblShifts[[#This Row],[Net run (min)]])),tblShifts[[#This Row],[Net run (min)]]/tblShifts[[#This Row],[Run (min)]],""))</f>
        <v>0.873777777777778</v>
      </c>
      <c r="P71" s="39">
        <f>IF(tblShifts[[#This Row],[Date]]="","",IF(tblShifts[[#This Row],[Total (units)]]&gt;0,tblShifts[[#This Row],[Good (units)]]/tblShifts[[#This Row],[Total (units)]],""))</f>
        <v>0.972024415055951</v>
      </c>
      <c r="Q71" s="39">
        <f>IF(tblShifts[[#This Row],[Date]]="","",IF(AND(tblShifts[[#This Row],[Planned (min)]]&gt;0,ISNUMBER(tblShifts[[#This Row],[Productive (min)]])),tblShifts[[#This Row],[Productive (min)]]/tblShifts[[#This Row],[Planned (min)]],""))</f>
        <v>0.566222222222222</v>
      </c>
      <c r="R71" s="40" t="str">
        <f>IF(NOT(ISNUMBER(tblShifts[[#This Row],[OEE]])),"",IF(tblShifts[[#This Row],[OEE]]&gt;=TargetOEE,"On target",IF(tblShifts[[#This Row],[OEE]]&gt;=TargetOEE*(1-0.05),"Near target","Below target")))</f>
        <v>Below target</v>
      </c>
      <c r="S71" s="41">
        <f>IF(tblShifts[[#This Row],[Date]]="","",IF(AND(tblShifts[[#This Row],[Date]]&gt;=FFrom,tblShifts[[#This Row],[Date]]&lt;=FTo,OR(DashMachine="",tblShifts[[#This Row],[Machine]]=DashMachine)),tblShifts[[#This Row],[Date]],""))</f>
        <v>46282</v>
      </c>
      <c r="T7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1" s="28" t="s">
        <v>157</v>
      </c>
    </row>
    <row r="72" spans="2:21" x14ac:dyDescent="0.25">
      <c r="B72" s="34">
        <v>46282</v>
      </c>
      <c r="C72" s="28" t="s">
        <v>99</v>
      </c>
      <c r="D72" s="28" t="s">
        <v>94</v>
      </c>
      <c r="E72" s="28" t="s">
        <v>109</v>
      </c>
      <c r="F72" s="35">
        <v>450</v>
      </c>
      <c r="G72" s="35">
        <v>1672</v>
      </c>
      <c r="H72" s="35">
        <v>1616</v>
      </c>
      <c r="I72" s="36">
        <f>IF(tblShifts[[#This Row],[Date]]="","",SUMIFS(tblDowntime[Minutes],tblDowntime[Date],tblShifts[[#This Row],[Date]],tblDowntime[Shift],tblShifts[[#This Row],[Shift]],tblDowntime[Machine],tblShifts[[#This Row],[Machine]]))</f>
        <v>75</v>
      </c>
      <c r="J72" s="36">
        <f>IF(tblShifts[[#This Row],[Date]]="","",tblShifts[[#This Row],[Planned (min)]]-tblShifts[[#This Row],[Downtime (min)]])</f>
        <v>375</v>
      </c>
      <c r="K72" s="37">
        <f>IF(tblShifts[[#This Row],[Date]]="","",IFERROR(INDEX(tblProducts[Ideal cycle (s/unit)],MATCH(tblShifts[[#This Row],[Product]],tblProducts[Product],0)),""))</f>
        <v>12</v>
      </c>
      <c r="L72" s="38">
        <f>IF(tblShifts[[#This Row],[Date]]="","",IF(tblShifts[[#This Row],[Ideal cycle (s/unit)]]="","",tblShifts[[#This Row],[Ideal cycle (s/unit)]]*tblShifts[[#This Row],[Total (units)]]/60))</f>
        <v>334.4</v>
      </c>
      <c r="M72" s="38">
        <f>IF(tblShifts[[#This Row],[Date]]="","",IF(tblShifts[[#This Row],[Ideal cycle (s/unit)]]="","",tblShifts[[#This Row],[Ideal cycle (s/unit)]]*tblShifts[[#This Row],[Good (units)]]/60))</f>
        <v>323.2</v>
      </c>
      <c r="N72" s="39">
        <f>IF(tblShifts[[#This Row],[Date]]="","",IF(tblShifts[[#This Row],[Planned (min)]]&gt;0,tblShifts[[#This Row],[Run (min)]]/tblShifts[[#This Row],[Planned (min)]],""))</f>
        <v>0.833333333333333</v>
      </c>
      <c r="O72" s="39">
        <f>IF(tblShifts[[#This Row],[Date]]="","",IF(AND(tblShifts[[#This Row],[Run (min)]]&gt;0,ISNUMBER(tblShifts[[#This Row],[Net run (min)]])),tblShifts[[#This Row],[Net run (min)]]/tblShifts[[#This Row],[Run (min)]],""))</f>
        <v>0.891733333333333</v>
      </c>
      <c r="P72" s="39">
        <f>IF(tblShifts[[#This Row],[Date]]="","",IF(tblShifts[[#This Row],[Total (units)]]&gt;0,tblShifts[[#This Row],[Good (units)]]/tblShifts[[#This Row],[Total (units)]],""))</f>
        <v>0.966507177033493</v>
      </c>
      <c r="Q72" s="39">
        <f>IF(tblShifts[[#This Row],[Date]]="","",IF(AND(tblShifts[[#This Row],[Planned (min)]]&gt;0,ISNUMBER(tblShifts[[#This Row],[Productive (min)]])),tblShifts[[#This Row],[Productive (min)]]/tblShifts[[#This Row],[Planned (min)]],""))</f>
        <v>0.718222222222222</v>
      </c>
      <c r="R72" s="40" t="str">
        <f>IF(NOT(ISNUMBER(tblShifts[[#This Row],[OEE]])),"",IF(tblShifts[[#This Row],[OEE]]&gt;=TargetOEE,"On target",IF(tblShifts[[#This Row],[OEE]]&gt;=TargetOEE*(1-0.05),"Near target","Below target")))</f>
        <v>On target</v>
      </c>
      <c r="S72" s="41">
        <f>IF(tblShifts[[#This Row],[Date]]="","",IF(AND(tblShifts[[#This Row],[Date]]&gt;=FFrom,tblShifts[[#This Row],[Date]]&lt;=FTo,OR(DashMachine="",tblShifts[[#This Row],[Machine]]=DashMachine)),tblShifts[[#This Row],[Date]],""))</f>
        <v>46282</v>
      </c>
      <c r="T7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2" s="28" t="s">
        <v>156</v>
      </c>
    </row>
    <row r="73" spans="2:21" x14ac:dyDescent="0.25">
      <c r="B73" s="34">
        <v>46282</v>
      </c>
      <c r="C73" s="28" t="s">
        <v>99</v>
      </c>
      <c r="D73" s="28" t="s">
        <v>97</v>
      </c>
      <c r="E73" s="28" t="s">
        <v>111</v>
      </c>
      <c r="F73" s="35">
        <v>450</v>
      </c>
      <c r="G73" s="35">
        <v>1030</v>
      </c>
      <c r="H73" s="35">
        <v>1019</v>
      </c>
      <c r="I73" s="36">
        <f>IF(tblShifts[[#This Row],[Date]]="","",SUMIFS(tblDowntime[Minutes],tblDowntime[Date],tblShifts[[#This Row],[Date]],tblDowntime[Shift],tblShifts[[#This Row],[Shift]],tblDowntime[Machine],tblShifts[[#This Row],[Machine]]))</f>
        <v>25</v>
      </c>
      <c r="J73" s="36">
        <f>IF(tblShifts[[#This Row],[Date]]="","",tblShifts[[#This Row],[Planned (min)]]-tblShifts[[#This Row],[Downtime (min)]])</f>
        <v>425</v>
      </c>
      <c r="K73" s="37">
        <f>IF(tblShifts[[#This Row],[Date]]="","",IFERROR(INDEX(tblProducts[Ideal cycle (s/unit)],MATCH(tblShifts[[#This Row],[Product]],tblProducts[Product],0)),""))</f>
        <v>20</v>
      </c>
      <c r="L73" s="38">
        <f>IF(tblShifts[[#This Row],[Date]]="","",IF(tblShifts[[#This Row],[Ideal cycle (s/unit)]]="","",tblShifts[[#This Row],[Ideal cycle (s/unit)]]*tblShifts[[#This Row],[Total (units)]]/60))</f>
        <v>343.333333333333</v>
      </c>
      <c r="M73" s="38">
        <f>IF(tblShifts[[#This Row],[Date]]="","",IF(tblShifts[[#This Row],[Ideal cycle (s/unit)]]="","",tblShifts[[#This Row],[Ideal cycle (s/unit)]]*tblShifts[[#This Row],[Good (units)]]/60))</f>
        <v>339.666666666667</v>
      </c>
      <c r="N73" s="39">
        <f>IF(tblShifts[[#This Row],[Date]]="","",IF(tblShifts[[#This Row],[Planned (min)]]&gt;0,tblShifts[[#This Row],[Run (min)]]/tblShifts[[#This Row],[Planned (min)]],""))</f>
        <v>0.944444444444444</v>
      </c>
      <c r="O73" s="39">
        <f>IF(tblShifts[[#This Row],[Date]]="","",IF(AND(tblShifts[[#This Row],[Run (min)]]&gt;0,ISNUMBER(tblShifts[[#This Row],[Net run (min)]])),tblShifts[[#This Row],[Net run (min)]]/tblShifts[[#This Row],[Run (min)]],""))</f>
        <v>0.807843137254902</v>
      </c>
      <c r="P73" s="39">
        <f>IF(tblShifts[[#This Row],[Date]]="","",IF(tblShifts[[#This Row],[Total (units)]]&gt;0,tblShifts[[#This Row],[Good (units)]]/tblShifts[[#This Row],[Total (units)]],""))</f>
        <v>0.989320388349515</v>
      </c>
      <c r="Q73" s="39">
        <f>IF(tblShifts[[#This Row],[Date]]="","",IF(AND(tblShifts[[#This Row],[Planned (min)]]&gt;0,ISNUMBER(tblShifts[[#This Row],[Productive (min)]])),tblShifts[[#This Row],[Productive (min)]]/tblShifts[[#This Row],[Planned (min)]],""))</f>
        <v>0.754814814814815</v>
      </c>
      <c r="R73" s="40" t="str">
        <f>IF(NOT(ISNUMBER(tblShifts[[#This Row],[OEE]])),"",IF(tblShifts[[#This Row],[OEE]]&gt;=TargetOEE,"On target",IF(tblShifts[[#This Row],[OEE]]&gt;=TargetOEE*(1-0.05),"Near target","Below target")))</f>
        <v>On target</v>
      </c>
      <c r="S73" s="41">
        <f>IF(tblShifts[[#This Row],[Date]]="","",IF(AND(tblShifts[[#This Row],[Date]]&gt;=FFrom,tblShifts[[#This Row],[Date]]&lt;=FTo,OR(DashMachine="",tblShifts[[#This Row],[Machine]]=DashMachine)),tblShifts[[#This Row],[Date]],""))</f>
        <v>46282</v>
      </c>
      <c r="T7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3" s="28" t="s">
        <v>156</v>
      </c>
    </row>
    <row r="74" spans="2:21" x14ac:dyDescent="0.25">
      <c r="B74" s="34">
        <v>46282</v>
      </c>
      <c r="C74" s="28" t="s">
        <v>102</v>
      </c>
      <c r="D74" s="28" t="s">
        <v>89</v>
      </c>
      <c r="E74" s="28" t="s">
        <v>113</v>
      </c>
      <c r="F74" s="35">
        <v>450</v>
      </c>
      <c r="G74" s="35">
        <v>3644</v>
      </c>
      <c r="H74" s="35">
        <v>3532</v>
      </c>
      <c r="I74" s="36">
        <f>IF(tblShifts[[#This Row],[Date]]="","",SUMIFS(tblDowntime[Minutes],tblDowntime[Date],tblShifts[[#This Row],[Date]],tblDowntime[Shift],tblShifts[[#This Row],[Shift]],tblDowntime[Machine],tblShifts[[#This Row],[Machine]]))</f>
        <v>0</v>
      </c>
      <c r="J74" s="36">
        <f>IF(tblShifts[[#This Row],[Date]]="","",tblShifts[[#This Row],[Planned (min)]]-tblShifts[[#This Row],[Downtime (min)]])</f>
        <v>450</v>
      </c>
      <c r="K74" s="37">
        <f>IF(tblShifts[[#This Row],[Date]]="","",IFERROR(INDEX(tblProducts[Ideal cycle (s/unit)],MATCH(tblShifts[[#This Row],[Product]],tblProducts[Product],0)),""))</f>
        <v>6</v>
      </c>
      <c r="L74" s="38">
        <f>IF(tblShifts[[#This Row],[Date]]="","",IF(tblShifts[[#This Row],[Ideal cycle (s/unit)]]="","",tblShifts[[#This Row],[Ideal cycle (s/unit)]]*tblShifts[[#This Row],[Total (units)]]/60))</f>
        <v>364.4</v>
      </c>
      <c r="M74" s="38">
        <f>IF(tblShifts[[#This Row],[Date]]="","",IF(tblShifts[[#This Row],[Ideal cycle (s/unit)]]="","",tblShifts[[#This Row],[Ideal cycle (s/unit)]]*tblShifts[[#This Row],[Good (units)]]/60))</f>
        <v>353.2</v>
      </c>
      <c r="N74" s="39">
        <f>IF(tblShifts[[#This Row],[Date]]="","",IF(tblShifts[[#This Row],[Planned (min)]]&gt;0,tblShifts[[#This Row],[Run (min)]]/tblShifts[[#This Row],[Planned (min)]],""))</f>
        <v>1</v>
      </c>
      <c r="O74" s="39">
        <f>IF(tblShifts[[#This Row],[Date]]="","",IF(AND(tblShifts[[#This Row],[Run (min)]]&gt;0,ISNUMBER(tblShifts[[#This Row],[Net run (min)]])),tblShifts[[#This Row],[Net run (min)]]/tblShifts[[#This Row],[Run (min)]],""))</f>
        <v>0.809777777777778</v>
      </c>
      <c r="P74" s="39">
        <f>IF(tblShifts[[#This Row],[Date]]="","",IF(tblShifts[[#This Row],[Total (units)]]&gt;0,tblShifts[[#This Row],[Good (units)]]/tblShifts[[#This Row],[Total (units)]],""))</f>
        <v>0.969264544456641</v>
      </c>
      <c r="Q74" s="39">
        <f>IF(tblShifts[[#This Row],[Date]]="","",IF(AND(tblShifts[[#This Row],[Planned (min)]]&gt;0,ISNUMBER(tblShifts[[#This Row],[Productive (min)]])),tblShifts[[#This Row],[Productive (min)]]/tblShifts[[#This Row],[Planned (min)]],""))</f>
        <v>0.784888888888889</v>
      </c>
      <c r="R74" s="40" t="str">
        <f>IF(NOT(ISNUMBER(tblShifts[[#This Row],[OEE]])),"",IF(tblShifts[[#This Row],[OEE]]&gt;=TargetOEE,"On target",IF(tblShifts[[#This Row],[OEE]]&gt;=TargetOEE*(1-0.05),"Near target","Below target")))</f>
        <v>On target</v>
      </c>
      <c r="S74" s="41">
        <f>IF(tblShifts[[#This Row],[Date]]="","",IF(AND(tblShifts[[#This Row],[Date]]&gt;=FFrom,tblShifts[[#This Row],[Date]]&lt;=FTo,OR(DashMachine="",tblShifts[[#This Row],[Machine]]=DashMachine)),tblShifts[[#This Row],[Date]],""))</f>
        <v>46282</v>
      </c>
      <c r="T7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4" s="28" t="s">
        <v>156</v>
      </c>
    </row>
    <row r="75" spans="2:21" x14ac:dyDescent="0.25">
      <c r="B75" s="34">
        <v>46282</v>
      </c>
      <c r="C75" s="28" t="s">
        <v>102</v>
      </c>
      <c r="D75" s="28" t="s">
        <v>92</v>
      </c>
      <c r="E75" s="28" t="s">
        <v>105</v>
      </c>
      <c r="F75" s="35">
        <v>450</v>
      </c>
      <c r="G75" s="35">
        <v>2620</v>
      </c>
      <c r="H75" s="35">
        <v>2596</v>
      </c>
      <c r="I75" s="36">
        <f>IF(tblShifts[[#This Row],[Date]]="","",SUMIFS(tblDowntime[Minutes],tblDowntime[Date],tblShifts[[#This Row],[Date]],tblDowntime[Shift],tblShifts[[#This Row],[Shift]],tblDowntime[Machine],tblShifts[[#This Row],[Machine]]))</f>
        <v>60</v>
      </c>
      <c r="J75" s="36">
        <f>IF(tblShifts[[#This Row],[Date]]="","",tblShifts[[#This Row],[Planned (min)]]-tblShifts[[#This Row],[Downtime (min)]])</f>
        <v>390</v>
      </c>
      <c r="K75" s="37">
        <f>IF(tblShifts[[#This Row],[Date]]="","",IFERROR(INDEX(tblProducts[Ideal cycle (s/unit)],MATCH(tblShifts[[#This Row],[Product]],tblProducts[Product],0)),""))</f>
        <v>8</v>
      </c>
      <c r="L75" s="38">
        <f>IF(tblShifts[[#This Row],[Date]]="","",IF(tblShifts[[#This Row],[Ideal cycle (s/unit)]]="","",tblShifts[[#This Row],[Ideal cycle (s/unit)]]*tblShifts[[#This Row],[Total (units)]]/60))</f>
        <v>349.333333333333</v>
      </c>
      <c r="M75" s="38">
        <f>IF(tblShifts[[#This Row],[Date]]="","",IF(tblShifts[[#This Row],[Ideal cycle (s/unit)]]="","",tblShifts[[#This Row],[Ideal cycle (s/unit)]]*tblShifts[[#This Row],[Good (units)]]/60))</f>
        <v>346.133333333333</v>
      </c>
      <c r="N75" s="39">
        <f>IF(tblShifts[[#This Row],[Date]]="","",IF(tblShifts[[#This Row],[Planned (min)]]&gt;0,tblShifts[[#This Row],[Run (min)]]/tblShifts[[#This Row],[Planned (min)]],""))</f>
        <v>0.866666666666667</v>
      </c>
      <c r="O75" s="39">
        <f>IF(tblShifts[[#This Row],[Date]]="","",IF(AND(tblShifts[[#This Row],[Run (min)]]&gt;0,ISNUMBER(tblShifts[[#This Row],[Net run (min)]])),tblShifts[[#This Row],[Net run (min)]]/tblShifts[[#This Row],[Run (min)]],""))</f>
        <v>0.895726495726496</v>
      </c>
      <c r="P75" s="39">
        <f>IF(tblShifts[[#This Row],[Date]]="","",IF(tblShifts[[#This Row],[Total (units)]]&gt;0,tblShifts[[#This Row],[Good (units)]]/tblShifts[[#This Row],[Total (units)]],""))</f>
        <v>0.990839694656489</v>
      </c>
      <c r="Q75" s="39">
        <f>IF(tblShifts[[#This Row],[Date]]="","",IF(AND(tblShifts[[#This Row],[Planned (min)]]&gt;0,ISNUMBER(tblShifts[[#This Row],[Productive (min)]])),tblShifts[[#This Row],[Productive (min)]]/tblShifts[[#This Row],[Planned (min)]],""))</f>
        <v>0.769185185185185</v>
      </c>
      <c r="R75" s="40" t="str">
        <f>IF(NOT(ISNUMBER(tblShifts[[#This Row],[OEE]])),"",IF(tblShifts[[#This Row],[OEE]]&gt;=TargetOEE,"On target",IF(tblShifts[[#This Row],[OEE]]&gt;=TargetOEE*(1-0.05),"Near target","Below target")))</f>
        <v>On target</v>
      </c>
      <c r="S75" s="41">
        <f>IF(tblShifts[[#This Row],[Date]]="","",IF(AND(tblShifts[[#This Row],[Date]]&gt;=FFrom,tblShifts[[#This Row],[Date]]&lt;=FTo,OR(DashMachine="",tblShifts[[#This Row],[Machine]]=DashMachine)),tblShifts[[#This Row],[Date]],""))</f>
        <v>46282</v>
      </c>
      <c r="T7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5" s="28" t="s">
        <v>156</v>
      </c>
    </row>
    <row r="76" spans="2:21" x14ac:dyDescent="0.25">
      <c r="B76" s="34">
        <v>46282</v>
      </c>
      <c r="C76" s="28" t="s">
        <v>102</v>
      </c>
      <c r="D76" s="28" t="s">
        <v>94</v>
      </c>
      <c r="E76" s="28" t="s">
        <v>109</v>
      </c>
      <c r="F76" s="35">
        <v>450</v>
      </c>
      <c r="G76" s="35">
        <v>1484</v>
      </c>
      <c r="H76" s="35">
        <v>1405</v>
      </c>
      <c r="I76" s="36">
        <f>IF(tblShifts[[#This Row],[Date]]="","",SUMIFS(tblDowntime[Minutes],tblDowntime[Date],tblShifts[[#This Row],[Date]],tblDowntime[Shift],tblShifts[[#This Row],[Shift]],tblDowntime[Machine],tblShifts[[#This Row],[Machine]]))</f>
        <v>100</v>
      </c>
      <c r="J76" s="36">
        <f>IF(tblShifts[[#This Row],[Date]]="","",tblShifts[[#This Row],[Planned (min)]]-tblShifts[[#This Row],[Downtime (min)]])</f>
        <v>350</v>
      </c>
      <c r="K76" s="37">
        <f>IF(tblShifts[[#This Row],[Date]]="","",IFERROR(INDEX(tblProducts[Ideal cycle (s/unit)],MATCH(tblShifts[[#This Row],[Product]],tblProducts[Product],0)),""))</f>
        <v>12</v>
      </c>
      <c r="L76" s="38">
        <f>IF(tblShifts[[#This Row],[Date]]="","",IF(tblShifts[[#This Row],[Ideal cycle (s/unit)]]="","",tblShifts[[#This Row],[Ideal cycle (s/unit)]]*tblShifts[[#This Row],[Total (units)]]/60))</f>
        <v>296.8</v>
      </c>
      <c r="M76" s="38">
        <f>IF(tblShifts[[#This Row],[Date]]="","",IF(tblShifts[[#This Row],[Ideal cycle (s/unit)]]="","",tblShifts[[#This Row],[Ideal cycle (s/unit)]]*tblShifts[[#This Row],[Good (units)]]/60))</f>
        <v>281</v>
      </c>
      <c r="N76" s="39">
        <f>IF(tblShifts[[#This Row],[Date]]="","",IF(tblShifts[[#This Row],[Planned (min)]]&gt;0,tblShifts[[#This Row],[Run (min)]]/tblShifts[[#This Row],[Planned (min)]],""))</f>
        <v>0.777777777777778</v>
      </c>
      <c r="O76" s="39">
        <f>IF(tblShifts[[#This Row],[Date]]="","",IF(AND(tblShifts[[#This Row],[Run (min)]]&gt;0,ISNUMBER(tblShifts[[#This Row],[Net run (min)]])),tblShifts[[#This Row],[Net run (min)]]/tblShifts[[#This Row],[Run (min)]],""))</f>
        <v>0.848</v>
      </c>
      <c r="P76" s="39">
        <f>IF(tblShifts[[#This Row],[Date]]="","",IF(tblShifts[[#This Row],[Total (units)]]&gt;0,tblShifts[[#This Row],[Good (units)]]/tblShifts[[#This Row],[Total (units)]],""))</f>
        <v>0.946765498652291</v>
      </c>
      <c r="Q76" s="39">
        <f>IF(tblShifts[[#This Row],[Date]]="","",IF(AND(tblShifts[[#This Row],[Planned (min)]]&gt;0,ISNUMBER(tblShifts[[#This Row],[Productive (min)]])),tblShifts[[#This Row],[Productive (min)]]/tblShifts[[#This Row],[Planned (min)]],""))</f>
        <v>0.624444444444445</v>
      </c>
      <c r="R76" s="40" t="str">
        <f>IF(NOT(ISNUMBER(tblShifts[[#This Row],[OEE]])),"",IF(tblShifts[[#This Row],[OEE]]&gt;=TargetOEE,"On target",IF(tblShifts[[#This Row],[OEE]]&gt;=TargetOEE*(1-0.05),"Near target","Below target")))</f>
        <v>Below target</v>
      </c>
      <c r="S76" s="41">
        <f>IF(tblShifts[[#This Row],[Date]]="","",IF(AND(tblShifts[[#This Row],[Date]]&gt;=FFrom,tblShifts[[#This Row],[Date]]&lt;=FTo,OR(DashMachine="",tblShifts[[#This Row],[Machine]]=DashMachine)),tblShifts[[#This Row],[Date]],""))</f>
        <v>46282</v>
      </c>
      <c r="T76"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6" s="28" t="s">
        <v>156</v>
      </c>
    </row>
    <row r="77" spans="2:21" x14ac:dyDescent="0.25">
      <c r="B77" s="34">
        <v>46282</v>
      </c>
      <c r="C77" s="28" t="s">
        <v>102</v>
      </c>
      <c r="D77" s="28" t="s">
        <v>97</v>
      </c>
      <c r="E77" s="28" t="s">
        <v>111</v>
      </c>
      <c r="F77" s="35">
        <v>450</v>
      </c>
      <c r="G77" s="35">
        <v>989</v>
      </c>
      <c r="H77" s="35">
        <v>975</v>
      </c>
      <c r="I77" s="36">
        <f>IF(tblShifts[[#This Row],[Date]]="","",SUMIFS(tblDowntime[Minutes],tblDowntime[Date],tblShifts[[#This Row],[Date]],tblDowntime[Shift],tblShifts[[#This Row],[Shift]],tblDowntime[Machine],tblShifts[[#This Row],[Machine]]))</f>
        <v>40</v>
      </c>
      <c r="J77" s="36">
        <f>IF(tblShifts[[#This Row],[Date]]="","",tblShifts[[#This Row],[Planned (min)]]-tblShifts[[#This Row],[Downtime (min)]])</f>
        <v>410</v>
      </c>
      <c r="K77" s="37">
        <f>IF(tblShifts[[#This Row],[Date]]="","",IFERROR(INDEX(tblProducts[Ideal cycle (s/unit)],MATCH(tblShifts[[#This Row],[Product]],tblProducts[Product],0)),""))</f>
        <v>20</v>
      </c>
      <c r="L77" s="38">
        <f>IF(tblShifts[[#This Row],[Date]]="","",IF(tblShifts[[#This Row],[Ideal cycle (s/unit)]]="","",tblShifts[[#This Row],[Ideal cycle (s/unit)]]*tblShifts[[#This Row],[Total (units)]]/60))</f>
        <v>329.666666666667</v>
      </c>
      <c r="M77" s="38">
        <f>IF(tblShifts[[#This Row],[Date]]="","",IF(tblShifts[[#This Row],[Ideal cycle (s/unit)]]="","",tblShifts[[#This Row],[Ideal cycle (s/unit)]]*tblShifts[[#This Row],[Good (units)]]/60))</f>
        <v>325</v>
      </c>
      <c r="N77" s="39">
        <f>IF(tblShifts[[#This Row],[Date]]="","",IF(tblShifts[[#This Row],[Planned (min)]]&gt;0,tblShifts[[#This Row],[Run (min)]]/tblShifts[[#This Row],[Planned (min)]],""))</f>
        <v>0.911111111111111</v>
      </c>
      <c r="O77" s="39">
        <f>IF(tblShifts[[#This Row],[Date]]="","",IF(AND(tblShifts[[#This Row],[Run (min)]]&gt;0,ISNUMBER(tblShifts[[#This Row],[Net run (min)]])),tblShifts[[#This Row],[Net run (min)]]/tblShifts[[#This Row],[Run (min)]],""))</f>
        <v>0.804065040650407</v>
      </c>
      <c r="P77" s="39">
        <f>IF(tblShifts[[#This Row],[Date]]="","",IF(tblShifts[[#This Row],[Total (units)]]&gt;0,tblShifts[[#This Row],[Good (units)]]/tblShifts[[#This Row],[Total (units)]],""))</f>
        <v>0.985844287158746</v>
      </c>
      <c r="Q77" s="39">
        <f>IF(tblShifts[[#This Row],[Date]]="","",IF(AND(tblShifts[[#This Row],[Planned (min)]]&gt;0,ISNUMBER(tblShifts[[#This Row],[Productive (min)]])),tblShifts[[#This Row],[Productive (min)]]/tblShifts[[#This Row],[Planned (min)]],""))</f>
        <v>0.722222222222222</v>
      </c>
      <c r="R77" s="40" t="str">
        <f>IF(NOT(ISNUMBER(tblShifts[[#This Row],[OEE]])),"",IF(tblShifts[[#This Row],[OEE]]&gt;=TargetOEE,"On target",IF(tblShifts[[#This Row],[OEE]]&gt;=TargetOEE*(1-0.05),"Near target","Below target")))</f>
        <v>On target</v>
      </c>
      <c r="S77" s="41">
        <f>IF(tblShifts[[#This Row],[Date]]="","",IF(AND(tblShifts[[#This Row],[Date]]&gt;=FFrom,tblShifts[[#This Row],[Date]]&lt;=FTo,OR(DashMachine="",tblShifts[[#This Row],[Machine]]=DashMachine)),tblShifts[[#This Row],[Date]],""))</f>
        <v>46282</v>
      </c>
      <c r="T77"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7" s="28" t="s">
        <v>156</v>
      </c>
    </row>
    <row r="78" spans="2:21" x14ac:dyDescent="0.25">
      <c r="B78" s="34">
        <v>46283</v>
      </c>
      <c r="C78" s="28" t="s">
        <v>99</v>
      </c>
      <c r="D78" s="28" t="s">
        <v>89</v>
      </c>
      <c r="E78" s="28" t="s">
        <v>113</v>
      </c>
      <c r="F78" s="35">
        <v>450</v>
      </c>
      <c r="G78" s="35">
        <v>3924</v>
      </c>
      <c r="H78" s="35">
        <v>3856</v>
      </c>
      <c r="I78" s="36">
        <f>IF(tblShifts[[#This Row],[Date]]="","",SUMIFS(tblDowntime[Minutes],tblDowntime[Date],tblShifts[[#This Row],[Date]],tblDowntime[Shift],tblShifts[[#This Row],[Shift]],tblDowntime[Machine],tblShifts[[#This Row],[Machine]]))</f>
        <v>0</v>
      </c>
      <c r="J78" s="36">
        <f>IF(tblShifts[[#This Row],[Date]]="","",tblShifts[[#This Row],[Planned (min)]]-tblShifts[[#This Row],[Downtime (min)]])</f>
        <v>450</v>
      </c>
      <c r="K78" s="37">
        <f>IF(tblShifts[[#This Row],[Date]]="","",IFERROR(INDEX(tblProducts[Ideal cycle (s/unit)],MATCH(tblShifts[[#This Row],[Product]],tblProducts[Product],0)),""))</f>
        <v>6</v>
      </c>
      <c r="L78" s="38">
        <f>IF(tblShifts[[#This Row],[Date]]="","",IF(tblShifts[[#This Row],[Ideal cycle (s/unit)]]="","",tblShifts[[#This Row],[Ideal cycle (s/unit)]]*tblShifts[[#This Row],[Total (units)]]/60))</f>
        <v>392.4</v>
      </c>
      <c r="M78" s="38">
        <f>IF(tblShifts[[#This Row],[Date]]="","",IF(tblShifts[[#This Row],[Ideal cycle (s/unit)]]="","",tblShifts[[#This Row],[Ideal cycle (s/unit)]]*tblShifts[[#This Row],[Good (units)]]/60))</f>
        <v>385.6</v>
      </c>
      <c r="N78" s="39">
        <f>IF(tblShifts[[#This Row],[Date]]="","",IF(tblShifts[[#This Row],[Planned (min)]]&gt;0,tblShifts[[#This Row],[Run (min)]]/tblShifts[[#This Row],[Planned (min)]],""))</f>
        <v>1</v>
      </c>
      <c r="O78" s="39">
        <f>IF(tblShifts[[#This Row],[Date]]="","",IF(AND(tblShifts[[#This Row],[Run (min)]]&gt;0,ISNUMBER(tblShifts[[#This Row],[Net run (min)]])),tblShifts[[#This Row],[Net run (min)]]/tblShifts[[#This Row],[Run (min)]],""))</f>
        <v>0.872</v>
      </c>
      <c r="P78" s="39">
        <f>IF(tblShifts[[#This Row],[Date]]="","",IF(tblShifts[[#This Row],[Total (units)]]&gt;0,tblShifts[[#This Row],[Good (units)]]/tblShifts[[#This Row],[Total (units)]],""))</f>
        <v>0.982670744138634</v>
      </c>
      <c r="Q78" s="39">
        <f>IF(tblShifts[[#This Row],[Date]]="","",IF(AND(tblShifts[[#This Row],[Planned (min)]]&gt;0,ISNUMBER(tblShifts[[#This Row],[Productive (min)]])),tblShifts[[#This Row],[Productive (min)]]/tblShifts[[#This Row],[Planned (min)]],""))</f>
        <v>0.856888888888889</v>
      </c>
      <c r="R78" s="40" t="str">
        <f>IF(NOT(ISNUMBER(tblShifts[[#This Row],[OEE]])),"",IF(tblShifts[[#This Row],[OEE]]&gt;=TargetOEE,"On target",IF(tblShifts[[#This Row],[OEE]]&gt;=TargetOEE*(1-0.05),"Near target","Below target")))</f>
        <v>On target</v>
      </c>
      <c r="S78" s="41">
        <f>IF(tblShifts[[#This Row],[Date]]="","",IF(AND(tblShifts[[#This Row],[Date]]&gt;=FFrom,tblShifts[[#This Row],[Date]]&lt;=FTo,OR(DashMachine="",tblShifts[[#This Row],[Machine]]=DashMachine)),tblShifts[[#This Row],[Date]],""))</f>
        <v>46283</v>
      </c>
      <c r="T78"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8" s="28" t="s">
        <v>156</v>
      </c>
    </row>
    <row r="79" spans="2:21" x14ac:dyDescent="0.25">
      <c r="B79" s="34">
        <v>46283</v>
      </c>
      <c r="C79" s="28" t="s">
        <v>99</v>
      </c>
      <c r="D79" s="28" t="s">
        <v>92</v>
      </c>
      <c r="E79" s="28" t="s">
        <v>107</v>
      </c>
      <c r="F79" s="35">
        <v>450</v>
      </c>
      <c r="G79" s="35">
        <v>6447</v>
      </c>
      <c r="H79" s="35">
        <v>6362</v>
      </c>
      <c r="I79" s="36">
        <f>IF(tblShifts[[#This Row],[Date]]="","",SUMIFS(tblDowntime[Minutes],tblDowntime[Date],tblShifts[[#This Row],[Date]],tblDowntime[Shift],tblShifts[[#This Row],[Shift]],tblDowntime[Machine],tblShifts[[#This Row],[Machine]]))</f>
        <v>110</v>
      </c>
      <c r="J79" s="36">
        <f>IF(tblShifts[[#This Row],[Date]]="","",tblShifts[[#This Row],[Planned (min)]]-tblShifts[[#This Row],[Downtime (min)]])</f>
        <v>340</v>
      </c>
      <c r="K79" s="37">
        <f>IF(tblShifts[[#This Row],[Date]]="","",IFERROR(INDEX(tblProducts[Ideal cycle (s/unit)],MATCH(tblShifts[[#This Row],[Product]],tblProducts[Product],0)),""))</f>
        <v>3</v>
      </c>
      <c r="L79" s="38">
        <f>IF(tblShifts[[#This Row],[Date]]="","",IF(tblShifts[[#This Row],[Ideal cycle (s/unit)]]="","",tblShifts[[#This Row],[Ideal cycle (s/unit)]]*tblShifts[[#This Row],[Total (units)]]/60))</f>
        <v>322.35</v>
      </c>
      <c r="M79" s="38">
        <f>IF(tblShifts[[#This Row],[Date]]="","",IF(tblShifts[[#This Row],[Ideal cycle (s/unit)]]="","",tblShifts[[#This Row],[Ideal cycle (s/unit)]]*tblShifts[[#This Row],[Good (units)]]/60))</f>
        <v>318.1</v>
      </c>
      <c r="N79" s="39">
        <f>IF(tblShifts[[#This Row],[Date]]="","",IF(tblShifts[[#This Row],[Planned (min)]]&gt;0,tblShifts[[#This Row],[Run (min)]]/tblShifts[[#This Row],[Planned (min)]],""))</f>
        <v>0.755555555555556</v>
      </c>
      <c r="O79" s="39">
        <f>IF(tblShifts[[#This Row],[Date]]="","",IF(AND(tblShifts[[#This Row],[Run (min)]]&gt;0,ISNUMBER(tblShifts[[#This Row],[Net run (min)]])),tblShifts[[#This Row],[Net run (min)]]/tblShifts[[#This Row],[Run (min)]],""))</f>
        <v>0.948088235294118</v>
      </c>
      <c r="P79" s="39">
        <f>IF(tblShifts[[#This Row],[Date]]="","",IF(tblShifts[[#This Row],[Total (units)]]&gt;0,tblShifts[[#This Row],[Good (units)]]/tblShifts[[#This Row],[Total (units)]],""))</f>
        <v>0.986815573134791</v>
      </c>
      <c r="Q79" s="39">
        <f>IF(tblShifts[[#This Row],[Date]]="","",IF(AND(tblShifts[[#This Row],[Planned (min)]]&gt;0,ISNUMBER(tblShifts[[#This Row],[Productive (min)]])),tblShifts[[#This Row],[Productive (min)]]/tblShifts[[#This Row],[Planned (min)]],""))</f>
        <v>0.706888888888889</v>
      </c>
      <c r="R79" s="40" t="str">
        <f>IF(NOT(ISNUMBER(tblShifts[[#This Row],[OEE]])),"",IF(tblShifts[[#This Row],[OEE]]&gt;=TargetOEE,"On target",IF(tblShifts[[#This Row],[OEE]]&gt;=TargetOEE*(1-0.05),"Near target","Below target")))</f>
        <v>On target</v>
      </c>
      <c r="S79" s="41">
        <f>IF(tblShifts[[#This Row],[Date]]="","",IF(AND(tblShifts[[#This Row],[Date]]&gt;=FFrom,tblShifts[[#This Row],[Date]]&lt;=FTo,OR(DashMachine="",tblShifts[[#This Row],[Machine]]=DashMachine)),tblShifts[[#This Row],[Date]],""))</f>
        <v>46283</v>
      </c>
      <c r="T79"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79" s="28" t="s">
        <v>160</v>
      </c>
    </row>
    <row r="80" spans="2:21" x14ac:dyDescent="0.25">
      <c r="B80" s="34">
        <v>46283</v>
      </c>
      <c r="C80" s="28" t="s">
        <v>99</v>
      </c>
      <c r="D80" s="28" t="s">
        <v>94</v>
      </c>
      <c r="E80" s="28" t="s">
        <v>111</v>
      </c>
      <c r="F80" s="35">
        <v>450</v>
      </c>
      <c r="G80" s="35">
        <v>727</v>
      </c>
      <c r="H80" s="35">
        <v>700</v>
      </c>
      <c r="I80" s="36">
        <f>IF(tblShifts[[#This Row],[Date]]="","",SUMIFS(tblDowntime[Minutes],tblDowntime[Date],tblShifts[[#This Row],[Date]],tblDowntime[Shift],tblShifts[[#This Row],[Shift]],tblDowntime[Machine],tblShifts[[#This Row],[Machine]]))</f>
        <v>190</v>
      </c>
      <c r="J80" s="36">
        <f>IF(tblShifts[[#This Row],[Date]]="","",tblShifts[[#This Row],[Planned (min)]]-tblShifts[[#This Row],[Downtime (min)]])</f>
        <v>260</v>
      </c>
      <c r="K80" s="37">
        <f>IF(tblShifts[[#This Row],[Date]]="","",IFERROR(INDEX(tblProducts[Ideal cycle (s/unit)],MATCH(tblShifts[[#This Row],[Product]],tblProducts[Product],0)),""))</f>
        <v>20</v>
      </c>
      <c r="L80" s="38">
        <f>IF(tblShifts[[#This Row],[Date]]="","",IF(tblShifts[[#This Row],[Ideal cycle (s/unit)]]="","",tblShifts[[#This Row],[Ideal cycle (s/unit)]]*tblShifts[[#This Row],[Total (units)]]/60))</f>
        <v>242.333333333333</v>
      </c>
      <c r="M80" s="38">
        <f>IF(tblShifts[[#This Row],[Date]]="","",IF(tblShifts[[#This Row],[Ideal cycle (s/unit)]]="","",tblShifts[[#This Row],[Ideal cycle (s/unit)]]*tblShifts[[#This Row],[Good (units)]]/60))</f>
        <v>233.333333333333</v>
      </c>
      <c r="N80" s="39">
        <f>IF(tblShifts[[#This Row],[Date]]="","",IF(tblShifts[[#This Row],[Planned (min)]]&gt;0,tblShifts[[#This Row],[Run (min)]]/tblShifts[[#This Row],[Planned (min)]],""))</f>
        <v>0.577777777777778</v>
      </c>
      <c r="O80" s="39">
        <f>IF(tblShifts[[#This Row],[Date]]="","",IF(AND(tblShifts[[#This Row],[Run (min)]]&gt;0,ISNUMBER(tblShifts[[#This Row],[Net run (min)]])),tblShifts[[#This Row],[Net run (min)]]/tblShifts[[#This Row],[Run (min)]],""))</f>
        <v>0.932051282051282</v>
      </c>
      <c r="P80" s="39">
        <f>IF(tblShifts[[#This Row],[Date]]="","",IF(tblShifts[[#This Row],[Total (units)]]&gt;0,tblShifts[[#This Row],[Good (units)]]/tblShifts[[#This Row],[Total (units)]],""))</f>
        <v>0.962861072902338</v>
      </c>
      <c r="Q80" s="39">
        <f>IF(tblShifts[[#This Row],[Date]]="","",IF(AND(tblShifts[[#This Row],[Planned (min)]]&gt;0,ISNUMBER(tblShifts[[#This Row],[Productive (min)]])),tblShifts[[#This Row],[Productive (min)]]/tblShifts[[#This Row],[Planned (min)]],""))</f>
        <v>0.518518518518519</v>
      </c>
      <c r="R80" s="40" t="str">
        <f>IF(NOT(ISNUMBER(tblShifts[[#This Row],[OEE]])),"",IF(tblShifts[[#This Row],[OEE]]&gt;=TargetOEE,"On target",IF(tblShifts[[#This Row],[OEE]]&gt;=TargetOEE*(1-0.05),"Near target","Below target")))</f>
        <v>Below target</v>
      </c>
      <c r="S80" s="41">
        <f>IF(tblShifts[[#This Row],[Date]]="","",IF(AND(tblShifts[[#This Row],[Date]]&gt;=FFrom,tblShifts[[#This Row],[Date]]&lt;=FTo,OR(DashMachine="",tblShifts[[#This Row],[Machine]]=DashMachine)),tblShifts[[#This Row],[Date]],""))</f>
        <v>46283</v>
      </c>
      <c r="T80"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0" s="28" t="s">
        <v>158</v>
      </c>
    </row>
    <row r="81" spans="2:21" x14ac:dyDescent="0.25">
      <c r="B81" s="34">
        <v>46283</v>
      </c>
      <c r="C81" s="28" t="s">
        <v>99</v>
      </c>
      <c r="D81" s="28" t="s">
        <v>97</v>
      </c>
      <c r="E81" s="28" t="s">
        <v>111</v>
      </c>
      <c r="F81" s="35">
        <v>450</v>
      </c>
      <c r="G81" s="35">
        <v>1049</v>
      </c>
      <c r="H81" s="35">
        <v>1018</v>
      </c>
      <c r="I81" s="36">
        <f>IF(tblShifts[[#This Row],[Date]]="","",SUMIFS(tblDowntime[Minutes],tblDowntime[Date],tblShifts[[#This Row],[Date]],tblDowntime[Shift],tblShifts[[#This Row],[Shift]],tblDowntime[Machine],tblShifts[[#This Row],[Machine]]))</f>
        <v>15</v>
      </c>
      <c r="J81" s="36">
        <f>IF(tblShifts[[#This Row],[Date]]="","",tblShifts[[#This Row],[Planned (min)]]-tblShifts[[#This Row],[Downtime (min)]])</f>
        <v>435</v>
      </c>
      <c r="K81" s="37">
        <f>IF(tblShifts[[#This Row],[Date]]="","",IFERROR(INDEX(tblProducts[Ideal cycle (s/unit)],MATCH(tblShifts[[#This Row],[Product]],tblProducts[Product],0)),""))</f>
        <v>20</v>
      </c>
      <c r="L81" s="38">
        <f>IF(tblShifts[[#This Row],[Date]]="","",IF(tblShifts[[#This Row],[Ideal cycle (s/unit)]]="","",tblShifts[[#This Row],[Ideal cycle (s/unit)]]*tblShifts[[#This Row],[Total (units)]]/60))</f>
        <v>349.666666666667</v>
      </c>
      <c r="M81" s="38">
        <f>IF(tblShifts[[#This Row],[Date]]="","",IF(tblShifts[[#This Row],[Ideal cycle (s/unit)]]="","",tblShifts[[#This Row],[Ideal cycle (s/unit)]]*tblShifts[[#This Row],[Good (units)]]/60))</f>
        <v>339.333333333333</v>
      </c>
      <c r="N81" s="39">
        <f>IF(tblShifts[[#This Row],[Date]]="","",IF(tblShifts[[#This Row],[Planned (min)]]&gt;0,tblShifts[[#This Row],[Run (min)]]/tblShifts[[#This Row],[Planned (min)]],""))</f>
        <v>0.966666666666667</v>
      </c>
      <c r="O81" s="39">
        <f>IF(tblShifts[[#This Row],[Date]]="","",IF(AND(tblShifts[[#This Row],[Run (min)]]&gt;0,ISNUMBER(tblShifts[[#This Row],[Net run (min)]])),tblShifts[[#This Row],[Net run (min)]]/tblShifts[[#This Row],[Run (min)]],""))</f>
        <v>0.803831417624521</v>
      </c>
      <c r="P81" s="39">
        <f>IF(tblShifts[[#This Row],[Date]]="","",IF(tblShifts[[#This Row],[Total (units)]]&gt;0,tblShifts[[#This Row],[Good (units)]]/tblShifts[[#This Row],[Total (units)]],""))</f>
        <v>0.970448045757865</v>
      </c>
      <c r="Q81" s="39">
        <f>IF(tblShifts[[#This Row],[Date]]="","",IF(AND(tblShifts[[#This Row],[Planned (min)]]&gt;0,ISNUMBER(tblShifts[[#This Row],[Productive (min)]])),tblShifts[[#This Row],[Productive (min)]]/tblShifts[[#This Row],[Planned (min)]],""))</f>
        <v>0.754074074074074</v>
      </c>
      <c r="R81" s="40" t="str">
        <f>IF(NOT(ISNUMBER(tblShifts[[#This Row],[OEE]])),"",IF(tblShifts[[#This Row],[OEE]]&gt;=TargetOEE,"On target",IF(tblShifts[[#This Row],[OEE]]&gt;=TargetOEE*(1-0.05),"Near target","Below target")))</f>
        <v>On target</v>
      </c>
      <c r="S81" s="41">
        <f>IF(tblShifts[[#This Row],[Date]]="","",IF(AND(tblShifts[[#This Row],[Date]]&gt;=FFrom,tblShifts[[#This Row],[Date]]&lt;=FTo,OR(DashMachine="",tblShifts[[#This Row],[Machine]]=DashMachine)),tblShifts[[#This Row],[Date]],""))</f>
        <v>46283</v>
      </c>
      <c r="T81"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1" s="28" t="s">
        <v>156</v>
      </c>
    </row>
    <row r="82" spans="2:21" x14ac:dyDescent="0.25">
      <c r="B82" s="34">
        <v>46283</v>
      </c>
      <c r="C82" s="28" t="s">
        <v>102</v>
      </c>
      <c r="D82" s="28" t="s">
        <v>89</v>
      </c>
      <c r="E82" s="28" t="s">
        <v>113</v>
      </c>
      <c r="F82" s="35">
        <v>450</v>
      </c>
      <c r="G82" s="35">
        <v>3720</v>
      </c>
      <c r="H82" s="35">
        <v>3668</v>
      </c>
      <c r="I82" s="36">
        <f>IF(tblShifts[[#This Row],[Date]]="","",SUMIFS(tblDowntime[Minutes],tblDowntime[Date],tblShifts[[#This Row],[Date]],tblDowntime[Shift],tblShifts[[#This Row],[Shift]],tblDowntime[Machine],tblShifts[[#This Row],[Machine]]))</f>
        <v>15</v>
      </c>
      <c r="J82" s="36">
        <f>IF(tblShifts[[#This Row],[Date]]="","",tblShifts[[#This Row],[Planned (min)]]-tblShifts[[#This Row],[Downtime (min)]])</f>
        <v>435</v>
      </c>
      <c r="K82" s="37">
        <f>IF(tblShifts[[#This Row],[Date]]="","",IFERROR(INDEX(tblProducts[Ideal cycle (s/unit)],MATCH(tblShifts[[#This Row],[Product]],tblProducts[Product],0)),""))</f>
        <v>6</v>
      </c>
      <c r="L82" s="38">
        <f>IF(tblShifts[[#This Row],[Date]]="","",IF(tblShifts[[#This Row],[Ideal cycle (s/unit)]]="","",tblShifts[[#This Row],[Ideal cycle (s/unit)]]*tblShifts[[#This Row],[Total (units)]]/60))</f>
        <v>372</v>
      </c>
      <c r="M82" s="38">
        <f>IF(tblShifts[[#This Row],[Date]]="","",IF(tblShifts[[#This Row],[Ideal cycle (s/unit)]]="","",tblShifts[[#This Row],[Ideal cycle (s/unit)]]*tblShifts[[#This Row],[Good (units)]]/60))</f>
        <v>366.8</v>
      </c>
      <c r="N82" s="39">
        <f>IF(tblShifts[[#This Row],[Date]]="","",IF(tblShifts[[#This Row],[Planned (min)]]&gt;0,tblShifts[[#This Row],[Run (min)]]/tblShifts[[#This Row],[Planned (min)]],""))</f>
        <v>0.966666666666667</v>
      </c>
      <c r="O82" s="39">
        <f>IF(tblShifts[[#This Row],[Date]]="","",IF(AND(tblShifts[[#This Row],[Run (min)]]&gt;0,ISNUMBER(tblShifts[[#This Row],[Net run (min)]])),tblShifts[[#This Row],[Net run (min)]]/tblShifts[[#This Row],[Run (min)]],""))</f>
        <v>0.855172413793104</v>
      </c>
      <c r="P82" s="39">
        <f>IF(tblShifts[[#This Row],[Date]]="","",IF(tblShifts[[#This Row],[Total (units)]]&gt;0,tblShifts[[#This Row],[Good (units)]]/tblShifts[[#This Row],[Total (units)]],""))</f>
        <v>0.986021505376344</v>
      </c>
      <c r="Q82" s="39">
        <f>IF(tblShifts[[#This Row],[Date]]="","",IF(AND(tblShifts[[#This Row],[Planned (min)]]&gt;0,ISNUMBER(tblShifts[[#This Row],[Productive (min)]])),tblShifts[[#This Row],[Productive (min)]]/tblShifts[[#This Row],[Planned (min)]],""))</f>
        <v>0.815111111111111</v>
      </c>
      <c r="R82" s="40" t="str">
        <f>IF(NOT(ISNUMBER(tblShifts[[#This Row],[OEE]])),"",IF(tblShifts[[#This Row],[OEE]]&gt;=TargetOEE,"On target",IF(tblShifts[[#This Row],[OEE]]&gt;=TargetOEE*(1-0.05),"Near target","Below target")))</f>
        <v>On target</v>
      </c>
      <c r="S82" s="41">
        <f>IF(tblShifts[[#This Row],[Date]]="","",IF(AND(tblShifts[[#This Row],[Date]]&gt;=FFrom,tblShifts[[#This Row],[Date]]&lt;=FTo,OR(DashMachine="",tblShifts[[#This Row],[Machine]]=DashMachine)),tblShifts[[#This Row],[Date]],""))</f>
        <v>46283</v>
      </c>
      <c r="T82"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2" s="28" t="s">
        <v>156</v>
      </c>
    </row>
    <row r="83" spans="2:21" x14ac:dyDescent="0.25">
      <c r="B83" s="34">
        <v>46283</v>
      </c>
      <c r="C83" s="28" t="s">
        <v>102</v>
      </c>
      <c r="D83" s="28" t="s">
        <v>92</v>
      </c>
      <c r="E83" s="28" t="s">
        <v>107</v>
      </c>
      <c r="F83" s="35">
        <v>450</v>
      </c>
      <c r="G83" s="35">
        <v>7033</v>
      </c>
      <c r="H83" s="35">
        <v>6993</v>
      </c>
      <c r="I83" s="36">
        <f>IF(tblShifts[[#This Row],[Date]]="","",SUMIFS(tblDowntime[Minutes],tblDowntime[Date],tblShifts[[#This Row],[Date]],tblDowntime[Shift],tblShifts[[#This Row],[Shift]],tblDowntime[Machine],tblShifts[[#This Row],[Machine]]))</f>
        <v>0</v>
      </c>
      <c r="J83" s="36">
        <f>IF(tblShifts[[#This Row],[Date]]="","",tblShifts[[#This Row],[Planned (min)]]-tblShifts[[#This Row],[Downtime (min)]])</f>
        <v>450</v>
      </c>
      <c r="K83" s="37">
        <f>IF(tblShifts[[#This Row],[Date]]="","",IFERROR(INDEX(tblProducts[Ideal cycle (s/unit)],MATCH(tblShifts[[#This Row],[Product]],tblProducts[Product],0)),""))</f>
        <v>3</v>
      </c>
      <c r="L83" s="38">
        <f>IF(tblShifts[[#This Row],[Date]]="","",IF(tblShifts[[#This Row],[Ideal cycle (s/unit)]]="","",tblShifts[[#This Row],[Ideal cycle (s/unit)]]*tblShifts[[#This Row],[Total (units)]]/60))</f>
        <v>351.65</v>
      </c>
      <c r="M83" s="38">
        <f>IF(tblShifts[[#This Row],[Date]]="","",IF(tblShifts[[#This Row],[Ideal cycle (s/unit)]]="","",tblShifts[[#This Row],[Ideal cycle (s/unit)]]*tblShifts[[#This Row],[Good (units)]]/60))</f>
        <v>349.65</v>
      </c>
      <c r="N83" s="39">
        <f>IF(tblShifts[[#This Row],[Date]]="","",IF(tblShifts[[#This Row],[Planned (min)]]&gt;0,tblShifts[[#This Row],[Run (min)]]/tblShifts[[#This Row],[Planned (min)]],""))</f>
        <v>1</v>
      </c>
      <c r="O83" s="39">
        <f>IF(tblShifts[[#This Row],[Date]]="","",IF(AND(tblShifts[[#This Row],[Run (min)]]&gt;0,ISNUMBER(tblShifts[[#This Row],[Net run (min)]])),tblShifts[[#This Row],[Net run (min)]]/tblShifts[[#This Row],[Run (min)]],""))</f>
        <v>0.781444444444444</v>
      </c>
      <c r="P83" s="39">
        <f>IF(tblShifts[[#This Row],[Date]]="","",IF(tblShifts[[#This Row],[Total (units)]]&gt;0,tblShifts[[#This Row],[Good (units)]]/tblShifts[[#This Row],[Total (units)]],""))</f>
        <v>0.994312526660031</v>
      </c>
      <c r="Q83" s="39">
        <f>IF(tblShifts[[#This Row],[Date]]="","",IF(AND(tblShifts[[#This Row],[Planned (min)]]&gt;0,ISNUMBER(tblShifts[[#This Row],[Productive (min)]])),tblShifts[[#This Row],[Productive (min)]]/tblShifts[[#This Row],[Planned (min)]],""))</f>
        <v>0.777</v>
      </c>
      <c r="R83" s="40" t="str">
        <f>IF(NOT(ISNUMBER(tblShifts[[#This Row],[OEE]])),"",IF(tblShifts[[#This Row],[OEE]]&gt;=TargetOEE,"On target",IF(tblShifts[[#This Row],[OEE]]&gt;=TargetOEE*(1-0.05),"Near target","Below target")))</f>
        <v>On target</v>
      </c>
      <c r="S83" s="41">
        <f>IF(tblShifts[[#This Row],[Date]]="","",IF(AND(tblShifts[[#This Row],[Date]]&gt;=FFrom,tblShifts[[#This Row],[Date]]&lt;=FTo,OR(DashMachine="",tblShifts[[#This Row],[Machine]]=DashMachine)),tblShifts[[#This Row],[Date]],""))</f>
        <v>46283</v>
      </c>
      <c r="T83"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3" s="28" t="s">
        <v>156</v>
      </c>
    </row>
    <row r="84" spans="2:21" x14ac:dyDescent="0.25">
      <c r="B84" s="34">
        <v>46283</v>
      </c>
      <c r="C84" s="28" t="s">
        <v>102</v>
      </c>
      <c r="D84" s="28" t="s">
        <v>94</v>
      </c>
      <c r="E84" s="28" t="s">
        <v>109</v>
      </c>
      <c r="F84" s="35">
        <v>450</v>
      </c>
      <c r="G84" s="35">
        <v>261</v>
      </c>
      <c r="H84" s="35">
        <v>249</v>
      </c>
      <c r="I84" s="36">
        <f>IF(tblShifts[[#This Row],[Date]]="","",SUMIFS(tblDowntime[Minutes],tblDowntime[Date],tblShifts[[#This Row],[Date]],tblDowntime[Shift],tblShifts[[#This Row],[Shift]],tblDowntime[Machine],tblShifts[[#This Row],[Machine]]))</f>
        <v>385</v>
      </c>
      <c r="J84" s="36">
        <f>IF(tblShifts[[#This Row],[Date]]="","",tblShifts[[#This Row],[Planned (min)]]-tblShifts[[#This Row],[Downtime (min)]])</f>
        <v>65</v>
      </c>
      <c r="K84" s="37">
        <f>IF(tblShifts[[#This Row],[Date]]="","",IFERROR(INDEX(tblProducts[Ideal cycle (s/unit)],MATCH(tblShifts[[#This Row],[Product]],tblProducts[Product],0)),""))</f>
        <v>12</v>
      </c>
      <c r="L84" s="38">
        <f>IF(tblShifts[[#This Row],[Date]]="","",IF(tblShifts[[#This Row],[Ideal cycle (s/unit)]]="","",tblShifts[[#This Row],[Ideal cycle (s/unit)]]*tblShifts[[#This Row],[Total (units)]]/60))</f>
        <v>52.2</v>
      </c>
      <c r="M84" s="38">
        <f>IF(tblShifts[[#This Row],[Date]]="","",IF(tblShifts[[#This Row],[Ideal cycle (s/unit)]]="","",tblShifts[[#This Row],[Ideal cycle (s/unit)]]*tblShifts[[#This Row],[Good (units)]]/60))</f>
        <v>49.8</v>
      </c>
      <c r="N84" s="39">
        <f>IF(tblShifts[[#This Row],[Date]]="","",IF(tblShifts[[#This Row],[Planned (min)]]&gt;0,tblShifts[[#This Row],[Run (min)]]/tblShifts[[#This Row],[Planned (min)]],""))</f>
        <v>0.144444444444444</v>
      </c>
      <c r="O84" s="39">
        <f>IF(tblShifts[[#This Row],[Date]]="","",IF(AND(tblShifts[[#This Row],[Run (min)]]&gt;0,ISNUMBER(tblShifts[[#This Row],[Net run (min)]])),tblShifts[[#This Row],[Net run (min)]]/tblShifts[[#This Row],[Run (min)]],""))</f>
        <v>0.803076923076923</v>
      </c>
      <c r="P84" s="39">
        <f>IF(tblShifts[[#This Row],[Date]]="","",IF(tblShifts[[#This Row],[Total (units)]]&gt;0,tblShifts[[#This Row],[Good (units)]]/tblShifts[[#This Row],[Total (units)]],""))</f>
        <v>0.954022988505747</v>
      </c>
      <c r="Q84" s="39">
        <f>IF(tblShifts[[#This Row],[Date]]="","",IF(AND(tblShifts[[#This Row],[Planned (min)]]&gt;0,ISNUMBER(tblShifts[[#This Row],[Productive (min)]])),tblShifts[[#This Row],[Productive (min)]]/tblShifts[[#This Row],[Planned (min)]],""))</f>
        <v>0.110666666666667</v>
      </c>
      <c r="R84" s="40" t="str">
        <f>IF(NOT(ISNUMBER(tblShifts[[#This Row],[OEE]])),"",IF(tblShifts[[#This Row],[OEE]]&gt;=TargetOEE,"On target",IF(tblShifts[[#This Row],[OEE]]&gt;=TargetOEE*(1-0.05),"Near target","Below target")))</f>
        <v>Below target</v>
      </c>
      <c r="S84" s="41">
        <f>IF(tblShifts[[#This Row],[Date]]="","",IF(AND(tblShifts[[#This Row],[Date]]&gt;=FFrom,tblShifts[[#This Row],[Date]]&lt;=FTo,OR(DashMachine="",tblShifts[[#This Row],[Machine]]=DashMachine)),tblShifts[[#This Row],[Date]],""))</f>
        <v>46283</v>
      </c>
      <c r="T84"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4" s="28" t="s">
        <v>159</v>
      </c>
    </row>
    <row r="85" spans="2:21" x14ac:dyDescent="0.25">
      <c r="B85" s="34">
        <v>46283</v>
      </c>
      <c r="C85" s="28" t="s">
        <v>102</v>
      </c>
      <c r="D85" s="28" t="s">
        <v>97</v>
      </c>
      <c r="E85" s="28" t="s">
        <v>111</v>
      </c>
      <c r="F85" s="35">
        <v>450</v>
      </c>
      <c r="G85" s="35">
        <v>970</v>
      </c>
      <c r="H85" s="35">
        <v>941</v>
      </c>
      <c r="I85" s="36">
        <f>IF(tblShifts[[#This Row],[Date]]="","",SUMIFS(tblDowntime[Minutes],tblDowntime[Date],tblShifts[[#This Row],[Date]],tblDowntime[Shift],tblShifts[[#This Row],[Shift]],tblDowntime[Machine],tblShifts[[#This Row],[Machine]]))</f>
        <v>60</v>
      </c>
      <c r="J85" s="36">
        <f>IF(tblShifts[[#This Row],[Date]]="","",tblShifts[[#This Row],[Planned (min)]]-tblShifts[[#This Row],[Downtime (min)]])</f>
        <v>390</v>
      </c>
      <c r="K85" s="37">
        <f>IF(tblShifts[[#This Row],[Date]]="","",IFERROR(INDEX(tblProducts[Ideal cycle (s/unit)],MATCH(tblShifts[[#This Row],[Product]],tblProducts[Product],0)),""))</f>
        <v>20</v>
      </c>
      <c r="L85" s="38">
        <f>IF(tblShifts[[#This Row],[Date]]="","",IF(tblShifts[[#This Row],[Ideal cycle (s/unit)]]="","",tblShifts[[#This Row],[Ideal cycle (s/unit)]]*tblShifts[[#This Row],[Total (units)]]/60))</f>
        <v>323.333333333333</v>
      </c>
      <c r="M85" s="38">
        <f>IF(tblShifts[[#This Row],[Date]]="","",IF(tblShifts[[#This Row],[Ideal cycle (s/unit)]]="","",tblShifts[[#This Row],[Ideal cycle (s/unit)]]*tblShifts[[#This Row],[Good (units)]]/60))</f>
        <v>313.666666666667</v>
      </c>
      <c r="N85" s="39">
        <f>IF(tblShifts[[#This Row],[Date]]="","",IF(tblShifts[[#This Row],[Planned (min)]]&gt;0,tblShifts[[#This Row],[Run (min)]]/tblShifts[[#This Row],[Planned (min)]],""))</f>
        <v>0.866666666666667</v>
      </c>
      <c r="O85" s="39">
        <f>IF(tblShifts[[#This Row],[Date]]="","",IF(AND(tblShifts[[#This Row],[Run (min)]]&gt;0,ISNUMBER(tblShifts[[#This Row],[Net run (min)]])),tblShifts[[#This Row],[Net run (min)]]/tblShifts[[#This Row],[Run (min)]],""))</f>
        <v>0.829059829059829</v>
      </c>
      <c r="P85" s="39">
        <f>IF(tblShifts[[#This Row],[Date]]="","",IF(tblShifts[[#This Row],[Total (units)]]&gt;0,tblShifts[[#This Row],[Good (units)]]/tblShifts[[#This Row],[Total (units)]],""))</f>
        <v>0.970103092783505</v>
      </c>
      <c r="Q85" s="39">
        <f>IF(tblShifts[[#This Row],[Date]]="","",IF(AND(tblShifts[[#This Row],[Planned (min)]]&gt;0,ISNUMBER(tblShifts[[#This Row],[Productive (min)]])),tblShifts[[#This Row],[Productive (min)]]/tblShifts[[#This Row],[Planned (min)]],""))</f>
        <v>0.697037037037037</v>
      </c>
      <c r="R85" s="40" t="str">
        <f>IF(NOT(ISNUMBER(tblShifts[[#This Row],[OEE]])),"",IF(tblShifts[[#This Row],[OEE]]&gt;=TargetOEE,"On target",IF(tblShifts[[#This Row],[OEE]]&gt;=TargetOEE*(1-0.05),"Near target","Below target")))</f>
        <v>Near target</v>
      </c>
      <c r="S85" s="41">
        <f>IF(tblShifts[[#This Row],[Date]]="","",IF(AND(tblShifts[[#This Row],[Date]]&gt;=FFrom,tblShifts[[#This Row],[Date]]&lt;=FTo,OR(DashMachine="",tblShifts[[#This Row],[Machine]]=DashMachine)),tblShifts[[#This Row],[Date]],""))</f>
        <v>46283</v>
      </c>
      <c r="T85" s="42" t="str">
        <f>IF(tblShifts[[#This Row],[Date]]="","",IF(tblShifts[[#This Row],[Machine]]="","Missing machine",IF(tblShifts[[#This Row],[Product]]="","Missing product",IF(tblShifts[[#This Row],[Planned (min)]]="","Missing planned",IF(tblShifts[[#This Row],[Total (units)]]="","Missing total",IF(tblShifts[[#This Row],[Good (units)]]="","Missing good",IF(tblShifts[[#This Row],[Ideal cycle (s/unit)]]="","Product not on Setup list",IF(tblShifts[[#This Row],[Good (units)]]&gt;tblShifts[[#This Row],[Total (units)]],"Good &gt; total",IF(tblShifts[[#This Row],[Downtime (min)]]&gt;tblShifts[[#This Row],[Planned (min)]],"Downtime &gt; planned time",IF(tblShifts[[#This Row],[Net run (min)]]&gt;tblShifts[[#This Row],[Run (min)]],"Above ideal rate: check ideal cycle",IF(COUNTIFS(tblShifts[Date],tblShifts[[#This Row],[Date]],tblShifts[Shift],tblShifts[[#This Row],[Shift]],tblShifts[Machine],tblShifts[[#This Row],[Machine]])&gt;1,"Duplicate shift row","OK")))))))))))</f>
        <v>OK</v>
      </c>
      <c r="U85" s="28" t="s">
        <v>156</v>
      </c>
    </row>
  </sheetData>
  <mergeCells count="3">
    <mergeCell ref="A1:U1"/>
    <mergeCell ref="B2:T2"/>
    <mergeCell ref="B4:U4"/>
  </mergeCells>
  <conditionalFormatting sqref="N6:N585">
    <cfRule type="expression" dxfId="3" priority="1" stopIfTrue="1">
      <formula>AND(ISNUMBER(N6),N6&gt;=(TargetA))</formula>
    </cfRule>
    <cfRule type="expression" dxfId="4" priority="2" stopIfTrue="1">
      <formula>AND(ISNUMBER(N6),N6&gt;=(TargetA)*(1-0.05))</formula>
    </cfRule>
    <cfRule type="expression" dxfId="5" priority="3">
      <formula>ISNUMBER(N6)</formula>
    </cfRule>
  </conditionalFormatting>
  <conditionalFormatting sqref="O6:O585">
    <cfRule type="expression" dxfId="3" priority="4" stopIfTrue="1">
      <formula>AND(ISNUMBER(O6),O6&gt;=(TargetP))</formula>
    </cfRule>
    <cfRule type="expression" dxfId="4" priority="5" stopIfTrue="1">
      <formula>AND(ISNUMBER(O6),O6&gt;=(TargetP)*(1-0.05))</formula>
    </cfRule>
    <cfRule type="expression" dxfId="5" priority="6">
      <formula>ISNUMBER(O6)</formula>
    </cfRule>
  </conditionalFormatting>
  <conditionalFormatting sqref="P6:P585">
    <cfRule type="expression" dxfId="3" priority="7" stopIfTrue="1">
      <formula>AND(ISNUMBER(P6),P6&gt;=(TargetQ))</formula>
    </cfRule>
    <cfRule type="expression" dxfId="4" priority="8" stopIfTrue="1">
      <formula>AND(ISNUMBER(P6),P6&gt;=(TargetQ)*(1-0.05))</formula>
    </cfRule>
    <cfRule type="expression" dxfId="5" priority="9">
      <formula>ISNUMBER(P6)</formula>
    </cfRule>
  </conditionalFormatting>
  <conditionalFormatting sqref="Q6:Q585">
    <cfRule type="dataBar" priority="10">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R6:R585">
    <cfRule type="cellIs" dxfId="0" priority="11" operator="equal">
      <formula>"On target"</formula>
    </cfRule>
    <cfRule type="cellIs" dxfId="0" priority="12" operator="equal">
      <formula>"PASS"</formula>
    </cfRule>
    <cfRule type="cellIs" dxfId="0" priority="13" operator="equal">
      <formula>"OK"</formula>
    </cfRule>
    <cfRule type="cellIs" dxfId="0" priority="14" operator="equal">
      <formula>"Within limits"</formula>
    </cfRule>
    <cfRule type="cellIs" dxfId="0" priority="15" operator="equal">
      <formula>"Under capacity"</formula>
    </cfRule>
    <cfRule type="cellIs" dxfId="0" priority="16" operator="equal">
      <formula>"Complete"</formula>
    </cfRule>
    <cfRule type="cellIs" dxfId="0" priority="17" operator="equal">
      <formula>"Yes"</formula>
    </cfRule>
    <cfRule type="cellIs" dxfId="1" priority="18" operator="equal">
      <formula>"Near target"</formula>
    </cfRule>
    <cfRule type="cellIs" dxfId="1" priority="19" operator="equal">
      <formula>"Check"</formula>
    </cfRule>
    <cfRule type="cellIs" dxfId="1" priority="20" operator="equal">
      <formula>"Due soon"</formula>
    </cfRule>
    <cfRule type="cellIs" dxfId="1" priority="21" operator="equal">
      <formula>"Near capacity"</formula>
    </cfRule>
    <cfRule type="cellIs" dxfId="1" priority="22" operator="equal">
      <formula>"In progress"</formula>
    </cfRule>
    <cfRule type="cellIs" dxfId="1" priority="23" operator="equal">
      <formula>"Partial"</formula>
    </cfRule>
    <cfRule type="cellIs" dxfId="2" priority="24" operator="equal">
      <formula>"Below target"</formula>
    </cfRule>
    <cfRule type="cellIs" dxfId="2" priority="25" operator="equal">
      <formula>"Above target"</formula>
    </cfRule>
    <cfRule type="cellIs" dxfId="2" priority="26" operator="equal">
      <formula>"FAIL"</formula>
    </cfRule>
    <cfRule type="cellIs" dxfId="2" priority="27" operator="equal">
      <formula>"Over capacity"</formula>
    </cfRule>
    <cfRule type="cellIs" dxfId="2" priority="28" operator="equal">
      <formula>"Overdue"</formula>
    </cfRule>
    <cfRule type="cellIs" dxfId="2" priority="29" operator="equal">
      <formula>"Out of limits"</formula>
    </cfRule>
    <cfRule type="cellIs" dxfId="2" priority="30" operator="equal">
      <formula>"No"</formula>
    </cfRule>
  </conditionalFormatting>
  <conditionalFormatting sqref="T6:T585">
    <cfRule type="expression" dxfId="3" priority="31">
      <formula>$T6="OK"</formula>
    </cfRule>
    <cfRule type="expression" dxfId="1" priority="32">
      <formula>AND($T6&lt;&gt;"",$T6&lt;&gt;"OK")</formula>
    </cfRule>
  </conditionalFormatting>
  <dataValidations count="8">
    <dataValidation type="date" allowBlank="1" showInputMessage="1" showErrorMessage="1" errorTitle="Check this entry" error="Enter a date between 01 Jan 2000 and 31 Dec 2100." promptTitle="Date" prompt="Enter a date between 01 Jan 2000 and 31 Dec 2100." sqref="B6:B585">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585">
      <formula1>ShiftList</formula1>
    </dataValidation>
    <dataValidation type="list" allowBlank="1" showInputMessage="1" showErrorMessage="1" errorTitle="Check this entry" error="Pick from the list (edit the list on Setup: Machines)." promptTitle="Machine" prompt="Pick from the list (edit the list on Setup: Machines)." sqref="D6:D585">
      <formula1>Machines</formula1>
    </dataValidation>
    <dataValidation type="list" allowBlank="1" showInputMessage="1" showErrorMessage="1" errorTitle="Check this entry" error="Pick from the list (edit the list on Setup: Products)." promptTitle="Product" prompt="Pick from the list (edit the list on Setup: Products)." sqref="E6:E585">
      <formula1>Products</formula1>
    </dataValidation>
    <dataValidation type="whole" allowBlank="1" showInputMessage="1" showErrorMessage="1" errorTitle="Check this entry" error="Enter a whole number from 0 to 1,440." promptTitle="Planned (min)" prompt="Planned production time: shift length minus planned stops (breaks, meetings, planned maintenance). Enter a whole number from 0 to 1,440." sqref="F6:F585">
      <formula1>0</formula1>
      <formula2>1440</formula2>
    </dataValidation>
    <dataValidation type="whole" allowBlank="1" showInputMessage="1" showErrorMessage="1" errorTitle="Check this entry" error="Enter a whole number from 0 to 10,000,000." promptTitle="Total (units)" prompt="Every unit made in the shift, good or not. Enter a whole number from 0 to 10,000,000." sqref="G6:G585">
      <formula1>0</formula1>
      <formula2>10000000</formula2>
    </dataValidation>
    <dataValidation type="whole" allowBlank="1" showInputMessage="1" showErrorMessage="1" errorTitle="Check this entry" error="Enter a whole number from 0 to 10,000,000." promptTitle="Good (units)" prompt="Units right first time: no rework, no scrap. Enter a whole number from 0 to 10,000,000." sqref="H6:H585">
      <formula1>0</formula1>
      <formula2>10000000</formula2>
    </dataValidation>
    <dataValidation type="textLength" allowBlank="1" showInputMessage="1" showErrorMessage="1" errorTitle="Check this entry" error="Text up to 255 characters." promptTitle="Notes" prompt="Text up to 255 characters." sqref="U6:U585">
      <formula1>0</formula1>
      <formula2>255</formula2>
    </dataValidation>
  </dataValidations>
  <hyperlinks>
    <hyperlink ref="U2" r:id="rId1" tooltip="Free manufacturing calculators and templates"/>
  </hyperlinks>
  <pageMargins left="0.4" right="0.4" top="0.7" bottom="0.65" header="0.3" footer="0.3"/>
  <pageSetup fitToHeight="0" orientation="landscape"/>
  <headerFooter>
    <oddHeader>&amp;L&amp;8MFG Calcs - OEE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Q6:Q585</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J146"/>
  <sheetViews>
    <sheetView workbookViewId="0">
      <pane xSplit="4" ySplit="5" topLeftCell="E6" activePane="bottomRight" state="frozen"/>
      <selection pane="topRight" activeCell="E1" sqref="E1"/>
      <selection pane="bottomLeft" activeCell="A6" sqref="A6"/>
      <selection pane="bottomRight"/>
    </sheetView>
  </sheetViews>
  <sheetFormatPr defaultRowHeight="15"/>
  <cols>
    <col min="1" max="1" width="2.7109375" customWidth="1"/>
    <col min="2" max="2" width="12.28515625" customWidth="1"/>
    <col min="3" max="3" width="8.7109375" customWidth="1"/>
    <col min="4" max="4" width="9.7109375" customWidth="1"/>
    <col min="5" max="5" width="20.7109375" customWidth="1"/>
    <col min="6" max="6" width="9.7109375" customWidth="1"/>
    <col min="7" max="7" width="12.7109375" customWidth="1"/>
    <col min="8" max="8" width="12.28515625" customWidth="1"/>
    <col min="9" max="9" width="26.7109375" customWidth="1"/>
    <col min="10" max="10" width="30.7109375" customWidth="1"/>
  </cols>
  <sheetData>
    <row r="1" spans="1:10" ht="30" customHeight="1">
      <c r="A1" s="1" t="s">
        <v>0</v>
      </c>
      <c r="B1" s="1"/>
      <c r="C1" s="1"/>
      <c r="D1" s="1"/>
      <c r="E1" s="1"/>
      <c r="F1" s="1"/>
      <c r="G1" s="1"/>
      <c r="H1" s="1"/>
      <c r="I1" s="1"/>
      <c r="J1" s="1"/>
    </row>
    <row r="2" spans="1:10" ht="21" customHeight="1">
      <c r="B2" s="2" t="s">
        <v>24</v>
      </c>
      <c r="C2" s="2"/>
      <c r="D2" s="2"/>
      <c r="E2" s="2"/>
      <c r="F2" s="2"/>
      <c r="G2" s="2"/>
      <c r="H2" s="2"/>
      <c r="I2" s="2"/>
      <c r="J2" s="3" t="s">
        <v>2</v>
      </c>
    </row>
    <row r="3" spans="1:10" ht="6" customHeight="1"/>
    <row r="4" spans="1:10" ht="29.76" customHeight="1">
      <c r="B4" s="33" t="s">
        <v>163</v>
      </c>
      <c r="C4" s="33"/>
      <c r="D4" s="33"/>
      <c r="E4" s="33"/>
      <c r="F4" s="33"/>
      <c r="G4" s="33"/>
      <c r="H4" s="33"/>
      <c r="I4" s="33"/>
      <c r="J4" s="33"/>
    </row>
    <row r="5" spans="1:10" ht="20" customHeight="1">
      <c r="B5" s="32" t="s">
        <v>141</v>
      </c>
      <c r="C5" s="32" t="s">
        <v>67</v>
      </c>
      <c r="D5" s="32" t="s">
        <v>64</v>
      </c>
      <c r="E5" s="32" t="s">
        <v>72</v>
      </c>
      <c r="F5" s="32" t="s">
        <v>162</v>
      </c>
      <c r="G5" s="32" t="s">
        <v>73</v>
      </c>
      <c r="H5" s="32" t="s">
        <v>153</v>
      </c>
      <c r="I5" s="32" t="s">
        <v>154</v>
      </c>
      <c r="J5" s="32" t="s">
        <v>69</v>
      </c>
    </row>
    <row r="6" spans="1:10">
      <c r="B6" s="34">
        <v>46272</v>
      </c>
      <c r="C6" s="28" t="s">
        <v>99</v>
      </c>
      <c r="D6" s="28" t="s">
        <v>92</v>
      </c>
      <c r="E6" s="28" t="s">
        <v>122</v>
      </c>
      <c r="F6" s="35">
        <v>30</v>
      </c>
      <c r="G6" s="43" t="str">
        <f>IF(tblDowntime[[#This Row],[Date]]="","",IFERROR(INDEX(tblReasons[Loss category],MATCH(tblDowntime[[#This Row],[Reason]],tblReasons[Reason],0)),""))</f>
        <v>Breakdown</v>
      </c>
      <c r="H6" s="41">
        <f>IF(tblDowntime[[#This Row],[Date]]="","",IF(AND(tblDowntime[[#This Row],[Date]]&gt;=FFrom,tblDowntime[[#This Row],[Date]]&lt;=FTo,OR(DashMachine="",tblDowntime[[#This Row],[Machine]]=DashMachine)),tblDowntime[[#This Row],[Date]],""))</f>
        <v>46272</v>
      </c>
      <c r="I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 s="44" t="s">
        <v>156</v>
      </c>
    </row>
    <row r="7" spans="1:10">
      <c r="B7" s="34">
        <v>46272</v>
      </c>
      <c r="C7" s="28" t="s">
        <v>99</v>
      </c>
      <c r="D7" s="28" t="s">
        <v>94</v>
      </c>
      <c r="E7" s="28" t="s">
        <v>119</v>
      </c>
      <c r="F7" s="35">
        <v>50</v>
      </c>
      <c r="G7" s="43" t="str">
        <f>IF(tblDowntime[[#This Row],[Date]]="","",IFERROR(INDEX(tblReasons[Loss category],MATCH(tblDowntime[[#This Row],[Reason]],tblReasons[Reason],0)),""))</f>
        <v>Material</v>
      </c>
      <c r="H7" s="41">
        <f>IF(tblDowntime[[#This Row],[Date]]="","",IF(AND(tblDowntime[[#This Row],[Date]]&gt;=FFrom,tblDowntime[[#This Row],[Date]]&lt;=FTo,OR(DashMachine="",tblDowntime[[#This Row],[Machine]]=DashMachine)),tblDowntime[[#This Row],[Date]],""))</f>
        <v>46272</v>
      </c>
      <c r="I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 s="44" t="s">
        <v>156</v>
      </c>
    </row>
    <row r="8" spans="1:10">
      <c r="B8" s="34">
        <v>46272</v>
      </c>
      <c r="C8" s="28" t="s">
        <v>99</v>
      </c>
      <c r="D8" s="28" t="s">
        <v>97</v>
      </c>
      <c r="E8" s="28" t="s">
        <v>122</v>
      </c>
      <c r="F8" s="35">
        <v>60</v>
      </c>
      <c r="G8" s="43" t="str">
        <f>IF(tblDowntime[[#This Row],[Date]]="","",IFERROR(INDEX(tblReasons[Loss category],MATCH(tblDowntime[[#This Row],[Reason]],tblReasons[Reason],0)),""))</f>
        <v>Breakdown</v>
      </c>
      <c r="H8" s="41">
        <f>IF(tblDowntime[[#This Row],[Date]]="","",IF(AND(tblDowntime[[#This Row],[Date]]&gt;=FFrom,tblDowntime[[#This Row],[Date]]&lt;=FTo,OR(DashMachine="",tblDowntime[[#This Row],[Machine]]=DashMachine)),tblDowntime[[#This Row],[Date]],""))</f>
        <v>46272</v>
      </c>
      <c r="I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 s="44" t="s">
        <v>156</v>
      </c>
    </row>
    <row r="9" spans="1:10">
      <c r="B9" s="34">
        <v>46272</v>
      </c>
      <c r="C9" s="28" t="s">
        <v>99</v>
      </c>
      <c r="D9" s="28" t="s">
        <v>97</v>
      </c>
      <c r="E9" s="28" t="s">
        <v>119</v>
      </c>
      <c r="F9" s="35">
        <v>30</v>
      </c>
      <c r="G9" s="43" t="str">
        <f>IF(tblDowntime[[#This Row],[Date]]="","",IFERROR(INDEX(tblReasons[Loss category],MATCH(tblDowntime[[#This Row],[Reason]],tblReasons[Reason],0)),""))</f>
        <v>Material</v>
      </c>
      <c r="H9" s="41">
        <f>IF(tblDowntime[[#This Row],[Date]]="","",IF(AND(tblDowntime[[#This Row],[Date]]&gt;=FFrom,tblDowntime[[#This Row],[Date]]&lt;=FTo,OR(DashMachine="",tblDowntime[[#This Row],[Machine]]=DashMachine)),tblDowntime[[#This Row],[Date]],""))</f>
        <v>46272</v>
      </c>
      <c r="I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 s="44" t="s">
        <v>156</v>
      </c>
    </row>
    <row r="10" spans="1:10">
      <c r="B10" s="34">
        <v>46272</v>
      </c>
      <c r="C10" s="28" t="s">
        <v>99</v>
      </c>
      <c r="D10" s="28" t="s">
        <v>97</v>
      </c>
      <c r="E10" s="28" t="s">
        <v>125</v>
      </c>
      <c r="F10" s="35">
        <v>50</v>
      </c>
      <c r="G10" s="43" t="str">
        <f>IF(tblDowntime[[#This Row],[Date]]="","",IFERROR(INDEX(tblReasons[Loss category],MATCH(tblDowntime[[#This Row],[Reason]],tblReasons[Reason],0)),""))</f>
        <v>Breakdown</v>
      </c>
      <c r="H10" s="41">
        <f>IF(tblDowntime[[#This Row],[Date]]="","",IF(AND(tblDowntime[[#This Row],[Date]]&gt;=FFrom,tblDowntime[[#This Row],[Date]]&lt;=FTo,OR(DashMachine="",tblDowntime[[#This Row],[Machine]]=DashMachine)),tblDowntime[[#This Row],[Date]],""))</f>
        <v>46272</v>
      </c>
      <c r="I1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 s="44" t="s">
        <v>156</v>
      </c>
    </row>
    <row r="11" spans="1:10">
      <c r="B11" s="34">
        <v>46272</v>
      </c>
      <c r="C11" s="28" t="s">
        <v>102</v>
      </c>
      <c r="D11" s="28" t="s">
        <v>89</v>
      </c>
      <c r="E11" s="28" t="s">
        <v>119</v>
      </c>
      <c r="F11" s="35">
        <v>25</v>
      </c>
      <c r="G11" s="43" t="str">
        <f>IF(tblDowntime[[#This Row],[Date]]="","",IFERROR(INDEX(tblReasons[Loss category],MATCH(tblDowntime[[#This Row],[Reason]],tblReasons[Reason],0)),""))</f>
        <v>Material</v>
      </c>
      <c r="H11" s="41">
        <f>IF(tblDowntime[[#This Row],[Date]]="","",IF(AND(tblDowntime[[#This Row],[Date]]&gt;=FFrom,tblDowntime[[#This Row],[Date]]&lt;=FTo,OR(DashMachine="",tblDowntime[[#This Row],[Machine]]=DashMachine)),tblDowntime[[#This Row],[Date]],""))</f>
        <v>46272</v>
      </c>
      <c r="I1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 s="44" t="s">
        <v>156</v>
      </c>
    </row>
    <row r="12" spans="1:10">
      <c r="B12" s="34">
        <v>46272</v>
      </c>
      <c r="C12" s="28" t="s">
        <v>102</v>
      </c>
      <c r="D12" s="28" t="s">
        <v>92</v>
      </c>
      <c r="E12" s="28" t="s">
        <v>116</v>
      </c>
      <c r="F12" s="35">
        <v>90</v>
      </c>
      <c r="G12" s="43" t="str">
        <f>IF(tblDowntime[[#This Row],[Date]]="","",IFERROR(INDEX(tblReasons[Loss category],MATCH(tblDowntime[[#This Row],[Reason]],tblReasons[Reason],0)),""))</f>
        <v>Changeover</v>
      </c>
      <c r="H12" s="41">
        <f>IF(tblDowntime[[#This Row],[Date]]="","",IF(AND(tblDowntime[[#This Row],[Date]]&gt;=FFrom,tblDowntime[[#This Row],[Date]]&lt;=FTo,OR(DashMachine="",tblDowntime[[#This Row],[Machine]]=DashMachine)),tblDowntime[[#This Row],[Date]],""))</f>
        <v>46272</v>
      </c>
      <c r="I1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 s="44" t="s">
        <v>156</v>
      </c>
    </row>
    <row r="13" spans="1:10">
      <c r="B13" s="34">
        <v>46272</v>
      </c>
      <c r="C13" s="28" t="s">
        <v>102</v>
      </c>
      <c r="D13" s="28" t="s">
        <v>92</v>
      </c>
      <c r="E13" s="28" t="s">
        <v>119</v>
      </c>
      <c r="F13" s="35">
        <v>10</v>
      </c>
      <c r="G13" s="43" t="str">
        <f>IF(tblDowntime[[#This Row],[Date]]="","",IFERROR(INDEX(tblReasons[Loss category],MATCH(tblDowntime[[#This Row],[Reason]],tblReasons[Reason],0)),""))</f>
        <v>Material</v>
      </c>
      <c r="H13" s="41">
        <f>IF(tblDowntime[[#This Row],[Date]]="","",IF(AND(tblDowntime[[#This Row],[Date]]&gt;=FFrom,tblDowntime[[#This Row],[Date]]&lt;=FTo,OR(DashMachine="",tblDowntime[[#This Row],[Machine]]=DashMachine)),tblDowntime[[#This Row],[Date]],""))</f>
        <v>46272</v>
      </c>
      <c r="I1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 s="44" t="s">
        <v>156</v>
      </c>
    </row>
    <row r="14" spans="1:10">
      <c r="B14" s="34">
        <v>46272</v>
      </c>
      <c r="C14" s="28" t="s">
        <v>102</v>
      </c>
      <c r="D14" s="28" t="s">
        <v>92</v>
      </c>
      <c r="E14" s="28" t="s">
        <v>133</v>
      </c>
      <c r="F14" s="35">
        <v>30</v>
      </c>
      <c r="G14" s="43" t="str">
        <f>IF(tblDowntime[[#This Row],[Date]]="","",IFERROR(INDEX(tblReasons[Loss category],MATCH(tblDowntime[[#This Row],[Reason]],tblReasons[Reason],0)),""))</f>
        <v>Quality</v>
      </c>
      <c r="H14" s="41">
        <f>IF(tblDowntime[[#This Row],[Date]]="","",IF(AND(tblDowntime[[#This Row],[Date]]&gt;=FFrom,tblDowntime[[#This Row],[Date]]&lt;=FTo,OR(DashMachine="",tblDowntime[[#This Row],[Machine]]=DashMachine)),tblDowntime[[#This Row],[Date]],""))</f>
        <v>46272</v>
      </c>
      <c r="I1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 s="44" t="s">
        <v>156</v>
      </c>
    </row>
    <row r="15" spans="1:10">
      <c r="B15" s="34">
        <v>46272</v>
      </c>
      <c r="C15" s="28" t="s">
        <v>102</v>
      </c>
      <c r="D15" s="28" t="s">
        <v>94</v>
      </c>
      <c r="E15" s="28" t="s">
        <v>116</v>
      </c>
      <c r="F15" s="35">
        <v>120</v>
      </c>
      <c r="G15" s="43" t="str">
        <f>IF(tblDowntime[[#This Row],[Date]]="","",IFERROR(INDEX(tblReasons[Loss category],MATCH(tblDowntime[[#This Row],[Reason]],tblReasons[Reason],0)),""))</f>
        <v>Changeover</v>
      </c>
      <c r="H15" s="41">
        <f>IF(tblDowntime[[#This Row],[Date]]="","",IF(AND(tblDowntime[[#This Row],[Date]]&gt;=FFrom,tblDowntime[[#This Row],[Date]]&lt;=FTo,OR(DashMachine="",tblDowntime[[#This Row],[Machine]]=DashMachine)),tblDowntime[[#This Row],[Date]],""))</f>
        <v>46272</v>
      </c>
      <c r="I1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5" s="44" t="s">
        <v>156</v>
      </c>
    </row>
    <row r="16" spans="1:10">
      <c r="B16" s="34">
        <v>46272</v>
      </c>
      <c r="C16" s="28" t="s">
        <v>102</v>
      </c>
      <c r="D16" s="28" t="s">
        <v>94</v>
      </c>
      <c r="E16" s="28" t="s">
        <v>119</v>
      </c>
      <c r="F16" s="35">
        <v>10</v>
      </c>
      <c r="G16" s="43" t="str">
        <f>IF(tblDowntime[[#This Row],[Date]]="","",IFERROR(INDEX(tblReasons[Loss category],MATCH(tblDowntime[[#This Row],[Reason]],tblReasons[Reason],0)),""))</f>
        <v>Material</v>
      </c>
      <c r="H16" s="41">
        <f>IF(tblDowntime[[#This Row],[Date]]="","",IF(AND(tblDowntime[[#This Row],[Date]]&gt;=FFrom,tblDowntime[[#This Row],[Date]]&lt;=FTo,OR(DashMachine="",tblDowntime[[#This Row],[Machine]]=DashMachine)),tblDowntime[[#This Row],[Date]],""))</f>
        <v>46272</v>
      </c>
      <c r="I1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6" s="44" t="s">
        <v>156</v>
      </c>
    </row>
    <row r="17" spans="2:10">
      <c r="B17" s="34">
        <v>46272</v>
      </c>
      <c r="C17" s="28" t="s">
        <v>102</v>
      </c>
      <c r="D17" s="28" t="s">
        <v>94</v>
      </c>
      <c r="E17" s="28" t="s">
        <v>119</v>
      </c>
      <c r="F17" s="35">
        <v>25</v>
      </c>
      <c r="G17" s="43" t="str">
        <f>IF(tblDowntime[[#This Row],[Date]]="","",IFERROR(INDEX(tblReasons[Loss category],MATCH(tblDowntime[[#This Row],[Reason]],tblReasons[Reason],0)),""))</f>
        <v>Material</v>
      </c>
      <c r="H17" s="41">
        <f>IF(tblDowntime[[#This Row],[Date]]="","",IF(AND(tblDowntime[[#This Row],[Date]]&gt;=FFrom,tblDowntime[[#This Row],[Date]]&lt;=FTo,OR(DashMachine="",tblDowntime[[#This Row],[Machine]]=DashMachine)),tblDowntime[[#This Row],[Date]],""))</f>
        <v>46272</v>
      </c>
      <c r="I1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7" s="44" t="s">
        <v>156</v>
      </c>
    </row>
    <row r="18" spans="2:10">
      <c r="B18" s="34">
        <v>46272</v>
      </c>
      <c r="C18" s="28" t="s">
        <v>102</v>
      </c>
      <c r="D18" s="28" t="s">
        <v>97</v>
      </c>
      <c r="E18" s="28" t="s">
        <v>136</v>
      </c>
      <c r="F18" s="35">
        <v>20</v>
      </c>
      <c r="G18" s="43" t="str">
        <f>IF(tblDowntime[[#This Row],[Date]]="","",IFERROR(INDEX(tblReasons[Loss category],MATCH(tblDowntime[[#This Row],[Reason]],tblReasons[Reason],0)),""))</f>
        <v>Labour</v>
      </c>
      <c r="H18" s="41">
        <f>IF(tblDowntime[[#This Row],[Date]]="","",IF(AND(tblDowntime[[#This Row],[Date]]&gt;=FFrom,tblDowntime[[#This Row],[Date]]&lt;=FTo,OR(DashMachine="",tblDowntime[[#This Row],[Machine]]=DashMachine)),tblDowntime[[#This Row],[Date]],""))</f>
        <v>46272</v>
      </c>
      <c r="I1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8" s="44" t="s">
        <v>156</v>
      </c>
    </row>
    <row r="19" spans="2:10">
      <c r="B19" s="34">
        <v>46272</v>
      </c>
      <c r="C19" s="28" t="s">
        <v>102</v>
      </c>
      <c r="D19" s="28" t="s">
        <v>97</v>
      </c>
      <c r="E19" s="28" t="s">
        <v>129</v>
      </c>
      <c r="F19" s="35">
        <v>15</v>
      </c>
      <c r="G19" s="43" t="str">
        <f>IF(tblDowntime[[#This Row],[Date]]="","",IFERROR(INDEX(tblReasons[Loss category],MATCH(tblDowntime[[#This Row],[Reason]],tblReasons[Reason],0)),""))</f>
        <v>Breakdown</v>
      </c>
      <c r="H19" s="41">
        <f>IF(tblDowntime[[#This Row],[Date]]="","",IF(AND(tblDowntime[[#This Row],[Date]]&gt;=FFrom,tblDowntime[[#This Row],[Date]]&lt;=FTo,OR(DashMachine="",tblDowntime[[#This Row],[Machine]]=DashMachine)),tblDowntime[[#This Row],[Date]],""))</f>
        <v>46272</v>
      </c>
      <c r="I1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9" s="44" t="s">
        <v>156</v>
      </c>
    </row>
    <row r="20" spans="2:10">
      <c r="B20" s="34">
        <v>46272</v>
      </c>
      <c r="C20" s="28" t="s">
        <v>102</v>
      </c>
      <c r="D20" s="28" t="s">
        <v>97</v>
      </c>
      <c r="E20" s="28" t="s">
        <v>131</v>
      </c>
      <c r="F20" s="35">
        <v>20</v>
      </c>
      <c r="G20" s="43" t="str">
        <f>IF(tblDowntime[[#This Row],[Date]]="","",IFERROR(INDEX(tblReasons[Loss category],MATCH(tblDowntime[[#This Row],[Reason]],tblReasons[Reason],0)),""))</f>
        <v>Changeover</v>
      </c>
      <c r="H20" s="41">
        <f>IF(tblDowntime[[#This Row],[Date]]="","",IF(AND(tblDowntime[[#This Row],[Date]]&gt;=FFrom,tblDowntime[[#This Row],[Date]]&lt;=FTo,OR(DashMachine="",tblDowntime[[#This Row],[Machine]]=DashMachine)),tblDowntime[[#This Row],[Date]],""))</f>
        <v>46272</v>
      </c>
      <c r="I2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0" s="44" t="s">
        <v>156</v>
      </c>
    </row>
    <row r="21" spans="2:10">
      <c r="B21" s="34">
        <v>46273</v>
      </c>
      <c r="C21" s="28" t="s">
        <v>99</v>
      </c>
      <c r="D21" s="28" t="s">
        <v>89</v>
      </c>
      <c r="E21" s="28" t="s">
        <v>125</v>
      </c>
      <c r="F21" s="35">
        <v>30</v>
      </c>
      <c r="G21" s="43" t="str">
        <f>IF(tblDowntime[[#This Row],[Date]]="","",IFERROR(INDEX(tblReasons[Loss category],MATCH(tblDowntime[[#This Row],[Reason]],tblReasons[Reason],0)),""))</f>
        <v>Breakdown</v>
      </c>
      <c r="H21" s="41">
        <f>IF(tblDowntime[[#This Row],[Date]]="","",IF(AND(tblDowntime[[#This Row],[Date]]&gt;=FFrom,tblDowntime[[#This Row],[Date]]&lt;=FTo,OR(DashMachine="",tblDowntime[[#This Row],[Machine]]=DashMachine)),tblDowntime[[#This Row],[Date]],""))</f>
        <v>46273</v>
      </c>
      <c r="I2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1" s="44" t="s">
        <v>156</v>
      </c>
    </row>
    <row r="22" spans="2:10">
      <c r="B22" s="34">
        <v>46273</v>
      </c>
      <c r="C22" s="28" t="s">
        <v>99</v>
      </c>
      <c r="D22" s="28" t="s">
        <v>89</v>
      </c>
      <c r="E22" s="28" t="s">
        <v>127</v>
      </c>
      <c r="F22" s="35">
        <v>90</v>
      </c>
      <c r="G22" s="43" t="str">
        <f>IF(tblDowntime[[#This Row],[Date]]="","",IFERROR(INDEX(tblReasons[Loss category],MATCH(tblDowntime[[#This Row],[Reason]],tblReasons[Reason],0)),""))</f>
        <v>Breakdown</v>
      </c>
      <c r="H22" s="41">
        <f>IF(tblDowntime[[#This Row],[Date]]="","",IF(AND(tblDowntime[[#This Row],[Date]]&gt;=FFrom,tblDowntime[[#This Row],[Date]]&lt;=FTo,OR(DashMachine="",tblDowntime[[#This Row],[Machine]]=DashMachine)),tblDowntime[[#This Row],[Date]],""))</f>
        <v>46273</v>
      </c>
      <c r="I2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2" s="44" t="s">
        <v>156</v>
      </c>
    </row>
    <row r="23" spans="2:10">
      <c r="B23" s="34">
        <v>46273</v>
      </c>
      <c r="C23" s="28" t="s">
        <v>99</v>
      </c>
      <c r="D23" s="28" t="s">
        <v>92</v>
      </c>
      <c r="E23" s="28" t="s">
        <v>136</v>
      </c>
      <c r="F23" s="35">
        <v>5</v>
      </c>
      <c r="G23" s="43" t="str">
        <f>IF(tblDowntime[[#This Row],[Date]]="","",IFERROR(INDEX(tblReasons[Loss category],MATCH(tblDowntime[[#This Row],[Reason]],tblReasons[Reason],0)),""))</f>
        <v>Labour</v>
      </c>
      <c r="H23" s="41">
        <f>IF(tblDowntime[[#This Row],[Date]]="","",IF(AND(tblDowntime[[#This Row],[Date]]&gt;=FFrom,tblDowntime[[#This Row],[Date]]&lt;=FTo,OR(DashMachine="",tblDowntime[[#This Row],[Machine]]=DashMachine)),tblDowntime[[#This Row],[Date]],""))</f>
        <v>46273</v>
      </c>
      <c r="I2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3" s="44" t="s">
        <v>156</v>
      </c>
    </row>
    <row r="24" spans="2:10">
      <c r="B24" s="34">
        <v>46273</v>
      </c>
      <c r="C24" s="28" t="s">
        <v>99</v>
      </c>
      <c r="D24" s="28" t="s">
        <v>94</v>
      </c>
      <c r="E24" s="28" t="s">
        <v>131</v>
      </c>
      <c r="F24" s="35">
        <v>30</v>
      </c>
      <c r="G24" s="43" t="str">
        <f>IF(tblDowntime[[#This Row],[Date]]="","",IFERROR(INDEX(tblReasons[Loss category],MATCH(tblDowntime[[#This Row],[Reason]],tblReasons[Reason],0)),""))</f>
        <v>Changeover</v>
      </c>
      <c r="H24" s="41">
        <f>IF(tblDowntime[[#This Row],[Date]]="","",IF(AND(tblDowntime[[#This Row],[Date]]&gt;=FFrom,tblDowntime[[#This Row],[Date]]&lt;=FTo,OR(DashMachine="",tblDowntime[[#This Row],[Machine]]=DashMachine)),tblDowntime[[#This Row],[Date]],""))</f>
        <v>46273</v>
      </c>
      <c r="I2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4" s="44" t="s">
        <v>156</v>
      </c>
    </row>
    <row r="25" spans="2:10">
      <c r="B25" s="34">
        <v>46273</v>
      </c>
      <c r="C25" s="28" t="s">
        <v>99</v>
      </c>
      <c r="D25" s="28" t="s">
        <v>97</v>
      </c>
      <c r="E25" s="28" t="s">
        <v>131</v>
      </c>
      <c r="F25" s="35">
        <v>10</v>
      </c>
      <c r="G25" s="43" t="str">
        <f>IF(tblDowntime[[#This Row],[Date]]="","",IFERROR(INDEX(tblReasons[Loss category],MATCH(tblDowntime[[#This Row],[Reason]],tblReasons[Reason],0)),""))</f>
        <v>Changeover</v>
      </c>
      <c r="H25" s="41">
        <f>IF(tblDowntime[[#This Row],[Date]]="","",IF(AND(tblDowntime[[#This Row],[Date]]&gt;=FFrom,tblDowntime[[#This Row],[Date]]&lt;=FTo,OR(DashMachine="",tblDowntime[[#This Row],[Machine]]=DashMachine)),tblDowntime[[#This Row],[Date]],""))</f>
        <v>46273</v>
      </c>
      <c r="I2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5" s="44" t="s">
        <v>156</v>
      </c>
    </row>
    <row r="26" spans="2:10">
      <c r="B26" s="34">
        <v>46273</v>
      </c>
      <c r="C26" s="28" t="s">
        <v>99</v>
      </c>
      <c r="D26" s="28" t="s">
        <v>97</v>
      </c>
      <c r="E26" s="28" t="s">
        <v>127</v>
      </c>
      <c r="F26" s="35">
        <v>55</v>
      </c>
      <c r="G26" s="43" t="str">
        <f>IF(tblDowntime[[#This Row],[Date]]="","",IFERROR(INDEX(tblReasons[Loss category],MATCH(tblDowntime[[#This Row],[Reason]],tblReasons[Reason],0)),""))</f>
        <v>Breakdown</v>
      </c>
      <c r="H26" s="41">
        <f>IF(tblDowntime[[#This Row],[Date]]="","",IF(AND(tblDowntime[[#This Row],[Date]]&gt;=FFrom,tblDowntime[[#This Row],[Date]]&lt;=FTo,OR(DashMachine="",tblDowntime[[#This Row],[Machine]]=DashMachine)),tblDowntime[[#This Row],[Date]],""))</f>
        <v>46273</v>
      </c>
      <c r="I2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6" s="44" t="s">
        <v>156</v>
      </c>
    </row>
    <row r="27" spans="2:10">
      <c r="B27" s="34">
        <v>46273</v>
      </c>
      <c r="C27" s="28" t="s">
        <v>102</v>
      </c>
      <c r="D27" s="28" t="s">
        <v>92</v>
      </c>
      <c r="E27" s="28" t="s">
        <v>127</v>
      </c>
      <c r="F27" s="35">
        <v>45</v>
      </c>
      <c r="G27" s="43" t="str">
        <f>IF(tblDowntime[[#This Row],[Date]]="","",IFERROR(INDEX(tblReasons[Loss category],MATCH(tblDowntime[[#This Row],[Reason]],tblReasons[Reason],0)),""))</f>
        <v>Breakdown</v>
      </c>
      <c r="H27" s="41">
        <f>IF(tblDowntime[[#This Row],[Date]]="","",IF(AND(tblDowntime[[#This Row],[Date]]&gt;=FFrom,tblDowntime[[#This Row],[Date]]&lt;=FTo,OR(DashMachine="",tblDowntime[[#This Row],[Machine]]=DashMachine)),tblDowntime[[#This Row],[Date]],""))</f>
        <v>46273</v>
      </c>
      <c r="I2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7" s="44" t="s">
        <v>156</v>
      </c>
    </row>
    <row r="28" spans="2:10">
      <c r="B28" s="34">
        <v>46273</v>
      </c>
      <c r="C28" s="28" t="s">
        <v>102</v>
      </c>
      <c r="D28" s="28" t="s">
        <v>97</v>
      </c>
      <c r="E28" s="28" t="s">
        <v>116</v>
      </c>
      <c r="F28" s="35">
        <v>120</v>
      </c>
      <c r="G28" s="43" t="str">
        <f>IF(tblDowntime[[#This Row],[Date]]="","",IFERROR(INDEX(tblReasons[Loss category],MATCH(tblDowntime[[#This Row],[Reason]],tblReasons[Reason],0)),""))</f>
        <v>Changeover</v>
      </c>
      <c r="H28" s="41">
        <f>IF(tblDowntime[[#This Row],[Date]]="","",IF(AND(tblDowntime[[#This Row],[Date]]&gt;=FFrom,tblDowntime[[#This Row],[Date]]&lt;=FTo,OR(DashMachine="",tblDowntime[[#This Row],[Machine]]=DashMachine)),tblDowntime[[#This Row],[Date]],""))</f>
        <v>46273</v>
      </c>
      <c r="I2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8" s="44" t="s">
        <v>156</v>
      </c>
    </row>
    <row r="29" spans="2:10">
      <c r="B29" s="34">
        <v>46273</v>
      </c>
      <c r="C29" s="28" t="s">
        <v>102</v>
      </c>
      <c r="D29" s="28" t="s">
        <v>97</v>
      </c>
      <c r="E29" s="28" t="s">
        <v>133</v>
      </c>
      <c r="F29" s="35">
        <v>30</v>
      </c>
      <c r="G29" s="43" t="str">
        <f>IF(tblDowntime[[#This Row],[Date]]="","",IFERROR(INDEX(tblReasons[Loss category],MATCH(tblDowntime[[#This Row],[Reason]],tblReasons[Reason],0)),""))</f>
        <v>Quality</v>
      </c>
      <c r="H29" s="41">
        <f>IF(tblDowntime[[#This Row],[Date]]="","",IF(AND(tblDowntime[[#This Row],[Date]]&gt;=FFrom,tblDowntime[[#This Row],[Date]]&lt;=FTo,OR(DashMachine="",tblDowntime[[#This Row],[Machine]]=DashMachine)),tblDowntime[[#This Row],[Date]],""))</f>
        <v>46273</v>
      </c>
      <c r="I2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29" s="44" t="s">
        <v>156</v>
      </c>
    </row>
    <row r="30" spans="2:10">
      <c r="B30" s="34">
        <v>46274</v>
      </c>
      <c r="C30" s="28" t="s">
        <v>99</v>
      </c>
      <c r="D30" s="28" t="s">
        <v>89</v>
      </c>
      <c r="E30" s="28" t="s">
        <v>131</v>
      </c>
      <c r="F30" s="35">
        <v>20</v>
      </c>
      <c r="G30" s="43" t="str">
        <f>IF(tblDowntime[[#This Row],[Date]]="","",IFERROR(INDEX(tblReasons[Loss category],MATCH(tblDowntime[[#This Row],[Reason]],tblReasons[Reason],0)),""))</f>
        <v>Changeover</v>
      </c>
      <c r="H30" s="41">
        <f>IF(tblDowntime[[#This Row],[Date]]="","",IF(AND(tblDowntime[[#This Row],[Date]]&gt;=FFrom,tblDowntime[[#This Row],[Date]]&lt;=FTo,OR(DashMachine="",tblDowntime[[#This Row],[Machine]]=DashMachine)),tblDowntime[[#This Row],[Date]],""))</f>
        <v>46274</v>
      </c>
      <c r="I3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0" s="44" t="s">
        <v>156</v>
      </c>
    </row>
    <row r="31" spans="2:10">
      <c r="B31" s="34">
        <v>46274</v>
      </c>
      <c r="C31" s="28" t="s">
        <v>99</v>
      </c>
      <c r="D31" s="28" t="s">
        <v>94</v>
      </c>
      <c r="E31" s="28" t="s">
        <v>131</v>
      </c>
      <c r="F31" s="35">
        <v>20</v>
      </c>
      <c r="G31" s="43" t="str">
        <f>IF(tblDowntime[[#This Row],[Date]]="","",IFERROR(INDEX(tblReasons[Loss category],MATCH(tblDowntime[[#This Row],[Reason]],tblReasons[Reason],0)),""))</f>
        <v>Changeover</v>
      </c>
      <c r="H31" s="41">
        <f>IF(tblDowntime[[#This Row],[Date]]="","",IF(AND(tblDowntime[[#This Row],[Date]]&gt;=FFrom,tblDowntime[[#This Row],[Date]]&lt;=FTo,OR(DashMachine="",tblDowntime[[#This Row],[Machine]]=DashMachine)),tblDowntime[[#This Row],[Date]],""))</f>
        <v>46274</v>
      </c>
      <c r="I3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1" s="44" t="s">
        <v>156</v>
      </c>
    </row>
    <row r="32" spans="2:10">
      <c r="B32" s="34">
        <v>46274</v>
      </c>
      <c r="C32" s="28" t="s">
        <v>99</v>
      </c>
      <c r="D32" s="28" t="s">
        <v>94</v>
      </c>
      <c r="E32" s="28" t="s">
        <v>129</v>
      </c>
      <c r="F32" s="35">
        <v>20</v>
      </c>
      <c r="G32" s="43" t="str">
        <f>IF(tblDowntime[[#This Row],[Date]]="","",IFERROR(INDEX(tblReasons[Loss category],MATCH(tblDowntime[[#This Row],[Reason]],tblReasons[Reason],0)),""))</f>
        <v>Breakdown</v>
      </c>
      <c r="H32" s="41">
        <f>IF(tblDowntime[[#This Row],[Date]]="","",IF(AND(tblDowntime[[#This Row],[Date]]&gt;=FFrom,tblDowntime[[#This Row],[Date]]&lt;=FTo,OR(DashMachine="",tblDowntime[[#This Row],[Machine]]=DashMachine)),tblDowntime[[#This Row],[Date]],""))</f>
        <v>46274</v>
      </c>
      <c r="I3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2" s="44" t="s">
        <v>156</v>
      </c>
    </row>
    <row r="33" spans="2:10">
      <c r="B33" s="34">
        <v>46274</v>
      </c>
      <c r="C33" s="28" t="s">
        <v>99</v>
      </c>
      <c r="D33" s="28" t="s">
        <v>94</v>
      </c>
      <c r="E33" s="28" t="s">
        <v>122</v>
      </c>
      <c r="F33" s="35">
        <v>110</v>
      </c>
      <c r="G33" s="43" t="str">
        <f>IF(tblDowntime[[#This Row],[Date]]="","",IFERROR(INDEX(tblReasons[Loss category],MATCH(tblDowntime[[#This Row],[Reason]],tblReasons[Reason],0)),""))</f>
        <v>Breakdown</v>
      </c>
      <c r="H33" s="41">
        <f>IF(tblDowntime[[#This Row],[Date]]="","",IF(AND(tblDowntime[[#This Row],[Date]]&gt;=FFrom,tblDowntime[[#This Row],[Date]]&lt;=FTo,OR(DashMachine="",tblDowntime[[#This Row],[Machine]]=DashMachine)),tblDowntime[[#This Row],[Date]],""))</f>
        <v>46274</v>
      </c>
      <c r="I3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3" s="44" t="s">
        <v>156</v>
      </c>
    </row>
    <row r="34" spans="2:10">
      <c r="B34" s="34">
        <v>46274</v>
      </c>
      <c r="C34" s="28" t="s">
        <v>99</v>
      </c>
      <c r="D34" s="28" t="s">
        <v>97</v>
      </c>
      <c r="E34" s="28" t="s">
        <v>133</v>
      </c>
      <c r="F34" s="35">
        <v>35</v>
      </c>
      <c r="G34" s="43" t="str">
        <f>IF(tblDowntime[[#This Row],[Date]]="","",IFERROR(INDEX(tblReasons[Loss category],MATCH(tblDowntime[[#This Row],[Reason]],tblReasons[Reason],0)),""))</f>
        <v>Quality</v>
      </c>
      <c r="H34" s="41">
        <f>IF(tblDowntime[[#This Row],[Date]]="","",IF(AND(tblDowntime[[#This Row],[Date]]&gt;=FFrom,tblDowntime[[#This Row],[Date]]&lt;=FTo,OR(DashMachine="",tblDowntime[[#This Row],[Machine]]=DashMachine)),tblDowntime[[#This Row],[Date]],""))</f>
        <v>46274</v>
      </c>
      <c r="I3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4" s="44" t="s">
        <v>156</v>
      </c>
    </row>
    <row r="35" spans="2:10">
      <c r="B35" s="34">
        <v>46274</v>
      </c>
      <c r="C35" s="28" t="s">
        <v>99</v>
      </c>
      <c r="D35" s="28" t="s">
        <v>97</v>
      </c>
      <c r="E35" s="28" t="s">
        <v>139</v>
      </c>
      <c r="F35" s="35">
        <v>5</v>
      </c>
      <c r="G35" s="43" t="str">
        <f>IF(tblDowntime[[#This Row],[Date]]="","",IFERROR(INDEX(tblReasons[Loss category],MATCH(tblDowntime[[#This Row],[Reason]],tblReasons[Reason],0)),""))</f>
        <v>Other</v>
      </c>
      <c r="H35" s="41">
        <f>IF(tblDowntime[[#This Row],[Date]]="","",IF(AND(tblDowntime[[#This Row],[Date]]&gt;=FFrom,tblDowntime[[#This Row],[Date]]&lt;=FTo,OR(DashMachine="",tblDowntime[[#This Row],[Machine]]=DashMachine)),tblDowntime[[#This Row],[Date]],""))</f>
        <v>46274</v>
      </c>
      <c r="I3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5" s="44" t="s">
        <v>156</v>
      </c>
    </row>
    <row r="36" spans="2:10">
      <c r="B36" s="34">
        <v>46274</v>
      </c>
      <c r="C36" s="28" t="s">
        <v>102</v>
      </c>
      <c r="D36" s="28" t="s">
        <v>89</v>
      </c>
      <c r="E36" s="28" t="s">
        <v>119</v>
      </c>
      <c r="F36" s="35">
        <v>40</v>
      </c>
      <c r="G36" s="43" t="str">
        <f>IF(tblDowntime[[#This Row],[Date]]="","",IFERROR(INDEX(tblReasons[Loss category],MATCH(tblDowntime[[#This Row],[Reason]],tblReasons[Reason],0)),""))</f>
        <v>Material</v>
      </c>
      <c r="H36" s="41">
        <f>IF(tblDowntime[[#This Row],[Date]]="","",IF(AND(tblDowntime[[#This Row],[Date]]&gt;=FFrom,tblDowntime[[#This Row],[Date]]&lt;=FTo,OR(DashMachine="",tblDowntime[[#This Row],[Machine]]=DashMachine)),tblDowntime[[#This Row],[Date]],""))</f>
        <v>46274</v>
      </c>
      <c r="I3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6" s="44" t="s">
        <v>156</v>
      </c>
    </row>
    <row r="37" spans="2:10">
      <c r="B37" s="34">
        <v>46274</v>
      </c>
      <c r="C37" s="28" t="s">
        <v>102</v>
      </c>
      <c r="D37" s="28" t="s">
        <v>94</v>
      </c>
      <c r="E37" s="28" t="s">
        <v>129</v>
      </c>
      <c r="F37" s="35">
        <v>20</v>
      </c>
      <c r="G37" s="43" t="str">
        <f>IF(tblDowntime[[#This Row],[Date]]="","",IFERROR(INDEX(tblReasons[Loss category],MATCH(tblDowntime[[#This Row],[Reason]],tblReasons[Reason],0)),""))</f>
        <v>Breakdown</v>
      </c>
      <c r="H37" s="41">
        <f>IF(tblDowntime[[#This Row],[Date]]="","",IF(AND(tblDowntime[[#This Row],[Date]]&gt;=FFrom,tblDowntime[[#This Row],[Date]]&lt;=FTo,OR(DashMachine="",tblDowntime[[#This Row],[Machine]]=DashMachine)),tblDowntime[[#This Row],[Date]],""))</f>
        <v>46274</v>
      </c>
      <c r="I3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7" s="44" t="s">
        <v>156</v>
      </c>
    </row>
    <row r="38" spans="2:10">
      <c r="B38" s="34">
        <v>46274</v>
      </c>
      <c r="C38" s="28" t="s">
        <v>102</v>
      </c>
      <c r="D38" s="28" t="s">
        <v>94</v>
      </c>
      <c r="E38" s="28" t="s">
        <v>125</v>
      </c>
      <c r="F38" s="35">
        <v>20</v>
      </c>
      <c r="G38" s="43" t="str">
        <f>IF(tblDowntime[[#This Row],[Date]]="","",IFERROR(INDEX(tblReasons[Loss category],MATCH(tblDowntime[[#This Row],[Reason]],tblReasons[Reason],0)),""))</f>
        <v>Breakdown</v>
      </c>
      <c r="H38" s="41">
        <f>IF(tblDowntime[[#This Row],[Date]]="","",IF(AND(tblDowntime[[#This Row],[Date]]&gt;=FFrom,tblDowntime[[#This Row],[Date]]&lt;=FTo,OR(DashMachine="",tblDowntime[[#This Row],[Machine]]=DashMachine)),tblDowntime[[#This Row],[Date]],""))</f>
        <v>46274</v>
      </c>
      <c r="I3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8" s="44" t="s">
        <v>156</v>
      </c>
    </row>
    <row r="39" spans="2:10">
      <c r="B39" s="34">
        <v>46274</v>
      </c>
      <c r="C39" s="28" t="s">
        <v>102</v>
      </c>
      <c r="D39" s="28" t="s">
        <v>94</v>
      </c>
      <c r="E39" s="28" t="s">
        <v>129</v>
      </c>
      <c r="F39" s="35">
        <v>10</v>
      </c>
      <c r="G39" s="43" t="str">
        <f>IF(tblDowntime[[#This Row],[Date]]="","",IFERROR(INDEX(tblReasons[Loss category],MATCH(tblDowntime[[#This Row],[Reason]],tblReasons[Reason],0)),""))</f>
        <v>Breakdown</v>
      </c>
      <c r="H39" s="41">
        <f>IF(tblDowntime[[#This Row],[Date]]="","",IF(AND(tblDowntime[[#This Row],[Date]]&gt;=FFrom,tblDowntime[[#This Row],[Date]]&lt;=FTo,OR(DashMachine="",tblDowntime[[#This Row],[Machine]]=DashMachine)),tblDowntime[[#This Row],[Date]],""))</f>
        <v>46274</v>
      </c>
      <c r="I3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39" s="44" t="s">
        <v>156</v>
      </c>
    </row>
    <row r="40" spans="2:10">
      <c r="B40" s="34">
        <v>46274</v>
      </c>
      <c r="C40" s="28" t="s">
        <v>102</v>
      </c>
      <c r="D40" s="28" t="s">
        <v>97</v>
      </c>
      <c r="E40" s="28" t="s">
        <v>129</v>
      </c>
      <c r="F40" s="35">
        <v>10</v>
      </c>
      <c r="G40" s="43" t="str">
        <f>IF(tblDowntime[[#This Row],[Date]]="","",IFERROR(INDEX(tblReasons[Loss category],MATCH(tblDowntime[[#This Row],[Reason]],tblReasons[Reason],0)),""))</f>
        <v>Breakdown</v>
      </c>
      <c r="H40" s="41">
        <f>IF(tblDowntime[[#This Row],[Date]]="","",IF(AND(tblDowntime[[#This Row],[Date]]&gt;=FFrom,tblDowntime[[#This Row],[Date]]&lt;=FTo,OR(DashMachine="",tblDowntime[[#This Row],[Machine]]=DashMachine)),tblDowntime[[#This Row],[Date]],""))</f>
        <v>46274</v>
      </c>
      <c r="I4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0" s="44" t="s">
        <v>156</v>
      </c>
    </row>
    <row r="41" spans="2:10">
      <c r="B41" s="34">
        <v>46275</v>
      </c>
      <c r="C41" s="28" t="s">
        <v>99</v>
      </c>
      <c r="D41" s="28" t="s">
        <v>89</v>
      </c>
      <c r="E41" s="28" t="s">
        <v>125</v>
      </c>
      <c r="F41" s="35">
        <v>60</v>
      </c>
      <c r="G41" s="43" t="str">
        <f>IF(tblDowntime[[#This Row],[Date]]="","",IFERROR(INDEX(tblReasons[Loss category],MATCH(tblDowntime[[#This Row],[Reason]],tblReasons[Reason],0)),""))</f>
        <v>Breakdown</v>
      </c>
      <c r="H41" s="41">
        <f>IF(tblDowntime[[#This Row],[Date]]="","",IF(AND(tblDowntime[[#This Row],[Date]]&gt;=FFrom,tblDowntime[[#This Row],[Date]]&lt;=FTo,OR(DashMachine="",tblDowntime[[#This Row],[Machine]]=DashMachine)),tblDowntime[[#This Row],[Date]],""))</f>
        <v>46275</v>
      </c>
      <c r="I4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1" s="44" t="s">
        <v>156</v>
      </c>
    </row>
    <row r="42" spans="2:10">
      <c r="B42" s="34">
        <v>46275</v>
      </c>
      <c r="C42" s="28" t="s">
        <v>99</v>
      </c>
      <c r="D42" s="28" t="s">
        <v>92</v>
      </c>
      <c r="E42" s="28" t="s">
        <v>131</v>
      </c>
      <c r="F42" s="35">
        <v>30</v>
      </c>
      <c r="G42" s="43" t="str">
        <f>IF(tblDowntime[[#This Row],[Date]]="","",IFERROR(INDEX(tblReasons[Loss category],MATCH(tblDowntime[[#This Row],[Reason]],tblReasons[Reason],0)),""))</f>
        <v>Changeover</v>
      </c>
      <c r="H42" s="41">
        <f>IF(tblDowntime[[#This Row],[Date]]="","",IF(AND(tblDowntime[[#This Row],[Date]]&gt;=FFrom,tblDowntime[[#This Row],[Date]]&lt;=FTo,OR(DashMachine="",tblDowntime[[#This Row],[Machine]]=DashMachine)),tblDowntime[[#This Row],[Date]],""))</f>
        <v>46275</v>
      </c>
      <c r="I4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2" s="44" t="s">
        <v>156</v>
      </c>
    </row>
    <row r="43" spans="2:10">
      <c r="B43" s="34">
        <v>46275</v>
      </c>
      <c r="C43" s="28" t="s">
        <v>99</v>
      </c>
      <c r="D43" s="28" t="s">
        <v>92</v>
      </c>
      <c r="E43" s="28" t="s">
        <v>139</v>
      </c>
      <c r="F43" s="35">
        <v>20</v>
      </c>
      <c r="G43" s="43" t="str">
        <f>IF(tblDowntime[[#This Row],[Date]]="","",IFERROR(INDEX(tblReasons[Loss category],MATCH(tblDowntime[[#This Row],[Reason]],tblReasons[Reason],0)),""))</f>
        <v>Other</v>
      </c>
      <c r="H43" s="41">
        <f>IF(tblDowntime[[#This Row],[Date]]="","",IF(AND(tblDowntime[[#This Row],[Date]]&gt;=FFrom,tblDowntime[[#This Row],[Date]]&lt;=FTo,OR(DashMachine="",tblDowntime[[#This Row],[Machine]]=DashMachine)),tblDowntime[[#This Row],[Date]],""))</f>
        <v>46275</v>
      </c>
      <c r="I4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3" s="44" t="s">
        <v>156</v>
      </c>
    </row>
    <row r="44" spans="2:10">
      <c r="B44" s="34">
        <v>46275</v>
      </c>
      <c r="C44" s="28" t="s">
        <v>99</v>
      </c>
      <c r="D44" s="28" t="s">
        <v>94</v>
      </c>
      <c r="E44" s="28" t="s">
        <v>136</v>
      </c>
      <c r="F44" s="35">
        <v>25</v>
      </c>
      <c r="G44" s="43" t="str">
        <f>IF(tblDowntime[[#This Row],[Date]]="","",IFERROR(INDEX(tblReasons[Loss category],MATCH(tblDowntime[[#This Row],[Reason]],tblReasons[Reason],0)),""))</f>
        <v>Labour</v>
      </c>
      <c r="H44" s="41">
        <f>IF(tblDowntime[[#This Row],[Date]]="","",IF(AND(tblDowntime[[#This Row],[Date]]&gt;=FFrom,tblDowntime[[#This Row],[Date]]&lt;=FTo,OR(DashMachine="",tblDowntime[[#This Row],[Machine]]=DashMachine)),tblDowntime[[#This Row],[Date]],""))</f>
        <v>46275</v>
      </c>
      <c r="I4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4" s="44" t="s">
        <v>156</v>
      </c>
    </row>
    <row r="45" spans="2:10">
      <c r="B45" s="34">
        <v>46275</v>
      </c>
      <c r="C45" s="28" t="s">
        <v>102</v>
      </c>
      <c r="D45" s="28" t="s">
        <v>89</v>
      </c>
      <c r="E45" s="28" t="s">
        <v>119</v>
      </c>
      <c r="F45" s="35">
        <v>35</v>
      </c>
      <c r="G45" s="43" t="str">
        <f>IF(tblDowntime[[#This Row],[Date]]="","",IFERROR(INDEX(tblReasons[Loss category],MATCH(tblDowntime[[#This Row],[Reason]],tblReasons[Reason],0)),""))</f>
        <v>Material</v>
      </c>
      <c r="H45" s="41">
        <f>IF(tblDowntime[[#This Row],[Date]]="","",IF(AND(tblDowntime[[#This Row],[Date]]&gt;=FFrom,tblDowntime[[#This Row],[Date]]&lt;=FTo,OR(DashMachine="",tblDowntime[[#This Row],[Machine]]=DashMachine)),tblDowntime[[#This Row],[Date]],""))</f>
        <v>46275</v>
      </c>
      <c r="I4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5" s="44" t="s">
        <v>156</v>
      </c>
    </row>
    <row r="46" spans="2:10">
      <c r="B46" s="34">
        <v>46275</v>
      </c>
      <c r="C46" s="28" t="s">
        <v>102</v>
      </c>
      <c r="D46" s="28" t="s">
        <v>89</v>
      </c>
      <c r="E46" s="28" t="s">
        <v>129</v>
      </c>
      <c r="F46" s="35">
        <v>15</v>
      </c>
      <c r="G46" s="43" t="str">
        <f>IF(tblDowntime[[#This Row],[Date]]="","",IFERROR(INDEX(tblReasons[Loss category],MATCH(tblDowntime[[#This Row],[Reason]],tblReasons[Reason],0)),""))</f>
        <v>Breakdown</v>
      </c>
      <c r="H46" s="41">
        <f>IF(tblDowntime[[#This Row],[Date]]="","",IF(AND(tblDowntime[[#This Row],[Date]]&gt;=FFrom,tblDowntime[[#This Row],[Date]]&lt;=FTo,OR(DashMachine="",tblDowntime[[#This Row],[Machine]]=DashMachine)),tblDowntime[[#This Row],[Date]],""))</f>
        <v>46275</v>
      </c>
      <c r="I4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6" s="44" t="s">
        <v>156</v>
      </c>
    </row>
    <row r="47" spans="2:10">
      <c r="B47" s="34">
        <v>46275</v>
      </c>
      <c r="C47" s="28" t="s">
        <v>102</v>
      </c>
      <c r="D47" s="28" t="s">
        <v>92</v>
      </c>
      <c r="E47" s="28" t="s">
        <v>136</v>
      </c>
      <c r="F47" s="35">
        <v>10</v>
      </c>
      <c r="G47" s="43" t="str">
        <f>IF(tblDowntime[[#This Row],[Date]]="","",IFERROR(INDEX(tblReasons[Loss category],MATCH(tblDowntime[[#This Row],[Reason]],tblReasons[Reason],0)),""))</f>
        <v>Labour</v>
      </c>
      <c r="H47" s="41">
        <f>IF(tblDowntime[[#This Row],[Date]]="","",IF(AND(tblDowntime[[#This Row],[Date]]&gt;=FFrom,tblDowntime[[#This Row],[Date]]&lt;=FTo,OR(DashMachine="",tblDowntime[[#This Row],[Machine]]=DashMachine)),tblDowntime[[#This Row],[Date]],""))</f>
        <v>46275</v>
      </c>
      <c r="I4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7" s="44" t="s">
        <v>156</v>
      </c>
    </row>
    <row r="48" spans="2:10">
      <c r="B48" s="34">
        <v>46275</v>
      </c>
      <c r="C48" s="28" t="s">
        <v>102</v>
      </c>
      <c r="D48" s="28" t="s">
        <v>92</v>
      </c>
      <c r="E48" s="28" t="s">
        <v>133</v>
      </c>
      <c r="F48" s="35">
        <v>35</v>
      </c>
      <c r="G48" s="43" t="str">
        <f>IF(tblDowntime[[#This Row],[Date]]="","",IFERROR(INDEX(tblReasons[Loss category],MATCH(tblDowntime[[#This Row],[Reason]],tblReasons[Reason],0)),""))</f>
        <v>Quality</v>
      </c>
      <c r="H48" s="41">
        <f>IF(tblDowntime[[#This Row],[Date]]="","",IF(AND(tblDowntime[[#This Row],[Date]]&gt;=FFrom,tblDowntime[[#This Row],[Date]]&lt;=FTo,OR(DashMachine="",tblDowntime[[#This Row],[Machine]]=DashMachine)),tblDowntime[[#This Row],[Date]],""))</f>
        <v>46275</v>
      </c>
      <c r="I4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8" s="44" t="s">
        <v>156</v>
      </c>
    </row>
    <row r="49" spans="2:10">
      <c r="B49" s="34">
        <v>46275</v>
      </c>
      <c r="C49" s="28" t="s">
        <v>102</v>
      </c>
      <c r="D49" s="28" t="s">
        <v>94</v>
      </c>
      <c r="E49" s="28" t="s">
        <v>129</v>
      </c>
      <c r="F49" s="35">
        <v>15</v>
      </c>
      <c r="G49" s="43" t="str">
        <f>IF(tblDowntime[[#This Row],[Date]]="","",IFERROR(INDEX(tblReasons[Loss category],MATCH(tblDowntime[[#This Row],[Reason]],tblReasons[Reason],0)),""))</f>
        <v>Breakdown</v>
      </c>
      <c r="H49" s="41">
        <f>IF(tblDowntime[[#This Row],[Date]]="","",IF(AND(tblDowntime[[#This Row],[Date]]&gt;=FFrom,tblDowntime[[#This Row],[Date]]&lt;=FTo,OR(DashMachine="",tblDowntime[[#This Row],[Machine]]=DashMachine)),tblDowntime[[#This Row],[Date]],""))</f>
        <v>46275</v>
      </c>
      <c r="I4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49" s="44" t="s">
        <v>156</v>
      </c>
    </row>
    <row r="50" spans="2:10">
      <c r="B50" s="34">
        <v>46275</v>
      </c>
      <c r="C50" s="28" t="s">
        <v>102</v>
      </c>
      <c r="D50" s="28" t="s">
        <v>94</v>
      </c>
      <c r="E50" s="28" t="s">
        <v>122</v>
      </c>
      <c r="F50" s="35">
        <v>70</v>
      </c>
      <c r="G50" s="43" t="str">
        <f>IF(tblDowntime[[#This Row],[Date]]="","",IFERROR(INDEX(tblReasons[Loss category],MATCH(tblDowntime[[#This Row],[Reason]],tblReasons[Reason],0)),""))</f>
        <v>Breakdown</v>
      </c>
      <c r="H50" s="41">
        <f>IF(tblDowntime[[#This Row],[Date]]="","",IF(AND(tblDowntime[[#This Row],[Date]]&gt;=FFrom,tblDowntime[[#This Row],[Date]]&lt;=FTo,OR(DashMachine="",tblDowntime[[#This Row],[Machine]]=DashMachine)),tblDowntime[[#This Row],[Date]],""))</f>
        <v>46275</v>
      </c>
      <c r="I5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0" s="44" t="s">
        <v>156</v>
      </c>
    </row>
    <row r="51" spans="2:10">
      <c r="B51" s="34">
        <v>46275</v>
      </c>
      <c r="C51" s="28" t="s">
        <v>102</v>
      </c>
      <c r="D51" s="28" t="s">
        <v>97</v>
      </c>
      <c r="E51" s="28" t="s">
        <v>119</v>
      </c>
      <c r="F51" s="35">
        <v>15</v>
      </c>
      <c r="G51" s="43" t="str">
        <f>IF(tblDowntime[[#This Row],[Date]]="","",IFERROR(INDEX(tblReasons[Loss category],MATCH(tblDowntime[[#This Row],[Reason]],tblReasons[Reason],0)),""))</f>
        <v>Material</v>
      </c>
      <c r="H51" s="41">
        <f>IF(tblDowntime[[#This Row],[Date]]="","",IF(AND(tblDowntime[[#This Row],[Date]]&gt;=FFrom,tblDowntime[[#This Row],[Date]]&lt;=FTo,OR(DashMachine="",tblDowntime[[#This Row],[Machine]]=DashMachine)),tblDowntime[[#This Row],[Date]],""))</f>
        <v>46275</v>
      </c>
      <c r="I5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1" s="44" t="s">
        <v>156</v>
      </c>
    </row>
    <row r="52" spans="2:10">
      <c r="B52" s="34">
        <v>46275</v>
      </c>
      <c r="C52" s="28" t="s">
        <v>102</v>
      </c>
      <c r="D52" s="28" t="s">
        <v>97</v>
      </c>
      <c r="E52" s="28" t="s">
        <v>129</v>
      </c>
      <c r="F52" s="35">
        <v>20</v>
      </c>
      <c r="G52" s="43" t="str">
        <f>IF(tblDowntime[[#This Row],[Date]]="","",IFERROR(INDEX(tblReasons[Loss category],MATCH(tblDowntime[[#This Row],[Reason]],tblReasons[Reason],0)),""))</f>
        <v>Breakdown</v>
      </c>
      <c r="H52" s="41">
        <f>IF(tblDowntime[[#This Row],[Date]]="","",IF(AND(tblDowntime[[#This Row],[Date]]&gt;=FFrom,tblDowntime[[#This Row],[Date]]&lt;=FTo,OR(DashMachine="",tblDowntime[[#This Row],[Machine]]=DashMachine)),tblDowntime[[#This Row],[Date]],""))</f>
        <v>46275</v>
      </c>
      <c r="I5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2" s="44" t="s">
        <v>156</v>
      </c>
    </row>
    <row r="53" spans="2:10">
      <c r="B53" s="34">
        <v>46276</v>
      </c>
      <c r="C53" s="28" t="s">
        <v>99</v>
      </c>
      <c r="D53" s="28" t="s">
        <v>89</v>
      </c>
      <c r="E53" s="28" t="s">
        <v>131</v>
      </c>
      <c r="F53" s="35">
        <v>25</v>
      </c>
      <c r="G53" s="43" t="str">
        <f>IF(tblDowntime[[#This Row],[Date]]="","",IFERROR(INDEX(tblReasons[Loss category],MATCH(tblDowntime[[#This Row],[Reason]],tblReasons[Reason],0)),""))</f>
        <v>Changeover</v>
      </c>
      <c r="H53" s="41">
        <f>IF(tblDowntime[[#This Row],[Date]]="","",IF(AND(tblDowntime[[#This Row],[Date]]&gt;=FFrom,tblDowntime[[#This Row],[Date]]&lt;=FTo,OR(DashMachine="",tblDowntime[[#This Row],[Machine]]=DashMachine)),tblDowntime[[#This Row],[Date]],""))</f>
        <v>46276</v>
      </c>
      <c r="I5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3" s="44" t="s">
        <v>156</v>
      </c>
    </row>
    <row r="54" spans="2:10">
      <c r="B54" s="34">
        <v>46276</v>
      </c>
      <c r="C54" s="28" t="s">
        <v>99</v>
      </c>
      <c r="D54" s="28" t="s">
        <v>92</v>
      </c>
      <c r="E54" s="28" t="s">
        <v>116</v>
      </c>
      <c r="F54" s="35">
        <v>75</v>
      </c>
      <c r="G54" s="43" t="str">
        <f>IF(tblDowntime[[#This Row],[Date]]="","",IFERROR(INDEX(tblReasons[Loss category],MATCH(tblDowntime[[#This Row],[Reason]],tblReasons[Reason],0)),""))</f>
        <v>Changeover</v>
      </c>
      <c r="H54" s="41">
        <f>IF(tblDowntime[[#This Row],[Date]]="","",IF(AND(tblDowntime[[#This Row],[Date]]&gt;=FFrom,tblDowntime[[#This Row],[Date]]&lt;=FTo,OR(DashMachine="",tblDowntime[[#This Row],[Machine]]=DashMachine)),tblDowntime[[#This Row],[Date]],""))</f>
        <v>46276</v>
      </c>
      <c r="I5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4" s="44" t="s">
        <v>156</v>
      </c>
    </row>
    <row r="55" spans="2:10">
      <c r="B55" s="34">
        <v>46276</v>
      </c>
      <c r="C55" s="28" t="s">
        <v>99</v>
      </c>
      <c r="D55" s="28" t="s">
        <v>92</v>
      </c>
      <c r="E55" s="28" t="s">
        <v>129</v>
      </c>
      <c r="F55" s="35">
        <v>15</v>
      </c>
      <c r="G55" s="43" t="str">
        <f>IF(tblDowntime[[#This Row],[Date]]="","",IFERROR(INDEX(tblReasons[Loss category],MATCH(tblDowntime[[#This Row],[Reason]],tblReasons[Reason],0)),""))</f>
        <v>Breakdown</v>
      </c>
      <c r="H55" s="41">
        <f>IF(tblDowntime[[#This Row],[Date]]="","",IF(AND(tblDowntime[[#This Row],[Date]]&gt;=FFrom,tblDowntime[[#This Row],[Date]]&lt;=FTo,OR(DashMachine="",tblDowntime[[#This Row],[Machine]]=DashMachine)),tblDowntime[[#This Row],[Date]],""))</f>
        <v>46276</v>
      </c>
      <c r="I5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5" s="44" t="s">
        <v>156</v>
      </c>
    </row>
    <row r="56" spans="2:10">
      <c r="B56" s="34">
        <v>46276</v>
      </c>
      <c r="C56" s="28" t="s">
        <v>99</v>
      </c>
      <c r="D56" s="28" t="s">
        <v>92</v>
      </c>
      <c r="E56" s="28" t="s">
        <v>131</v>
      </c>
      <c r="F56" s="35">
        <v>20</v>
      </c>
      <c r="G56" s="43" t="str">
        <f>IF(tblDowntime[[#This Row],[Date]]="","",IFERROR(INDEX(tblReasons[Loss category],MATCH(tblDowntime[[#This Row],[Reason]],tblReasons[Reason],0)),""))</f>
        <v>Changeover</v>
      </c>
      <c r="H56" s="41">
        <f>IF(tblDowntime[[#This Row],[Date]]="","",IF(AND(tblDowntime[[#This Row],[Date]]&gt;=FFrom,tblDowntime[[#This Row],[Date]]&lt;=FTo,OR(DashMachine="",tblDowntime[[#This Row],[Machine]]=DashMachine)),tblDowntime[[#This Row],[Date]],""))</f>
        <v>46276</v>
      </c>
      <c r="I5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6" s="44" t="s">
        <v>156</v>
      </c>
    </row>
    <row r="57" spans="2:10">
      <c r="B57" s="34">
        <v>46276</v>
      </c>
      <c r="C57" s="28" t="s">
        <v>99</v>
      </c>
      <c r="D57" s="28" t="s">
        <v>92</v>
      </c>
      <c r="E57" s="28" t="s">
        <v>127</v>
      </c>
      <c r="F57" s="35">
        <v>55</v>
      </c>
      <c r="G57" s="43" t="str">
        <f>IF(tblDowntime[[#This Row],[Date]]="","",IFERROR(INDEX(tblReasons[Loss category],MATCH(tblDowntime[[#This Row],[Reason]],tblReasons[Reason],0)),""))</f>
        <v>Breakdown</v>
      </c>
      <c r="H57" s="41">
        <f>IF(tblDowntime[[#This Row],[Date]]="","",IF(AND(tblDowntime[[#This Row],[Date]]&gt;=FFrom,tblDowntime[[#This Row],[Date]]&lt;=FTo,OR(DashMachine="",tblDowntime[[#This Row],[Machine]]=DashMachine)),tblDowntime[[#This Row],[Date]],""))</f>
        <v>46276</v>
      </c>
      <c r="I5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7" s="44" t="s">
        <v>156</v>
      </c>
    </row>
    <row r="58" spans="2:10">
      <c r="B58" s="34">
        <v>46276</v>
      </c>
      <c r="C58" s="28" t="s">
        <v>99</v>
      </c>
      <c r="D58" s="28" t="s">
        <v>94</v>
      </c>
      <c r="E58" s="28" t="s">
        <v>125</v>
      </c>
      <c r="F58" s="35">
        <v>55</v>
      </c>
      <c r="G58" s="43" t="str">
        <f>IF(tblDowntime[[#This Row],[Date]]="","",IFERROR(INDEX(tblReasons[Loss category],MATCH(tblDowntime[[#This Row],[Reason]],tblReasons[Reason],0)),""))</f>
        <v>Breakdown</v>
      </c>
      <c r="H58" s="41">
        <f>IF(tblDowntime[[#This Row],[Date]]="","",IF(AND(tblDowntime[[#This Row],[Date]]&gt;=FFrom,tblDowntime[[#This Row],[Date]]&lt;=FTo,OR(DashMachine="",tblDowntime[[#This Row],[Machine]]=DashMachine)),tblDowntime[[#This Row],[Date]],""))</f>
        <v>46276</v>
      </c>
      <c r="I5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8" s="44" t="s">
        <v>156</v>
      </c>
    </row>
    <row r="59" spans="2:10">
      <c r="B59" s="34">
        <v>46276</v>
      </c>
      <c r="C59" s="28" t="s">
        <v>99</v>
      </c>
      <c r="D59" s="28" t="s">
        <v>94</v>
      </c>
      <c r="E59" s="28" t="s">
        <v>131</v>
      </c>
      <c r="F59" s="35">
        <v>15</v>
      </c>
      <c r="G59" s="43" t="str">
        <f>IF(tblDowntime[[#This Row],[Date]]="","",IFERROR(INDEX(tblReasons[Loss category],MATCH(tblDowntime[[#This Row],[Reason]],tblReasons[Reason],0)),""))</f>
        <v>Changeover</v>
      </c>
      <c r="H59" s="41">
        <f>IF(tblDowntime[[#This Row],[Date]]="","",IF(AND(tblDowntime[[#This Row],[Date]]&gt;=FFrom,tblDowntime[[#This Row],[Date]]&lt;=FTo,OR(DashMachine="",tblDowntime[[#This Row],[Machine]]=DashMachine)),tblDowntime[[#This Row],[Date]],""))</f>
        <v>46276</v>
      </c>
      <c r="I5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59" s="44" t="s">
        <v>156</v>
      </c>
    </row>
    <row r="60" spans="2:10">
      <c r="B60" s="34">
        <v>46276</v>
      </c>
      <c r="C60" s="28" t="s">
        <v>99</v>
      </c>
      <c r="D60" s="28" t="s">
        <v>97</v>
      </c>
      <c r="E60" s="28" t="s">
        <v>122</v>
      </c>
      <c r="F60" s="35">
        <v>25</v>
      </c>
      <c r="G60" s="43" t="str">
        <f>IF(tblDowntime[[#This Row],[Date]]="","",IFERROR(INDEX(tblReasons[Loss category],MATCH(tblDowntime[[#This Row],[Reason]],tblReasons[Reason],0)),""))</f>
        <v>Breakdown</v>
      </c>
      <c r="H60" s="41">
        <f>IF(tblDowntime[[#This Row],[Date]]="","",IF(AND(tblDowntime[[#This Row],[Date]]&gt;=FFrom,tblDowntime[[#This Row],[Date]]&lt;=FTo,OR(DashMachine="",tblDowntime[[#This Row],[Machine]]=DashMachine)),tblDowntime[[#This Row],[Date]],""))</f>
        <v>46276</v>
      </c>
      <c r="I6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0" s="44" t="s">
        <v>156</v>
      </c>
    </row>
    <row r="61" spans="2:10">
      <c r="B61" s="34">
        <v>46276</v>
      </c>
      <c r="C61" s="28" t="s">
        <v>99</v>
      </c>
      <c r="D61" s="28" t="s">
        <v>97</v>
      </c>
      <c r="E61" s="28" t="s">
        <v>136</v>
      </c>
      <c r="F61" s="35">
        <v>25</v>
      </c>
      <c r="G61" s="43" t="str">
        <f>IF(tblDowntime[[#This Row],[Date]]="","",IFERROR(INDEX(tblReasons[Loss category],MATCH(tblDowntime[[#This Row],[Reason]],tblReasons[Reason],0)),""))</f>
        <v>Labour</v>
      </c>
      <c r="H61" s="41">
        <f>IF(tblDowntime[[#This Row],[Date]]="","",IF(AND(tblDowntime[[#This Row],[Date]]&gt;=FFrom,tblDowntime[[#This Row],[Date]]&lt;=FTo,OR(DashMachine="",tblDowntime[[#This Row],[Machine]]=DashMachine)),tblDowntime[[#This Row],[Date]],""))</f>
        <v>46276</v>
      </c>
      <c r="I6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1" s="44" t="s">
        <v>156</v>
      </c>
    </row>
    <row r="62" spans="2:10">
      <c r="B62" s="34">
        <v>46276</v>
      </c>
      <c r="C62" s="28" t="s">
        <v>99</v>
      </c>
      <c r="D62" s="28" t="s">
        <v>97</v>
      </c>
      <c r="E62" s="28" t="s">
        <v>122</v>
      </c>
      <c r="F62" s="35">
        <v>35</v>
      </c>
      <c r="G62" s="43" t="str">
        <f>IF(tblDowntime[[#This Row],[Date]]="","",IFERROR(INDEX(tblReasons[Loss category],MATCH(tblDowntime[[#This Row],[Reason]],tblReasons[Reason],0)),""))</f>
        <v>Breakdown</v>
      </c>
      <c r="H62" s="41">
        <f>IF(tblDowntime[[#This Row],[Date]]="","",IF(AND(tblDowntime[[#This Row],[Date]]&gt;=FFrom,tblDowntime[[#This Row],[Date]]&lt;=FTo,OR(DashMachine="",tblDowntime[[#This Row],[Machine]]=DashMachine)),tblDowntime[[#This Row],[Date]],""))</f>
        <v>46276</v>
      </c>
      <c r="I6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2" s="44" t="s">
        <v>156</v>
      </c>
    </row>
    <row r="63" spans="2:10">
      <c r="B63" s="34">
        <v>46276</v>
      </c>
      <c r="C63" s="28" t="s">
        <v>102</v>
      </c>
      <c r="D63" s="28" t="s">
        <v>89</v>
      </c>
      <c r="E63" s="28" t="s">
        <v>116</v>
      </c>
      <c r="F63" s="35">
        <v>120</v>
      </c>
      <c r="G63" s="43" t="str">
        <f>IF(tblDowntime[[#This Row],[Date]]="","",IFERROR(INDEX(tblReasons[Loss category],MATCH(tblDowntime[[#This Row],[Reason]],tblReasons[Reason],0)),""))</f>
        <v>Changeover</v>
      </c>
      <c r="H63" s="41">
        <f>IF(tblDowntime[[#This Row],[Date]]="","",IF(AND(tblDowntime[[#This Row],[Date]]&gt;=FFrom,tblDowntime[[#This Row],[Date]]&lt;=FTo,OR(DashMachine="",tblDowntime[[#This Row],[Machine]]=DashMachine)),tblDowntime[[#This Row],[Date]],""))</f>
        <v>46276</v>
      </c>
      <c r="I6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3" s="44" t="s">
        <v>156</v>
      </c>
    </row>
    <row r="64" spans="2:10">
      <c r="B64" s="34">
        <v>46276</v>
      </c>
      <c r="C64" s="28" t="s">
        <v>102</v>
      </c>
      <c r="D64" s="28" t="s">
        <v>89</v>
      </c>
      <c r="E64" s="28" t="s">
        <v>129</v>
      </c>
      <c r="F64" s="35">
        <v>20</v>
      </c>
      <c r="G64" s="43" t="str">
        <f>IF(tblDowntime[[#This Row],[Date]]="","",IFERROR(INDEX(tblReasons[Loss category],MATCH(tblDowntime[[#This Row],[Reason]],tblReasons[Reason],0)),""))</f>
        <v>Breakdown</v>
      </c>
      <c r="H64" s="41">
        <f>IF(tblDowntime[[#This Row],[Date]]="","",IF(AND(tblDowntime[[#This Row],[Date]]&gt;=FFrom,tblDowntime[[#This Row],[Date]]&lt;=FTo,OR(DashMachine="",tblDowntime[[#This Row],[Machine]]=DashMachine)),tblDowntime[[#This Row],[Date]],""))</f>
        <v>46276</v>
      </c>
      <c r="I6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4" s="44" t="s">
        <v>156</v>
      </c>
    </row>
    <row r="65" spans="2:10">
      <c r="B65" s="34">
        <v>46276</v>
      </c>
      <c r="C65" s="28" t="s">
        <v>102</v>
      </c>
      <c r="D65" s="28" t="s">
        <v>89</v>
      </c>
      <c r="E65" s="28" t="s">
        <v>127</v>
      </c>
      <c r="F65" s="35">
        <v>30</v>
      </c>
      <c r="G65" s="43" t="str">
        <f>IF(tblDowntime[[#This Row],[Date]]="","",IFERROR(INDEX(tblReasons[Loss category],MATCH(tblDowntime[[#This Row],[Reason]],tblReasons[Reason],0)),""))</f>
        <v>Breakdown</v>
      </c>
      <c r="H65" s="41">
        <f>IF(tblDowntime[[#This Row],[Date]]="","",IF(AND(tblDowntime[[#This Row],[Date]]&gt;=FFrom,tblDowntime[[#This Row],[Date]]&lt;=FTo,OR(DashMachine="",tblDowntime[[#This Row],[Machine]]=DashMachine)),tblDowntime[[#This Row],[Date]],""))</f>
        <v>46276</v>
      </c>
      <c r="I6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5" s="44" t="s">
        <v>156</v>
      </c>
    </row>
    <row r="66" spans="2:10">
      <c r="B66" s="34">
        <v>46276</v>
      </c>
      <c r="C66" s="28" t="s">
        <v>102</v>
      </c>
      <c r="D66" s="28" t="s">
        <v>92</v>
      </c>
      <c r="E66" s="28" t="s">
        <v>119</v>
      </c>
      <c r="F66" s="35">
        <v>30</v>
      </c>
      <c r="G66" s="43" t="str">
        <f>IF(tblDowntime[[#This Row],[Date]]="","",IFERROR(INDEX(tblReasons[Loss category],MATCH(tblDowntime[[#This Row],[Reason]],tblReasons[Reason],0)),""))</f>
        <v>Material</v>
      </c>
      <c r="H66" s="41">
        <f>IF(tblDowntime[[#This Row],[Date]]="","",IF(AND(tblDowntime[[#This Row],[Date]]&gt;=FFrom,tblDowntime[[#This Row],[Date]]&lt;=FTo,OR(DashMachine="",tblDowntime[[#This Row],[Machine]]=DashMachine)),tblDowntime[[#This Row],[Date]],""))</f>
        <v>46276</v>
      </c>
      <c r="I6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6" s="44" t="s">
        <v>156</v>
      </c>
    </row>
    <row r="67" spans="2:10">
      <c r="B67" s="34">
        <v>46276</v>
      </c>
      <c r="C67" s="28" t="s">
        <v>102</v>
      </c>
      <c r="D67" s="28" t="s">
        <v>94</v>
      </c>
      <c r="E67" s="28" t="s">
        <v>139</v>
      </c>
      <c r="F67" s="35">
        <v>10</v>
      </c>
      <c r="G67" s="43" t="str">
        <f>IF(tblDowntime[[#This Row],[Date]]="","",IFERROR(INDEX(tblReasons[Loss category],MATCH(tblDowntime[[#This Row],[Reason]],tblReasons[Reason],0)),""))</f>
        <v>Other</v>
      </c>
      <c r="H67" s="41">
        <f>IF(tblDowntime[[#This Row],[Date]]="","",IF(AND(tblDowntime[[#This Row],[Date]]&gt;=FFrom,tblDowntime[[#This Row],[Date]]&lt;=FTo,OR(DashMachine="",tblDowntime[[#This Row],[Machine]]=DashMachine)),tblDowntime[[#This Row],[Date]],""))</f>
        <v>46276</v>
      </c>
      <c r="I6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7" s="44" t="s">
        <v>156</v>
      </c>
    </row>
    <row r="68" spans="2:10">
      <c r="B68" s="34">
        <v>46276</v>
      </c>
      <c r="C68" s="28" t="s">
        <v>102</v>
      </c>
      <c r="D68" s="28" t="s">
        <v>94</v>
      </c>
      <c r="E68" s="28" t="s">
        <v>119</v>
      </c>
      <c r="F68" s="35">
        <v>25</v>
      </c>
      <c r="G68" s="43" t="str">
        <f>IF(tblDowntime[[#This Row],[Date]]="","",IFERROR(INDEX(tblReasons[Loss category],MATCH(tblDowntime[[#This Row],[Reason]],tblReasons[Reason],0)),""))</f>
        <v>Material</v>
      </c>
      <c r="H68" s="41">
        <f>IF(tblDowntime[[#This Row],[Date]]="","",IF(AND(tblDowntime[[#This Row],[Date]]&gt;=FFrom,tblDowntime[[#This Row],[Date]]&lt;=FTo,OR(DashMachine="",tblDowntime[[#This Row],[Machine]]=DashMachine)),tblDowntime[[#This Row],[Date]],""))</f>
        <v>46276</v>
      </c>
      <c r="I6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8" s="44" t="s">
        <v>156</v>
      </c>
    </row>
    <row r="69" spans="2:10">
      <c r="B69" s="34">
        <v>46279</v>
      </c>
      <c r="C69" s="28" t="s">
        <v>99</v>
      </c>
      <c r="D69" s="28" t="s">
        <v>89</v>
      </c>
      <c r="E69" s="28" t="s">
        <v>116</v>
      </c>
      <c r="F69" s="35">
        <v>120</v>
      </c>
      <c r="G69" s="43" t="str">
        <f>IF(tblDowntime[[#This Row],[Date]]="","",IFERROR(INDEX(tblReasons[Loss category],MATCH(tblDowntime[[#This Row],[Reason]],tblReasons[Reason],0)),""))</f>
        <v>Changeover</v>
      </c>
      <c r="H69" s="41">
        <f>IF(tblDowntime[[#This Row],[Date]]="","",IF(AND(tblDowntime[[#This Row],[Date]]&gt;=FFrom,tblDowntime[[#This Row],[Date]]&lt;=FTo,OR(DashMachine="",tblDowntime[[#This Row],[Machine]]=DashMachine)),tblDowntime[[#This Row],[Date]],""))</f>
        <v>46279</v>
      </c>
      <c r="I6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69" s="44" t="s">
        <v>156</v>
      </c>
    </row>
    <row r="70" spans="2:10">
      <c r="B70" s="34">
        <v>46279</v>
      </c>
      <c r="C70" s="28" t="s">
        <v>99</v>
      </c>
      <c r="D70" s="28" t="s">
        <v>89</v>
      </c>
      <c r="E70" s="28" t="s">
        <v>131</v>
      </c>
      <c r="F70" s="35">
        <v>20</v>
      </c>
      <c r="G70" s="43" t="str">
        <f>IF(tblDowntime[[#This Row],[Date]]="","",IFERROR(INDEX(tblReasons[Loss category],MATCH(tblDowntime[[#This Row],[Reason]],tblReasons[Reason],0)),""))</f>
        <v>Changeover</v>
      </c>
      <c r="H70" s="41">
        <f>IF(tblDowntime[[#This Row],[Date]]="","",IF(AND(tblDowntime[[#This Row],[Date]]&gt;=FFrom,tblDowntime[[#This Row],[Date]]&lt;=FTo,OR(DashMachine="",tblDowntime[[#This Row],[Machine]]=DashMachine)),tblDowntime[[#This Row],[Date]],""))</f>
        <v>46279</v>
      </c>
      <c r="I7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0" s="44" t="s">
        <v>156</v>
      </c>
    </row>
    <row r="71" spans="2:10">
      <c r="B71" s="34">
        <v>46279</v>
      </c>
      <c r="C71" s="28" t="s">
        <v>99</v>
      </c>
      <c r="D71" s="28" t="s">
        <v>89</v>
      </c>
      <c r="E71" s="28" t="s">
        <v>133</v>
      </c>
      <c r="F71" s="35">
        <v>40</v>
      </c>
      <c r="G71" s="43" t="str">
        <f>IF(tblDowntime[[#This Row],[Date]]="","",IFERROR(INDEX(tblReasons[Loss category],MATCH(tblDowntime[[#This Row],[Reason]],tblReasons[Reason],0)),""))</f>
        <v>Quality</v>
      </c>
      <c r="H71" s="41">
        <f>IF(tblDowntime[[#This Row],[Date]]="","",IF(AND(tblDowntime[[#This Row],[Date]]&gt;=FFrom,tblDowntime[[#This Row],[Date]]&lt;=FTo,OR(DashMachine="",tblDowntime[[#This Row],[Machine]]=DashMachine)),tblDowntime[[#This Row],[Date]],""))</f>
        <v>46279</v>
      </c>
      <c r="I7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1" s="44" t="s">
        <v>156</v>
      </c>
    </row>
    <row r="72" spans="2:10">
      <c r="B72" s="34">
        <v>46279</v>
      </c>
      <c r="C72" s="28" t="s">
        <v>99</v>
      </c>
      <c r="D72" s="28" t="s">
        <v>92</v>
      </c>
      <c r="E72" s="28" t="s">
        <v>116</v>
      </c>
      <c r="F72" s="35">
        <v>90</v>
      </c>
      <c r="G72" s="43" t="str">
        <f>IF(tblDowntime[[#This Row],[Date]]="","",IFERROR(INDEX(tblReasons[Loss category],MATCH(tblDowntime[[#This Row],[Reason]],tblReasons[Reason],0)),""))</f>
        <v>Changeover</v>
      </c>
      <c r="H72" s="41">
        <f>IF(tblDowntime[[#This Row],[Date]]="","",IF(AND(tblDowntime[[#This Row],[Date]]&gt;=FFrom,tblDowntime[[#This Row],[Date]]&lt;=FTo,OR(DashMachine="",tblDowntime[[#This Row],[Machine]]=DashMachine)),tblDowntime[[#This Row],[Date]],""))</f>
        <v>46279</v>
      </c>
      <c r="I7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2" s="44" t="s">
        <v>156</v>
      </c>
    </row>
    <row r="73" spans="2:10">
      <c r="B73" s="34">
        <v>46279</v>
      </c>
      <c r="C73" s="28" t="s">
        <v>99</v>
      </c>
      <c r="D73" s="28" t="s">
        <v>92</v>
      </c>
      <c r="E73" s="28" t="s">
        <v>129</v>
      </c>
      <c r="F73" s="35">
        <v>5</v>
      </c>
      <c r="G73" s="43" t="str">
        <f>IF(tblDowntime[[#This Row],[Date]]="","",IFERROR(INDEX(tblReasons[Loss category],MATCH(tblDowntime[[#This Row],[Reason]],tblReasons[Reason],0)),""))</f>
        <v>Breakdown</v>
      </c>
      <c r="H73" s="41">
        <f>IF(tblDowntime[[#This Row],[Date]]="","",IF(AND(tblDowntime[[#This Row],[Date]]&gt;=FFrom,tblDowntime[[#This Row],[Date]]&lt;=FTo,OR(DashMachine="",tblDowntime[[#This Row],[Machine]]=DashMachine)),tblDowntime[[#This Row],[Date]],""))</f>
        <v>46279</v>
      </c>
      <c r="I7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3" s="44" t="s">
        <v>156</v>
      </c>
    </row>
    <row r="74" spans="2:10">
      <c r="B74" s="34">
        <v>46279</v>
      </c>
      <c r="C74" s="28" t="s">
        <v>99</v>
      </c>
      <c r="D74" s="28" t="s">
        <v>94</v>
      </c>
      <c r="E74" s="28" t="s">
        <v>127</v>
      </c>
      <c r="F74" s="35">
        <v>35</v>
      </c>
      <c r="G74" s="43" t="str">
        <f>IF(tblDowntime[[#This Row],[Date]]="","",IFERROR(INDEX(tblReasons[Loss category],MATCH(tblDowntime[[#This Row],[Reason]],tblReasons[Reason],0)),""))</f>
        <v>Breakdown</v>
      </c>
      <c r="H74" s="41">
        <f>IF(tblDowntime[[#This Row],[Date]]="","",IF(AND(tblDowntime[[#This Row],[Date]]&gt;=FFrom,tblDowntime[[#This Row],[Date]]&lt;=FTo,OR(DashMachine="",tblDowntime[[#This Row],[Machine]]=DashMachine)),tblDowntime[[#This Row],[Date]],""))</f>
        <v>46279</v>
      </c>
      <c r="I7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4" s="44" t="s">
        <v>156</v>
      </c>
    </row>
    <row r="75" spans="2:10">
      <c r="B75" s="34">
        <v>46279</v>
      </c>
      <c r="C75" s="28" t="s">
        <v>99</v>
      </c>
      <c r="D75" s="28" t="s">
        <v>94</v>
      </c>
      <c r="E75" s="28" t="s">
        <v>139</v>
      </c>
      <c r="F75" s="35">
        <v>5</v>
      </c>
      <c r="G75" s="43" t="str">
        <f>IF(tblDowntime[[#This Row],[Date]]="","",IFERROR(INDEX(tblReasons[Loss category],MATCH(tblDowntime[[#This Row],[Reason]],tblReasons[Reason],0)),""))</f>
        <v>Other</v>
      </c>
      <c r="H75" s="41">
        <f>IF(tblDowntime[[#This Row],[Date]]="","",IF(AND(tblDowntime[[#This Row],[Date]]&gt;=FFrom,tblDowntime[[#This Row],[Date]]&lt;=FTo,OR(DashMachine="",tblDowntime[[#This Row],[Machine]]=DashMachine)),tblDowntime[[#This Row],[Date]],""))</f>
        <v>46279</v>
      </c>
      <c r="I7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5" s="44" t="s">
        <v>156</v>
      </c>
    </row>
    <row r="76" spans="2:10">
      <c r="B76" s="34">
        <v>46279</v>
      </c>
      <c r="C76" s="28" t="s">
        <v>99</v>
      </c>
      <c r="D76" s="28" t="s">
        <v>97</v>
      </c>
      <c r="E76" s="28" t="s">
        <v>129</v>
      </c>
      <c r="F76" s="35">
        <v>10</v>
      </c>
      <c r="G76" s="43" t="str">
        <f>IF(tblDowntime[[#This Row],[Date]]="","",IFERROR(INDEX(tblReasons[Loss category],MATCH(tblDowntime[[#This Row],[Reason]],tblReasons[Reason],0)),""))</f>
        <v>Breakdown</v>
      </c>
      <c r="H76" s="41">
        <f>IF(tblDowntime[[#This Row],[Date]]="","",IF(AND(tblDowntime[[#This Row],[Date]]&gt;=FFrom,tblDowntime[[#This Row],[Date]]&lt;=FTo,OR(DashMachine="",tblDowntime[[#This Row],[Machine]]=DashMachine)),tblDowntime[[#This Row],[Date]],""))</f>
        <v>46279</v>
      </c>
      <c r="I7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6" s="44" t="s">
        <v>156</v>
      </c>
    </row>
    <row r="77" spans="2:10">
      <c r="B77" s="34">
        <v>46279</v>
      </c>
      <c r="C77" s="28" t="s">
        <v>99</v>
      </c>
      <c r="D77" s="28" t="s">
        <v>97</v>
      </c>
      <c r="E77" s="28" t="s">
        <v>136</v>
      </c>
      <c r="F77" s="35">
        <v>20</v>
      </c>
      <c r="G77" s="43" t="str">
        <f>IF(tblDowntime[[#This Row],[Date]]="","",IFERROR(INDEX(tblReasons[Loss category],MATCH(tblDowntime[[#This Row],[Reason]],tblReasons[Reason],0)),""))</f>
        <v>Labour</v>
      </c>
      <c r="H77" s="41">
        <f>IF(tblDowntime[[#This Row],[Date]]="","",IF(AND(tblDowntime[[#This Row],[Date]]&gt;=FFrom,tblDowntime[[#This Row],[Date]]&lt;=FTo,OR(DashMachine="",tblDowntime[[#This Row],[Machine]]=DashMachine)),tblDowntime[[#This Row],[Date]],""))</f>
        <v>46279</v>
      </c>
      <c r="I7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7" s="44" t="s">
        <v>156</v>
      </c>
    </row>
    <row r="78" spans="2:10">
      <c r="B78" s="34">
        <v>46279</v>
      </c>
      <c r="C78" s="28" t="s">
        <v>102</v>
      </c>
      <c r="D78" s="28" t="s">
        <v>89</v>
      </c>
      <c r="E78" s="28" t="s">
        <v>119</v>
      </c>
      <c r="F78" s="35">
        <v>45</v>
      </c>
      <c r="G78" s="43" t="str">
        <f>IF(tblDowntime[[#This Row],[Date]]="","",IFERROR(INDEX(tblReasons[Loss category],MATCH(tblDowntime[[#This Row],[Reason]],tblReasons[Reason],0)),""))</f>
        <v>Material</v>
      </c>
      <c r="H78" s="41">
        <f>IF(tblDowntime[[#This Row],[Date]]="","",IF(AND(tblDowntime[[#This Row],[Date]]&gt;=FFrom,tblDowntime[[#This Row],[Date]]&lt;=FTo,OR(DashMachine="",tblDowntime[[#This Row],[Machine]]=DashMachine)),tblDowntime[[#This Row],[Date]],""))</f>
        <v>46279</v>
      </c>
      <c r="I7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8" s="44" t="s">
        <v>156</v>
      </c>
    </row>
    <row r="79" spans="2:10">
      <c r="B79" s="34">
        <v>46279</v>
      </c>
      <c r="C79" s="28" t="s">
        <v>102</v>
      </c>
      <c r="D79" s="28" t="s">
        <v>94</v>
      </c>
      <c r="E79" s="28" t="s">
        <v>125</v>
      </c>
      <c r="F79" s="35">
        <v>40</v>
      </c>
      <c r="G79" s="43" t="str">
        <f>IF(tblDowntime[[#This Row],[Date]]="","",IFERROR(INDEX(tblReasons[Loss category],MATCH(tblDowntime[[#This Row],[Reason]],tblReasons[Reason],0)),""))</f>
        <v>Breakdown</v>
      </c>
      <c r="H79" s="41">
        <f>IF(tblDowntime[[#This Row],[Date]]="","",IF(AND(tblDowntime[[#This Row],[Date]]&gt;=FFrom,tblDowntime[[#This Row],[Date]]&lt;=FTo,OR(DashMachine="",tblDowntime[[#This Row],[Machine]]=DashMachine)),tblDowntime[[#This Row],[Date]],""))</f>
        <v>46279</v>
      </c>
      <c r="I7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79" s="44" t="s">
        <v>156</v>
      </c>
    </row>
    <row r="80" spans="2:10">
      <c r="B80" s="34">
        <v>46279</v>
      </c>
      <c r="C80" s="28" t="s">
        <v>102</v>
      </c>
      <c r="D80" s="28" t="s">
        <v>94</v>
      </c>
      <c r="E80" s="28" t="s">
        <v>119</v>
      </c>
      <c r="F80" s="35">
        <v>15</v>
      </c>
      <c r="G80" s="43" t="str">
        <f>IF(tblDowntime[[#This Row],[Date]]="","",IFERROR(INDEX(tblReasons[Loss category],MATCH(tblDowntime[[#This Row],[Reason]],tblReasons[Reason],0)),""))</f>
        <v>Material</v>
      </c>
      <c r="H80" s="41">
        <f>IF(tblDowntime[[#This Row],[Date]]="","",IF(AND(tblDowntime[[#This Row],[Date]]&gt;=FFrom,tblDowntime[[#This Row],[Date]]&lt;=FTo,OR(DashMachine="",tblDowntime[[#This Row],[Machine]]=DashMachine)),tblDowntime[[#This Row],[Date]],""))</f>
        <v>46279</v>
      </c>
      <c r="I8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0" s="44" t="s">
        <v>156</v>
      </c>
    </row>
    <row r="81" spans="2:10">
      <c r="B81" s="34">
        <v>46279</v>
      </c>
      <c r="C81" s="28" t="s">
        <v>102</v>
      </c>
      <c r="D81" s="28" t="s">
        <v>94</v>
      </c>
      <c r="E81" s="28" t="s">
        <v>129</v>
      </c>
      <c r="F81" s="35">
        <v>20</v>
      </c>
      <c r="G81" s="43" t="str">
        <f>IF(tblDowntime[[#This Row],[Date]]="","",IFERROR(INDEX(tblReasons[Loss category],MATCH(tblDowntime[[#This Row],[Reason]],tblReasons[Reason],0)),""))</f>
        <v>Breakdown</v>
      </c>
      <c r="H81" s="41">
        <f>IF(tblDowntime[[#This Row],[Date]]="","",IF(AND(tblDowntime[[#This Row],[Date]]&gt;=FFrom,tblDowntime[[#This Row],[Date]]&lt;=FTo,OR(DashMachine="",tblDowntime[[#This Row],[Machine]]=DashMachine)),tblDowntime[[#This Row],[Date]],""))</f>
        <v>46279</v>
      </c>
      <c r="I8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1" s="44" t="s">
        <v>156</v>
      </c>
    </row>
    <row r="82" spans="2:10">
      <c r="B82" s="34">
        <v>46279</v>
      </c>
      <c r="C82" s="28" t="s">
        <v>102</v>
      </c>
      <c r="D82" s="28" t="s">
        <v>94</v>
      </c>
      <c r="E82" s="28" t="s">
        <v>133</v>
      </c>
      <c r="F82" s="35">
        <v>20</v>
      </c>
      <c r="G82" s="43" t="str">
        <f>IF(tblDowntime[[#This Row],[Date]]="","",IFERROR(INDEX(tblReasons[Loss category],MATCH(tblDowntime[[#This Row],[Reason]],tblReasons[Reason],0)),""))</f>
        <v>Quality</v>
      </c>
      <c r="H82" s="41">
        <f>IF(tblDowntime[[#This Row],[Date]]="","",IF(AND(tblDowntime[[#This Row],[Date]]&gt;=FFrom,tblDowntime[[#This Row],[Date]]&lt;=FTo,OR(DashMachine="",tblDowntime[[#This Row],[Machine]]=DashMachine)),tblDowntime[[#This Row],[Date]],""))</f>
        <v>46279</v>
      </c>
      <c r="I8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2" s="44" t="s">
        <v>156</v>
      </c>
    </row>
    <row r="83" spans="2:10">
      <c r="B83" s="34">
        <v>46279</v>
      </c>
      <c r="C83" s="28" t="s">
        <v>102</v>
      </c>
      <c r="D83" s="28" t="s">
        <v>97</v>
      </c>
      <c r="E83" s="28" t="s">
        <v>129</v>
      </c>
      <c r="F83" s="35">
        <v>5</v>
      </c>
      <c r="G83" s="43" t="str">
        <f>IF(tblDowntime[[#This Row],[Date]]="","",IFERROR(INDEX(tblReasons[Loss category],MATCH(tblDowntime[[#This Row],[Reason]],tblReasons[Reason],0)),""))</f>
        <v>Breakdown</v>
      </c>
      <c r="H83" s="41">
        <f>IF(tblDowntime[[#This Row],[Date]]="","",IF(AND(tblDowntime[[#This Row],[Date]]&gt;=FFrom,tblDowntime[[#This Row],[Date]]&lt;=FTo,OR(DashMachine="",tblDowntime[[#This Row],[Machine]]=DashMachine)),tblDowntime[[#This Row],[Date]],""))</f>
        <v>46279</v>
      </c>
      <c r="I8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3" s="44" t="s">
        <v>156</v>
      </c>
    </row>
    <row r="84" spans="2:10">
      <c r="B84" s="34">
        <v>46280</v>
      </c>
      <c r="C84" s="28" t="s">
        <v>99</v>
      </c>
      <c r="D84" s="28" t="s">
        <v>89</v>
      </c>
      <c r="E84" s="28" t="s">
        <v>131</v>
      </c>
      <c r="F84" s="35">
        <v>25</v>
      </c>
      <c r="G84" s="43" t="str">
        <f>IF(tblDowntime[[#This Row],[Date]]="","",IFERROR(INDEX(tblReasons[Loss category],MATCH(tblDowntime[[#This Row],[Reason]],tblReasons[Reason],0)),""))</f>
        <v>Changeover</v>
      </c>
      <c r="H84" s="41">
        <f>IF(tblDowntime[[#This Row],[Date]]="","",IF(AND(tblDowntime[[#This Row],[Date]]&gt;=FFrom,tblDowntime[[#This Row],[Date]]&lt;=FTo,OR(DashMachine="",tblDowntime[[#This Row],[Machine]]=DashMachine)),tblDowntime[[#This Row],[Date]],""))</f>
        <v>46280</v>
      </c>
      <c r="I8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4" s="44" t="s">
        <v>156</v>
      </c>
    </row>
    <row r="85" spans="2:10">
      <c r="B85" s="34">
        <v>46280</v>
      </c>
      <c r="C85" s="28" t="s">
        <v>99</v>
      </c>
      <c r="D85" s="28" t="s">
        <v>89</v>
      </c>
      <c r="E85" s="28" t="s">
        <v>127</v>
      </c>
      <c r="F85" s="35">
        <v>85</v>
      </c>
      <c r="G85" s="43" t="str">
        <f>IF(tblDowntime[[#This Row],[Date]]="","",IFERROR(INDEX(tblReasons[Loss category],MATCH(tblDowntime[[#This Row],[Reason]],tblReasons[Reason],0)),""))</f>
        <v>Breakdown</v>
      </c>
      <c r="H85" s="41">
        <f>IF(tblDowntime[[#This Row],[Date]]="","",IF(AND(tblDowntime[[#This Row],[Date]]&gt;=FFrom,tblDowntime[[#This Row],[Date]]&lt;=FTo,OR(DashMachine="",tblDowntime[[#This Row],[Machine]]=DashMachine)),tblDowntime[[#This Row],[Date]],""))</f>
        <v>46280</v>
      </c>
      <c r="I8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5" s="44" t="s">
        <v>156</v>
      </c>
    </row>
    <row r="86" spans="2:10">
      <c r="B86" s="34">
        <v>46280</v>
      </c>
      <c r="C86" s="28" t="s">
        <v>99</v>
      </c>
      <c r="D86" s="28" t="s">
        <v>89</v>
      </c>
      <c r="E86" s="28" t="s">
        <v>136</v>
      </c>
      <c r="F86" s="35">
        <v>30</v>
      </c>
      <c r="G86" s="43" t="str">
        <f>IF(tblDowntime[[#This Row],[Date]]="","",IFERROR(INDEX(tblReasons[Loss category],MATCH(tblDowntime[[#This Row],[Reason]],tblReasons[Reason],0)),""))</f>
        <v>Labour</v>
      </c>
      <c r="H86" s="41">
        <f>IF(tblDowntime[[#This Row],[Date]]="","",IF(AND(tblDowntime[[#This Row],[Date]]&gt;=FFrom,tblDowntime[[#This Row],[Date]]&lt;=FTo,OR(DashMachine="",tblDowntime[[#This Row],[Machine]]=DashMachine)),tblDowntime[[#This Row],[Date]],""))</f>
        <v>46280</v>
      </c>
      <c r="I8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6" s="44" t="s">
        <v>156</v>
      </c>
    </row>
    <row r="87" spans="2:10">
      <c r="B87" s="34">
        <v>46280</v>
      </c>
      <c r="C87" s="28" t="s">
        <v>99</v>
      </c>
      <c r="D87" s="28" t="s">
        <v>92</v>
      </c>
      <c r="E87" s="28" t="s">
        <v>131</v>
      </c>
      <c r="F87" s="35">
        <v>20</v>
      </c>
      <c r="G87" s="43" t="str">
        <f>IF(tblDowntime[[#This Row],[Date]]="","",IFERROR(INDEX(tblReasons[Loss category],MATCH(tblDowntime[[#This Row],[Reason]],tblReasons[Reason],0)),""))</f>
        <v>Changeover</v>
      </c>
      <c r="H87" s="41">
        <f>IF(tblDowntime[[#This Row],[Date]]="","",IF(AND(tblDowntime[[#This Row],[Date]]&gt;=FFrom,tblDowntime[[#This Row],[Date]]&lt;=FTo,OR(DashMachine="",tblDowntime[[#This Row],[Machine]]=DashMachine)),tblDowntime[[#This Row],[Date]],""))</f>
        <v>46280</v>
      </c>
      <c r="I8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7" s="44" t="s">
        <v>156</v>
      </c>
    </row>
    <row r="88" spans="2:10">
      <c r="B88" s="34">
        <v>46280</v>
      </c>
      <c r="C88" s="28" t="s">
        <v>99</v>
      </c>
      <c r="D88" s="28" t="s">
        <v>94</v>
      </c>
      <c r="E88" s="28" t="s">
        <v>119</v>
      </c>
      <c r="F88" s="35">
        <v>50</v>
      </c>
      <c r="G88" s="43" t="str">
        <f>IF(tblDowntime[[#This Row],[Date]]="","",IFERROR(INDEX(tblReasons[Loss category],MATCH(tblDowntime[[#This Row],[Reason]],tblReasons[Reason],0)),""))</f>
        <v>Material</v>
      </c>
      <c r="H88" s="41">
        <f>IF(tblDowntime[[#This Row],[Date]]="","",IF(AND(tblDowntime[[#This Row],[Date]]&gt;=FFrom,tblDowntime[[#This Row],[Date]]&lt;=FTo,OR(DashMachine="",tblDowntime[[#This Row],[Machine]]=DashMachine)),tblDowntime[[#This Row],[Date]],""))</f>
        <v>46280</v>
      </c>
      <c r="I8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8" s="44" t="s">
        <v>156</v>
      </c>
    </row>
    <row r="89" spans="2:10">
      <c r="B89" s="34">
        <v>46280</v>
      </c>
      <c r="C89" s="28" t="s">
        <v>99</v>
      </c>
      <c r="D89" s="28" t="s">
        <v>94</v>
      </c>
      <c r="E89" s="28" t="s">
        <v>131</v>
      </c>
      <c r="F89" s="35">
        <v>20</v>
      </c>
      <c r="G89" s="43" t="str">
        <f>IF(tblDowntime[[#This Row],[Date]]="","",IFERROR(INDEX(tblReasons[Loss category],MATCH(tblDowntime[[#This Row],[Reason]],tblReasons[Reason],0)),""))</f>
        <v>Changeover</v>
      </c>
      <c r="H89" s="41">
        <f>IF(tblDowntime[[#This Row],[Date]]="","",IF(AND(tblDowntime[[#This Row],[Date]]&gt;=FFrom,tblDowntime[[#This Row],[Date]]&lt;=FTo,OR(DashMachine="",tblDowntime[[#This Row],[Machine]]=DashMachine)),tblDowntime[[#This Row],[Date]],""))</f>
        <v>46280</v>
      </c>
      <c r="I8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89" s="44" t="s">
        <v>156</v>
      </c>
    </row>
    <row r="90" spans="2:10">
      <c r="B90" s="34">
        <v>46280</v>
      </c>
      <c r="C90" s="28" t="s">
        <v>99</v>
      </c>
      <c r="D90" s="28" t="s">
        <v>94</v>
      </c>
      <c r="E90" s="28" t="s">
        <v>131</v>
      </c>
      <c r="F90" s="35">
        <v>25</v>
      </c>
      <c r="G90" s="43" t="str">
        <f>IF(tblDowntime[[#This Row],[Date]]="","",IFERROR(INDEX(tblReasons[Loss category],MATCH(tblDowntime[[#This Row],[Reason]],tblReasons[Reason],0)),""))</f>
        <v>Changeover</v>
      </c>
      <c r="H90" s="41">
        <f>IF(tblDowntime[[#This Row],[Date]]="","",IF(AND(tblDowntime[[#This Row],[Date]]&gt;=FFrom,tblDowntime[[#This Row],[Date]]&lt;=FTo,OR(DashMachine="",tblDowntime[[#This Row],[Machine]]=DashMachine)),tblDowntime[[#This Row],[Date]],""))</f>
        <v>46280</v>
      </c>
      <c r="I9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0" s="44" t="s">
        <v>156</v>
      </c>
    </row>
    <row r="91" spans="2:10">
      <c r="B91" s="34">
        <v>46280</v>
      </c>
      <c r="C91" s="28" t="s">
        <v>99</v>
      </c>
      <c r="D91" s="28" t="s">
        <v>97</v>
      </c>
      <c r="E91" s="28" t="s">
        <v>129</v>
      </c>
      <c r="F91" s="35">
        <v>25</v>
      </c>
      <c r="G91" s="43" t="str">
        <f>IF(tblDowntime[[#This Row],[Date]]="","",IFERROR(INDEX(tblReasons[Loss category],MATCH(tblDowntime[[#This Row],[Reason]],tblReasons[Reason],0)),""))</f>
        <v>Breakdown</v>
      </c>
      <c r="H91" s="41">
        <f>IF(tblDowntime[[#This Row],[Date]]="","",IF(AND(tblDowntime[[#This Row],[Date]]&gt;=FFrom,tblDowntime[[#This Row],[Date]]&lt;=FTo,OR(DashMachine="",tblDowntime[[#This Row],[Machine]]=DashMachine)),tblDowntime[[#This Row],[Date]],""))</f>
        <v>46280</v>
      </c>
      <c r="I9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1" s="44" t="s">
        <v>156</v>
      </c>
    </row>
    <row r="92" spans="2:10">
      <c r="B92" s="34">
        <v>46280</v>
      </c>
      <c r="C92" s="28" t="s">
        <v>102</v>
      </c>
      <c r="D92" s="28" t="s">
        <v>89</v>
      </c>
      <c r="E92" s="28" t="s">
        <v>136</v>
      </c>
      <c r="F92" s="35">
        <v>30</v>
      </c>
      <c r="G92" s="43" t="str">
        <f>IF(tblDowntime[[#This Row],[Date]]="","",IFERROR(INDEX(tblReasons[Loss category],MATCH(tblDowntime[[#This Row],[Reason]],tblReasons[Reason],0)),""))</f>
        <v>Labour</v>
      </c>
      <c r="H92" s="41">
        <f>IF(tblDowntime[[#This Row],[Date]]="","",IF(AND(tblDowntime[[#This Row],[Date]]&gt;=FFrom,tblDowntime[[#This Row],[Date]]&lt;=FTo,OR(DashMachine="",tblDowntime[[#This Row],[Machine]]=DashMachine)),tblDowntime[[#This Row],[Date]],""))</f>
        <v>46280</v>
      </c>
      <c r="I9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2" s="44" t="s">
        <v>156</v>
      </c>
    </row>
    <row r="93" spans="2:10">
      <c r="B93" s="34">
        <v>46280</v>
      </c>
      <c r="C93" s="28" t="s">
        <v>102</v>
      </c>
      <c r="D93" s="28" t="s">
        <v>89</v>
      </c>
      <c r="E93" s="28" t="s">
        <v>119</v>
      </c>
      <c r="F93" s="35">
        <v>25</v>
      </c>
      <c r="G93" s="43" t="str">
        <f>IF(tblDowntime[[#This Row],[Date]]="","",IFERROR(INDEX(tblReasons[Loss category],MATCH(tblDowntime[[#This Row],[Reason]],tblReasons[Reason],0)),""))</f>
        <v>Material</v>
      </c>
      <c r="H93" s="41">
        <f>IF(tblDowntime[[#This Row],[Date]]="","",IF(AND(tblDowntime[[#This Row],[Date]]&gt;=FFrom,tblDowntime[[#This Row],[Date]]&lt;=FTo,OR(DashMachine="",tblDowntime[[#This Row],[Machine]]=DashMachine)),tblDowntime[[#This Row],[Date]],""))</f>
        <v>46280</v>
      </c>
      <c r="I9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3" s="44" t="s">
        <v>156</v>
      </c>
    </row>
    <row r="94" spans="2:10">
      <c r="B94" s="34">
        <v>46280</v>
      </c>
      <c r="C94" s="28" t="s">
        <v>102</v>
      </c>
      <c r="D94" s="28" t="s">
        <v>94</v>
      </c>
      <c r="E94" s="28" t="s">
        <v>139</v>
      </c>
      <c r="F94" s="35">
        <v>5</v>
      </c>
      <c r="G94" s="43" t="str">
        <f>IF(tblDowntime[[#This Row],[Date]]="","",IFERROR(INDEX(tblReasons[Loss category],MATCH(tblDowntime[[#This Row],[Reason]],tblReasons[Reason],0)),""))</f>
        <v>Other</v>
      </c>
      <c r="H94" s="41">
        <f>IF(tblDowntime[[#This Row],[Date]]="","",IF(AND(tblDowntime[[#This Row],[Date]]&gt;=FFrom,tblDowntime[[#This Row],[Date]]&lt;=FTo,OR(DashMachine="",tblDowntime[[#This Row],[Machine]]=DashMachine)),tblDowntime[[#This Row],[Date]],""))</f>
        <v>46280</v>
      </c>
      <c r="I9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4" s="44" t="s">
        <v>156</v>
      </c>
    </row>
    <row r="95" spans="2:10">
      <c r="B95" s="34">
        <v>46280</v>
      </c>
      <c r="C95" s="28" t="s">
        <v>102</v>
      </c>
      <c r="D95" s="28" t="s">
        <v>94</v>
      </c>
      <c r="E95" s="28" t="s">
        <v>127</v>
      </c>
      <c r="F95" s="35">
        <v>55</v>
      </c>
      <c r="G95" s="43" t="str">
        <f>IF(tblDowntime[[#This Row],[Date]]="","",IFERROR(INDEX(tblReasons[Loss category],MATCH(tblDowntime[[#This Row],[Reason]],tblReasons[Reason],0)),""))</f>
        <v>Breakdown</v>
      </c>
      <c r="H95" s="41">
        <f>IF(tblDowntime[[#This Row],[Date]]="","",IF(AND(tblDowntime[[#This Row],[Date]]&gt;=FFrom,tblDowntime[[#This Row],[Date]]&lt;=FTo,OR(DashMachine="",tblDowntime[[#This Row],[Machine]]=DashMachine)),tblDowntime[[#This Row],[Date]],""))</f>
        <v>46280</v>
      </c>
      <c r="I9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5" s="44" t="s">
        <v>156</v>
      </c>
    </row>
    <row r="96" spans="2:10">
      <c r="B96" s="34">
        <v>46280</v>
      </c>
      <c r="C96" s="28" t="s">
        <v>102</v>
      </c>
      <c r="D96" s="28" t="s">
        <v>94</v>
      </c>
      <c r="E96" s="28" t="s">
        <v>122</v>
      </c>
      <c r="F96" s="35">
        <v>40</v>
      </c>
      <c r="G96" s="43" t="str">
        <f>IF(tblDowntime[[#This Row],[Date]]="","",IFERROR(INDEX(tblReasons[Loss category],MATCH(tblDowntime[[#This Row],[Reason]],tblReasons[Reason],0)),""))</f>
        <v>Breakdown</v>
      </c>
      <c r="H96" s="41">
        <f>IF(tblDowntime[[#This Row],[Date]]="","",IF(AND(tblDowntime[[#This Row],[Date]]&gt;=FFrom,tblDowntime[[#This Row],[Date]]&lt;=FTo,OR(DashMachine="",tblDowntime[[#This Row],[Machine]]=DashMachine)),tblDowntime[[#This Row],[Date]],""))</f>
        <v>46280</v>
      </c>
      <c r="I9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6" s="44" t="s">
        <v>156</v>
      </c>
    </row>
    <row r="97" spans="2:10">
      <c r="B97" s="34">
        <v>46280</v>
      </c>
      <c r="C97" s="28" t="s">
        <v>102</v>
      </c>
      <c r="D97" s="28" t="s">
        <v>97</v>
      </c>
      <c r="E97" s="28" t="s">
        <v>122</v>
      </c>
      <c r="F97" s="35">
        <v>65</v>
      </c>
      <c r="G97" s="43" t="str">
        <f>IF(tblDowntime[[#This Row],[Date]]="","",IFERROR(INDEX(tblReasons[Loss category],MATCH(tblDowntime[[#This Row],[Reason]],tblReasons[Reason],0)),""))</f>
        <v>Breakdown</v>
      </c>
      <c r="H97" s="41">
        <f>IF(tblDowntime[[#This Row],[Date]]="","",IF(AND(tblDowntime[[#This Row],[Date]]&gt;=FFrom,tblDowntime[[#This Row],[Date]]&lt;=FTo,OR(DashMachine="",tblDowntime[[#This Row],[Machine]]=DashMachine)),tblDowntime[[#This Row],[Date]],""))</f>
        <v>46280</v>
      </c>
      <c r="I9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7" s="44" t="s">
        <v>156</v>
      </c>
    </row>
    <row r="98" spans="2:10">
      <c r="B98" s="34">
        <v>46280</v>
      </c>
      <c r="C98" s="28" t="s">
        <v>102</v>
      </c>
      <c r="D98" s="28" t="s">
        <v>97</v>
      </c>
      <c r="E98" s="28" t="s">
        <v>127</v>
      </c>
      <c r="F98" s="35">
        <v>40</v>
      </c>
      <c r="G98" s="43" t="str">
        <f>IF(tblDowntime[[#This Row],[Date]]="","",IFERROR(INDEX(tblReasons[Loss category],MATCH(tblDowntime[[#This Row],[Reason]],tblReasons[Reason],0)),""))</f>
        <v>Breakdown</v>
      </c>
      <c r="H98" s="41">
        <f>IF(tblDowntime[[#This Row],[Date]]="","",IF(AND(tblDowntime[[#This Row],[Date]]&gt;=FFrom,tblDowntime[[#This Row],[Date]]&lt;=FTo,OR(DashMachine="",tblDowntime[[#This Row],[Machine]]=DashMachine)),tblDowntime[[#This Row],[Date]],""))</f>
        <v>46280</v>
      </c>
      <c r="I9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8" s="44" t="s">
        <v>156</v>
      </c>
    </row>
    <row r="99" spans="2:10">
      <c r="B99" s="34">
        <v>46280</v>
      </c>
      <c r="C99" s="28" t="s">
        <v>102</v>
      </c>
      <c r="D99" s="28" t="s">
        <v>97</v>
      </c>
      <c r="E99" s="28" t="s">
        <v>127</v>
      </c>
      <c r="F99" s="35">
        <v>25</v>
      </c>
      <c r="G99" s="43" t="str">
        <f>IF(tblDowntime[[#This Row],[Date]]="","",IFERROR(INDEX(tblReasons[Loss category],MATCH(tblDowntime[[#This Row],[Reason]],tblReasons[Reason],0)),""))</f>
        <v>Breakdown</v>
      </c>
      <c r="H99" s="41">
        <f>IF(tblDowntime[[#This Row],[Date]]="","",IF(AND(tblDowntime[[#This Row],[Date]]&gt;=FFrom,tblDowntime[[#This Row],[Date]]&lt;=FTo,OR(DashMachine="",tblDowntime[[#This Row],[Machine]]=DashMachine)),tblDowntime[[#This Row],[Date]],""))</f>
        <v>46280</v>
      </c>
      <c r="I9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99" s="44" t="s">
        <v>156</v>
      </c>
    </row>
    <row r="100" spans="2:10">
      <c r="B100" s="34">
        <v>46281</v>
      </c>
      <c r="C100" s="28" t="s">
        <v>99</v>
      </c>
      <c r="D100" s="28" t="s">
        <v>94</v>
      </c>
      <c r="E100" s="28" t="s">
        <v>129</v>
      </c>
      <c r="F100" s="35">
        <v>25</v>
      </c>
      <c r="G100" s="43" t="str">
        <f>IF(tblDowntime[[#This Row],[Date]]="","",IFERROR(INDEX(tblReasons[Loss category],MATCH(tblDowntime[[#This Row],[Reason]],tblReasons[Reason],0)),""))</f>
        <v>Breakdown</v>
      </c>
      <c r="H100" s="41">
        <f>IF(tblDowntime[[#This Row],[Date]]="","",IF(AND(tblDowntime[[#This Row],[Date]]&gt;=FFrom,tblDowntime[[#This Row],[Date]]&lt;=FTo,OR(DashMachine="",tblDowntime[[#This Row],[Machine]]=DashMachine)),tblDowntime[[#This Row],[Date]],""))</f>
        <v>46281</v>
      </c>
      <c r="I10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0" s="44" t="s">
        <v>156</v>
      </c>
    </row>
    <row r="101" spans="2:10">
      <c r="B101" s="34">
        <v>46281</v>
      </c>
      <c r="C101" s="28" t="s">
        <v>99</v>
      </c>
      <c r="D101" s="28" t="s">
        <v>94</v>
      </c>
      <c r="E101" s="28" t="s">
        <v>122</v>
      </c>
      <c r="F101" s="35">
        <v>85</v>
      </c>
      <c r="G101" s="43" t="str">
        <f>IF(tblDowntime[[#This Row],[Date]]="","",IFERROR(INDEX(tblReasons[Loss category],MATCH(tblDowntime[[#This Row],[Reason]],tblReasons[Reason],0)),""))</f>
        <v>Breakdown</v>
      </c>
      <c r="H101" s="41">
        <f>IF(tblDowntime[[#This Row],[Date]]="","",IF(AND(tblDowntime[[#This Row],[Date]]&gt;=FFrom,tblDowntime[[#This Row],[Date]]&lt;=FTo,OR(DashMachine="",tblDowntime[[#This Row],[Machine]]=DashMachine)),tblDowntime[[#This Row],[Date]],""))</f>
        <v>46281</v>
      </c>
      <c r="I10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1" s="44" t="s">
        <v>156</v>
      </c>
    </row>
    <row r="102" spans="2:10">
      <c r="B102" s="34">
        <v>46281</v>
      </c>
      <c r="C102" s="28" t="s">
        <v>99</v>
      </c>
      <c r="D102" s="28" t="s">
        <v>94</v>
      </c>
      <c r="E102" s="28" t="s">
        <v>119</v>
      </c>
      <c r="F102" s="35">
        <v>15</v>
      </c>
      <c r="G102" s="43" t="str">
        <f>IF(tblDowntime[[#This Row],[Date]]="","",IFERROR(INDEX(tblReasons[Loss category],MATCH(tblDowntime[[#This Row],[Reason]],tblReasons[Reason],0)),""))</f>
        <v>Material</v>
      </c>
      <c r="H102" s="41">
        <f>IF(tblDowntime[[#This Row],[Date]]="","",IF(AND(tblDowntime[[#This Row],[Date]]&gt;=FFrom,tblDowntime[[#This Row],[Date]]&lt;=FTo,OR(DashMachine="",tblDowntime[[#This Row],[Machine]]=DashMachine)),tblDowntime[[#This Row],[Date]],""))</f>
        <v>46281</v>
      </c>
      <c r="I10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2" s="44" t="s">
        <v>156</v>
      </c>
    </row>
    <row r="103" spans="2:10">
      <c r="B103" s="34">
        <v>46281</v>
      </c>
      <c r="C103" s="28" t="s">
        <v>99</v>
      </c>
      <c r="D103" s="28" t="s">
        <v>94</v>
      </c>
      <c r="E103" s="28" t="s">
        <v>129</v>
      </c>
      <c r="F103" s="35">
        <v>25</v>
      </c>
      <c r="G103" s="43" t="str">
        <f>IF(tblDowntime[[#This Row],[Date]]="","",IFERROR(INDEX(tblReasons[Loss category],MATCH(tblDowntime[[#This Row],[Reason]],tblReasons[Reason],0)),""))</f>
        <v>Breakdown</v>
      </c>
      <c r="H103" s="41">
        <f>IF(tblDowntime[[#This Row],[Date]]="","",IF(AND(tblDowntime[[#This Row],[Date]]&gt;=FFrom,tblDowntime[[#This Row],[Date]]&lt;=FTo,OR(DashMachine="",tblDowntime[[#This Row],[Machine]]=DashMachine)),tblDowntime[[#This Row],[Date]],""))</f>
        <v>46281</v>
      </c>
      <c r="I10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3" s="44" t="s">
        <v>156</v>
      </c>
    </row>
    <row r="104" spans="2:10">
      <c r="B104" s="34">
        <v>46281</v>
      </c>
      <c r="C104" s="28" t="s">
        <v>99</v>
      </c>
      <c r="D104" s="28" t="s">
        <v>97</v>
      </c>
      <c r="E104" s="28" t="s">
        <v>129</v>
      </c>
      <c r="F104" s="35">
        <v>15</v>
      </c>
      <c r="G104" s="43" t="str">
        <f>IF(tblDowntime[[#This Row],[Date]]="","",IFERROR(INDEX(tblReasons[Loss category],MATCH(tblDowntime[[#This Row],[Reason]],tblReasons[Reason],0)),""))</f>
        <v>Breakdown</v>
      </c>
      <c r="H104" s="41">
        <f>IF(tblDowntime[[#This Row],[Date]]="","",IF(AND(tblDowntime[[#This Row],[Date]]&gt;=FFrom,tblDowntime[[#This Row],[Date]]&lt;=FTo,OR(DashMachine="",tblDowntime[[#This Row],[Machine]]=DashMachine)),tblDowntime[[#This Row],[Date]],""))</f>
        <v>46281</v>
      </c>
      <c r="I10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4" s="44" t="s">
        <v>156</v>
      </c>
    </row>
    <row r="105" spans="2:10">
      <c r="B105" s="34">
        <v>46281</v>
      </c>
      <c r="C105" s="28" t="s">
        <v>99</v>
      </c>
      <c r="D105" s="28" t="s">
        <v>97</v>
      </c>
      <c r="E105" s="28" t="s">
        <v>131</v>
      </c>
      <c r="F105" s="35">
        <v>15</v>
      </c>
      <c r="G105" s="43" t="str">
        <f>IF(tblDowntime[[#This Row],[Date]]="","",IFERROR(INDEX(tblReasons[Loss category],MATCH(tblDowntime[[#This Row],[Reason]],tblReasons[Reason],0)),""))</f>
        <v>Changeover</v>
      </c>
      <c r="H105" s="41">
        <f>IF(tblDowntime[[#This Row],[Date]]="","",IF(AND(tblDowntime[[#This Row],[Date]]&gt;=FFrom,tblDowntime[[#This Row],[Date]]&lt;=FTo,OR(DashMachine="",tblDowntime[[#This Row],[Machine]]=DashMachine)),tblDowntime[[#This Row],[Date]],""))</f>
        <v>46281</v>
      </c>
      <c r="I10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5" s="44" t="s">
        <v>156</v>
      </c>
    </row>
    <row r="106" spans="2:10">
      <c r="B106" s="34">
        <v>46281</v>
      </c>
      <c r="C106" s="28" t="s">
        <v>99</v>
      </c>
      <c r="D106" s="28" t="s">
        <v>97</v>
      </c>
      <c r="E106" s="28" t="s">
        <v>125</v>
      </c>
      <c r="F106" s="35">
        <v>35</v>
      </c>
      <c r="G106" s="43" t="str">
        <f>IF(tblDowntime[[#This Row],[Date]]="","",IFERROR(INDEX(tblReasons[Loss category],MATCH(tblDowntime[[#This Row],[Reason]],tblReasons[Reason],0)),""))</f>
        <v>Breakdown</v>
      </c>
      <c r="H106" s="41">
        <f>IF(tblDowntime[[#This Row],[Date]]="","",IF(AND(tblDowntime[[#This Row],[Date]]&gt;=FFrom,tblDowntime[[#This Row],[Date]]&lt;=FTo,OR(DashMachine="",tblDowntime[[#This Row],[Machine]]=DashMachine)),tblDowntime[[#This Row],[Date]],""))</f>
        <v>46281</v>
      </c>
      <c r="I10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6" s="44" t="s">
        <v>156</v>
      </c>
    </row>
    <row r="107" spans="2:10">
      <c r="B107" s="34">
        <v>46281</v>
      </c>
      <c r="C107" s="28" t="s">
        <v>102</v>
      </c>
      <c r="D107" s="28" t="s">
        <v>89</v>
      </c>
      <c r="E107" s="28" t="s">
        <v>116</v>
      </c>
      <c r="F107" s="35">
        <v>120</v>
      </c>
      <c r="G107" s="43" t="str">
        <f>IF(tblDowntime[[#This Row],[Date]]="","",IFERROR(INDEX(tblReasons[Loss category],MATCH(tblDowntime[[#This Row],[Reason]],tblReasons[Reason],0)),""))</f>
        <v>Changeover</v>
      </c>
      <c r="H107" s="41">
        <f>IF(tblDowntime[[#This Row],[Date]]="","",IF(AND(tblDowntime[[#This Row],[Date]]&gt;=FFrom,tblDowntime[[#This Row],[Date]]&lt;=FTo,OR(DashMachine="",tblDowntime[[#This Row],[Machine]]=DashMachine)),tblDowntime[[#This Row],[Date]],""))</f>
        <v>46281</v>
      </c>
      <c r="I10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7" s="44" t="s">
        <v>156</v>
      </c>
    </row>
    <row r="108" spans="2:10">
      <c r="B108" s="34">
        <v>46281</v>
      </c>
      <c r="C108" s="28" t="s">
        <v>102</v>
      </c>
      <c r="D108" s="28" t="s">
        <v>89</v>
      </c>
      <c r="E108" s="28" t="s">
        <v>122</v>
      </c>
      <c r="F108" s="35">
        <v>40</v>
      </c>
      <c r="G108" s="43" t="str">
        <f>IF(tblDowntime[[#This Row],[Date]]="","",IFERROR(INDEX(tblReasons[Loss category],MATCH(tblDowntime[[#This Row],[Reason]],tblReasons[Reason],0)),""))</f>
        <v>Breakdown</v>
      </c>
      <c r="H108" s="41">
        <f>IF(tblDowntime[[#This Row],[Date]]="","",IF(AND(tblDowntime[[#This Row],[Date]]&gt;=FFrom,tblDowntime[[#This Row],[Date]]&lt;=FTo,OR(DashMachine="",tblDowntime[[#This Row],[Machine]]=DashMachine)),tblDowntime[[#This Row],[Date]],""))</f>
        <v>46281</v>
      </c>
      <c r="I10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8" s="44" t="s">
        <v>156</v>
      </c>
    </row>
    <row r="109" spans="2:10">
      <c r="B109" s="34">
        <v>46281</v>
      </c>
      <c r="C109" s="28" t="s">
        <v>102</v>
      </c>
      <c r="D109" s="28" t="s">
        <v>89</v>
      </c>
      <c r="E109" s="28" t="s">
        <v>119</v>
      </c>
      <c r="F109" s="35">
        <v>25</v>
      </c>
      <c r="G109" s="43" t="str">
        <f>IF(tblDowntime[[#This Row],[Date]]="","",IFERROR(INDEX(tblReasons[Loss category],MATCH(tblDowntime[[#This Row],[Reason]],tblReasons[Reason],0)),""))</f>
        <v>Material</v>
      </c>
      <c r="H109" s="41">
        <f>IF(tblDowntime[[#This Row],[Date]]="","",IF(AND(tblDowntime[[#This Row],[Date]]&gt;=FFrom,tblDowntime[[#This Row],[Date]]&lt;=FTo,OR(DashMachine="",tblDowntime[[#This Row],[Machine]]=DashMachine)),tblDowntime[[#This Row],[Date]],""))</f>
        <v>46281</v>
      </c>
      <c r="I10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09" s="44" t="s">
        <v>156</v>
      </c>
    </row>
    <row r="110" spans="2:10">
      <c r="B110" s="34">
        <v>46281</v>
      </c>
      <c r="C110" s="28" t="s">
        <v>102</v>
      </c>
      <c r="D110" s="28" t="s">
        <v>92</v>
      </c>
      <c r="E110" s="28" t="s">
        <v>116</v>
      </c>
      <c r="F110" s="35">
        <v>105</v>
      </c>
      <c r="G110" s="43" t="str">
        <f>IF(tblDowntime[[#This Row],[Date]]="","",IFERROR(INDEX(tblReasons[Loss category],MATCH(tblDowntime[[#This Row],[Reason]],tblReasons[Reason],0)),""))</f>
        <v>Changeover</v>
      </c>
      <c r="H110" s="41">
        <f>IF(tblDowntime[[#This Row],[Date]]="","",IF(AND(tblDowntime[[#This Row],[Date]]&gt;=FFrom,tblDowntime[[#This Row],[Date]]&lt;=FTo,OR(DashMachine="",tblDowntime[[#This Row],[Machine]]=DashMachine)),tblDowntime[[#This Row],[Date]],""))</f>
        <v>46281</v>
      </c>
      <c r="I11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0" s="44" t="s">
        <v>156</v>
      </c>
    </row>
    <row r="111" spans="2:10">
      <c r="B111" s="34">
        <v>46281</v>
      </c>
      <c r="C111" s="28" t="s">
        <v>102</v>
      </c>
      <c r="D111" s="28" t="s">
        <v>94</v>
      </c>
      <c r="E111" s="28" t="s">
        <v>116</v>
      </c>
      <c r="F111" s="35">
        <v>90</v>
      </c>
      <c r="G111" s="43" t="str">
        <f>IF(tblDowntime[[#This Row],[Date]]="","",IFERROR(INDEX(tblReasons[Loss category],MATCH(tblDowntime[[#This Row],[Reason]],tblReasons[Reason],0)),""))</f>
        <v>Changeover</v>
      </c>
      <c r="H111" s="41">
        <f>IF(tblDowntime[[#This Row],[Date]]="","",IF(AND(tblDowntime[[#This Row],[Date]]&gt;=FFrom,tblDowntime[[#This Row],[Date]]&lt;=FTo,OR(DashMachine="",tblDowntime[[#This Row],[Machine]]=DashMachine)),tblDowntime[[#This Row],[Date]],""))</f>
        <v>46281</v>
      </c>
      <c r="I11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1" s="44" t="s">
        <v>156</v>
      </c>
    </row>
    <row r="112" spans="2:10">
      <c r="B112" s="34">
        <v>46281</v>
      </c>
      <c r="C112" s="28" t="s">
        <v>102</v>
      </c>
      <c r="D112" s="28" t="s">
        <v>94</v>
      </c>
      <c r="E112" s="28" t="s">
        <v>125</v>
      </c>
      <c r="F112" s="35">
        <v>55</v>
      </c>
      <c r="G112" s="43" t="str">
        <f>IF(tblDowntime[[#This Row],[Date]]="","",IFERROR(INDEX(tblReasons[Loss category],MATCH(tblDowntime[[#This Row],[Reason]],tblReasons[Reason],0)),""))</f>
        <v>Breakdown</v>
      </c>
      <c r="H112" s="41">
        <f>IF(tblDowntime[[#This Row],[Date]]="","",IF(AND(tblDowntime[[#This Row],[Date]]&gt;=FFrom,tblDowntime[[#This Row],[Date]]&lt;=FTo,OR(DashMachine="",tblDowntime[[#This Row],[Machine]]=DashMachine)),tblDowntime[[#This Row],[Date]],""))</f>
        <v>46281</v>
      </c>
      <c r="I11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2" s="44" t="s">
        <v>156</v>
      </c>
    </row>
    <row r="113" spans="2:10">
      <c r="B113" s="34">
        <v>46281</v>
      </c>
      <c r="C113" s="28" t="s">
        <v>102</v>
      </c>
      <c r="D113" s="28" t="s">
        <v>94</v>
      </c>
      <c r="E113" s="28" t="s">
        <v>131</v>
      </c>
      <c r="F113" s="35">
        <v>20</v>
      </c>
      <c r="G113" s="43" t="str">
        <f>IF(tblDowntime[[#This Row],[Date]]="","",IFERROR(INDEX(tblReasons[Loss category],MATCH(tblDowntime[[#This Row],[Reason]],tblReasons[Reason],0)),""))</f>
        <v>Changeover</v>
      </c>
      <c r="H113" s="41">
        <f>IF(tblDowntime[[#This Row],[Date]]="","",IF(AND(tblDowntime[[#This Row],[Date]]&gt;=FFrom,tblDowntime[[#This Row],[Date]]&lt;=FTo,OR(DashMachine="",tblDowntime[[#This Row],[Machine]]=DashMachine)),tblDowntime[[#This Row],[Date]],""))</f>
        <v>46281</v>
      </c>
      <c r="I11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3" s="44" t="s">
        <v>156</v>
      </c>
    </row>
    <row r="114" spans="2:10">
      <c r="B114" s="34">
        <v>46281</v>
      </c>
      <c r="C114" s="28" t="s">
        <v>102</v>
      </c>
      <c r="D114" s="28" t="s">
        <v>94</v>
      </c>
      <c r="E114" s="28" t="s">
        <v>127</v>
      </c>
      <c r="F114" s="35">
        <v>95</v>
      </c>
      <c r="G114" s="43" t="str">
        <f>IF(tblDowntime[[#This Row],[Date]]="","",IFERROR(INDEX(tblReasons[Loss category],MATCH(tblDowntime[[#This Row],[Reason]],tblReasons[Reason],0)),""))</f>
        <v>Breakdown</v>
      </c>
      <c r="H114" s="41">
        <f>IF(tblDowntime[[#This Row],[Date]]="","",IF(AND(tblDowntime[[#This Row],[Date]]&gt;=FFrom,tblDowntime[[#This Row],[Date]]&lt;=FTo,OR(DashMachine="",tblDowntime[[#This Row],[Machine]]=DashMachine)),tblDowntime[[#This Row],[Date]],""))</f>
        <v>46281</v>
      </c>
      <c r="I11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4" s="44" t="s">
        <v>156</v>
      </c>
    </row>
    <row r="115" spans="2:10">
      <c r="B115" s="34">
        <v>46281</v>
      </c>
      <c r="C115" s="28" t="s">
        <v>102</v>
      </c>
      <c r="D115" s="28" t="s">
        <v>97</v>
      </c>
      <c r="E115" s="28" t="s">
        <v>116</v>
      </c>
      <c r="F115" s="35">
        <v>120</v>
      </c>
      <c r="G115" s="43" t="str">
        <f>IF(tblDowntime[[#This Row],[Date]]="","",IFERROR(INDEX(tblReasons[Loss category],MATCH(tblDowntime[[#This Row],[Reason]],tblReasons[Reason],0)),""))</f>
        <v>Changeover</v>
      </c>
      <c r="H115" s="41">
        <f>IF(tblDowntime[[#This Row],[Date]]="","",IF(AND(tblDowntime[[#This Row],[Date]]&gt;=FFrom,tblDowntime[[#This Row],[Date]]&lt;=FTo,OR(DashMachine="",tblDowntime[[#This Row],[Machine]]=DashMachine)),tblDowntime[[#This Row],[Date]],""))</f>
        <v>46281</v>
      </c>
      <c r="I11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5" s="44" t="s">
        <v>156</v>
      </c>
    </row>
    <row r="116" spans="2:10">
      <c r="B116" s="34">
        <v>46281</v>
      </c>
      <c r="C116" s="28" t="s">
        <v>102</v>
      </c>
      <c r="D116" s="28" t="s">
        <v>97</v>
      </c>
      <c r="E116" s="28" t="s">
        <v>131</v>
      </c>
      <c r="F116" s="35">
        <v>20</v>
      </c>
      <c r="G116" s="43" t="str">
        <f>IF(tblDowntime[[#This Row],[Date]]="","",IFERROR(INDEX(tblReasons[Loss category],MATCH(tblDowntime[[#This Row],[Reason]],tblReasons[Reason],0)),""))</f>
        <v>Changeover</v>
      </c>
      <c r="H116" s="41">
        <f>IF(tblDowntime[[#This Row],[Date]]="","",IF(AND(tblDowntime[[#This Row],[Date]]&gt;=FFrom,tblDowntime[[#This Row],[Date]]&lt;=FTo,OR(DashMachine="",tblDowntime[[#This Row],[Machine]]=DashMachine)),tblDowntime[[#This Row],[Date]],""))</f>
        <v>46281</v>
      </c>
      <c r="I11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6" s="44" t="s">
        <v>156</v>
      </c>
    </row>
    <row r="117" spans="2:10">
      <c r="B117" s="34">
        <v>46282</v>
      </c>
      <c r="C117" s="28" t="s">
        <v>99</v>
      </c>
      <c r="D117" s="28" t="s">
        <v>89</v>
      </c>
      <c r="E117" s="28" t="s">
        <v>131</v>
      </c>
      <c r="F117" s="35">
        <v>20</v>
      </c>
      <c r="G117" s="43" t="str">
        <f>IF(tblDowntime[[#This Row],[Date]]="","",IFERROR(INDEX(tblReasons[Loss category],MATCH(tblDowntime[[#This Row],[Reason]],tblReasons[Reason],0)),""))</f>
        <v>Changeover</v>
      </c>
      <c r="H117" s="41">
        <f>IF(tblDowntime[[#This Row],[Date]]="","",IF(AND(tblDowntime[[#This Row],[Date]]&gt;=FFrom,tblDowntime[[#This Row],[Date]]&lt;=FTo,OR(DashMachine="",tblDowntime[[#This Row],[Machine]]=DashMachine)),tblDowntime[[#This Row],[Date]],""))</f>
        <v>46282</v>
      </c>
      <c r="I11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7" s="44" t="s">
        <v>156</v>
      </c>
    </row>
    <row r="118" spans="2:10">
      <c r="B118" s="34">
        <v>46282</v>
      </c>
      <c r="C118" s="28" t="s">
        <v>99</v>
      </c>
      <c r="D118" s="28" t="s">
        <v>89</v>
      </c>
      <c r="E118" s="28" t="s">
        <v>122</v>
      </c>
      <c r="F118" s="35">
        <v>55</v>
      </c>
      <c r="G118" s="43" t="str">
        <f>IF(tblDowntime[[#This Row],[Date]]="","",IFERROR(INDEX(tblReasons[Loss category],MATCH(tblDowntime[[#This Row],[Reason]],tblReasons[Reason],0)),""))</f>
        <v>Breakdown</v>
      </c>
      <c r="H118" s="41">
        <f>IF(tblDowntime[[#This Row],[Date]]="","",IF(AND(tblDowntime[[#This Row],[Date]]&gt;=FFrom,tblDowntime[[#This Row],[Date]]&lt;=FTo,OR(DashMachine="",tblDowntime[[#This Row],[Machine]]=DashMachine)),tblDowntime[[#This Row],[Date]],""))</f>
        <v>46282</v>
      </c>
      <c r="I11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8" s="44" t="s">
        <v>156</v>
      </c>
    </row>
    <row r="119" spans="2:10">
      <c r="B119" s="34">
        <v>46282</v>
      </c>
      <c r="C119" s="28" t="s">
        <v>99</v>
      </c>
      <c r="D119" s="28" t="s">
        <v>92</v>
      </c>
      <c r="E119" s="28" t="s">
        <v>116</v>
      </c>
      <c r="F119" s="35">
        <v>105</v>
      </c>
      <c r="G119" s="43" t="str">
        <f>IF(tblDowntime[[#This Row],[Date]]="","",IFERROR(INDEX(tblReasons[Loss category],MATCH(tblDowntime[[#This Row],[Reason]],tblReasons[Reason],0)),""))</f>
        <v>Changeover</v>
      </c>
      <c r="H119" s="41">
        <f>IF(tblDowntime[[#This Row],[Date]]="","",IF(AND(tblDowntime[[#This Row],[Date]]&gt;=FFrom,tblDowntime[[#This Row],[Date]]&lt;=FTo,OR(DashMachine="",tblDowntime[[#This Row],[Machine]]=DashMachine)),tblDowntime[[#This Row],[Date]],""))</f>
        <v>46282</v>
      </c>
      <c r="I11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19" s="44" t="s">
        <v>156</v>
      </c>
    </row>
    <row r="120" spans="2:10">
      <c r="B120" s="34">
        <v>46282</v>
      </c>
      <c r="C120" s="28" t="s">
        <v>99</v>
      </c>
      <c r="D120" s="28" t="s">
        <v>92</v>
      </c>
      <c r="E120" s="28" t="s">
        <v>133</v>
      </c>
      <c r="F120" s="35">
        <v>35</v>
      </c>
      <c r="G120" s="43" t="str">
        <f>IF(tblDowntime[[#This Row],[Date]]="","",IFERROR(INDEX(tblReasons[Loss category],MATCH(tblDowntime[[#This Row],[Reason]],tblReasons[Reason],0)),""))</f>
        <v>Quality</v>
      </c>
      <c r="H120" s="41">
        <f>IF(tblDowntime[[#This Row],[Date]]="","",IF(AND(tblDowntime[[#This Row],[Date]]&gt;=FFrom,tblDowntime[[#This Row],[Date]]&lt;=FTo,OR(DashMachine="",tblDowntime[[#This Row],[Machine]]=DashMachine)),tblDowntime[[#This Row],[Date]],""))</f>
        <v>46282</v>
      </c>
      <c r="I12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0" s="44" t="s">
        <v>156</v>
      </c>
    </row>
    <row r="121" spans="2:10">
      <c r="B121" s="34">
        <v>46282</v>
      </c>
      <c r="C121" s="28" t="s">
        <v>99</v>
      </c>
      <c r="D121" s="28" t="s">
        <v>92</v>
      </c>
      <c r="E121" s="28" t="s">
        <v>136</v>
      </c>
      <c r="F121" s="35">
        <v>10</v>
      </c>
      <c r="G121" s="43" t="str">
        <f>IF(tblDowntime[[#This Row],[Date]]="","",IFERROR(INDEX(tblReasons[Loss category],MATCH(tblDowntime[[#This Row],[Reason]],tblReasons[Reason],0)),""))</f>
        <v>Labour</v>
      </c>
      <c r="H121" s="41">
        <f>IF(tblDowntime[[#This Row],[Date]]="","",IF(AND(tblDowntime[[#This Row],[Date]]&gt;=FFrom,tblDowntime[[#This Row],[Date]]&lt;=FTo,OR(DashMachine="",tblDowntime[[#This Row],[Machine]]=DashMachine)),tblDowntime[[#This Row],[Date]],""))</f>
        <v>46282</v>
      </c>
      <c r="I12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1" s="44" t="s">
        <v>156</v>
      </c>
    </row>
    <row r="122" spans="2:10">
      <c r="B122" s="34">
        <v>46282</v>
      </c>
      <c r="C122" s="28" t="s">
        <v>99</v>
      </c>
      <c r="D122" s="28" t="s">
        <v>94</v>
      </c>
      <c r="E122" s="28" t="s">
        <v>139</v>
      </c>
      <c r="F122" s="35">
        <v>20</v>
      </c>
      <c r="G122" s="43" t="str">
        <f>IF(tblDowntime[[#This Row],[Date]]="","",IFERROR(INDEX(tblReasons[Loss category],MATCH(tblDowntime[[#This Row],[Reason]],tblReasons[Reason],0)),""))</f>
        <v>Other</v>
      </c>
      <c r="H122" s="41">
        <f>IF(tblDowntime[[#This Row],[Date]]="","",IF(AND(tblDowntime[[#This Row],[Date]]&gt;=FFrom,tblDowntime[[#This Row],[Date]]&lt;=FTo,OR(DashMachine="",tblDowntime[[#This Row],[Machine]]=DashMachine)),tblDowntime[[#This Row],[Date]],""))</f>
        <v>46282</v>
      </c>
      <c r="I12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2" s="44" t="s">
        <v>156</v>
      </c>
    </row>
    <row r="123" spans="2:10">
      <c r="B123" s="34">
        <v>46282</v>
      </c>
      <c r="C123" s="28" t="s">
        <v>99</v>
      </c>
      <c r="D123" s="28" t="s">
        <v>94</v>
      </c>
      <c r="E123" s="28" t="s">
        <v>129</v>
      </c>
      <c r="F123" s="35">
        <v>20</v>
      </c>
      <c r="G123" s="43" t="str">
        <f>IF(tblDowntime[[#This Row],[Date]]="","",IFERROR(INDEX(tblReasons[Loss category],MATCH(tblDowntime[[#This Row],[Reason]],tblReasons[Reason],0)),""))</f>
        <v>Breakdown</v>
      </c>
      <c r="H123" s="41">
        <f>IF(tblDowntime[[#This Row],[Date]]="","",IF(AND(tblDowntime[[#This Row],[Date]]&gt;=FFrom,tblDowntime[[#This Row],[Date]]&lt;=FTo,OR(DashMachine="",tblDowntime[[#This Row],[Machine]]=DashMachine)),tblDowntime[[#This Row],[Date]],""))</f>
        <v>46282</v>
      </c>
      <c r="I12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3" s="44" t="s">
        <v>156</v>
      </c>
    </row>
    <row r="124" spans="2:10">
      <c r="B124" s="34">
        <v>46282</v>
      </c>
      <c r="C124" s="28" t="s">
        <v>99</v>
      </c>
      <c r="D124" s="28" t="s">
        <v>94</v>
      </c>
      <c r="E124" s="28" t="s">
        <v>119</v>
      </c>
      <c r="F124" s="35">
        <v>35</v>
      </c>
      <c r="G124" s="43" t="str">
        <f>IF(tblDowntime[[#This Row],[Date]]="","",IFERROR(INDEX(tblReasons[Loss category],MATCH(tblDowntime[[#This Row],[Reason]],tblReasons[Reason],0)),""))</f>
        <v>Material</v>
      </c>
      <c r="H124" s="41">
        <f>IF(tblDowntime[[#This Row],[Date]]="","",IF(AND(tblDowntime[[#This Row],[Date]]&gt;=FFrom,tblDowntime[[#This Row],[Date]]&lt;=FTo,OR(DashMachine="",tblDowntime[[#This Row],[Machine]]=DashMachine)),tblDowntime[[#This Row],[Date]],""))</f>
        <v>46282</v>
      </c>
      <c r="I12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4" s="44" t="s">
        <v>156</v>
      </c>
    </row>
    <row r="125" spans="2:10">
      <c r="B125" s="34">
        <v>46282</v>
      </c>
      <c r="C125" s="28" t="s">
        <v>99</v>
      </c>
      <c r="D125" s="28" t="s">
        <v>97</v>
      </c>
      <c r="E125" s="28" t="s">
        <v>129</v>
      </c>
      <c r="F125" s="35">
        <v>10</v>
      </c>
      <c r="G125" s="43" t="str">
        <f>IF(tblDowntime[[#This Row],[Date]]="","",IFERROR(INDEX(tblReasons[Loss category],MATCH(tblDowntime[[#This Row],[Reason]],tblReasons[Reason],0)),""))</f>
        <v>Breakdown</v>
      </c>
      <c r="H125" s="41">
        <f>IF(tblDowntime[[#This Row],[Date]]="","",IF(AND(tblDowntime[[#This Row],[Date]]&gt;=FFrom,tblDowntime[[#This Row],[Date]]&lt;=FTo,OR(DashMachine="",tblDowntime[[#This Row],[Machine]]=DashMachine)),tblDowntime[[#This Row],[Date]],""))</f>
        <v>46282</v>
      </c>
      <c r="I12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5" s="44" t="s">
        <v>156</v>
      </c>
    </row>
    <row r="126" spans="2:10">
      <c r="B126" s="34">
        <v>46282</v>
      </c>
      <c r="C126" s="28" t="s">
        <v>99</v>
      </c>
      <c r="D126" s="28" t="s">
        <v>97</v>
      </c>
      <c r="E126" s="28" t="s">
        <v>125</v>
      </c>
      <c r="F126" s="35">
        <v>15</v>
      </c>
      <c r="G126" s="43" t="str">
        <f>IF(tblDowntime[[#This Row],[Date]]="","",IFERROR(INDEX(tblReasons[Loss category],MATCH(tblDowntime[[#This Row],[Reason]],tblReasons[Reason],0)),""))</f>
        <v>Breakdown</v>
      </c>
      <c r="H126" s="41">
        <f>IF(tblDowntime[[#This Row],[Date]]="","",IF(AND(tblDowntime[[#This Row],[Date]]&gt;=FFrom,tblDowntime[[#This Row],[Date]]&lt;=FTo,OR(DashMachine="",tblDowntime[[#This Row],[Machine]]=DashMachine)),tblDowntime[[#This Row],[Date]],""))</f>
        <v>46282</v>
      </c>
      <c r="I12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6" s="44" t="s">
        <v>156</v>
      </c>
    </row>
    <row r="127" spans="2:10">
      <c r="B127" s="34">
        <v>46282</v>
      </c>
      <c r="C127" s="28" t="s">
        <v>102</v>
      </c>
      <c r="D127" s="28" t="s">
        <v>92</v>
      </c>
      <c r="E127" s="28" t="s">
        <v>127</v>
      </c>
      <c r="F127" s="35">
        <v>60</v>
      </c>
      <c r="G127" s="43" t="str">
        <f>IF(tblDowntime[[#This Row],[Date]]="","",IFERROR(INDEX(tblReasons[Loss category],MATCH(tblDowntime[[#This Row],[Reason]],tblReasons[Reason],0)),""))</f>
        <v>Breakdown</v>
      </c>
      <c r="H127" s="41">
        <f>IF(tblDowntime[[#This Row],[Date]]="","",IF(AND(tblDowntime[[#This Row],[Date]]&gt;=FFrom,tblDowntime[[#This Row],[Date]]&lt;=FTo,OR(DashMachine="",tblDowntime[[#This Row],[Machine]]=DashMachine)),tblDowntime[[#This Row],[Date]],""))</f>
        <v>46282</v>
      </c>
      <c r="I12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7" s="44" t="s">
        <v>156</v>
      </c>
    </row>
    <row r="128" spans="2:10">
      <c r="B128" s="34">
        <v>46282</v>
      </c>
      <c r="C128" s="28" t="s">
        <v>102</v>
      </c>
      <c r="D128" s="28" t="s">
        <v>94</v>
      </c>
      <c r="E128" s="28" t="s">
        <v>125</v>
      </c>
      <c r="F128" s="35">
        <v>40</v>
      </c>
      <c r="G128" s="43" t="str">
        <f>IF(tblDowntime[[#This Row],[Date]]="","",IFERROR(INDEX(tblReasons[Loss category],MATCH(tblDowntime[[#This Row],[Reason]],tblReasons[Reason],0)),""))</f>
        <v>Breakdown</v>
      </c>
      <c r="H128" s="41">
        <f>IF(tblDowntime[[#This Row],[Date]]="","",IF(AND(tblDowntime[[#This Row],[Date]]&gt;=FFrom,tblDowntime[[#This Row],[Date]]&lt;=FTo,OR(DashMachine="",tblDowntime[[#This Row],[Machine]]=DashMachine)),tblDowntime[[#This Row],[Date]],""))</f>
        <v>46282</v>
      </c>
      <c r="I12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8" s="44" t="s">
        <v>156</v>
      </c>
    </row>
    <row r="129" spans="2:10">
      <c r="B129" s="34">
        <v>46282</v>
      </c>
      <c r="C129" s="28" t="s">
        <v>102</v>
      </c>
      <c r="D129" s="28" t="s">
        <v>94</v>
      </c>
      <c r="E129" s="28" t="s">
        <v>125</v>
      </c>
      <c r="F129" s="35">
        <v>60</v>
      </c>
      <c r="G129" s="43" t="str">
        <f>IF(tblDowntime[[#This Row],[Date]]="","",IFERROR(INDEX(tblReasons[Loss category],MATCH(tblDowntime[[#This Row],[Reason]],tblReasons[Reason],0)),""))</f>
        <v>Breakdown</v>
      </c>
      <c r="H129" s="41">
        <f>IF(tblDowntime[[#This Row],[Date]]="","",IF(AND(tblDowntime[[#This Row],[Date]]&gt;=FFrom,tblDowntime[[#This Row],[Date]]&lt;=FTo,OR(DashMachine="",tblDowntime[[#This Row],[Machine]]=DashMachine)),tblDowntime[[#This Row],[Date]],""))</f>
        <v>46282</v>
      </c>
      <c r="I12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29" s="44" t="s">
        <v>156</v>
      </c>
    </row>
    <row r="130" spans="2:10">
      <c r="B130" s="34">
        <v>46282</v>
      </c>
      <c r="C130" s="28" t="s">
        <v>102</v>
      </c>
      <c r="D130" s="28" t="s">
        <v>97</v>
      </c>
      <c r="E130" s="28" t="s">
        <v>119</v>
      </c>
      <c r="F130" s="35">
        <v>15</v>
      </c>
      <c r="G130" s="43" t="str">
        <f>IF(tblDowntime[[#This Row],[Date]]="","",IFERROR(INDEX(tblReasons[Loss category],MATCH(tblDowntime[[#This Row],[Reason]],tblReasons[Reason],0)),""))</f>
        <v>Material</v>
      </c>
      <c r="H130" s="41">
        <f>IF(tblDowntime[[#This Row],[Date]]="","",IF(AND(tblDowntime[[#This Row],[Date]]&gt;=FFrom,tblDowntime[[#This Row],[Date]]&lt;=FTo,OR(DashMachine="",tblDowntime[[#This Row],[Machine]]=DashMachine)),tblDowntime[[#This Row],[Date]],""))</f>
        <v>46282</v>
      </c>
      <c r="I13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0" s="44" t="s">
        <v>156</v>
      </c>
    </row>
    <row r="131" spans="2:10">
      <c r="B131" s="34">
        <v>46282</v>
      </c>
      <c r="C131" s="28" t="s">
        <v>102</v>
      </c>
      <c r="D131" s="28" t="s">
        <v>97</v>
      </c>
      <c r="E131" s="28" t="s">
        <v>131</v>
      </c>
      <c r="F131" s="35">
        <v>25</v>
      </c>
      <c r="G131" s="43" t="str">
        <f>IF(tblDowntime[[#This Row],[Date]]="","",IFERROR(INDEX(tblReasons[Loss category],MATCH(tblDowntime[[#This Row],[Reason]],tblReasons[Reason],0)),""))</f>
        <v>Changeover</v>
      </c>
      <c r="H131" s="41">
        <f>IF(tblDowntime[[#This Row],[Date]]="","",IF(AND(tblDowntime[[#This Row],[Date]]&gt;=FFrom,tblDowntime[[#This Row],[Date]]&lt;=FTo,OR(DashMachine="",tblDowntime[[#This Row],[Machine]]=DashMachine)),tblDowntime[[#This Row],[Date]],""))</f>
        <v>46282</v>
      </c>
      <c r="I13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1" s="44" t="s">
        <v>156</v>
      </c>
    </row>
    <row r="132" spans="2:10">
      <c r="B132" s="34">
        <v>46283</v>
      </c>
      <c r="C132" s="28" t="s">
        <v>99</v>
      </c>
      <c r="D132" s="28" t="s">
        <v>92</v>
      </c>
      <c r="E132" s="28" t="s">
        <v>116</v>
      </c>
      <c r="F132" s="35">
        <v>75</v>
      </c>
      <c r="G132" s="43" t="str">
        <f>IF(tblDowntime[[#This Row],[Date]]="","",IFERROR(INDEX(tblReasons[Loss category],MATCH(tblDowntime[[#This Row],[Reason]],tblReasons[Reason],0)),""))</f>
        <v>Changeover</v>
      </c>
      <c r="H132" s="41">
        <f>IF(tblDowntime[[#This Row],[Date]]="","",IF(AND(tblDowntime[[#This Row],[Date]]&gt;=FFrom,tblDowntime[[#This Row],[Date]]&lt;=FTo,OR(DashMachine="",tblDowntime[[#This Row],[Machine]]=DashMachine)),tblDowntime[[#This Row],[Date]],""))</f>
        <v>46283</v>
      </c>
      <c r="I13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2" s="44" t="s">
        <v>156</v>
      </c>
    </row>
    <row r="133" spans="2:10">
      <c r="B133" s="34">
        <v>46283</v>
      </c>
      <c r="C133" s="28" t="s">
        <v>99</v>
      </c>
      <c r="D133" s="28" t="s">
        <v>92</v>
      </c>
      <c r="E133" s="28" t="s">
        <v>119</v>
      </c>
      <c r="F133" s="35">
        <v>35</v>
      </c>
      <c r="G133" s="43" t="str">
        <f>IF(tblDowntime[[#This Row],[Date]]="","",IFERROR(INDEX(tblReasons[Loss category],MATCH(tblDowntime[[#This Row],[Reason]],tblReasons[Reason],0)),""))</f>
        <v>Material</v>
      </c>
      <c r="H133" s="41">
        <f>IF(tblDowntime[[#This Row],[Date]]="","",IF(AND(tblDowntime[[#This Row],[Date]]&gt;=FFrom,tblDowntime[[#This Row],[Date]]&lt;=FTo,OR(DashMachine="",tblDowntime[[#This Row],[Machine]]=DashMachine)),tblDowntime[[#This Row],[Date]],""))</f>
        <v>46283</v>
      </c>
      <c r="I13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3" s="44" t="s">
        <v>156</v>
      </c>
    </row>
    <row r="134" spans="2:10">
      <c r="B134" s="34">
        <v>46283</v>
      </c>
      <c r="C134" s="28" t="s">
        <v>99</v>
      </c>
      <c r="D134" s="28" t="s">
        <v>94</v>
      </c>
      <c r="E134" s="28" t="s">
        <v>116</v>
      </c>
      <c r="F134" s="35">
        <v>120</v>
      </c>
      <c r="G134" s="43" t="str">
        <f>IF(tblDowntime[[#This Row],[Date]]="","",IFERROR(INDEX(tblReasons[Loss category],MATCH(tblDowntime[[#This Row],[Reason]],tblReasons[Reason],0)),""))</f>
        <v>Changeover</v>
      </c>
      <c r="H134" s="41">
        <f>IF(tblDowntime[[#This Row],[Date]]="","",IF(AND(tblDowntime[[#This Row],[Date]]&gt;=FFrom,tblDowntime[[#This Row],[Date]]&lt;=FTo,OR(DashMachine="",tblDowntime[[#This Row],[Machine]]=DashMachine)),tblDowntime[[#This Row],[Date]],""))</f>
        <v>46283</v>
      </c>
      <c r="I13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4" s="44" t="s">
        <v>156</v>
      </c>
    </row>
    <row r="135" spans="2:10">
      <c r="B135" s="34">
        <v>46283</v>
      </c>
      <c r="C135" s="28" t="s">
        <v>99</v>
      </c>
      <c r="D135" s="28" t="s">
        <v>94</v>
      </c>
      <c r="E135" s="28" t="s">
        <v>131</v>
      </c>
      <c r="F135" s="35">
        <v>15</v>
      </c>
      <c r="G135" s="43" t="str">
        <f>IF(tblDowntime[[#This Row],[Date]]="","",IFERROR(INDEX(tblReasons[Loss category],MATCH(tblDowntime[[#This Row],[Reason]],tblReasons[Reason],0)),""))</f>
        <v>Changeover</v>
      </c>
      <c r="H135" s="41">
        <f>IF(tblDowntime[[#This Row],[Date]]="","",IF(AND(tblDowntime[[#This Row],[Date]]&gt;=FFrom,tblDowntime[[#This Row],[Date]]&lt;=FTo,OR(DashMachine="",tblDowntime[[#This Row],[Machine]]=DashMachine)),tblDowntime[[#This Row],[Date]],""))</f>
        <v>46283</v>
      </c>
      <c r="I13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5" s="44" t="s">
        <v>156</v>
      </c>
    </row>
    <row r="136" spans="2:10">
      <c r="B136" s="34">
        <v>46283</v>
      </c>
      <c r="C136" s="28" t="s">
        <v>99</v>
      </c>
      <c r="D136" s="28" t="s">
        <v>94</v>
      </c>
      <c r="E136" s="28" t="s">
        <v>133</v>
      </c>
      <c r="F136" s="35">
        <v>30</v>
      </c>
      <c r="G136" s="43" t="str">
        <f>IF(tblDowntime[[#This Row],[Date]]="","",IFERROR(INDEX(tblReasons[Loss category],MATCH(tblDowntime[[#This Row],[Reason]],tblReasons[Reason],0)),""))</f>
        <v>Quality</v>
      </c>
      <c r="H136" s="41">
        <f>IF(tblDowntime[[#This Row],[Date]]="","",IF(AND(tblDowntime[[#This Row],[Date]]&gt;=FFrom,tblDowntime[[#This Row],[Date]]&lt;=FTo,OR(DashMachine="",tblDowntime[[#This Row],[Machine]]=DashMachine)),tblDowntime[[#This Row],[Date]],""))</f>
        <v>46283</v>
      </c>
      <c r="I13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6" s="44" t="s">
        <v>156</v>
      </c>
    </row>
    <row r="137" spans="2:10">
      <c r="B137" s="34">
        <v>46283</v>
      </c>
      <c r="C137" s="28" t="s">
        <v>99</v>
      </c>
      <c r="D137" s="28" t="s">
        <v>94</v>
      </c>
      <c r="E137" s="28" t="s">
        <v>131</v>
      </c>
      <c r="F137" s="35">
        <v>25</v>
      </c>
      <c r="G137" s="43" t="str">
        <f>IF(tblDowntime[[#This Row],[Date]]="","",IFERROR(INDEX(tblReasons[Loss category],MATCH(tblDowntime[[#This Row],[Reason]],tblReasons[Reason],0)),""))</f>
        <v>Changeover</v>
      </c>
      <c r="H137" s="41">
        <f>IF(tblDowntime[[#This Row],[Date]]="","",IF(AND(tblDowntime[[#This Row],[Date]]&gt;=FFrom,tblDowntime[[#This Row],[Date]]&lt;=FTo,OR(DashMachine="",tblDowntime[[#This Row],[Machine]]=DashMachine)),tblDowntime[[#This Row],[Date]],""))</f>
        <v>46283</v>
      </c>
      <c r="I137"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7" s="44" t="s">
        <v>156</v>
      </c>
    </row>
    <row r="138" spans="2:10">
      <c r="B138" s="34">
        <v>46283</v>
      </c>
      <c r="C138" s="28" t="s">
        <v>99</v>
      </c>
      <c r="D138" s="28" t="s">
        <v>97</v>
      </c>
      <c r="E138" s="28" t="s">
        <v>136</v>
      </c>
      <c r="F138" s="35">
        <v>15</v>
      </c>
      <c r="G138" s="43" t="str">
        <f>IF(tblDowntime[[#This Row],[Date]]="","",IFERROR(INDEX(tblReasons[Loss category],MATCH(tblDowntime[[#This Row],[Reason]],tblReasons[Reason],0)),""))</f>
        <v>Labour</v>
      </c>
      <c r="H138" s="41">
        <f>IF(tblDowntime[[#This Row],[Date]]="","",IF(AND(tblDowntime[[#This Row],[Date]]&gt;=FFrom,tblDowntime[[#This Row],[Date]]&lt;=FTo,OR(DashMachine="",tblDowntime[[#This Row],[Machine]]=DashMachine)),tblDowntime[[#This Row],[Date]],""))</f>
        <v>46283</v>
      </c>
      <c r="I138"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8" s="44" t="s">
        <v>156</v>
      </c>
    </row>
    <row r="139" spans="2:10">
      <c r="B139" s="34">
        <v>46283</v>
      </c>
      <c r="C139" s="28" t="s">
        <v>102</v>
      </c>
      <c r="D139" s="28" t="s">
        <v>89</v>
      </c>
      <c r="E139" s="28" t="s">
        <v>119</v>
      </c>
      <c r="F139" s="35">
        <v>15</v>
      </c>
      <c r="G139" s="43" t="str">
        <f>IF(tblDowntime[[#This Row],[Date]]="","",IFERROR(INDEX(tblReasons[Loss category],MATCH(tblDowntime[[#This Row],[Reason]],tblReasons[Reason],0)),""))</f>
        <v>Material</v>
      </c>
      <c r="H139" s="41">
        <f>IF(tblDowntime[[#This Row],[Date]]="","",IF(AND(tblDowntime[[#This Row],[Date]]&gt;=FFrom,tblDowntime[[#This Row],[Date]]&lt;=FTo,OR(DashMachine="",tblDowntime[[#This Row],[Machine]]=DashMachine)),tblDowntime[[#This Row],[Date]],""))</f>
        <v>46283</v>
      </c>
      <c r="I139"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39" s="44" t="s">
        <v>156</v>
      </c>
    </row>
    <row r="140" spans="2:10">
      <c r="B140" s="34">
        <v>46283</v>
      </c>
      <c r="C140" s="28" t="s">
        <v>102</v>
      </c>
      <c r="D140" s="28" t="s">
        <v>94</v>
      </c>
      <c r="E140" s="28" t="s">
        <v>116</v>
      </c>
      <c r="F140" s="35">
        <v>120</v>
      </c>
      <c r="G140" s="43" t="str">
        <f>IF(tblDowntime[[#This Row],[Date]]="","",IFERROR(INDEX(tblReasons[Loss category],MATCH(tblDowntime[[#This Row],[Reason]],tblReasons[Reason],0)),""))</f>
        <v>Changeover</v>
      </c>
      <c r="H140" s="41">
        <f>IF(tblDowntime[[#This Row],[Date]]="","",IF(AND(tblDowntime[[#This Row],[Date]]&gt;=FFrom,tblDowntime[[#This Row],[Date]]&lt;=FTo,OR(DashMachine="",tblDowntime[[#This Row],[Machine]]=DashMachine)),tblDowntime[[#This Row],[Date]],""))</f>
        <v>46283</v>
      </c>
      <c r="I140"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0" s="44" t="s">
        <v>156</v>
      </c>
    </row>
    <row r="141" spans="2:10">
      <c r="B141" s="34">
        <v>46283</v>
      </c>
      <c r="C141" s="28" t="s">
        <v>102</v>
      </c>
      <c r="D141" s="28" t="s">
        <v>94</v>
      </c>
      <c r="E141" s="28" t="s">
        <v>136</v>
      </c>
      <c r="F141" s="35">
        <v>30</v>
      </c>
      <c r="G141" s="43" t="str">
        <f>IF(tblDowntime[[#This Row],[Date]]="","",IFERROR(INDEX(tblReasons[Loss category],MATCH(tblDowntime[[#This Row],[Reason]],tblReasons[Reason],0)),""))</f>
        <v>Labour</v>
      </c>
      <c r="H141" s="41">
        <f>IF(tblDowntime[[#This Row],[Date]]="","",IF(AND(tblDowntime[[#This Row],[Date]]&gt;=FFrom,tblDowntime[[#This Row],[Date]]&lt;=FTo,OR(DashMachine="",tblDowntime[[#This Row],[Machine]]=DashMachine)),tblDowntime[[#This Row],[Date]],""))</f>
        <v>46283</v>
      </c>
      <c r="I141"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1" s="44" t="s">
        <v>156</v>
      </c>
    </row>
    <row r="142" spans="2:10">
      <c r="B142" s="34">
        <v>46283</v>
      </c>
      <c r="C142" s="28" t="s">
        <v>102</v>
      </c>
      <c r="D142" s="28" t="s">
        <v>94</v>
      </c>
      <c r="E142" s="28" t="s">
        <v>122</v>
      </c>
      <c r="F142" s="35">
        <v>85</v>
      </c>
      <c r="G142" s="43" t="str">
        <f>IF(tblDowntime[[#This Row],[Date]]="","",IFERROR(INDEX(tblReasons[Loss category],MATCH(tblDowntime[[#This Row],[Reason]],tblReasons[Reason],0)),""))</f>
        <v>Breakdown</v>
      </c>
      <c r="H142" s="41">
        <f>IF(tblDowntime[[#This Row],[Date]]="","",IF(AND(tblDowntime[[#This Row],[Date]]&gt;=FFrom,tblDowntime[[#This Row],[Date]]&lt;=FTo,OR(DashMachine="",tblDowntime[[#This Row],[Machine]]=DashMachine)),tblDowntime[[#This Row],[Date]],""))</f>
        <v>46283</v>
      </c>
      <c r="I142"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2" s="44" t="s">
        <v>156</v>
      </c>
    </row>
    <row r="143" spans="2:10">
      <c r="B143" s="34">
        <v>46283</v>
      </c>
      <c r="C143" s="28" t="s">
        <v>102</v>
      </c>
      <c r="D143" s="28" t="s">
        <v>94</v>
      </c>
      <c r="E143" s="28" t="s">
        <v>127</v>
      </c>
      <c r="F143" s="35">
        <v>100</v>
      </c>
      <c r="G143" s="43" t="str">
        <f>IF(tblDowntime[[#This Row],[Date]]="","",IFERROR(INDEX(tblReasons[Loss category],MATCH(tblDowntime[[#This Row],[Reason]],tblReasons[Reason],0)),""))</f>
        <v>Breakdown</v>
      </c>
      <c r="H143" s="41">
        <f>IF(tblDowntime[[#This Row],[Date]]="","",IF(AND(tblDowntime[[#This Row],[Date]]&gt;=FFrom,tblDowntime[[#This Row],[Date]]&lt;=FTo,OR(DashMachine="",tblDowntime[[#This Row],[Machine]]=DashMachine)),tblDowntime[[#This Row],[Date]],""))</f>
        <v>46283</v>
      </c>
      <c r="I143"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3" s="44" t="s">
        <v>156</v>
      </c>
    </row>
    <row r="144" spans="2:10">
      <c r="B144" s="34">
        <v>46283</v>
      </c>
      <c r="C144" s="28" t="s">
        <v>102</v>
      </c>
      <c r="D144" s="28" t="s">
        <v>94</v>
      </c>
      <c r="E144" s="28" t="s">
        <v>119</v>
      </c>
      <c r="F144" s="35">
        <v>50</v>
      </c>
      <c r="G144" s="43" t="str">
        <f>IF(tblDowntime[[#This Row],[Date]]="","",IFERROR(INDEX(tblReasons[Loss category],MATCH(tblDowntime[[#This Row],[Reason]],tblReasons[Reason],0)),""))</f>
        <v>Material</v>
      </c>
      <c r="H144" s="41">
        <f>IF(tblDowntime[[#This Row],[Date]]="","",IF(AND(tblDowntime[[#This Row],[Date]]&gt;=FFrom,tblDowntime[[#This Row],[Date]]&lt;=FTo,OR(DashMachine="",tblDowntime[[#This Row],[Machine]]=DashMachine)),tblDowntime[[#This Row],[Date]],""))</f>
        <v>46283</v>
      </c>
      <c r="I144"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4" s="44" t="s">
        <v>156</v>
      </c>
    </row>
    <row r="145" spans="2:10">
      <c r="B145" s="34">
        <v>46283</v>
      </c>
      <c r="C145" s="28" t="s">
        <v>102</v>
      </c>
      <c r="D145" s="28" t="s">
        <v>97</v>
      </c>
      <c r="E145" s="28" t="s">
        <v>131</v>
      </c>
      <c r="F145" s="35">
        <v>30</v>
      </c>
      <c r="G145" s="43" t="str">
        <f>IF(tblDowntime[[#This Row],[Date]]="","",IFERROR(INDEX(tblReasons[Loss category],MATCH(tblDowntime[[#This Row],[Reason]],tblReasons[Reason],0)),""))</f>
        <v>Changeover</v>
      </c>
      <c r="H145" s="41">
        <f>IF(tblDowntime[[#This Row],[Date]]="","",IF(AND(tblDowntime[[#This Row],[Date]]&gt;=FFrom,tblDowntime[[#This Row],[Date]]&lt;=FTo,OR(DashMachine="",tblDowntime[[#This Row],[Machine]]=DashMachine)),tblDowntime[[#This Row],[Date]],""))</f>
        <v>46283</v>
      </c>
      <c r="I145"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5" s="44" t="s">
        <v>156</v>
      </c>
    </row>
    <row r="146" spans="2:10">
      <c r="B146" s="34">
        <v>46283</v>
      </c>
      <c r="C146" s="28" t="s">
        <v>102</v>
      </c>
      <c r="D146" s="28" t="s">
        <v>97</v>
      </c>
      <c r="E146" s="28" t="s">
        <v>136</v>
      </c>
      <c r="F146" s="35">
        <v>30</v>
      </c>
      <c r="G146" s="43" t="str">
        <f>IF(tblDowntime[[#This Row],[Date]]="","",IFERROR(INDEX(tblReasons[Loss category],MATCH(tblDowntime[[#This Row],[Reason]],tblReasons[Reason],0)),""))</f>
        <v>Labour</v>
      </c>
      <c r="H146" s="41">
        <f>IF(tblDowntime[[#This Row],[Date]]="","",IF(AND(tblDowntime[[#This Row],[Date]]&gt;=FFrom,tblDowntime[[#This Row],[Date]]&lt;=FTo,OR(DashMachine="",tblDowntime[[#This Row],[Machine]]=DashMachine)),tblDowntime[[#This Row],[Date]],""))</f>
        <v>46283</v>
      </c>
      <c r="I146" s="42" t="str">
        <f>IF(tblDowntime[[#This Row],[Date]]="","",IF(tblDowntime[[#This Row],[Shift]]="","Missing shift",IF(tblDowntime[[#This Row],[Machine]]="","Missing machine",IF(tblDowntime[[#This Row],[Reason]]="","Missing reason",IF(tblDowntime[[#This Row],[Minutes]]="","Missing minutes",IF(tblDowntime[[#This Row],[Loss category]]="","Reason not on Setup list",IF(COUNTIFS(tblShifts[Date],tblDowntime[[#This Row],[Date]],tblShifts[Shift],tblDowntime[[#This Row],[Shift]],tblShifts[Machine],tblDowntime[[#This Row],[Machine]])=0,"No matching Shift Log row","OK")))))))</f>
        <v>OK</v>
      </c>
      <c r="J146" s="44" t="s">
        <v>156</v>
      </c>
    </row>
  </sheetData>
  <mergeCells count="3">
    <mergeCell ref="A1:J1"/>
    <mergeCell ref="B2:I2"/>
    <mergeCell ref="B4:J4"/>
  </mergeCells>
  <conditionalFormatting sqref="I6:I646">
    <cfRule type="expression" dxfId="3" priority="1">
      <formula>$I6="OK"</formula>
    </cfRule>
    <cfRule type="expression" dxfId="1" priority="2">
      <formula>AND($I6&lt;&gt;"",$I6&lt;&gt;"OK")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6:B646">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646">
      <formula1>ShiftList</formula1>
    </dataValidation>
    <dataValidation type="list" allowBlank="1" showInputMessage="1" showErrorMessage="1" errorTitle="Check this entry" error="Pick from the list (edit the list on Setup: Machines)." promptTitle="Machine" prompt="Pick from the list (edit the list on Setup: Machines)." sqref="D6:D646">
      <formula1>Machines</formula1>
    </dataValidation>
    <dataValidation type="list" allowBlank="1" showInputMessage="1" showErrorMessage="1" errorTitle="Check this entry" error="Pick from the list (edit the list on Setup: Reasons)." promptTitle="Reason" prompt="Pick from the list (edit the list on Setup: Reasons)." sqref="E6:E646">
      <formula1>Reasons</formula1>
    </dataValidation>
    <dataValidation type="whole" allowBlank="1" showInputMessage="1" showErrorMessage="1" errorTitle="Check this entry" error="Enter a whole number from 0 to 1,440." promptTitle="Minutes" prompt="Length of the stop inside planned production time. Breaks and planned meetings are not downtime: leave them out of planned time instead. Enter a whole number from 0 to 1,440." sqref="F6:F646">
      <formula1>0</formula1>
      <formula2>1440</formula2>
    </dataValidation>
    <dataValidation type="textLength" allowBlank="1" showInputMessage="1" showErrorMessage="1" errorTitle="Check this entry" error="Text up to 255 characters." promptTitle="Notes" prompt="Text up to 255 characters." sqref="J6:J646">
      <formula1>0</formula1>
      <formula2>255</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OEE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96"/>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64</v>
      </c>
      <c r="C4" s="28"/>
      <c r="D4" s="28"/>
      <c r="F4" s="27" t="s">
        <v>164</v>
      </c>
      <c r="G4" s="45"/>
      <c r="H4" s="45"/>
      <c r="J4" s="27" t="s">
        <v>165</v>
      </c>
      <c r="K4" s="45"/>
      <c r="L4" s="45"/>
    </row>
    <row r="5" spans="1:12" x14ac:dyDescent="0.25">
      <c r="B5" s="46" t="str">
        <f>"Showing "&amp;COUNTIFS(tblShifts[View date],"&gt;0")&amp;" shift rows and "&amp;COUNTIFS(tblDowntime[View date],"&gt;0")&amp;" stops. Leave the filters blank to include everything; dates are inclusive."</f>
        <v>Showing 80 shift rows and 141 stops. Leave the filters blank to include everything; dates are inclusive.</v>
      </c>
      <c r="C5" s="46"/>
      <c r="D5" s="46"/>
      <c r="E5" s="46"/>
      <c r="F5" s="46"/>
      <c r="G5" s="46"/>
      <c r="H5" s="46"/>
      <c r="I5" s="46"/>
      <c r="J5" s="46"/>
      <c r="K5" s="46"/>
      <c r="L5" s="46"/>
    </row>
    <row r="7" spans="1:12" ht="18" customHeight="1" x14ac:dyDescent="0.25">
      <c r="B7" s="47" t="s">
        <v>151</v>
      </c>
      <c r="C7" s="47"/>
      <c r="D7" s="47" t="s">
        <v>166</v>
      </c>
      <c r="E7" s="47"/>
      <c r="F7" s="47"/>
      <c r="G7" s="47" t="s">
        <v>167</v>
      </c>
      <c r="H7" s="47"/>
      <c r="I7" s="47"/>
      <c r="J7" s="47" t="s">
        <v>168</v>
      </c>
      <c r="K7" s="47"/>
      <c r="L7" s="47"/>
    </row>
    <row r="8" spans="1:12" ht="21" customHeight="1" x14ac:dyDescent="0.25">
      <c r="B8" s="48">
        <f>IF((SUMIFS(tblShifts[Planned (min)],tblShifts[View date],"&gt;0"))=0,"",(SUMIFS(tblShifts[Productive (min)],tblShifts[View date],"&gt;0"))/(SUMIFS(tblShifts[Planned (min)],tblShifts[View date],"&gt;0")))</f>
        <v>0.707978240740741</v>
      </c>
      <c r="C8" s="48"/>
      <c r="D8" s="48">
        <f>IF((SUMIFS(tblShifts[Planned (min)],tblShifts[View date],"&gt;0"))=0,"",(SUMIFS(tblShifts[Run (min)],tblShifts[View date],"&gt;0"))/(SUMIFS(tblShifts[Planned (min)],tblShifts[View date],"&gt;0")))</f>
        <v>0.847222222222222</v>
      </c>
      <c r="E8" s="48"/>
      <c r="F8" s="48"/>
      <c r="G8" s="48">
        <f>IF((SUMIFS(tblShifts[Run (min)],tblShifts[View date],"&gt;0"))=0,"",(SUMIFS(tblShifts[Net run (min)],tblShifts[View date],"&gt;0"))/(SUMIFS(tblShifts[Run (min)],tblShifts[View date],"&gt;0")))</f>
        <v>0.855533879781421</v>
      </c>
      <c r="H8" s="48"/>
      <c r="I8" s="48"/>
      <c r="J8" s="48">
        <f>IF((SUMIFS(tblShifts[Net run (min)],tblShifts[View date],"&gt;0"))=0,"",(SUMIFS(tblShifts[Productive (min)],tblShifts[View date],"&gt;0"))/(SUMIFS(tblShifts[Net run (min)],tblShifts[View date],"&gt;0")))</f>
        <v>0.976754361032353</v>
      </c>
      <c r="K8" s="48"/>
      <c r="L8" s="48"/>
    </row>
    <row r="9" spans="1:12" ht="21" customHeight="1" x14ac:dyDescent="0.25">
      <c r="B9" s="48"/>
      <c r="C9" s="48"/>
      <c r="D9" s="48"/>
      <c r="E9" s="48"/>
      <c r="F9" s="48"/>
      <c r="G9" s="48"/>
      <c r="H9" s="48"/>
      <c r="I9" s="48"/>
      <c r="J9" s="48"/>
      <c r="K9" s="48"/>
      <c r="L9" s="48"/>
    </row>
    <row r="10" spans="1:12" x14ac:dyDescent="0.25">
      <c r="B10" s="49">
        <f>TargetOEE</f>
        <v>0.7</v>
      </c>
      <c r="C10" s="49"/>
      <c r="D10" s="49">
        <f>TargetA</f>
        <v>0.85</v>
      </c>
      <c r="E10" s="49"/>
      <c r="F10" s="49"/>
      <c r="G10" s="49">
        <f>TargetP</f>
        <v>0.88</v>
      </c>
      <c r="H10" s="49"/>
      <c r="I10" s="49"/>
      <c r="J10" s="49">
        <f>TargetQ</f>
        <v>0.98</v>
      </c>
      <c r="K10" s="49"/>
      <c r="L10" s="49"/>
    </row>
    <row r="11" spans="1:12" ht="18" customHeight="1" x14ac:dyDescent="0.25">
      <c r="B11" s="50" t="str">
        <f>IF(NOT(ISNUMBER(KpiOEE)),"No data",IF(KpiOEE&gt;=(TargetOEE),"On target",IF(KpiOEE&gt;=(TargetOEE)*(1-0.05),"Near target","Below target")))</f>
        <v>On target</v>
      </c>
      <c r="C11" s="50"/>
      <c r="D11" s="50" t="str">
        <f>IF(NOT(ISNUMBER(KpiA)),"No data",IF(KpiA&gt;=(TargetA),"On target",IF(KpiA&gt;=(TargetA)*(1-0.05),"Near target","Below target")))</f>
        <v>Near target</v>
      </c>
      <c r="E11" s="50"/>
      <c r="F11" s="50"/>
      <c r="G11" s="50" t="str">
        <f>IF(NOT(ISNUMBER(KpiP)),"No data",IF(KpiP&gt;=(TargetP),"On target",IF(KpiP&gt;=(TargetP)*(1-0.05),"Near target","Below target")))</f>
        <v>Near target</v>
      </c>
      <c r="H11" s="50"/>
      <c r="I11" s="50"/>
      <c r="J11" s="50" t="str">
        <f>IF(NOT(ISNUMBER(KpiQ)),"No data",IF(KpiQ&gt;=(TargetQ),"On target",IF(KpiQ&gt;=(TargetQ)*(1-0.05),"Near target","Below target")))</f>
        <v>Near target</v>
      </c>
      <c r="K11" s="50"/>
      <c r="L11" s="50"/>
    </row>
    <row r="29" spans="2:12" ht="18" customHeight="1" x14ac:dyDescent="0.25">
      <c r="B29" s="47" t="s">
        <v>169</v>
      </c>
      <c r="C29" s="47"/>
      <c r="D29" s="47" t="s">
        <v>170</v>
      </c>
      <c r="E29" s="47"/>
      <c r="F29" s="47"/>
      <c r="G29" s="47" t="str">
        <f>"VALUE OF LOST TIME ("&amp;Currency&amp;", EST.)"</f>
        <v>VALUE OF LOST TIME (USD, EST.)</v>
      </c>
      <c r="H29" s="47"/>
      <c r="I29" s="47"/>
      <c r="J29" s="47" t="s">
        <v>171</v>
      </c>
      <c r="K29" s="47"/>
      <c r="L29" s="47"/>
    </row>
    <row r="30" spans="2:12" ht="21" customHeight="1" x14ac:dyDescent="0.25">
      <c r="B30" s="51">
        <f>SUMIFS(tblShifts[Good (units)],tblShifts[View date],"&gt;0")</f>
        <v>174226</v>
      </c>
      <c r="C30" s="51"/>
      <c r="D30" s="52">
        <f>SUMIFS(tblShifts[Downtime (min)],tblShifts[View date],"&gt;0")/60</f>
        <v>91.6666666666667</v>
      </c>
      <c r="E30" s="52"/>
      <c r="F30" s="52"/>
      <c r="G30" s="51">
        <f>(SUMIFS(tblShifts[Planned (min)],tblShifts[View date],"&gt;0")-SUMIFS(tblShifts[Productive (min)],tblShifts[View date],"&gt;0"))/60*ValuePerHour</f>
        <v>31538.35</v>
      </c>
      <c r="H30" s="51"/>
      <c r="I30" s="51"/>
      <c r="J30" s="53" t="str">
        <f>IF(INDEX($J$74:$J$83,1)&gt;0,INDEX($H$74:$H$83,1),"None logged")</f>
        <v>Mould change</v>
      </c>
      <c r="K30" s="53"/>
      <c r="L30" s="53"/>
    </row>
    <row r="31" spans="2:12" ht="21" customHeight="1" x14ac:dyDescent="0.25">
      <c r="B31" s="51"/>
      <c r="C31" s="51"/>
      <c r="D31" s="52"/>
      <c r="E31" s="52"/>
      <c r="F31" s="52"/>
      <c r="G31" s="51"/>
      <c r="H31" s="51"/>
      <c r="I31" s="51"/>
      <c r="J31" s="53"/>
      <c r="K31" s="53"/>
      <c r="L31" s="53"/>
    </row>
    <row r="32" spans="2:12" x14ac:dyDescent="0.25">
      <c r="B32" s="54" t="s">
        <v>172</v>
      </c>
      <c r="C32" s="54"/>
      <c r="D32" s="54" t="s">
        <v>173</v>
      </c>
      <c r="E32" s="54"/>
      <c r="F32" s="54"/>
      <c r="G32" s="54" t="s">
        <v>174</v>
      </c>
      <c r="H32" s="54"/>
      <c r="I32" s="54"/>
      <c r="J32" s="54" t="s">
        <v>175</v>
      </c>
      <c r="K32" s="54"/>
      <c r="L32" s="54"/>
    </row>
    <row r="33" spans="2:12" ht="18" customHeight="1" x14ac:dyDescent="0.25">
      <c r="B33" s="50"/>
      <c r="C33" s="50"/>
      <c r="D33" s="50"/>
      <c r="E33" s="50"/>
      <c r="F33" s="50"/>
      <c r="G33" s="50"/>
      <c r="H33" s="50"/>
      <c r="I33" s="50"/>
      <c r="J33" s="50"/>
      <c r="K33" s="50"/>
      <c r="L33" s="50"/>
    </row>
    <row r="51" spans="2:10" x14ac:dyDescent="0.25">
      <c r="B51" s="31" t="s">
        <v>176</v>
      </c>
      <c r="C51" s="31"/>
      <c r="D51" s="31"/>
      <c r="E51" s="31"/>
      <c r="F51" s="31"/>
      <c r="G51" s="31"/>
      <c r="H51" s="31"/>
      <c r="I51" s="31"/>
      <c r="J51" s="31"/>
    </row>
    <row r="52" spans="2:10" ht="32" customHeight="1" x14ac:dyDescent="0.25">
      <c r="B52" s="55" t="s">
        <v>141</v>
      </c>
      <c r="C52" s="32" t="s">
        <v>177</v>
      </c>
      <c r="D52" s="32" t="s">
        <v>178</v>
      </c>
      <c r="E52" s="32" t="s">
        <v>144</v>
      </c>
      <c r="F52" s="32" t="s">
        <v>149</v>
      </c>
      <c r="G52" s="32" t="s">
        <v>150</v>
      </c>
      <c r="H52" s="32" t="s">
        <v>134</v>
      </c>
      <c r="I52" s="32" t="s">
        <v>151</v>
      </c>
      <c r="J52" s="32" t="s">
        <v>81</v>
      </c>
    </row>
    <row r="53" spans="2:10" x14ac:dyDescent="0.25">
      <c r="B53" s="56">
        <f>IF($B$54="","",IFERROR(LARGE(tblShifts[View date],COUNTIF(tblShifts[View date],"&gt;="&amp;$B$54)+1),""))</f>
        <v>46272</v>
      </c>
      <c r="C53" s="38">
        <f>IF($B$53="","",SUMIFS(tblShifts[Planned (min)],tblShifts[View date],$B$53)/60)</f>
        <v>60</v>
      </c>
      <c r="D53" s="38">
        <f>IF($B$53="","",SUMIFS(tblShifts[Downtime (min)],tblShifts[View date],$B$53)/60)</f>
        <v>9.75</v>
      </c>
      <c r="E53" s="36">
        <f>IF($B$53="","",SUMIFS(tblShifts[Good (units)],tblShifts[View date],$B$53))</f>
        <v>18411</v>
      </c>
      <c r="F53" s="39">
        <f>IF($B$53="","",IF((SUMIFS(tblShifts[Planned (min)],tblShifts[View date],$B$53))=0,"",(SUMIFS(tblShifts[Run (min)],tblShifts[View date],$B$53))/(SUMIFS(tblShifts[Planned (min)],tblShifts[View date],$B$53))))</f>
        <v>0.8375</v>
      </c>
      <c r="G53" s="39">
        <f>IF($B$53="","",IF((SUMIFS(tblShifts[Run (min)],tblShifts[View date],$B$53))=0,"",(SUMIFS(tblShifts[Net run (min)],tblShifts[View date],$B$53))/(SUMIFS(tblShifts[Run (min)],tblShifts[View date],$B$53))))</f>
        <v>0.848220011055832</v>
      </c>
      <c r="H53" s="39">
        <f>IF($B$53="","",IF((SUMIFS(tblShifts[Net run (min)],tblShifts[View date],$B$53))=0,"",(SUMIFS(tblShifts[Productive (min)],tblShifts[View date],$B$53))/(SUMIFS(tblShifts[Net run (min)],tblShifts[View date],$B$53))))</f>
        <v>0.974381366370574</v>
      </c>
      <c r="I53" s="39">
        <f>IF($B$53="","",IF((SUMIFS(tblShifts[Planned (min)],tblShifts[View date],$B$53))=0,"",(SUMIFS(tblShifts[Productive (min)],tblShifts[View date],$B$53))/(SUMIFS(tblShifts[Planned (min)],tblShifts[View date],$B$53))))</f>
        <v>0.692185185185185</v>
      </c>
      <c r="J53" s="57">
        <f>TargetOEE</f>
        <v>0.7</v>
      </c>
    </row>
    <row r="54" spans="2:10" x14ac:dyDescent="0.25">
      <c r="B54" s="56">
        <f>IF($B$55="","",IFERROR(LARGE(tblShifts[View date],COUNTIF(tblShifts[View date],"&gt;="&amp;$B$55)+1),""))</f>
        <v>46273</v>
      </c>
      <c r="C54" s="38">
        <f>IF($B$54="","",SUMIFS(tblShifts[Planned (min)],tblShifts[View date],$B$54)/60)</f>
        <v>60</v>
      </c>
      <c r="D54" s="38">
        <f>IF($B$54="","",SUMIFS(tblShifts[Downtime (min)],tblShifts[View date],$B$54)/60)</f>
        <v>6.91666666666667</v>
      </c>
      <c r="E54" s="36">
        <f>IF($B$54="","",SUMIFS(tblShifts[Good (units)],tblShifts[View date],$B$54))</f>
        <v>14711</v>
      </c>
      <c r="F54" s="39">
        <f>IF($B$54="","",IF((SUMIFS(tblShifts[Planned (min)],tblShifts[View date],$B$54))=0,"",(SUMIFS(tblShifts[Run (min)],tblShifts[View date],$B$54))/(SUMIFS(tblShifts[Planned (min)],tblShifts[View date],$B$54))))</f>
        <v>0.884722222222222</v>
      </c>
      <c r="G54" s="39">
        <f>IF($B$54="","",IF((SUMIFS(tblShifts[Run (min)],tblShifts[View date],$B$54))=0,"",(SUMIFS(tblShifts[Net run (min)],tblShifts[View date],$B$54))/(SUMIFS(tblShifts[Run (min)],tblShifts[View date],$B$54))))</f>
        <v>0.856619570905285</v>
      </c>
      <c r="H54" s="39">
        <f>IF($B$54="","",IF((SUMIFS(tblShifts[Net run (min)],tblShifts[View date],$B$54))=0,"",(SUMIFS(tblShifts[Productive (min)],tblShifts[View date],$B$54))/(SUMIFS(tblShifts[Net run (min)],tblShifts[View date],$B$54))))</f>
        <v>0.978032987171655</v>
      </c>
      <c r="I54" s="39">
        <f>IF($B$54="","",IF((SUMIFS(tblShifts[Planned (min)],tblShifts[View date],$B$54))=0,"",(SUMIFS(tblShifts[Productive (min)],tblShifts[View date],$B$54))/(SUMIFS(tblShifts[Planned (min)],tblShifts[View date],$B$54))))</f>
        <v>0.741222222222222</v>
      </c>
      <c r="J54" s="57">
        <f>TargetOEE</f>
        <v>0.7</v>
      </c>
    </row>
    <row r="55" spans="2:10" x14ac:dyDescent="0.25">
      <c r="B55" s="56">
        <f>IF($B$56="","",IFERROR(LARGE(tblShifts[View date],COUNTIF(tblShifts[View date],"&gt;="&amp;$B$56)+1),""))</f>
        <v>46274</v>
      </c>
      <c r="C55" s="38">
        <f>IF($B$55="","",SUMIFS(tblShifts[Planned (min)],tblShifts[View date],$B$55)/60)</f>
        <v>60</v>
      </c>
      <c r="D55" s="38">
        <f>IF($B$55="","",SUMIFS(tblShifts[Downtime (min)],tblShifts[View date],$B$55)/60)</f>
        <v>5.16666666666667</v>
      </c>
      <c r="E55" s="36">
        <f>IF($B$55="","",SUMIFS(tblShifts[Good (units)],tblShifts[View date],$B$55))</f>
        <v>16580</v>
      </c>
      <c r="F55" s="39">
        <f>IF($B$55="","",IF((SUMIFS(tblShifts[Planned (min)],tblShifts[View date],$B$55))=0,"",(SUMIFS(tblShifts[Run (min)],tblShifts[View date],$B$55))/(SUMIFS(tblShifts[Planned (min)],tblShifts[View date],$B$55))))</f>
        <v>0.913888888888889</v>
      </c>
      <c r="G55" s="39">
        <f>IF($B$55="","",IF((SUMIFS(tblShifts[Run (min)],tblShifts[View date],$B$55))=0,"",(SUMIFS(tblShifts[Net run (min)],tblShifts[View date],$B$55))/(SUMIFS(tblShifts[Run (min)],tblShifts[View date],$B$55))))</f>
        <v>0.86289766970618</v>
      </c>
      <c r="H55" s="39">
        <f>IF($B$55="","",IF((SUMIFS(tblShifts[Net run (min)],tblShifts[View date],$B$55))=0,"",(SUMIFS(tblShifts[Productive (min)],tblShifts[View date],$B$55))/(SUMIFS(tblShifts[Net run (min)],tblShifts[View date],$B$55))))</f>
        <v>0.982223370279917</v>
      </c>
      <c r="I55" s="39">
        <f>IF($B$55="","",IF((SUMIFS(tblShifts[Planned (min)],tblShifts[View date],$B$55))=0,"",(SUMIFS(tblShifts[Productive (min)],tblShifts[View date],$B$55))/(SUMIFS(tblShifts[Planned (min)],tblShifts[View date],$B$55))))</f>
        <v>0.774574074074074</v>
      </c>
      <c r="J55" s="57">
        <f>TargetOEE</f>
        <v>0.7</v>
      </c>
    </row>
    <row r="56" spans="2:10" x14ac:dyDescent="0.25">
      <c r="B56" s="56">
        <f>IF($B$57="","",IFERROR(LARGE(tblShifts[View date],COUNTIF(tblShifts[View date],"&gt;="&amp;$B$57)+1),""))</f>
        <v>46275</v>
      </c>
      <c r="C56" s="38">
        <f>IF($B$56="","",SUMIFS(tblShifts[Planned (min)],tblShifts[View date],$B$56)/60)</f>
        <v>60</v>
      </c>
      <c r="D56" s="38">
        <f>IF($B$56="","",SUMIFS(tblShifts[Downtime (min)],tblShifts[View date],$B$56)/60)</f>
        <v>5.83333333333333</v>
      </c>
      <c r="E56" s="36">
        <f>IF($B$56="","",SUMIFS(tblShifts[Good (units)],tblShifts[View date],$B$56))</f>
        <v>15984</v>
      </c>
      <c r="F56" s="39">
        <f>IF($B$56="","",IF((SUMIFS(tblShifts[Planned (min)],tblShifts[View date],$B$56))=0,"",(SUMIFS(tblShifts[Run (min)],tblShifts[View date],$B$56))/(SUMIFS(tblShifts[Planned (min)],tblShifts[View date],$B$56))))</f>
        <v>0.902777777777778</v>
      </c>
      <c r="G56" s="39">
        <f>IF($B$56="","",IF((SUMIFS(tblShifts[Run (min)],tblShifts[View date],$B$56))=0,"",(SUMIFS(tblShifts[Net run (min)],tblShifts[View date],$B$56))/(SUMIFS(tblShifts[Run (min)],tblShifts[View date],$B$56))))</f>
        <v>0.86828717948718</v>
      </c>
      <c r="H56" s="39">
        <f>IF($B$56="","",IF((SUMIFS(tblShifts[Net run (min)],tblShifts[View date],$B$56))=0,"",(SUMIFS(tblShifts[Productive (min)],tblShifts[View date],$B$56))/(SUMIFS(tblShifts[Net run (min)],tblShifts[View date],$B$56))))</f>
        <v>0.979848330931513</v>
      </c>
      <c r="I56" s="39">
        <f>IF($B$56="","",IF((SUMIFS(tblShifts[Planned (min)],tblShifts[View date],$B$56))=0,"",(SUMIFS(tblShifts[Productive (min)],tblShifts[View date],$B$56))/(SUMIFS(tblShifts[Planned (min)],tblShifts[View date],$B$56))))</f>
        <v>0.768074074074074</v>
      </c>
      <c r="J56" s="57">
        <f>TargetOEE</f>
        <v>0.7</v>
      </c>
    </row>
    <row r="57" spans="2:10" x14ac:dyDescent="0.25">
      <c r="B57" s="56">
        <f>IF($B$58="","",IFERROR(LARGE(tblShifts[View date],COUNTIF(tblShifts[View date],"&gt;="&amp;$B$58)+1),""))</f>
        <v>46276</v>
      </c>
      <c r="C57" s="38">
        <f>IF($B$57="","",SUMIFS(tblShifts[Planned (min)],tblShifts[View date],$B$57)/60)</f>
        <v>60</v>
      </c>
      <c r="D57" s="38">
        <f>IF($B$57="","",SUMIFS(tblShifts[Downtime (min)],tblShifts[View date],$B$57)/60)</f>
        <v>9.66666666666667</v>
      </c>
      <c r="E57" s="36">
        <f>IF($B$57="","",SUMIFS(tblShifts[Good (units)],tblShifts[View date],$B$57))</f>
        <v>22068</v>
      </c>
      <c r="F57" s="39">
        <f>IF($B$57="","",IF((SUMIFS(tblShifts[Planned (min)],tblShifts[View date],$B$57))=0,"",(SUMIFS(tblShifts[Run (min)],tblShifts[View date],$B$57))/(SUMIFS(tblShifts[Planned (min)],tblShifts[View date],$B$57))))</f>
        <v>0.838888888888889</v>
      </c>
      <c r="G57" s="39">
        <f>IF($B$57="","",IF((SUMIFS(tblShifts[Run (min)],tblShifts[View date],$B$57))=0,"",(SUMIFS(tblShifts[Net run (min)],tblShifts[View date],$B$57))/(SUMIFS(tblShifts[Run (min)],tblShifts[View date],$B$57))))</f>
        <v>0.868912803532009</v>
      </c>
      <c r="H57" s="39">
        <f>IF($B$57="","",IF((SUMIFS(tblShifts[Net run (min)],tblShifts[View date],$B$57))=0,"",(SUMIFS(tblShifts[Productive (min)],tblShifts[View date],$B$57))/(SUMIFS(tblShifts[Net run (min)],tblShifts[View date],$B$57))))</f>
        <v>0.972689222405</v>
      </c>
      <c r="I57" s="39">
        <f>IF($B$57="","",IF((SUMIFS(tblShifts[Planned (min)],tblShifts[View date],$B$57))=0,"",(SUMIFS(tblShifts[Productive (min)],tblShifts[View date],$B$57))/(SUMIFS(tblShifts[Planned (min)],tblShifts[View date],$B$57))))</f>
        <v>0.709013888888889</v>
      </c>
      <c r="J57" s="57">
        <f>TargetOEE</f>
        <v>0.7</v>
      </c>
    </row>
    <row r="58" spans="2:10" x14ac:dyDescent="0.25">
      <c r="B58" s="56">
        <f>IF($B$59="","",IFERROR(LARGE(tblShifts[View date],COUNTIF(tblShifts[View date],"&gt;="&amp;$B$59)+1),""))</f>
        <v>46279</v>
      </c>
      <c r="C58" s="38">
        <f>IF($B$58="","",SUMIFS(tblShifts[Planned (min)],tblShifts[View date],$B$58)/60)</f>
        <v>60</v>
      </c>
      <c r="D58" s="38">
        <f>IF($B$58="","",SUMIFS(tblShifts[Downtime (min)],tblShifts[View date],$B$58)/60)</f>
        <v>8.16666666666667</v>
      </c>
      <c r="E58" s="36">
        <f>IF($B$58="","",SUMIFS(tblShifts[Good (units)],tblShifts[View date],$B$58))</f>
        <v>14565</v>
      </c>
      <c r="F58" s="39">
        <f>IF($B$58="","",IF((SUMIFS(tblShifts[Planned (min)],tblShifts[View date],$B$58))=0,"",(SUMIFS(tblShifts[Run (min)],tblShifts[View date],$B$58))/(SUMIFS(tblShifts[Planned (min)],tblShifts[View date],$B$58))))</f>
        <v>0.863888888888889</v>
      </c>
      <c r="G58" s="39">
        <f>IF($B$58="","",IF((SUMIFS(tblShifts[Run (min)],tblShifts[View date],$B$58))=0,"",(SUMIFS(tblShifts[Net run (min)],tblShifts[View date],$B$58))/(SUMIFS(tblShifts[Run (min)],tblShifts[View date],$B$58))))</f>
        <v>0.843772775991425</v>
      </c>
      <c r="H58" s="39">
        <f>IF($B$58="","",IF((SUMIFS(tblShifts[Net run (min)],tblShifts[View date],$B$58))=0,"",(SUMIFS(tblShifts[Productive (min)],tblShifts[View date],$B$58))/(SUMIFS(tblShifts[Net run (min)],tblShifts[View date],$B$58))))</f>
        <v>0.975992073573497</v>
      </c>
      <c r="I58" s="39">
        <f>IF($B$58="","",IF((SUMIFS(tblShifts[Planned (min)],tblShifts[View date],$B$58))=0,"",(SUMIFS(tblShifts[Productive (min)],tblShifts[View date],$B$58))/(SUMIFS(tblShifts[Planned (min)],tblShifts[View date],$B$58))))</f>
        <v>0.711425925925926</v>
      </c>
      <c r="J58" s="57">
        <f>TargetOEE</f>
        <v>0.7</v>
      </c>
    </row>
    <row r="59" spans="2:10" x14ac:dyDescent="0.25">
      <c r="B59" s="56">
        <f>IF($B$60="","",IFERROR(LARGE(tblShifts[View date],COUNTIF(tblShifts[View date],"&gt;="&amp;$B$60)+1),""))</f>
        <v>46280</v>
      </c>
      <c r="C59" s="38">
        <f>IF($B$59="","",SUMIFS(tblShifts[Planned (min)],tblShifts[View date],$B$59)/60)</f>
        <v>60</v>
      </c>
      <c r="D59" s="38">
        <f>IF($B$59="","",SUMIFS(tblShifts[Downtime (min)],tblShifts[View date],$B$59)/60)</f>
        <v>9.41666666666667</v>
      </c>
      <c r="E59" s="36">
        <f>IF($B$59="","",SUMIFS(tblShifts[Good (units)],tblShifts[View date],$B$59))</f>
        <v>14844</v>
      </c>
      <c r="F59" s="39">
        <f>IF($B$59="","",IF((SUMIFS(tblShifts[Planned (min)],tblShifts[View date],$B$59))=0,"",(SUMIFS(tblShifts[Run (min)],tblShifts[View date],$B$59))/(SUMIFS(tblShifts[Planned (min)],tblShifts[View date],$B$59))))</f>
        <v>0.843055555555556</v>
      </c>
      <c r="G59" s="39">
        <f>IF($B$59="","",IF((SUMIFS(tblShifts[Run (min)],tblShifts[View date],$B$59))=0,"",(SUMIFS(tblShifts[Net run (min)],tblShifts[View date],$B$59))/(SUMIFS(tblShifts[Run (min)],tblShifts[View date],$B$59))))</f>
        <v>0.857968149368479</v>
      </c>
      <c r="H59" s="39">
        <f>IF($B$59="","",IF((SUMIFS(tblShifts[Net run (min)],tblShifts[View date],$B$59))=0,"",(SUMIFS(tblShifts[Productive (min)],tblShifts[View date],$B$59))/(SUMIFS(tblShifts[Net run (min)],tblShifts[View date],$B$59))))</f>
        <v>0.976471491845669</v>
      </c>
      <c r="I59" s="39">
        <f>IF($B$59="","",IF((SUMIFS(tblShifts[Planned (min)],tblShifts[View date],$B$59))=0,"",(SUMIFS(tblShifts[Productive (min)],tblShifts[View date],$B$59))/(SUMIFS(tblShifts[Planned (min)],tblShifts[View date],$B$59))))</f>
        <v>0.706296296296296</v>
      </c>
      <c r="J59" s="57">
        <f>TargetOEE</f>
        <v>0.7</v>
      </c>
    </row>
    <row r="60" spans="2:10" x14ac:dyDescent="0.25">
      <c r="B60" s="56">
        <f>IF($B$61="","",IFERROR(LARGE(tblShifts[View date],COUNTIF(tblShifts[View date],"&gt;="&amp;$B$61)+1),""))</f>
        <v>46281</v>
      </c>
      <c r="C60" s="38">
        <f>IF($B$60="","",SUMIFS(tblShifts[Planned (min)],tblShifts[View date],$B$60)/60)</f>
        <v>60</v>
      </c>
      <c r="D60" s="38">
        <f>IF($B$60="","",SUMIFS(tblShifts[Downtime (min)],tblShifts[View date],$B$60)/60)</f>
        <v>15.0833333333333</v>
      </c>
      <c r="E60" s="36">
        <f>IF($B$60="","",SUMIFS(tblShifts[Good (units)],tblShifts[View date],$B$60))</f>
        <v>16917</v>
      </c>
      <c r="F60" s="39">
        <f>IF($B$60="","",IF((SUMIFS(tblShifts[Planned (min)],tblShifts[View date],$B$60))=0,"",(SUMIFS(tblShifts[Run (min)],tblShifts[View date],$B$60))/(SUMIFS(tblShifts[Planned (min)],tblShifts[View date],$B$60))))</f>
        <v>0.748611111111111</v>
      </c>
      <c r="G60" s="39">
        <f>IF($B$60="","",IF((SUMIFS(tblShifts[Run (min)],tblShifts[View date],$B$60))=0,"",(SUMIFS(tblShifts[Net run (min)],tblShifts[View date],$B$60))/(SUMIFS(tblShifts[Run (min)],tblShifts[View date],$B$60))))</f>
        <v>0.843011750154607</v>
      </c>
      <c r="H60" s="39">
        <f>IF($B$60="","",IF((SUMIFS(tblShifts[Net run (min)],tblShifts[View date],$B$60))=0,"",(SUMIFS(tblShifts[Productive (min)],tblShifts[View date],$B$60))/(SUMIFS(tblShifts[Net run (min)],tblShifts[View date],$B$60))))</f>
        <v>0.971595202288816</v>
      </c>
      <c r="I60" s="39">
        <f>IF($B$60="","",IF((SUMIFS(tblShifts[Planned (min)],tblShifts[View date],$B$60))=0,"",(SUMIFS(tblShifts[Productive (min)],tblShifts[View date],$B$60))/(SUMIFS(tblShifts[Planned (min)],tblShifts[View date],$B$60))))</f>
        <v>0.613162037037037</v>
      </c>
      <c r="J60" s="57">
        <f>TargetOEE</f>
        <v>0.7</v>
      </c>
    </row>
    <row r="61" spans="2:10" x14ac:dyDescent="0.25">
      <c r="B61" s="56">
        <f>IF($B$62="","",IFERROR(LARGE(tblShifts[View date],COUNTIF(tblShifts[View date],"&gt;="&amp;$B$62)+1),""))</f>
        <v>46282</v>
      </c>
      <c r="C61" s="38">
        <f>IF($B$61="","",SUMIFS(tblShifts[Planned (min)],tblShifts[View date],$B$61)/60)</f>
        <v>60</v>
      </c>
      <c r="D61" s="38">
        <f>IF($B$61="","",SUMIFS(tblShifts[Downtime (min)],tblShifts[View date],$B$61)/60)</f>
        <v>8.75</v>
      </c>
      <c r="E61" s="36">
        <f>IF($B$61="","",SUMIFS(tblShifts[Good (units)],tblShifts[View date],$B$61))</f>
        <v>16359</v>
      </c>
      <c r="F61" s="39">
        <f>IF($B$61="","",IF((SUMIFS(tblShifts[Planned (min)],tblShifts[View date],$B$61))=0,"",(SUMIFS(tblShifts[Run (min)],tblShifts[View date],$B$61))/(SUMIFS(tblShifts[Planned (min)],tblShifts[View date],$B$61))))</f>
        <v>0.854166666666667</v>
      </c>
      <c r="G61" s="39">
        <f>IF($B$61="","",IF((SUMIFS(tblShifts[Run (min)],tblShifts[View date],$B$61))=0,"",(SUMIFS(tblShifts[Net run (min)],tblShifts[View date],$B$61))/(SUMIFS(tblShifts[Run (min)],tblShifts[View date],$B$61))))</f>
        <v>0.851111111111111</v>
      </c>
      <c r="H61" s="39">
        <f>IF($B$61="","",IF((SUMIFS(tblShifts[Net run (min)],tblShifts[View date],$B$61))=0,"",(SUMIFS(tblShifts[Productive (min)],tblShifts[View date],$B$61))/(SUMIFS(tblShifts[Net run (min)],tblShifts[View date],$B$61))))</f>
        <v>0.975673438196523</v>
      </c>
      <c r="I61" s="39">
        <f>IF($B$61="","",IF((SUMIFS(tblShifts[Planned (min)],tblShifts[View date],$B$61))=0,"",(SUMIFS(tblShifts[Productive (min)],tblShifts[View date],$B$61))/(SUMIFS(tblShifts[Planned (min)],tblShifts[View date],$B$61))))</f>
        <v>0.709305555555556</v>
      </c>
      <c r="J61" s="57">
        <f>TargetOEE</f>
        <v>0.7</v>
      </c>
    </row>
    <row r="62" spans="2:10" x14ac:dyDescent="0.25">
      <c r="B62" s="56">
        <f>IF(COUNT(tblShifts[View date])=0,"",MAX(tblShifts[View date]))</f>
        <v>46283</v>
      </c>
      <c r="C62" s="38">
        <f>IF($B$62="","",SUMIFS(tblShifts[Planned (min)],tblShifts[View date],$B$62)/60)</f>
        <v>60</v>
      </c>
      <c r="D62" s="38">
        <f>IF($B$62="","",SUMIFS(tblShifts[Downtime (min)],tblShifts[View date],$B$62)/60)</f>
        <v>12.9166666666667</v>
      </c>
      <c r="E62" s="36">
        <f>IF($B$62="","",SUMIFS(tblShifts[Good (units)],tblShifts[View date],$B$62))</f>
        <v>23787</v>
      </c>
      <c r="F62" s="39">
        <f>IF($B$62="","",IF((SUMIFS(tblShifts[Planned (min)],tblShifts[View date],$B$62))=0,"",(SUMIFS(tblShifts[Run (min)],tblShifts[View date],$B$62))/(SUMIFS(tblShifts[Planned (min)],tblShifts[View date],$B$62))))</f>
        <v>0.784722222222222</v>
      </c>
      <c r="G62" s="39">
        <f>IF($B$62="","",IF((SUMIFS(tblShifts[Run (min)],tblShifts[View date],$B$62))=0,"",(SUMIFS(tblShifts[Net run (min)],tblShifts[View date],$B$62))/(SUMIFS(tblShifts[Run (min)],tblShifts[View date],$B$62))))</f>
        <v>0.851657817109145</v>
      </c>
      <c r="H62" s="39">
        <f>IF($B$62="","",IF((SUMIFS(tblShifts[Net run (min)],tblShifts[View date],$B$62))=0,"",(SUMIFS(tblShifts[Productive (min)],tblShifts[View date],$B$62))/(SUMIFS(tblShifts[Net run (min)],tblShifts[View date],$B$62))))</f>
        <v>0.979363517969464</v>
      </c>
      <c r="I62" s="39">
        <f>IF($B$62="","",IF((SUMIFS(tblShifts[Planned (min)],tblShifts[View date],$B$62))=0,"",(SUMIFS(tblShifts[Productive (min)],tblShifts[View date],$B$62))/(SUMIFS(tblShifts[Planned (min)],tblShifts[View date],$B$62))))</f>
        <v>0.654523148148148</v>
      </c>
      <c r="J62" s="57">
        <f>TargetOEE</f>
        <v>0.7</v>
      </c>
    </row>
    <row r="64" spans="2:10" x14ac:dyDescent="0.25">
      <c r="B64" s="31" t="s">
        <v>179</v>
      </c>
      <c r="C64" s="31"/>
      <c r="D64" s="31"/>
      <c r="E64" s="31"/>
      <c r="F64" s="31"/>
      <c r="G64" s="31"/>
      <c r="H64" s="31"/>
      <c r="I64" s="31"/>
    </row>
    <row r="65" spans="2:43" ht="32" customHeight="1" x14ac:dyDescent="0.25">
      <c r="B65" s="55" t="s">
        <v>64</v>
      </c>
      <c r="C65" s="32" t="s">
        <v>177</v>
      </c>
      <c r="D65" s="32" t="s">
        <v>180</v>
      </c>
      <c r="E65" s="32" t="s">
        <v>181</v>
      </c>
      <c r="F65" s="32" t="s">
        <v>182</v>
      </c>
      <c r="G65" s="32" t="s">
        <v>183</v>
      </c>
      <c r="H65" s="32" t="s">
        <v>151</v>
      </c>
      <c r="I65" s="32" t="s">
        <v>81</v>
      </c>
    </row>
    <row r="66" spans="2:43" x14ac:dyDescent="0.25">
      <c r="B66" s="58" t="str">
        <f>IFERROR(INDEX(tblMachines[Machine],1)&amp;"","")</f>
        <v>IM-01</v>
      </c>
      <c r="C66" s="38">
        <f>IF($B$66="","",SUMIFS(tblShifts[Planned (min)],tblShifts[Machine],$B$66,tblShifts[View date],"&gt;0")/60)</f>
        <v>150</v>
      </c>
      <c r="D66" s="38">
        <f>IF($B$66="","",SUMIFS(tblShifts[Productive (min)],tblShifts[Machine],$B$66,tblShifts[View date],"&gt;0")/60)</f>
        <v>109.826111111111</v>
      </c>
      <c r="E66" s="38">
        <f>IF($B$66="","",SUMIFS(tblShifts[Downtime (min)],tblShifts[Machine],$B$66,tblShifts[View date],"&gt;0")/60)</f>
        <v>20.0833333333333</v>
      </c>
      <c r="F66" s="38">
        <f>IF($B$66="","",(SUMIFS(tblShifts[Run (min)],tblShifts[Machine],$B$66,tblShifts[View date],"&gt;0")-SUMIFS(tblShifts[Net run (min)],tblShifts[Machine],$B$66,tblShifts[View date],"&gt;0"))/60)</f>
        <v>18.1755555555556</v>
      </c>
      <c r="G66" s="38">
        <f>IF($B$66="","",(SUMIFS(tblShifts[Net run (min)],tblShifts[Machine],$B$66,tblShifts[View date],"&gt;0")-SUMIFS(tblShifts[Productive (min)],tblShifts[Machine],$B$66,tblShifts[View date],"&gt;0"))/60)</f>
        <v>1.91499999999999</v>
      </c>
      <c r="H66" s="39">
        <f>IF($B$66="","",IF((SUMIFS(tblShifts[Planned (min)],tblShifts[Machine],$B$66,tblShifts[View date],"&gt;0"))=0,"",(SUMIFS(tblShifts[Productive (min)],tblShifts[Machine],$B$66,tblShifts[View date],"&gt;0"))/(SUMIFS(tblShifts[Planned (min)],tblShifts[Machine],$B$66,tblShifts[View date],"&gt;0"))))</f>
        <v>0.732174074074074</v>
      </c>
      <c r="I66" s="57">
        <f>TargetOEE</f>
        <v>0.7</v>
      </c>
    </row>
    <row r="67" spans="2:43" x14ac:dyDescent="0.25">
      <c r="B67" s="58" t="str">
        <f>IFERROR(INDEX(tblMachines[Machine],2)&amp;"","")</f>
        <v>IM-02</v>
      </c>
      <c r="C67" s="38">
        <f>IF($B$67="","",SUMIFS(tblShifts[Planned (min)],tblShifts[Machine],$B$67,tblShifts[View date],"&gt;0")/60)</f>
        <v>150</v>
      </c>
      <c r="D67" s="38">
        <f>IF($B$67="","",SUMIFS(tblShifts[Productive (min)],tblShifts[Machine],$B$67,tblShifts[View date],"&gt;0")/60)</f>
        <v>110.235277777778</v>
      </c>
      <c r="E67" s="38">
        <f>IF($B$67="","",SUMIFS(tblShifts[Downtime (min)],tblShifts[Machine],$B$67,tblShifts[View date],"&gt;0")/60)</f>
        <v>17.3333333333333</v>
      </c>
      <c r="F67" s="38">
        <f>IF($B$67="","",(SUMIFS(tblShifts[Run (min)],tblShifts[Machine],$B$67,tblShifts[View date],"&gt;0")-SUMIFS(tblShifts[Net run (min)],tblShifts[Machine],$B$67,tblShifts[View date],"&gt;0"))/60)</f>
        <v>20.3436111111111</v>
      </c>
      <c r="G67" s="38">
        <f>IF($B$67="","",(SUMIFS(tblShifts[Net run (min)],tblShifts[Machine],$B$67,tblShifts[View date],"&gt;0")-SUMIFS(tblShifts[Productive (min)],tblShifts[Machine],$B$67,tblShifts[View date],"&gt;0"))/60)</f>
        <v>2.08777777777777</v>
      </c>
      <c r="H67" s="39">
        <f>IF($B$67="","",IF((SUMIFS(tblShifts[Planned (min)],tblShifts[Machine],$B$67,tblShifts[View date],"&gt;0"))=0,"",(SUMIFS(tblShifts[Productive (min)],tblShifts[Machine],$B$67,tblShifts[View date],"&gt;0"))/(SUMIFS(tblShifts[Planned (min)],tblShifts[Machine],$B$67,tblShifts[View date],"&gt;0"))))</f>
        <v>0.734901851851852</v>
      </c>
      <c r="I67" s="57">
        <f>TargetOEE</f>
        <v>0.7</v>
      </c>
    </row>
    <row r="68" spans="2:43" x14ac:dyDescent="0.25">
      <c r="B68" s="58" t="str">
        <f>IFERROR(INDEX(tblMachines[Machine],3)&amp;"","")</f>
        <v>IM-03</v>
      </c>
      <c r="C68" s="38">
        <f>IF($B$68="","",SUMIFS(tblShifts[Planned (min)],tblShifts[Machine],$B$68,tblShifts[View date],"&gt;0")/60)</f>
        <v>150</v>
      </c>
      <c r="D68" s="38">
        <f>IF($B$68="","",SUMIFS(tblShifts[Productive (min)],tblShifts[Machine],$B$68,tblShifts[View date],"&gt;0")/60)</f>
        <v>94.4977777777778</v>
      </c>
      <c r="E68" s="38">
        <f>IF($B$68="","",SUMIFS(tblShifts[Downtime (min)],tblShifts[Machine],$B$68,tblShifts[View date],"&gt;0")/60)</f>
        <v>35.6666666666667</v>
      </c>
      <c r="F68" s="38">
        <f>IF($B$68="","",(SUMIFS(tblShifts[Run (min)],tblShifts[Machine],$B$68,tblShifts[View date],"&gt;0")-SUMIFS(tblShifts[Net run (min)],tblShifts[Machine],$B$68,tblShifts[View date],"&gt;0"))/60)</f>
        <v>15.9555555555556</v>
      </c>
      <c r="G68" s="38">
        <f>IF($B$68="","",(SUMIFS(tblShifts[Net run (min)],tblShifts[Machine],$B$68,tblShifts[View date],"&gt;0")-SUMIFS(tblShifts[Productive (min)],tblShifts[Machine],$B$68,tblShifts[View date],"&gt;0"))/60)</f>
        <v>3.88</v>
      </c>
      <c r="H68" s="39">
        <f>IF($B$68="","",IF((SUMIFS(tblShifts[Planned (min)],tblShifts[Machine],$B$68,tblShifts[View date],"&gt;0"))=0,"",(SUMIFS(tblShifts[Productive (min)],tblShifts[Machine],$B$68,tblShifts[View date],"&gt;0"))/(SUMIFS(tblShifts[Planned (min)],tblShifts[Machine],$B$68,tblShifts[View date],"&gt;0"))))</f>
        <v>0.629985185185185</v>
      </c>
      <c r="I68" s="57">
        <f>TargetOEE</f>
        <v>0.7</v>
      </c>
    </row>
    <row r="69" spans="2:43" x14ac:dyDescent="0.25">
      <c r="B69" s="58" t="str">
        <f>IFERROR(INDEX(tblMachines[Machine],4)&amp;"","")</f>
        <v>IM-04</v>
      </c>
      <c r="C69" s="38">
        <f>IF($B$69="","",SUMIFS(tblShifts[Planned (min)],tblShifts[Machine],$B$69,tblShifts[View date],"&gt;0")/60)</f>
        <v>150</v>
      </c>
      <c r="D69" s="38">
        <f>IF($B$69="","",SUMIFS(tblShifts[Productive (min)],tblShifts[Machine],$B$69,tblShifts[View date],"&gt;0")/60)</f>
        <v>110.227777777778</v>
      </c>
      <c r="E69" s="38">
        <f>IF($B$69="","",SUMIFS(tblShifts[Downtime (min)],tblShifts[Machine],$B$69,tblShifts[View date],"&gt;0")/60)</f>
        <v>18.5833333333333</v>
      </c>
      <c r="F69" s="38">
        <f>IF($B$69="","",(SUMIFS(tblShifts[Run (min)],tblShifts[Machine],$B$69,tblShifts[View date],"&gt;0")-SUMIFS(tblShifts[Net run (min)],tblShifts[Machine],$B$69,tblShifts[View date],"&gt;0"))/60)</f>
        <v>18.9622222222222</v>
      </c>
      <c r="G69" s="38">
        <f>IF($B$69="","",(SUMIFS(tblShifts[Net run (min)],tblShifts[Machine],$B$69,tblShifts[View date],"&gt;0")-SUMIFS(tblShifts[Productive (min)],tblShifts[Machine],$B$69,tblShifts[View date],"&gt;0"))/60)</f>
        <v>2.22666666666666</v>
      </c>
      <c r="H69" s="39">
        <f>IF($B$69="","",IF((SUMIFS(tblShifts[Planned (min)],tblShifts[Machine],$B$69,tblShifts[View date],"&gt;0"))=0,"",(SUMIFS(tblShifts[Productive (min)],tblShifts[Machine],$B$69,tblShifts[View date],"&gt;0"))/(SUMIFS(tblShifts[Planned (min)],tblShifts[Machine],$B$69,tblShifts[View date],"&gt;0"))))</f>
        <v>0.734851851851852</v>
      </c>
      <c r="I69" s="57">
        <f>TargetOEE</f>
        <v>0.7</v>
      </c>
    </row>
    <row r="71" spans="2:43" x14ac:dyDescent="0.25">
      <c r="B71" s="31" t="s">
        <v>184</v>
      </c>
      <c r="C71" s="31"/>
      <c r="D71" s="31"/>
      <c r="E71" s="31"/>
      <c r="F71" s="31"/>
      <c r="G71" s="31" t="s">
        <v>185</v>
      </c>
      <c r="H71" s="31"/>
      <c r="I71" s="31"/>
      <c r="J71" s="31"/>
      <c r="K71" s="31"/>
      <c r="L71" s="31"/>
    </row>
    <row r="72" spans="2:43" ht="20" customHeight="1" x14ac:dyDescent="0.25">
      <c r="B72" s="55" t="s">
        <v>67</v>
      </c>
      <c r="C72" s="32" t="s">
        <v>186</v>
      </c>
      <c r="D72" s="32" t="s">
        <v>187</v>
      </c>
      <c r="E72" s="32" t="s">
        <v>134</v>
      </c>
      <c r="F72" s="32" t="s">
        <v>151</v>
      </c>
      <c r="G72" s="32" t="s">
        <v>188</v>
      </c>
      <c r="H72" s="55" t="s">
        <v>72</v>
      </c>
      <c r="I72" s="55"/>
      <c r="J72" s="32" t="s">
        <v>162</v>
      </c>
      <c r="K72" s="32" t="s">
        <v>189</v>
      </c>
      <c r="L72" s="32" t="s">
        <v>190</v>
      </c>
      <c r="AO72" s="7" t="s">
        <v>191</v>
      </c>
      <c r="AP72" s="7" t="s">
        <v>192</v>
      </c>
      <c r="AQ72" s="7" t="s">
        <v>193</v>
      </c>
    </row>
    <row r="73" spans="2:43" x14ac:dyDescent="0.25">
      <c r="B73" s="58" t="str">
        <f>IFERROR(INDEX(tblShiftList[Shift],1)&amp;"","")</f>
        <v>Day</v>
      </c>
      <c r="C73" s="39">
        <f>IF($B$73="","",IF((SUMIFS(tblShifts[Planned (min)],tblShifts[Shift],$B$73,tblShifts[View date],"&gt;0"))=0,"",(SUMIFS(tblShifts[Run (min)],tblShifts[Shift],$B$73,tblShifts[View date],"&gt;0"))/(SUMIFS(tblShifts[Planned (min)],tblShifts[Shift],$B$73,tblShifts[View date],"&gt;0"))))</f>
        <v>0.855</v>
      </c>
      <c r="D73" s="39">
        <f>IF($B$73="","",IF((SUMIFS(tblShifts[Run (min)],tblShifts[Shift],$B$73,tblShifts[View date],"&gt;0"))=0,"",(SUMIFS(tblShifts[Net run (min)],tblShifts[Shift],$B$73,tblShifts[View date],"&gt;0"))/(SUMIFS(tblShifts[Run (min)],tblShifts[Shift],$B$73,tblShifts[View date],"&gt;0"))))</f>
        <v>0.86946718648473</v>
      </c>
      <c r="E73" s="39">
        <f>IF($B$73="","",IF((SUMIFS(tblShifts[Net run (min)],tblShifts[Shift],$B$73,tblShifts[View date],"&gt;0"))=0,"",(SUMIFS(tblShifts[Productive (min)],tblShifts[Shift],$B$73,tblShifts[View date],"&gt;0"))/(SUMIFS(tblShifts[Net run (min)],tblShifts[Shift],$B$73,tblShifts[View date],"&gt;0"))))</f>
        <v>0.976443142442201</v>
      </c>
      <c r="F73" s="39">
        <f>IF($B$73="","",IF((SUMIFS(tblShifts[Planned (min)],tblShifts[Shift],$B$73,tblShifts[View date],"&gt;0"))=0,"",(SUMIFS(tblShifts[Productive (min)],tblShifts[Shift],$B$73,tblShifts[View date],"&gt;0"))/(SUMIFS(tblShifts[Planned (min)],tblShifts[Shift],$B$73,tblShifts[View date],"&gt;0"))))</f>
        <v>0.725882407407407</v>
      </c>
      <c r="G73" s="59"/>
      <c r="H73" s="59"/>
      <c r="I73" s="59"/>
      <c r="J73" s="59" t="s">
        <v>194</v>
      </c>
      <c r="K73" s="59" t="s">
        <v>195</v>
      </c>
      <c r="L73" s="59" t="s">
        <v>195</v>
      </c>
    </row>
    <row r="74" spans="2:43" x14ac:dyDescent="0.25">
      <c r="B74" s="58" t="str">
        <f>IFERROR(INDEX(tblShiftList[Shift],2)&amp;"","")</f>
        <v>Night</v>
      </c>
      <c r="C74" s="39">
        <f>IF($B$74="","",IF((SUMIFS(tblShifts[Planned (min)],tblShifts[Shift],$B$74,tblShifts[View date],"&gt;0"))=0,"",(SUMIFS(tblShifts[Run (min)],tblShifts[Shift],$B$74,tblShifts[View date],"&gt;0"))/(SUMIFS(tblShifts[Planned (min)],tblShifts[Shift],$B$74,tblShifts[View date],"&gt;0"))))</f>
        <v>0.839444444444444</v>
      </c>
      <c r="D74" s="39">
        <f>IF($B$74="","",IF((SUMIFS(tblShifts[Run (min)],tblShifts[Shift],$B$74,tblShifts[View date],"&gt;0"))=0,"",(SUMIFS(tblShifts[Net run (min)],tblShifts[Shift],$B$74,tblShifts[View date],"&gt;0"))/(SUMIFS(tblShifts[Run (min)],tblShifts[Shift],$B$74,tblShifts[View date],"&gt;0"))))</f>
        <v>0.841342378116038</v>
      </c>
      <c r="E74" s="39">
        <f>IF($B$74="","",IF((SUMIFS(tblShifts[Net run (min)],tblShifts[Shift],$B$74,tblShifts[View date],"&gt;0"))=0,"",(SUMIFS(tblShifts[Productive (min)],tblShifts[Shift],$B$74,tblShifts[View date],"&gt;0"))/(SUMIFS(tblShifts[Net run (min)],tblShifts[Shift],$B$74,tblShifts[View date],"&gt;0"))))</f>
        <v>0.977081943098821</v>
      </c>
      <c r="F74" s="39">
        <f>IF($B$74="","",IF((SUMIFS(tblShifts[Planned (min)],tblShifts[Shift],$B$74,tblShifts[View date],"&gt;0"))=0,"",(SUMIFS(tblShifts[Productive (min)],tblShifts[Shift],$B$74,tblShifts[View date],"&gt;0"))/(SUMIFS(tblShifts[Planned (min)],tblShifts[Shift],$B$74,tblShifts[View date],"&gt;0"))))</f>
        <v>0.690074074074074</v>
      </c>
      <c r="G74" s="60">
        <v>1</v>
      </c>
      <c r="H74" s="43" t="str">
        <f>IF(INDEX($AP$74:$AP$83,MATCH(1,$AQ$74:$AQ$83,0))&lt;0,"",INDEX($AO$74:$AO$83,MATCH(1,$AQ$74:$AQ$83,0)))</f>
        <v>Mould change</v>
      </c>
      <c r="I74" s="43"/>
      <c r="J74" s="36">
        <f>IF($H$74="","",INDEX($AP$74:$AP$83,MATCH(1,$AQ$74:$AQ$83,0)))</f>
        <v>1590</v>
      </c>
      <c r="K74" s="39">
        <f>IF(OR($H$74="",$J$84=0),"",$J$74/$J$84)</f>
        <v>0.289090909090909</v>
      </c>
      <c r="L74" s="39">
        <f>IF(OR($H$74="",$J$84=0),"",SUM($J$74:$J$74)/$J$84)</f>
        <v>0.289090909090909</v>
      </c>
      <c r="AO74" s="11" t="str">
        <f>IFERROR(INDEX(tblReasons[Reason],1)&amp;"","")</f>
        <v>Mould change</v>
      </c>
      <c r="AP74" s="61">
        <f>IF($AO$74="",-1,SUMIFS(tblDowntime[Minutes],tblDowntime[Reason],$AO$74,tblDowntime[View date],"&gt;0"))</f>
        <v>1590</v>
      </c>
      <c r="AQ74" s="61">
        <f>COUNTIF($AP$74:$AP$83,"&gt;"&amp;$AP$74)+COUNTIF($AP$74:$AP$74,$AP$74)</f>
        <v>1</v>
      </c>
    </row>
    <row r="75" spans="2:43" x14ac:dyDescent="0.25">
      <c r="G75" s="60">
        <v>2</v>
      </c>
      <c r="H75" s="43" t="str">
        <f>IF(INDEX($AP$74:$AP$83,MATCH(2,$AQ$74:$AQ$83,0))&lt;0,"",INDEX($AO$74:$AO$83,MATCH(2,$AQ$74:$AQ$83,0)))</f>
        <v>Mould repair</v>
      </c>
      <c r="I75" s="43"/>
      <c r="J75" s="36">
        <f>IF($H$75="","",INDEX($AP$74:$AP$83,MATCH(2,$AQ$74:$AQ$83,0)))</f>
        <v>770</v>
      </c>
      <c r="K75" s="39">
        <f>IF(OR($H$75="",$J$84=0),"",$J$75/$J$84)</f>
        <v>0.14</v>
      </c>
      <c r="L75" s="39">
        <f>IF(OR($H$75="",$J$84=0),"",SUM($J$74:$J$75)/$J$84)</f>
        <v>0.429090909090909</v>
      </c>
      <c r="AO75" s="11" t="str">
        <f>IFERROR(INDEX(tblReasons[Reason],2)&amp;"","")</f>
        <v>Material shortage</v>
      </c>
      <c r="AP75" s="61">
        <f>IF($AO$75="",-1,SUMIFS(tblDowntime[Minutes],tblDowntime[Reason],$AO$75,tblDowntime[View date],"&gt;0"))</f>
        <v>620</v>
      </c>
      <c r="AQ75" s="61">
        <f>COUNTIF($AP$74:$AP$83,"&gt;"&amp;$AP$75)+COUNTIF($AP$74:$AP$75,$AP$75)</f>
        <v>4</v>
      </c>
    </row>
    <row r="76" spans="2:43" x14ac:dyDescent="0.25">
      <c r="G76" s="60">
        <v>3</v>
      </c>
      <c r="H76" s="43" t="str">
        <f>IF(INDEX($AP$74:$AP$83,MATCH(3,$AQ$74:$AQ$83,0))&lt;0,"",INDEX($AO$74:$AO$83,MATCH(3,$AQ$74:$AQ$83,0)))</f>
        <v>Hydraulic fault</v>
      </c>
      <c r="I76" s="43"/>
      <c r="J76" s="36">
        <f>IF($H$76="","",INDEX($AP$74:$AP$83,MATCH(3,$AQ$74:$AQ$83,0)))</f>
        <v>700</v>
      </c>
      <c r="K76" s="39">
        <f>IF(OR($H$76="",$J$84=0),"",$J$76/$J$84)</f>
        <v>0.127272727272727</v>
      </c>
      <c r="L76" s="39">
        <f>IF(OR($H$76="",$J$84=0),"",SUM($J$74:$J$76)/$J$84)</f>
        <v>0.556363636363636</v>
      </c>
      <c r="AO76" s="11" t="str">
        <f>IFERROR(INDEX(tblReasons[Reason],3)&amp;"","")</f>
        <v>Hydraulic fault</v>
      </c>
      <c r="AP76" s="61">
        <f>IF($AO$76="",-1,SUMIFS(tblDowntime[Minutes],tblDowntime[Reason],$AO$76,tblDowntime[View date],"&gt;0"))</f>
        <v>700</v>
      </c>
      <c r="AQ76" s="61">
        <f>COUNTIF($AP$74:$AP$83,"&gt;"&amp;$AP$76)+COUNTIF($AP$74:$AP$76,$AP$76)</f>
        <v>3</v>
      </c>
    </row>
    <row r="77" spans="2:43" x14ac:dyDescent="0.25">
      <c r="G77" s="60">
        <v>4</v>
      </c>
      <c r="H77" s="43" t="str">
        <f>IF(INDEX($AP$74:$AP$83,MATCH(4,$AQ$74:$AQ$83,0))&lt;0,"",INDEX($AO$74:$AO$83,MATCH(4,$AQ$74:$AQ$83,0)))</f>
        <v>Material shortage</v>
      </c>
      <c r="I77" s="43"/>
      <c r="J77" s="36">
        <f>IF($H$77="","",INDEX($AP$74:$AP$83,MATCH(4,$AQ$74:$AQ$83,0)))</f>
        <v>620</v>
      </c>
      <c r="K77" s="39">
        <f>IF(OR($H$77="",$J$84=0),"",$J$77/$J$84)</f>
        <v>0.112727272727273</v>
      </c>
      <c r="L77" s="39">
        <f>IF(OR($H$77="",$J$84=0),"",SUM($J$74:$J$77)/$J$84)</f>
        <v>0.669090909090909</v>
      </c>
      <c r="AO77" s="11" t="str">
        <f>IFERROR(INDEX(tblReasons[Reason],4)&amp;"","")</f>
        <v>Electrical fault</v>
      </c>
      <c r="AP77" s="61">
        <f>IF($AO$77="",-1,SUMIFS(tblDowntime[Minutes],tblDowntime[Reason],$AO$77,tblDowntime[View date],"&gt;0"))</f>
        <v>460</v>
      </c>
      <c r="AQ77" s="61">
        <f>COUNTIF($AP$74:$AP$83,"&gt;"&amp;$AP$77)+COUNTIF($AP$74:$AP$77,$AP$77)</f>
        <v>6</v>
      </c>
    </row>
    <row r="78" spans="2:43" x14ac:dyDescent="0.25">
      <c r="G78" s="60">
        <v>5</v>
      </c>
      <c r="H78" s="43" t="str">
        <f>IF(INDEX($AP$74:$AP$83,MATCH(5,$AQ$74:$AQ$83,0))&lt;0,"",INDEX($AO$74:$AO$83,MATCH(5,$AQ$74:$AQ$83,0)))</f>
        <v>Start-up and purge</v>
      </c>
      <c r="I78" s="43"/>
      <c r="J78" s="36">
        <f>IF($H$78="","",INDEX($AP$74:$AP$83,MATCH(5,$AQ$74:$AQ$83,0)))</f>
        <v>470</v>
      </c>
      <c r="K78" s="39">
        <f>IF(OR($H$78="",$J$84=0),"",$J$78/$J$84)</f>
        <v>0.0854545454545455</v>
      </c>
      <c r="L78" s="39">
        <f>IF(OR($H$78="",$J$84=0),"",SUM($J$74:$J$78)/$J$84)</f>
        <v>0.754545454545455</v>
      </c>
      <c r="AO78" s="11" t="str">
        <f>IFERROR(INDEX(tblReasons[Reason],5)&amp;"","")</f>
        <v>Mould repair</v>
      </c>
      <c r="AP78" s="61">
        <f>IF($AO$78="",-1,SUMIFS(tblDowntime[Minutes],tblDowntime[Reason],$AO$78,tblDowntime[View date],"&gt;0"))</f>
        <v>770</v>
      </c>
      <c r="AQ78" s="61">
        <f>COUNTIF($AP$74:$AP$83,"&gt;"&amp;$AP$78)+COUNTIF($AP$74:$AP$78,$AP$78)</f>
        <v>2</v>
      </c>
    </row>
    <row r="79" spans="2:43" x14ac:dyDescent="0.25">
      <c r="G79" s="60">
        <v>6</v>
      </c>
      <c r="H79" s="43" t="str">
        <f>IF(INDEX($AP$74:$AP$83,MATCH(6,$AQ$74:$AQ$83,0))&lt;0,"",INDEX($AO$74:$AO$83,MATCH(6,$AQ$74:$AQ$83,0)))</f>
        <v>Electrical fault</v>
      </c>
      <c r="I79" s="43"/>
      <c r="J79" s="36">
        <f>IF($H$79="","",INDEX($AP$74:$AP$83,MATCH(6,$AQ$74:$AQ$83,0)))</f>
        <v>460</v>
      </c>
      <c r="K79" s="39">
        <f>IF(OR($H$79="",$J$84=0),"",$J$79/$J$84)</f>
        <v>0.0836363636363636</v>
      </c>
      <c r="L79" s="39">
        <f>IF(OR($H$79="",$J$84=0),"",SUM($J$74:$J$79)/$J$84)</f>
        <v>0.838181818181818</v>
      </c>
      <c r="AO79" s="11" t="str">
        <f>IFERROR(INDEX(tblReasons[Reason],6)&amp;"","")</f>
        <v>Robot fault</v>
      </c>
      <c r="AP79" s="61">
        <f>IF($AO$79="",-1,SUMIFS(tblDowntime[Minutes],tblDowntime[Reason],$AO$79,tblDowntime[View date],"&gt;0"))</f>
        <v>320</v>
      </c>
      <c r="AQ79" s="61">
        <f>COUNTIF($AP$74:$AP$83,"&gt;"&amp;$AP$79)+COUNTIF($AP$74:$AP$79,$AP$79)</f>
        <v>7</v>
      </c>
    </row>
    <row r="80" spans="2:43" x14ac:dyDescent="0.25">
      <c r="G80" s="60">
        <v>7</v>
      </c>
      <c r="H80" s="43" t="str">
        <f>IF(INDEX($AP$74:$AP$83,MATCH(7,$AQ$74:$AQ$83,0))&lt;0,"",INDEX($AO$74:$AO$83,MATCH(7,$AQ$74:$AQ$83,0)))</f>
        <v>Robot fault</v>
      </c>
      <c r="I80" s="43"/>
      <c r="J80" s="36">
        <f>IF($H$80="","",INDEX($AP$74:$AP$83,MATCH(7,$AQ$74:$AQ$83,0)))</f>
        <v>320</v>
      </c>
      <c r="K80" s="39">
        <f>IF(OR($H$80="",$J$84=0),"",$J$80/$J$84)</f>
        <v>0.0581818181818182</v>
      </c>
      <c r="L80" s="39">
        <f>IF(OR($H$80="",$J$84=0),"",SUM($J$74:$J$80)/$J$84)</f>
        <v>0.896363636363636</v>
      </c>
      <c r="AO80" s="11" t="str">
        <f>IFERROR(INDEX(tblReasons[Reason],7)&amp;"","")</f>
        <v>Start-up and purge</v>
      </c>
      <c r="AP80" s="61">
        <f>IF($AO$80="",-1,SUMIFS(tblDowntime[Minutes],tblDowntime[Reason],$AO$80,tblDowntime[View date],"&gt;0"))</f>
        <v>470</v>
      </c>
      <c r="AQ80" s="61">
        <f>COUNTIF($AP$74:$AP$83,"&gt;"&amp;$AP$80)+COUNTIF($AP$74:$AP$80,$AP$80)</f>
        <v>5</v>
      </c>
    </row>
    <row r="81" spans="2:43" x14ac:dyDescent="0.25">
      <c r="G81" s="60">
        <v>8</v>
      </c>
      <c r="H81" s="43" t="str">
        <f>IF(INDEX($AP$74:$AP$83,MATCH(8,$AQ$74:$AQ$83,0))&lt;0,"",INDEX($AO$74:$AO$83,MATCH(8,$AQ$74:$AQ$83,0)))</f>
        <v>Quality hold</v>
      </c>
      <c r="I81" s="43"/>
      <c r="J81" s="36">
        <f>IF($H$81="","",INDEX($AP$74:$AP$83,MATCH(8,$AQ$74:$AQ$83,0)))</f>
        <v>255</v>
      </c>
      <c r="K81" s="39">
        <f>IF(OR($H$81="",$J$84=0),"",$J$81/$J$84)</f>
        <v>0.0463636363636364</v>
      </c>
      <c r="L81" s="39">
        <f>IF(OR($H$81="",$J$84=0),"",SUM($J$74:$J$81)/$J$84)</f>
        <v>0.942727272727273</v>
      </c>
      <c r="AO81" s="11" t="str">
        <f>IFERROR(INDEX(tblReasons[Reason],8)&amp;"","")</f>
        <v>Quality hold</v>
      </c>
      <c r="AP81" s="61">
        <f>IF($AO$81="",-1,SUMIFS(tblDowntime[Minutes],tblDowntime[Reason],$AO$81,tblDowntime[View date],"&gt;0"))</f>
        <v>255</v>
      </c>
      <c r="AQ81" s="61">
        <f>COUNTIF($AP$74:$AP$83,"&gt;"&amp;$AP$81)+COUNTIF($AP$74:$AP$81,$AP$81)</f>
        <v>8</v>
      </c>
    </row>
    <row r="82" spans="2:43" x14ac:dyDescent="0.25">
      <c r="G82" s="60">
        <v>9</v>
      </c>
      <c r="H82" s="43" t="str">
        <f>IF(INDEX($AP$74:$AP$83,MATCH(9,$AQ$74:$AQ$83,0))&lt;0,"",INDEX($AO$74:$AO$83,MATCH(9,$AQ$74:$AQ$83,0)))</f>
        <v>Waiting for operator</v>
      </c>
      <c r="I82" s="43"/>
      <c r="J82" s="36">
        <f>IF($H$82="","",INDEX($AP$74:$AP$83,MATCH(9,$AQ$74:$AQ$83,0)))</f>
        <v>250</v>
      </c>
      <c r="K82" s="39">
        <f>IF(OR($H$82="",$J$84=0),"",$J$82/$J$84)</f>
        <v>0.0454545454545455</v>
      </c>
      <c r="L82" s="39">
        <f>IF(OR($H$82="",$J$84=0),"",SUM($J$74:$J$82)/$J$84)</f>
        <v>0.988181818181818</v>
      </c>
      <c r="AO82" s="11" t="str">
        <f>IFERROR(INDEX(tblReasons[Reason],9)&amp;"","")</f>
        <v>Waiting for operator</v>
      </c>
      <c r="AP82" s="61">
        <f>IF($AO$82="",-1,SUMIFS(tblDowntime[Minutes],tblDowntime[Reason],$AO$82,tblDowntime[View date],"&gt;0"))</f>
        <v>250</v>
      </c>
      <c r="AQ82" s="61">
        <f>COUNTIF($AP$74:$AP$83,"&gt;"&amp;$AP$82)+COUNTIF($AP$74:$AP$82,$AP$82)</f>
        <v>9</v>
      </c>
    </row>
    <row r="83" spans="2:43" x14ac:dyDescent="0.25">
      <c r="G83" s="60">
        <v>10</v>
      </c>
      <c r="H83" s="43" t="str">
        <f>IF(INDEX($AP$74:$AP$83,MATCH(10,$AQ$74:$AQ$83,0))&lt;0,"",INDEX($AO$74:$AO$83,MATCH(10,$AQ$74:$AQ$83,0)))</f>
        <v>Other</v>
      </c>
      <c r="I83" s="43"/>
      <c r="J83" s="36">
        <f>IF($H$83="","",INDEX($AP$74:$AP$83,MATCH(10,$AQ$74:$AQ$83,0)))</f>
        <v>65</v>
      </c>
      <c r="K83" s="39">
        <f>IF(OR($H$83="",$J$84=0),"",$J$83/$J$84)</f>
        <v>0.0118181818181818</v>
      </c>
      <c r="L83" s="39">
        <f>IF(OR($H$83="",$J$84=0),"",SUM($J$74:$J$83)/$J$84)</f>
        <v>1</v>
      </c>
      <c r="AO83" s="11" t="str">
        <f>IFERROR(INDEX(tblReasons[Reason],10)&amp;"","")</f>
        <v>Other</v>
      </c>
      <c r="AP83" s="61">
        <f>IF($AO$83="",-1,SUMIFS(tblDowntime[Minutes],tblDowntime[Reason],$AO$83,tblDowntime[View date],"&gt;0"))</f>
        <v>65</v>
      </c>
      <c r="AQ83" s="61">
        <f>COUNTIF($AP$74:$AP$83,"&gt;"&amp;$AP$83)+COUNTIF($AP$74:$AP$83,$AP$83)</f>
        <v>10</v>
      </c>
    </row>
    <row r="84" spans="2:43" x14ac:dyDescent="0.25">
      <c r="G84" s="62"/>
      <c r="H84" s="62" t="s">
        <v>196</v>
      </c>
      <c r="I84" s="62"/>
      <c r="J84" s="63">
        <f>SUMIF($AP$74:$AP$83,"&gt;0")</f>
        <v>5500</v>
      </c>
      <c r="K84" s="62"/>
      <c r="L84" s="62"/>
    </row>
    <row r="86" spans="2:43" x14ac:dyDescent="0.25">
      <c r="B86" s="31" t="s">
        <v>197</v>
      </c>
      <c r="C86" s="31"/>
      <c r="D86" s="31"/>
      <c r="E86" s="31"/>
      <c r="F86" s="31"/>
      <c r="G86" s="31"/>
      <c r="H86" s="31"/>
      <c r="I86" s="31"/>
    </row>
    <row r="87" spans="2:43" ht="32" customHeight="1" x14ac:dyDescent="0.25">
      <c r="B87" s="55" t="s">
        <v>198</v>
      </c>
      <c r="C87" s="32" t="s">
        <v>177</v>
      </c>
      <c r="D87" s="32" t="s">
        <v>178</v>
      </c>
      <c r="E87" s="32" t="s">
        <v>144</v>
      </c>
      <c r="F87" s="32" t="s">
        <v>149</v>
      </c>
      <c r="G87" s="32" t="s">
        <v>150</v>
      </c>
      <c r="H87" s="32" t="s">
        <v>134</v>
      </c>
      <c r="I87" s="32" t="s">
        <v>151</v>
      </c>
    </row>
    <row r="88" spans="2:43" x14ac:dyDescent="0.25">
      <c r="B88" s="64">
        <f>IF(COUNT(tblShifts[View date])=0,"",MAX(tblShifts[View date])-WEEKDAY(MAX(tblShifts[View date]),2)+1)</f>
        <v>46279</v>
      </c>
      <c r="C88" s="38">
        <f>IF($B$88="","",SUMIFS(tblShifts[Planned (min)],tblShifts[View date],"&gt;="&amp;$B$88,tblShifts[View date],"&lt;"&amp;$B$88+7)/60)</f>
        <v>300</v>
      </c>
      <c r="D88" s="38">
        <f>IF($B$88="","",SUMIFS(tblShifts[Downtime (min)],tblShifts[View date],"&gt;="&amp;$B$88,tblShifts[View date],"&lt;"&amp;$B$88+7)/60)</f>
        <v>54.3333333333333</v>
      </c>
      <c r="E88" s="36">
        <f>IF($B$88="","",SUMIFS(tblShifts[Good (units)],tblShifts[View date],"&gt;="&amp;$B$88,tblShifts[View date],"&lt;"&amp;$B$88+7))</f>
        <v>86472</v>
      </c>
      <c r="F88" s="39">
        <f>IF($B$88="","",IF((SUMIFS(tblShifts[Planned (min)],tblShifts[View date],"&gt;="&amp;$B$88,tblShifts[View date],"&lt;"&amp;$B$88+7))=0,"",(SUMIFS(tblShifts[Run (min)],tblShifts[View date],"&gt;="&amp;$B$88,tblShifts[View date],"&lt;"&amp;$B$88+7))/(SUMIFS(tblShifts[Planned (min)],tblShifts[View date],"&gt;="&amp;$B$88,tblShifts[View date],"&lt;"&amp;$B$88+7))))</f>
        <v>0.818888888888889</v>
      </c>
      <c r="G88" s="39">
        <f>IF($B$88="","",IF((SUMIFS(tblShifts[Run (min)],tblShifts[View date],"&gt;="&amp;$B$88,tblShifts[View date],"&lt;"&amp;$B$88+7))=0,"",(SUMIFS(tblShifts[Net run (min)],tblShifts[View date],"&gt;="&amp;$B$88,tblShifts[View date],"&lt;"&amp;$B$88+7))/(SUMIFS(tblShifts[Run (min)],tblShifts[View date],"&gt;="&amp;$B$88,tblShifts[View date],"&lt;"&amp;$B$88+7))))</f>
        <v>0.849598597919493</v>
      </c>
      <c r="H88" s="39">
        <f>IF($B$88="","",IF((SUMIFS(tblShifts[Net run (min)],tblShifts[View date],"&gt;="&amp;$B$88,tblShifts[View date],"&lt;"&amp;$B$88+7))=0,"",(SUMIFS(tblShifts[Productive (min)],tblShifts[View date],"&gt;="&amp;$B$88,tblShifts[View date],"&lt;"&amp;$B$88+7))/(SUMIFS(tblShifts[Net run (min)],tblShifts[View date],"&gt;="&amp;$B$88,tblShifts[View date],"&lt;"&amp;$B$88+7))))</f>
        <v>0.97587521709909</v>
      </c>
      <c r="I88" s="39">
        <f>IF($B$88="","",IF((SUMIFS(tblShifts[Planned (min)],tblShifts[View date],"&gt;="&amp;$B$88,tblShifts[View date],"&lt;"&amp;$B$88+7))=0,"",(SUMIFS(tblShifts[Productive (min)],tblShifts[View date],"&gt;="&amp;$B$88,tblShifts[View date],"&lt;"&amp;$B$88+7))/(SUMIFS(tblShifts[Planned (min)],tblShifts[View date],"&gt;="&amp;$B$88,tblShifts[View date],"&lt;"&amp;$B$88+7))))</f>
        <v>0.678942592592593</v>
      </c>
    </row>
    <row r="89" spans="2:43" x14ac:dyDescent="0.25">
      <c r="B89" s="64">
        <f>IF($B$88="","",IF($B$88-1&lt;MIN(tblShifts[View date]),"",$B$88-7))</f>
        <v>46272</v>
      </c>
      <c r="C89" s="38">
        <f>IF($B$89="","",SUMIFS(tblShifts[Planned (min)],tblShifts[View date],"&gt;="&amp;$B$89,tblShifts[View date],"&lt;"&amp;$B$89+7)/60)</f>
        <v>300</v>
      </c>
      <c r="D89" s="38">
        <f>IF($B$89="","",SUMIFS(tblShifts[Downtime (min)],tblShifts[View date],"&gt;="&amp;$B$89,tblShifts[View date],"&lt;"&amp;$B$89+7)/60)</f>
        <v>37.3333333333333</v>
      </c>
      <c r="E89" s="36">
        <f>IF($B$89="","",SUMIFS(tblShifts[Good (units)],tblShifts[View date],"&gt;="&amp;$B$89,tblShifts[View date],"&lt;"&amp;$B$89+7))</f>
        <v>87754</v>
      </c>
      <c r="F89" s="39">
        <f>IF($B$89="","",IF((SUMIFS(tblShifts[Planned (min)],tblShifts[View date],"&gt;="&amp;$B$89,tblShifts[View date],"&lt;"&amp;$B$89+7))=0,"",(SUMIFS(tblShifts[Run (min)],tblShifts[View date],"&gt;="&amp;$B$89,tblShifts[View date],"&lt;"&amp;$B$89+7))/(SUMIFS(tblShifts[Planned (min)],tblShifts[View date],"&gt;="&amp;$B$89,tblShifts[View date],"&lt;"&amp;$B$89+7))))</f>
        <v>0.875555555555556</v>
      </c>
      <c r="G89" s="39">
        <f>IF($B$89="","",IF((SUMIFS(tblShifts[Run (min)],tblShifts[View date],"&gt;="&amp;$B$89,tblShifts[View date],"&lt;"&amp;$B$89+7))=0,"",(SUMIFS(tblShifts[Net run (min)],tblShifts[View date],"&gt;="&amp;$B$89,tblShifts[View date],"&lt;"&amp;$B$89+7))/(SUMIFS(tblShifts[Run (min)],tblShifts[View date],"&gt;="&amp;$B$89,tblShifts[View date],"&lt;"&amp;$B$89+7))))</f>
        <v>0.861085025380711</v>
      </c>
      <c r="H89" s="39">
        <f>IF($B$89="","",IF((SUMIFS(tblShifts[Net run (min)],tblShifts[View date],"&gt;="&amp;$B$89,tblShifts[View date],"&lt;"&amp;$B$89+7))=0,"",(SUMIFS(tblShifts[Productive (min)],tblShifts[View date],"&gt;="&amp;$B$89,tblShifts[View date],"&lt;"&amp;$B$89+7))/(SUMIFS(tblShifts[Net run (min)],tblShifts[View date],"&gt;="&amp;$B$89,tblShifts[View date],"&lt;"&amp;$B$89+7))))</f>
        <v>0.977565637734236</v>
      </c>
      <c r="I89" s="39">
        <f>IF($B$89="","",IF((SUMIFS(tblShifts[Planned (min)],tblShifts[View date],"&gt;="&amp;$B$89,tblShifts[View date],"&lt;"&amp;$B$89+7))=0,"",(SUMIFS(tblShifts[Productive (min)],tblShifts[View date],"&gt;="&amp;$B$89,tblShifts[View date],"&lt;"&amp;$B$89+7))/(SUMIFS(tblShifts[Planned (min)],tblShifts[View date],"&gt;="&amp;$B$89,tblShifts[View date],"&lt;"&amp;$B$89+7))))</f>
        <v>0.737013888888889</v>
      </c>
    </row>
    <row r="90" spans="2:43" x14ac:dyDescent="0.25">
      <c r="B90" s="64">
        <f>IF($B$89="","",IF($B$89-1&lt;MIN(tblShifts[View date]),"",$B$89-7))</f>
        <v/>
      </c>
      <c r="C90" s="38">
        <f>IF($B$90="","",SUMIFS(tblShifts[Planned (min)],tblShifts[View date],"&gt;="&amp;$B$90,tblShifts[View date],"&lt;"&amp;$B$90+7)/60)</f>
        <v/>
      </c>
      <c r="D90" s="38">
        <f>IF($B$90="","",SUMIFS(tblShifts[Downtime (min)],tblShifts[View date],"&gt;="&amp;$B$90,tblShifts[View date],"&lt;"&amp;$B$90+7)/60)</f>
        <v/>
      </c>
      <c r="E90" s="36">
        <f>IF($B$90="","",SUMIFS(tblShifts[Good (units)],tblShifts[View date],"&gt;="&amp;$B$90,tblShifts[View date],"&lt;"&amp;$B$90+7))</f>
        <v/>
      </c>
      <c r="F90" s="39">
        <f>IF($B$90="","",IF((SUMIFS(tblShifts[Planned (min)],tblShifts[View date],"&gt;="&amp;$B$90,tblShifts[View date],"&lt;"&amp;$B$90+7))=0,"",(SUMIFS(tblShifts[Run (min)],tblShifts[View date],"&gt;="&amp;$B$90,tblShifts[View date],"&lt;"&amp;$B$90+7))/(SUMIFS(tblShifts[Planned (min)],tblShifts[View date],"&gt;="&amp;$B$90,tblShifts[View date],"&lt;"&amp;$B$90+7))))</f>
        <v/>
      </c>
      <c r="G90" s="39">
        <f>IF($B$90="","",IF((SUMIFS(tblShifts[Run (min)],tblShifts[View date],"&gt;="&amp;$B$90,tblShifts[View date],"&lt;"&amp;$B$90+7))=0,"",(SUMIFS(tblShifts[Net run (min)],tblShifts[View date],"&gt;="&amp;$B$90,tblShifts[View date],"&lt;"&amp;$B$90+7))/(SUMIFS(tblShifts[Run (min)],tblShifts[View date],"&gt;="&amp;$B$90,tblShifts[View date],"&lt;"&amp;$B$90+7))))</f>
        <v/>
      </c>
      <c r="H90" s="39">
        <f>IF($B$90="","",IF((SUMIFS(tblShifts[Net run (min)],tblShifts[View date],"&gt;="&amp;$B$90,tblShifts[View date],"&lt;"&amp;$B$90+7))=0,"",(SUMIFS(tblShifts[Productive (min)],tblShifts[View date],"&gt;="&amp;$B$90,tblShifts[View date],"&lt;"&amp;$B$90+7))/(SUMIFS(tblShifts[Net run (min)],tblShifts[View date],"&gt;="&amp;$B$90,tblShifts[View date],"&lt;"&amp;$B$90+7))))</f>
        <v/>
      </c>
      <c r="I90" s="39">
        <f>IF($B$90="","",IF((SUMIFS(tblShifts[Planned (min)],tblShifts[View date],"&gt;="&amp;$B$90,tblShifts[View date],"&lt;"&amp;$B$90+7))=0,"",(SUMIFS(tblShifts[Productive (min)],tblShifts[View date],"&gt;="&amp;$B$90,tblShifts[View date],"&lt;"&amp;$B$90+7))/(SUMIFS(tblShifts[Planned (min)],tblShifts[View date],"&gt;="&amp;$B$90,tblShifts[View date],"&lt;"&amp;$B$90+7))))</f>
        <v/>
      </c>
    </row>
    <row r="91" spans="2:43" x14ac:dyDescent="0.25">
      <c r="B91" s="64">
        <f>IF($B$90="","",IF($B$90-1&lt;MIN(tblShifts[View date]),"",$B$90-7))</f>
        <v/>
      </c>
      <c r="C91" s="38">
        <f>IF($B$91="","",SUMIFS(tblShifts[Planned (min)],tblShifts[View date],"&gt;="&amp;$B$91,tblShifts[View date],"&lt;"&amp;$B$91+7)/60)</f>
        <v/>
      </c>
      <c r="D91" s="38">
        <f>IF($B$91="","",SUMIFS(tblShifts[Downtime (min)],tblShifts[View date],"&gt;="&amp;$B$91,tblShifts[View date],"&lt;"&amp;$B$91+7)/60)</f>
        <v/>
      </c>
      <c r="E91" s="36">
        <f>IF($B$91="","",SUMIFS(tblShifts[Good (units)],tblShifts[View date],"&gt;="&amp;$B$91,tblShifts[View date],"&lt;"&amp;$B$91+7))</f>
        <v/>
      </c>
      <c r="F91" s="39">
        <f>IF($B$91="","",IF((SUMIFS(tblShifts[Planned (min)],tblShifts[View date],"&gt;="&amp;$B$91,tblShifts[View date],"&lt;"&amp;$B$91+7))=0,"",(SUMIFS(tblShifts[Run (min)],tblShifts[View date],"&gt;="&amp;$B$91,tblShifts[View date],"&lt;"&amp;$B$91+7))/(SUMIFS(tblShifts[Planned (min)],tblShifts[View date],"&gt;="&amp;$B$91,tblShifts[View date],"&lt;"&amp;$B$91+7))))</f>
        <v/>
      </c>
      <c r="G91" s="39">
        <f>IF($B$91="","",IF((SUMIFS(tblShifts[Run (min)],tblShifts[View date],"&gt;="&amp;$B$91,tblShifts[View date],"&lt;"&amp;$B$91+7))=0,"",(SUMIFS(tblShifts[Net run (min)],tblShifts[View date],"&gt;="&amp;$B$91,tblShifts[View date],"&lt;"&amp;$B$91+7))/(SUMIFS(tblShifts[Run (min)],tblShifts[View date],"&gt;="&amp;$B$91,tblShifts[View date],"&lt;"&amp;$B$91+7))))</f>
        <v/>
      </c>
      <c r="H91" s="39">
        <f>IF($B$91="","",IF((SUMIFS(tblShifts[Net run (min)],tblShifts[View date],"&gt;="&amp;$B$91,tblShifts[View date],"&lt;"&amp;$B$91+7))=0,"",(SUMIFS(tblShifts[Productive (min)],tblShifts[View date],"&gt;="&amp;$B$91,tblShifts[View date],"&lt;"&amp;$B$91+7))/(SUMIFS(tblShifts[Net run (min)],tblShifts[View date],"&gt;="&amp;$B$91,tblShifts[View date],"&lt;"&amp;$B$91+7))))</f>
        <v/>
      </c>
      <c r="I91" s="39">
        <f>IF($B$91="","",IF((SUMIFS(tblShifts[Planned (min)],tblShifts[View date],"&gt;="&amp;$B$91,tblShifts[View date],"&lt;"&amp;$B$91+7))=0,"",(SUMIFS(tblShifts[Productive (min)],tblShifts[View date],"&gt;="&amp;$B$91,tblShifts[View date],"&lt;"&amp;$B$91+7))/(SUMIFS(tblShifts[Planned (min)],tblShifts[View date],"&gt;="&amp;$B$91,tblShifts[View date],"&lt;"&amp;$B$91+7))))</f>
        <v/>
      </c>
    </row>
    <row r="92" spans="2:43" x14ac:dyDescent="0.25">
      <c r="B92" s="64">
        <f>IF($B$91="","",IF($B$91-1&lt;MIN(tblShifts[View date]),"",$B$91-7))</f>
        <v/>
      </c>
      <c r="C92" s="38">
        <f>IF($B$92="","",SUMIFS(tblShifts[Planned (min)],tblShifts[View date],"&gt;="&amp;$B$92,tblShifts[View date],"&lt;"&amp;$B$92+7)/60)</f>
        <v/>
      </c>
      <c r="D92" s="38">
        <f>IF($B$92="","",SUMIFS(tblShifts[Downtime (min)],tblShifts[View date],"&gt;="&amp;$B$92,tblShifts[View date],"&lt;"&amp;$B$92+7)/60)</f>
        <v/>
      </c>
      <c r="E92" s="36">
        <f>IF($B$92="","",SUMIFS(tblShifts[Good (units)],tblShifts[View date],"&gt;="&amp;$B$92,tblShifts[View date],"&lt;"&amp;$B$92+7))</f>
        <v/>
      </c>
      <c r="F92" s="39">
        <f>IF($B$92="","",IF((SUMIFS(tblShifts[Planned (min)],tblShifts[View date],"&gt;="&amp;$B$92,tblShifts[View date],"&lt;"&amp;$B$92+7))=0,"",(SUMIFS(tblShifts[Run (min)],tblShifts[View date],"&gt;="&amp;$B$92,tblShifts[View date],"&lt;"&amp;$B$92+7))/(SUMIFS(tblShifts[Planned (min)],tblShifts[View date],"&gt;="&amp;$B$92,tblShifts[View date],"&lt;"&amp;$B$92+7))))</f>
        <v/>
      </c>
      <c r="G92" s="39">
        <f>IF($B$92="","",IF((SUMIFS(tblShifts[Run (min)],tblShifts[View date],"&gt;="&amp;$B$92,tblShifts[View date],"&lt;"&amp;$B$92+7))=0,"",(SUMIFS(tblShifts[Net run (min)],tblShifts[View date],"&gt;="&amp;$B$92,tblShifts[View date],"&lt;"&amp;$B$92+7))/(SUMIFS(tblShifts[Run (min)],tblShifts[View date],"&gt;="&amp;$B$92,tblShifts[View date],"&lt;"&amp;$B$92+7))))</f>
        <v/>
      </c>
      <c r="H92" s="39">
        <f>IF($B$92="","",IF((SUMIFS(tblShifts[Net run (min)],tblShifts[View date],"&gt;="&amp;$B$92,tblShifts[View date],"&lt;"&amp;$B$92+7))=0,"",(SUMIFS(tblShifts[Productive (min)],tblShifts[View date],"&gt;="&amp;$B$92,tblShifts[View date],"&lt;"&amp;$B$92+7))/(SUMIFS(tblShifts[Net run (min)],tblShifts[View date],"&gt;="&amp;$B$92,tblShifts[View date],"&lt;"&amp;$B$92+7))))</f>
        <v/>
      </c>
      <c r="I92" s="39">
        <f>IF($B$92="","",IF((SUMIFS(tblShifts[Planned (min)],tblShifts[View date],"&gt;="&amp;$B$92,tblShifts[View date],"&lt;"&amp;$B$92+7))=0,"",(SUMIFS(tblShifts[Productive (min)],tblShifts[View date],"&gt;="&amp;$B$92,tblShifts[View date],"&lt;"&amp;$B$92+7))/(SUMIFS(tblShifts[Planned (min)],tblShifts[View date],"&gt;="&amp;$B$92,tblShifts[View date],"&lt;"&amp;$B$92+7))))</f>
        <v/>
      </c>
    </row>
    <row r="93" spans="2:43" x14ac:dyDescent="0.25">
      <c r="B93" s="64">
        <f>IF($B$92="","",IF($B$92-1&lt;MIN(tblShifts[View date]),"",$B$92-7))</f>
        <v/>
      </c>
      <c r="C93" s="38">
        <f>IF($B$93="","",SUMIFS(tblShifts[Planned (min)],tblShifts[View date],"&gt;="&amp;$B$93,tblShifts[View date],"&lt;"&amp;$B$93+7)/60)</f>
        <v/>
      </c>
      <c r="D93" s="38">
        <f>IF($B$93="","",SUMIFS(tblShifts[Downtime (min)],tblShifts[View date],"&gt;="&amp;$B$93,tblShifts[View date],"&lt;"&amp;$B$93+7)/60)</f>
        <v/>
      </c>
      <c r="E93" s="36">
        <f>IF($B$93="","",SUMIFS(tblShifts[Good (units)],tblShifts[View date],"&gt;="&amp;$B$93,tblShifts[View date],"&lt;"&amp;$B$93+7))</f>
        <v/>
      </c>
      <c r="F93" s="39">
        <f>IF($B$93="","",IF((SUMIFS(tblShifts[Planned (min)],tblShifts[View date],"&gt;="&amp;$B$93,tblShifts[View date],"&lt;"&amp;$B$93+7))=0,"",(SUMIFS(tblShifts[Run (min)],tblShifts[View date],"&gt;="&amp;$B$93,tblShifts[View date],"&lt;"&amp;$B$93+7))/(SUMIFS(tblShifts[Planned (min)],tblShifts[View date],"&gt;="&amp;$B$93,tblShifts[View date],"&lt;"&amp;$B$93+7))))</f>
        <v/>
      </c>
      <c r="G93" s="39">
        <f>IF($B$93="","",IF((SUMIFS(tblShifts[Run (min)],tblShifts[View date],"&gt;="&amp;$B$93,tblShifts[View date],"&lt;"&amp;$B$93+7))=0,"",(SUMIFS(tblShifts[Net run (min)],tblShifts[View date],"&gt;="&amp;$B$93,tblShifts[View date],"&lt;"&amp;$B$93+7))/(SUMIFS(tblShifts[Run (min)],tblShifts[View date],"&gt;="&amp;$B$93,tblShifts[View date],"&lt;"&amp;$B$93+7))))</f>
        <v/>
      </c>
      <c r="H93" s="39">
        <f>IF($B$93="","",IF((SUMIFS(tblShifts[Net run (min)],tblShifts[View date],"&gt;="&amp;$B$93,tblShifts[View date],"&lt;"&amp;$B$93+7))=0,"",(SUMIFS(tblShifts[Productive (min)],tblShifts[View date],"&gt;="&amp;$B$93,tblShifts[View date],"&lt;"&amp;$B$93+7))/(SUMIFS(tblShifts[Net run (min)],tblShifts[View date],"&gt;="&amp;$B$93,tblShifts[View date],"&lt;"&amp;$B$93+7))))</f>
        <v/>
      </c>
      <c r="I93" s="39">
        <f>IF($B$93="","",IF((SUMIFS(tblShifts[Planned (min)],tblShifts[View date],"&gt;="&amp;$B$93,tblShifts[View date],"&lt;"&amp;$B$93+7))=0,"",(SUMIFS(tblShifts[Productive (min)],tblShifts[View date],"&gt;="&amp;$B$93,tblShifts[View date],"&lt;"&amp;$B$93+7))/(SUMIFS(tblShifts[Planned (min)],tblShifts[View date],"&gt;="&amp;$B$93,tblShifts[View date],"&lt;"&amp;$B$93+7))))</f>
        <v/>
      </c>
    </row>
    <row r="94" spans="2:43" ht="8" customHeight="1" x14ac:dyDescent="0.25"/>
    <row r="95" spans="2:43" x14ac:dyDescent="0.25">
      <c r="B95" s="21" t="s">
        <v>199</v>
      </c>
      <c r="C95" s="21"/>
      <c r="D95" s="21"/>
      <c r="E95" s="21"/>
      <c r="F95" s="21"/>
      <c r="G95" s="21"/>
      <c r="H95" s="21"/>
      <c r="I95" s="21"/>
      <c r="J95" s="21"/>
      <c r="K95" s="21"/>
      <c r="L95" s="21"/>
    </row>
    <row r="96" spans="2:43" x14ac:dyDescent="0.25">
      <c r="B96" s="65">
        <f>IF(OR(COUNTA(tblMachines[Machine])&gt;4,COUNTA(tblReasons[Reason])&gt;10),"Setup lists are longer than the Dashboard blocks: some machines or reasons are not shown.","")</f>
        <v/>
      </c>
      <c r="C96" s="65"/>
      <c r="D96" s="65"/>
      <c r="E96" s="65"/>
      <c r="F96" s="65"/>
      <c r="G96" s="65"/>
      <c r="H96" s="65"/>
      <c r="I96" s="65"/>
      <c r="J96" s="65"/>
      <c r="K96" s="65"/>
      <c r="L96" s="65"/>
    </row>
  </sheetData>
  <sheetProtection sheet="1" formatColumns="0" formatRows="0"/>
  <mergeCells count="59">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J51"/>
    <mergeCell ref="B64:I64"/>
    <mergeCell ref="B71:F71"/>
    <mergeCell ref="G71:L71"/>
    <mergeCell ref="H72:I72"/>
    <mergeCell ref="H73:I73"/>
    <mergeCell ref="H74:I74"/>
    <mergeCell ref="H75:I75"/>
    <mergeCell ref="H76:I76"/>
    <mergeCell ref="H77:I77"/>
    <mergeCell ref="H78:I78"/>
    <mergeCell ref="H79:I79"/>
    <mergeCell ref="H80:I80"/>
    <mergeCell ref="H81:I81"/>
    <mergeCell ref="H82:I82"/>
    <mergeCell ref="H83:I83"/>
    <mergeCell ref="H84:I84"/>
    <mergeCell ref="B86:I86"/>
    <mergeCell ref="B95:L95"/>
    <mergeCell ref="B96:L96"/>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73:F74">
    <cfRule type="expression" dxfId="3" priority="87" stopIfTrue="1">
      <formula>AND(ISNUMBER(F73),F73&gt;=(TargetOEE))</formula>
    </cfRule>
    <cfRule type="expression" dxfId="4" priority="88" stopIfTrue="1">
      <formula>AND(ISNUMBER(F73),F73&gt;=(TargetOEE)*(1-0.05))</formula>
    </cfRule>
    <cfRule type="expression" dxfId="5" priority="89">
      <formula>ISNUMBER(F73)</formula>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H66:H69">
    <cfRule type="expression" dxfId="3" priority="84" stopIfTrue="1">
      <formula>AND(ISNUMBER(H66),H66&gt;=(TargetOEE))</formula>
    </cfRule>
    <cfRule type="expression" dxfId="4" priority="85" stopIfTrue="1">
      <formula>AND(ISNUMBER(H66),H66&gt;=(TargetOEE)*(1-0.05))</formula>
    </cfRule>
    <cfRule type="expression" dxfId="5" priority="86">
      <formula>ISNUMBER(H66)</formula>
    </cfRule>
  </conditionalFormatting>
  <conditionalFormatting sqref="I53:I62">
    <cfRule type="expression" dxfId="3" priority="81" stopIfTrue="1">
      <formula>AND(ISNUMBER(I53),I53&gt;=(TargetOEE))</formula>
    </cfRule>
    <cfRule type="expression" dxfId="4" priority="82" stopIfTrue="1">
      <formula>AND(ISNUMBER(I53),I53&gt;=(TargetOEE)*(1-0.05))</formula>
    </cfRule>
    <cfRule type="expression" dxfId="5" priority="83">
      <formula>ISNUMBER(I53)</formula>
    </cfRule>
  </conditionalFormatting>
  <conditionalFormatting sqref="I88:I93">
    <cfRule type="expression" dxfId="3" priority="91" stopIfTrue="1">
      <formula>AND(ISNUMBER(I88),I88&gt;=(TargetOEE))</formula>
    </cfRule>
    <cfRule type="expression" dxfId="4" priority="92" stopIfTrue="1">
      <formula>AND(ISNUMBER(I88),I88&gt;=(TargetOEE)*(1-0.05))</formula>
    </cfRule>
    <cfRule type="expression" dxfId="5" priority="93">
      <formula>ISNUMBER(I88)</formula>
    </cfRule>
  </conditionalFormatting>
  <conditionalFormatting sqref="J11">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J74:J83">
    <cfRule type="dataBar" priority="90">
      <dataBar>
        <cfvo type="num" val="0"/>
        <cfvo type="max"/>
        <color rgb="FFA8BDF0"/>
      </dataBar>
      <extLst>
        <ext xmlns:x14="http://schemas.microsoft.com/office/spreadsheetml/2009/9/main" uri="{B025F937-C7B1-47D3-B67F-A62EFF666E3E}">
          <x14:id>{DA7ABA51-AAAA-BBBB-0005-000000000001}</x14:id>
        </ext>
      </extLst>
    </cfRule>
  </conditionalFormatting>
  <dataValidations count="3">
    <dataValidation type="list" allowBlank="1" showInputMessage="1" showErrorMessage="1" errorTitle="Check this entry" error="Pick from the list (edit the list on Setup: Machines)." promptTitle="Machine" prompt="Leave blank for all machines. Pick from the list (edit the list on Setup: Machines)." sqref="C4">
      <formula1>Machines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OEE Tracker&amp;R&amp;8&amp;A</oddHeader>
    <oddFooter>&amp;L&amp;8mfgcalcs.com - free manufacturing templates&amp;R&amp;8Page &amp;P of &amp;N</oddFooter>
  </headerFooter>
  <rowBreaks count="3" manualBreakCount="3">
    <brk id="28" max="16383" man="1"/>
    <brk id="50" max="16383" man="1"/>
    <brk id="70"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J74:J83</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200</v>
      </c>
      <c r="C4" s="8"/>
      <c r="D4" s="8"/>
    </row>
    <row r="5" spans="1:4" ht="5" customHeight="1"/>
    <row r="6" spans="1:4" ht="55.8" customHeight="1">
      <c r="B6" s="10" t="s">
        <v>201</v>
      </c>
      <c r="C6" s="10"/>
      <c r="D6" s="10"/>
    </row>
    <row r="8" spans="1:4" ht="21" customHeight="1">
      <c r="B8" s="8" t="s">
        <v>202</v>
      </c>
      <c r="C8" s="8"/>
      <c r="D8" s="8"/>
    </row>
    <row r="9" spans="1:4" ht="5" customHeight="1"/>
    <row r="10" spans="1:4" ht="20" customHeight="1">
      <c r="B10" s="55" t="s">
        <v>203</v>
      </c>
      <c r="C10" s="55" t="s">
        <v>204</v>
      </c>
      <c r="D10" s="32" t="s">
        <v>205</v>
      </c>
    </row>
    <row r="11" spans="1:4" ht="30.4" customHeight="1">
      <c r="B11" s="66" t="s">
        <v>206</v>
      </c>
      <c r="C11" s="67" t="s">
        <v>207</v>
      </c>
      <c r="D11" s="68" t="s">
        <v>194</v>
      </c>
    </row>
    <row r="12" spans="1:4" ht="43.6" customHeight="1">
      <c r="B12" s="66" t="s">
        <v>208</v>
      </c>
      <c r="C12" s="67" t="s">
        <v>209</v>
      </c>
      <c r="D12" s="68" t="s">
        <v>194</v>
      </c>
    </row>
    <row r="13" spans="1:4" ht="17.2" customHeight="1">
      <c r="B13" s="66" t="s">
        <v>210</v>
      </c>
      <c r="C13" s="67" t="s">
        <v>211</v>
      </c>
      <c r="D13" s="68" t="s">
        <v>194</v>
      </c>
    </row>
    <row r="14" spans="1:4" ht="43.6" customHeight="1">
      <c r="B14" s="66" t="s">
        <v>212</v>
      </c>
      <c r="C14" s="67" t="s">
        <v>213</v>
      </c>
      <c r="D14" s="68" t="s">
        <v>214</v>
      </c>
    </row>
    <row r="15" spans="1:4" ht="30.4" customHeight="1">
      <c r="B15" s="66" t="s">
        <v>215</v>
      </c>
      <c r="C15" s="67" t="s">
        <v>216</v>
      </c>
      <c r="D15" s="68" t="s">
        <v>194</v>
      </c>
    </row>
    <row r="16" spans="1:4" ht="30.4" customHeight="1">
      <c r="B16" s="66" t="s">
        <v>217</v>
      </c>
      <c r="C16" s="67" t="s">
        <v>218</v>
      </c>
      <c r="D16" s="68" t="s">
        <v>194</v>
      </c>
    </row>
    <row r="17" spans="2:4" ht="17.2" customHeight="1">
      <c r="B17" s="66" t="s">
        <v>149</v>
      </c>
      <c r="C17" s="67" t="s">
        <v>219</v>
      </c>
      <c r="D17" s="68" t="s">
        <v>195</v>
      </c>
    </row>
    <row r="18" spans="2:4" ht="30.4" customHeight="1">
      <c r="B18" s="66" t="s">
        <v>150</v>
      </c>
      <c r="C18" s="67" t="s">
        <v>220</v>
      </c>
      <c r="D18" s="68" t="s">
        <v>195</v>
      </c>
    </row>
    <row r="19" spans="2:4" ht="43.6" customHeight="1">
      <c r="B19" s="66" t="s">
        <v>134</v>
      </c>
      <c r="C19" s="67" t="s">
        <v>221</v>
      </c>
      <c r="D19" s="68" t="s">
        <v>195</v>
      </c>
    </row>
    <row r="20" spans="2:4" ht="30.4" customHeight="1">
      <c r="B20" s="66" t="s">
        <v>151</v>
      </c>
      <c r="C20" s="67" t="s">
        <v>222</v>
      </c>
      <c r="D20" s="68" t="s">
        <v>195</v>
      </c>
    </row>
    <row r="21" spans="2:4" ht="43.6" customHeight="1">
      <c r="B21" s="66" t="s">
        <v>223</v>
      </c>
      <c r="C21" s="67" t="s">
        <v>224</v>
      </c>
      <c r="D21" s="68" t="s">
        <v>225</v>
      </c>
    </row>
    <row r="22" spans="2:4" ht="30.4" customHeight="1">
      <c r="B22" s="66" t="s">
        <v>226</v>
      </c>
      <c r="C22" s="67" t="s">
        <v>227</v>
      </c>
      <c r="D22" s="68" t="s">
        <v>228</v>
      </c>
    </row>
    <row r="23" spans="2:4" ht="30.4" customHeight="1">
      <c r="B23" s="66" t="s">
        <v>229</v>
      </c>
      <c r="C23" s="67" t="s">
        <v>230</v>
      </c>
      <c r="D23" s="68" t="s">
        <v>231</v>
      </c>
    </row>
    <row r="24" spans="2:4" ht="43.6" customHeight="1">
      <c r="B24" s="66" t="s">
        <v>232</v>
      </c>
      <c r="C24" s="67" t="s">
        <v>233</v>
      </c>
      <c r="D24" s="68" t="s">
        <v>234</v>
      </c>
    </row>
    <row r="26" spans="2:4" ht="21" customHeight="1">
      <c r="B26" s="8" t="s">
        <v>235</v>
      </c>
      <c r="C26" s="8"/>
      <c r="D26" s="8"/>
    </row>
    <row r="27" spans="2:4" ht="5" customHeight="1"/>
    <row r="28" spans="2:4" ht="29.4" customHeight="1">
      <c r="B28" s="26" t="s">
        <v>57</v>
      </c>
      <c r="C28" s="10" t="s">
        <v>236</v>
      </c>
      <c r="D28" s="10"/>
    </row>
    <row r="29" spans="2:4" ht="16.2" customHeight="1">
      <c r="B29" s="26" t="s">
        <v>57</v>
      </c>
      <c r="C29" s="10" t="s">
        <v>237</v>
      </c>
      <c r="D29" s="10"/>
    </row>
    <row r="30" spans="2:4" ht="29.4" customHeight="1">
      <c r="B30" s="26" t="s">
        <v>57</v>
      </c>
      <c r="C30" s="10" t="s">
        <v>238</v>
      </c>
      <c r="D30" s="10"/>
    </row>
    <row r="31" spans="2:4" ht="16.2" customHeight="1">
      <c r="B31" s="26" t="s">
        <v>57</v>
      </c>
      <c r="C31" s="10" t="s">
        <v>239</v>
      </c>
      <c r="D31" s="10"/>
    </row>
    <row r="33" spans="2:4" ht="21" customHeight="1">
      <c r="B33" s="8" t="s">
        <v>240</v>
      </c>
      <c r="C33" s="8"/>
      <c r="D33" s="8"/>
    </row>
    <row r="34" spans="2:4" ht="5" customHeight="1"/>
    <row r="35" spans="2:4" ht="16.2" customHeight="1">
      <c r="B35" s="26" t="s">
        <v>57</v>
      </c>
      <c r="C35" s="10" t="s">
        <v>241</v>
      </c>
      <c r="D35" s="10"/>
    </row>
    <row r="36" spans="2:4" ht="29.4" customHeight="1">
      <c r="B36" s="26" t="s">
        <v>57</v>
      </c>
      <c r="C36" s="10" t="s">
        <v>242</v>
      </c>
      <c r="D36" s="10"/>
    </row>
    <row r="37" spans="2:4" ht="16.2" customHeight="1">
      <c r="B37" s="26" t="s">
        <v>57</v>
      </c>
      <c r="C37" s="10" t="s">
        <v>243</v>
      </c>
      <c r="D37" s="10"/>
    </row>
    <row r="38" spans="2:4" ht="29.4" customHeight="1">
      <c r="B38" s="26" t="s">
        <v>57</v>
      </c>
      <c r="C38" s="10" t="s">
        <v>244</v>
      </c>
      <c r="D38" s="10"/>
    </row>
    <row r="40" spans="2:4" ht="21" customHeight="1">
      <c r="B40" s="8" t="s">
        <v>245</v>
      </c>
      <c r="C40" s="8"/>
      <c r="D40" s="8"/>
    </row>
    <row r="41" spans="2:4" ht="5" customHeight="1"/>
    <row r="42" spans="2:4" ht="69" customHeight="1">
      <c r="B42" s="10" t="s">
        <v>246</v>
      </c>
      <c r="C42" s="10"/>
      <c r="D42" s="10"/>
    </row>
    <row r="43" spans="2:4">
      <c r="B43" s="24" t="s">
        <v>247</v>
      </c>
      <c r="C43" s="24"/>
      <c r="D43" s="24"/>
    </row>
    <row r="45" spans="2:4" ht="21" customHeight="1">
      <c r="B45" s="8" t="s">
        <v>44</v>
      </c>
      <c r="C45" s="8"/>
      <c r="D45" s="8"/>
    </row>
    <row r="46" spans="2:4" ht="5" customHeight="1"/>
    <row r="47" spans="2:4" ht="42.6" customHeight="1">
      <c r="B47" s="10" t="s">
        <v>248</v>
      </c>
      <c r="C47" s="10"/>
      <c r="D47" s="10"/>
    </row>
    <row r="49" spans="2:4" ht="21" customHeight="1">
      <c r="B49" s="8" t="s">
        <v>249</v>
      </c>
      <c r="C49" s="8"/>
      <c r="D49" s="8"/>
    </row>
    <row r="50" spans="2:4" ht="5" customHeight="1"/>
    <row r="51" spans="2:4" ht="29.4" customHeight="1">
      <c r="B51" s="26" t="s">
        <v>57</v>
      </c>
      <c r="C51" s="10" t="s">
        <v>250</v>
      </c>
      <c r="D51" s="10"/>
    </row>
    <row r="52" spans="2:4" ht="29.4" customHeight="1">
      <c r="B52" s="26" t="s">
        <v>57</v>
      </c>
      <c r="C52" s="10" t="s">
        <v>251</v>
      </c>
      <c r="D52" s="10"/>
    </row>
    <row r="53" spans="2:4" ht="16.2" customHeight="1">
      <c r="B53" s="26" t="s">
        <v>57</v>
      </c>
      <c r="C53" s="10" t="s">
        <v>252</v>
      </c>
      <c r="D53" s="10"/>
    </row>
    <row r="54" spans="2:4">
      <c r="B54" s="21" t="s">
        <v>253</v>
      </c>
      <c r="C54" s="21"/>
      <c r="D54" s="21"/>
    </row>
    <row r="56" spans="2:4" ht="21" customHeight="1">
      <c r="B56" s="8" t="s">
        <v>254</v>
      </c>
      <c r="C56" s="8"/>
      <c r="D56" s="8"/>
    </row>
    <row r="57" spans="2:4" ht="5" customHeight="1"/>
    <row r="58" spans="2:4">
      <c r="B58" s="55" t="s">
        <v>52</v>
      </c>
      <c r="C58" s="55" t="s">
        <v>255</v>
      </c>
      <c r="D58" s="32" t="s">
        <v>141</v>
      </c>
    </row>
    <row r="59" spans="2:4" ht="16.2" customHeight="1">
      <c r="B59" s="69" t="s">
        <v>256</v>
      </c>
      <c r="C59" s="70" t="s">
        <v>257</v>
      </c>
      <c r="D59" s="71" t="s">
        <v>258</v>
      </c>
    </row>
    <row r="61" spans="2:4">
      <c r="B61" s="21" t="s">
        <v>63</v>
      </c>
      <c r="C61" s="21"/>
      <c r="D61" s="21"/>
    </row>
  </sheetData>
  <sheetProtection sheet="1" formatColumns="0" formatRows="0"/>
  <mergeCells count="27">
    <mergeCell ref="A1:D1"/>
    <mergeCell ref="B2:C2"/>
    <mergeCell ref="B4:D4"/>
    <mergeCell ref="B6:D6"/>
    <mergeCell ref="B8:D8"/>
    <mergeCell ref="B26:D26"/>
    <mergeCell ref="C28:D28"/>
    <mergeCell ref="C29:D29"/>
    <mergeCell ref="C30:D30"/>
    <mergeCell ref="C31:D31"/>
    <mergeCell ref="B33:D33"/>
    <mergeCell ref="C35:D35"/>
    <mergeCell ref="C36:D36"/>
    <mergeCell ref="C37:D37"/>
    <mergeCell ref="C38:D38"/>
    <mergeCell ref="B40:D40"/>
    <mergeCell ref="B42:D42"/>
    <mergeCell ref="B43:D43"/>
    <mergeCell ref="B45:D45"/>
    <mergeCell ref="B47:D47"/>
    <mergeCell ref="B49:D49"/>
    <mergeCell ref="C51:D51"/>
    <mergeCell ref="C52:D52"/>
    <mergeCell ref="C53:D53"/>
    <mergeCell ref="B54:D54"/>
    <mergeCell ref="B56:D56"/>
    <mergeCell ref="B61:D61"/>
  </mergeCells>
  <hyperlinks>
    <hyperlink ref="D2" r:id="rId1" tooltip="Free manufacturing calculators and templates"/>
    <hyperlink ref="B43" r:id="rId2"/>
  </hyperlinks>
  <printOptions horizontalCentered="1"/>
  <pageMargins left="0.4" right="0.4" top="0.7" bottom="0.65" header="0.3" footer="0.3"/>
  <pageSetup fitToHeight="0" orientation="portrait"/>
  <headerFooter>
    <oddHeader>&amp;L&amp;8MFG Calcs - OEE Tracker&amp;R&amp;8&amp;A</oddHeader>
    <oddFooter>&amp;L&amp;8mfgcalcs.com - free manufacturing templates&amp;R&amp;8Page &amp;P of &amp;N</oddFooter>
  </headerFooter>
  <rowBreaks count="2" manualBreakCount="2">
    <brk id="23" max="16383" man="1"/>
    <brk id="54"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U48"/>
  <sheetViews>
    <sheetView showGridLines="0" workbookViewId="0"/>
  </sheetViews>
  <sheetFormatPr defaultRowHeight="15"/>
  <cols>
    <col min="1" max="1" width="2.7109375" customWidth="1"/>
    <col min="2" max="19" width="12.7109375" customWidth="1"/>
    <col min="20" max="20" width="24.7109375" customWidth="1"/>
    <col min="21" max="21" width="26.7109375" customWidth="1"/>
  </cols>
  <sheetData>
    <row r="1" spans="1:21" ht="30" customHeight="1">
      <c r="A1" s="1" t="s">
        <v>0</v>
      </c>
      <c r="B1" s="1"/>
      <c r="C1" s="1"/>
      <c r="D1" s="1"/>
      <c r="E1" s="1"/>
      <c r="F1" s="1"/>
      <c r="G1" s="1"/>
      <c r="H1" s="1"/>
      <c r="I1" s="1"/>
      <c r="J1" s="1"/>
      <c r="K1" s="1"/>
      <c r="L1" s="1"/>
      <c r="M1" s="1"/>
      <c r="N1" s="1"/>
      <c r="O1" s="1"/>
      <c r="P1" s="1"/>
      <c r="Q1" s="1"/>
      <c r="R1" s="1"/>
      <c r="S1" s="1"/>
      <c r="T1" s="1"/>
      <c r="U1" s="1"/>
    </row>
    <row r="2" spans="1:21" ht="21" customHeight="1">
      <c r="B2" s="2" t="s">
        <v>30</v>
      </c>
      <c r="C2" s="2"/>
      <c r="D2" s="2"/>
      <c r="E2" s="2"/>
      <c r="F2" s="2"/>
      <c r="G2" s="2"/>
      <c r="H2" s="2"/>
      <c r="I2" s="2"/>
      <c r="J2" s="2"/>
      <c r="K2" s="2"/>
      <c r="L2" s="2"/>
      <c r="M2" s="2"/>
      <c r="N2" s="2"/>
      <c r="O2" s="2"/>
      <c r="P2" s="2"/>
      <c r="Q2" s="2"/>
      <c r="R2" s="2"/>
      <c r="S2" s="2"/>
      <c r="T2" s="2"/>
      <c r="U2" s="3" t="s">
        <v>2</v>
      </c>
    </row>
    <row r="3" spans="1:21" ht="6" customHeight="1"/>
    <row r="4" spans="1:21" ht="30" customHeight="1">
      <c r="B4" s="72" t="s">
        <v>259</v>
      </c>
      <c r="C4" s="72"/>
      <c r="D4" s="22" t="str">
        <f>IF(COUNTIF($K$11:$K$29,"PASS")=19,"PASS","FAIL")</f>
        <v>PASS</v>
      </c>
      <c r="E4" s="22"/>
      <c r="F4" s="23" t="str">
        <f>COUNTIF($K$11:$K$29,"PASS")&amp;" of 19 checks pass"</f>
        <v>19 of 19 checks pass</v>
      </c>
      <c r="G4" s="23"/>
      <c r="H4" s="23"/>
      <c r="I4" s="23"/>
      <c r="J4" s="23"/>
    </row>
    <row r="6" spans="1:21" ht="29.4" customHeight="1">
      <c r="B6" s="10" t="s">
        <v>260</v>
      </c>
      <c r="C6" s="10"/>
      <c r="D6" s="10"/>
      <c r="E6" s="10"/>
      <c r="F6" s="10"/>
      <c r="G6" s="10"/>
      <c r="H6" s="10"/>
      <c r="I6" s="10"/>
      <c r="J6" s="10"/>
      <c r="K6" s="10"/>
      <c r="L6" s="10"/>
    </row>
    <row r="8" spans="1:21" ht="21" customHeight="1">
      <c r="B8" s="8" t="s">
        <v>261</v>
      </c>
      <c r="C8" s="8"/>
      <c r="D8" s="8"/>
      <c r="E8" s="8"/>
      <c r="F8" s="8"/>
      <c r="G8" s="8"/>
      <c r="H8" s="8"/>
      <c r="I8" s="8"/>
      <c r="J8" s="8"/>
      <c r="K8" s="8"/>
      <c r="L8" s="8"/>
    </row>
    <row r="9" spans="1:21" ht="5" customHeight="1"/>
    <row r="10" spans="1:21" ht="30" customHeight="1">
      <c r="B10" s="32" t="s">
        <v>262</v>
      </c>
      <c r="C10" s="55" t="s">
        <v>154</v>
      </c>
      <c r="D10" s="55"/>
      <c r="E10" s="55"/>
      <c r="F10" s="55"/>
      <c r="G10" s="32" t="s">
        <v>263</v>
      </c>
      <c r="H10" s="32" t="s">
        <v>264</v>
      </c>
      <c r="I10" s="32" t="s">
        <v>265</v>
      </c>
      <c r="J10" s="32" t="s">
        <v>266</v>
      </c>
      <c r="K10" s="32" t="s">
        <v>267</v>
      </c>
    </row>
    <row r="11" spans="1:21" ht="16.2" customHeight="1">
      <c r="B11" s="60">
        <v>1</v>
      </c>
      <c r="C11" s="70" t="s">
        <v>268</v>
      </c>
      <c r="D11" s="70"/>
      <c r="E11" s="70"/>
      <c r="F11" s="70"/>
      <c r="G11" s="57">
        <v>0.875</v>
      </c>
      <c r="H11" s="39">
        <f>$N$45</f>
        <v>0.875</v>
      </c>
      <c r="I11" s="73">
        <f>IF(AND(ISNUMBER($G$11),ISNUMBER($H$11)),ABS($H$11-$G$11),"")</f>
        <v>0</v>
      </c>
      <c r="J11" s="74">
        <v>1E-09</v>
      </c>
      <c r="K11" s="40" t="str">
        <f>IF(AND(ISNUMBER($G$11),ISNUMBER($H$11)),IF(ABS($H$11-$G$11)&lt;=$J$11,"PASS","FAIL"),"FAIL")</f>
        <v>PASS</v>
      </c>
    </row>
    <row r="12" spans="1:21" ht="16.2" customHeight="1">
      <c r="B12" s="60">
        <v>2</v>
      </c>
      <c r="C12" s="70" t="s">
        <v>269</v>
      </c>
      <c r="D12" s="70"/>
      <c r="E12" s="70"/>
      <c r="F12" s="70"/>
      <c r="G12" s="57">
        <v>0.8333333333333334</v>
      </c>
      <c r="H12" s="39">
        <f>$O$45</f>
        <v>0.833333333333333</v>
      </c>
      <c r="I12" s="73">
        <f>IF(AND(ISNUMBER($G$12),ISNUMBER($H$12)),ABS($H$12-$G$12),"")</f>
        <v>0</v>
      </c>
      <c r="J12" s="74">
        <v>1E-09</v>
      </c>
      <c r="K12" s="40" t="str">
        <f>IF(AND(ISNUMBER($G$12),ISNUMBER($H$12)),IF(ABS($H$12-$G$12)&lt;=$J$12,"PASS","FAIL"),"FAIL")</f>
        <v>PASS</v>
      </c>
    </row>
    <row r="13" spans="1:21" ht="16.2" customHeight="1">
      <c r="B13" s="60">
        <v>3</v>
      </c>
      <c r="C13" s="70" t="s">
        <v>270</v>
      </c>
      <c r="D13" s="70"/>
      <c r="E13" s="70"/>
      <c r="F13" s="70"/>
      <c r="G13" s="57">
        <v>0.95</v>
      </c>
      <c r="H13" s="39">
        <f>$P$45</f>
        <v>0.95</v>
      </c>
      <c r="I13" s="73">
        <f>IF(AND(ISNUMBER($G$13),ISNUMBER($H$13)),ABS($H$13-$G$13),"")</f>
        <v>0</v>
      </c>
      <c r="J13" s="74">
        <v>1E-09</v>
      </c>
      <c r="K13" s="40" t="str">
        <f>IF(AND(ISNUMBER($G$13),ISNUMBER($H$13)),IF(ABS($H$13-$G$13)&lt;=$J$13,"PASS","FAIL"),"FAIL")</f>
        <v>PASS</v>
      </c>
    </row>
    <row r="14" spans="1:21" ht="16.2" customHeight="1">
      <c r="B14" s="60">
        <v>4</v>
      </c>
      <c r="C14" s="70" t="s">
        <v>271</v>
      </c>
      <c r="D14" s="70"/>
      <c r="E14" s="70"/>
      <c r="F14" s="70"/>
      <c r="G14" s="57">
        <v>0.6927083333333334</v>
      </c>
      <c r="H14" s="39">
        <f>$Q$45</f>
        <v>0.692708333333333</v>
      </c>
      <c r="I14" s="73">
        <f>IF(AND(ISNUMBER($G$14),ISNUMBER($H$14)),ABS($H$14-$G$14),"")</f>
        <v>0</v>
      </c>
      <c r="J14" s="74">
        <v>1E-09</v>
      </c>
      <c r="K14" s="40" t="str">
        <f>IF(AND(ISNUMBER($G$14),ISNUMBER($H$14)),IF(ABS($H$14-$G$14)&lt;=$J$14,"PASS","FAIL"),"FAIL")</f>
        <v>PASS</v>
      </c>
    </row>
    <row r="15" spans="1:21" ht="16.2" customHeight="1">
      <c r="B15" s="60">
        <v>5</v>
      </c>
      <c r="C15" s="70" t="s">
        <v>272</v>
      </c>
      <c r="D15" s="70"/>
      <c r="E15" s="70"/>
      <c r="F15" s="70"/>
      <c r="G15" s="57">
        <v>0.84</v>
      </c>
      <c r="H15" s="39">
        <f>$N$46</f>
        <v>0.84</v>
      </c>
      <c r="I15" s="73">
        <f>IF(AND(ISNUMBER($G$15),ISNUMBER($H$15)),ABS($H$15-$G$15),"")</f>
        <v>0</v>
      </c>
      <c r="J15" s="74">
        <v>1E-09</v>
      </c>
      <c r="K15" s="40" t="str">
        <f>IF(AND(ISNUMBER($G$15),ISNUMBER($H$15)),IF(ABS($H$15-$G$15)&lt;=$J$15,"PASS","FAIL"),"FAIL")</f>
        <v>PASS</v>
      </c>
    </row>
    <row r="16" spans="1:21" ht="16.2" customHeight="1">
      <c r="B16" s="60">
        <v>6</v>
      </c>
      <c r="C16" s="70" t="s">
        <v>273</v>
      </c>
      <c r="D16" s="70"/>
      <c r="E16" s="70"/>
      <c r="F16" s="70"/>
      <c r="G16" s="57">
        <v>0.8518518518518519</v>
      </c>
      <c r="H16" s="39">
        <f>$O$46</f>
        <v>0.851851851851852</v>
      </c>
      <c r="I16" s="73">
        <f>IF(AND(ISNUMBER($G$16),ISNUMBER($H$16)),ABS($H$16-$G$16),"")</f>
        <v>0</v>
      </c>
      <c r="J16" s="74">
        <v>1E-09</v>
      </c>
      <c r="K16" s="40" t="str">
        <f>IF(AND(ISNUMBER($G$16),ISNUMBER($H$16)),IF(ABS($H$16-$G$16)&lt;=$J$16,"PASS","FAIL"),"FAIL")</f>
        <v>PASS</v>
      </c>
    </row>
    <row r="17" spans="2:12" ht="16.2" customHeight="1">
      <c r="B17" s="60">
        <v>7</v>
      </c>
      <c r="C17" s="70" t="s">
        <v>274</v>
      </c>
      <c r="D17" s="70"/>
      <c r="E17" s="70"/>
      <c r="F17" s="70"/>
      <c r="G17" s="57">
        <v>0.9757763975155279</v>
      </c>
      <c r="H17" s="39">
        <f>$P$46</f>
        <v>0.975776397515528</v>
      </c>
      <c r="I17" s="73">
        <f>IF(AND(ISNUMBER($G$17),ISNUMBER($H$17)),ABS($H$17-$G$17),"")</f>
        <v>0</v>
      </c>
      <c r="J17" s="74">
        <v>1E-09</v>
      </c>
      <c r="K17" s="40" t="str">
        <f>IF(AND(ISNUMBER($G$17),ISNUMBER($H$17)),IF(ABS($H$17-$G$17)&lt;=$J$17,"PASS","FAIL"),"FAIL")</f>
        <v>PASS</v>
      </c>
    </row>
    <row r="18" spans="2:12" ht="16.2" customHeight="1">
      <c r="B18" s="60">
        <v>8</v>
      </c>
      <c r="C18" s="70" t="s">
        <v>275</v>
      </c>
      <c r="D18" s="70"/>
      <c r="E18" s="70"/>
      <c r="F18" s="70"/>
      <c r="G18" s="57">
        <v>0.6982222222222222</v>
      </c>
      <c r="H18" s="39">
        <f>$Q$46</f>
        <v>0.698222222222222</v>
      </c>
      <c r="I18" s="73">
        <f>IF(AND(ISNUMBER($G$18),ISNUMBER($H$18)),ABS($H$18-$G$18),"")</f>
        <v>0</v>
      </c>
      <c r="J18" s="74">
        <v>1E-09</v>
      </c>
      <c r="K18" s="40" t="str">
        <f>IF(AND(ISNUMBER($G$18),ISNUMBER($H$18)),IF(ABS($H$18-$G$18)&lt;=$J$18,"PASS","FAIL"),"FAIL")</f>
        <v>PASS</v>
      </c>
    </row>
    <row r="19" spans="2:12" ht="16.2" customHeight="1">
      <c r="B19" s="60">
        <v>9</v>
      </c>
      <c r="C19" s="70" t="s">
        <v>276</v>
      </c>
      <c r="D19" s="70"/>
      <c r="E19" s="70"/>
      <c r="F19" s="70"/>
      <c r="G19" s="57">
        <v>1</v>
      </c>
      <c r="H19" s="39">
        <f>$N$47</f>
        <v>1</v>
      </c>
      <c r="I19" s="73">
        <f>IF(AND(ISNUMBER($G$19),ISNUMBER($H$19)),ABS($H$19-$G$19),"")</f>
        <v>0</v>
      </c>
      <c r="J19" s="74">
        <v>1E-09</v>
      </c>
      <c r="K19" s="40" t="str">
        <f>IF(AND(ISNUMBER($G$19),ISNUMBER($H$19)),IF(ABS($H$19-$G$19)&lt;=$J$19,"PASS","FAIL"),"FAIL")</f>
        <v>PASS</v>
      </c>
    </row>
    <row r="20" spans="2:12" ht="16.2" customHeight="1">
      <c r="B20" s="60">
        <v>10</v>
      </c>
      <c r="C20" s="70" t="s">
        <v>277</v>
      </c>
      <c r="D20" s="70"/>
      <c r="E20" s="70"/>
      <c r="F20" s="70"/>
      <c r="G20" s="57">
        <v>0.9047619047619048</v>
      </c>
      <c r="H20" s="39">
        <f>$O$47</f>
        <v>0.904761904761905</v>
      </c>
      <c r="I20" s="73">
        <f>IF(AND(ISNUMBER($G$20),ISNUMBER($H$20)),ABS($H$20-$G$20),"")</f>
        <v>0</v>
      </c>
      <c r="J20" s="74">
        <v>1E-09</v>
      </c>
      <c r="K20" s="40" t="str">
        <f>IF(AND(ISNUMBER($G$20),ISNUMBER($H$20)),IF(ABS($H$20-$G$20)&lt;=$J$20,"PASS","FAIL"),"FAIL")</f>
        <v>PASS</v>
      </c>
    </row>
    <row r="21" spans="2:12" ht="16.2" customHeight="1">
      <c r="B21" s="60">
        <v>11</v>
      </c>
      <c r="C21" s="70" t="s">
        <v>278</v>
      </c>
      <c r="D21" s="70"/>
      <c r="E21" s="70"/>
      <c r="F21" s="70"/>
      <c r="G21" s="57">
        <v>1</v>
      </c>
      <c r="H21" s="39">
        <f>$P$47</f>
        <v>1</v>
      </c>
      <c r="I21" s="73">
        <f>IF(AND(ISNUMBER($G$21),ISNUMBER($H$21)),ABS($H$21-$G$21),"")</f>
        <v>0</v>
      </c>
      <c r="J21" s="74">
        <v>1E-09</v>
      </c>
      <c r="K21" s="40" t="str">
        <f>IF(AND(ISNUMBER($G$21),ISNUMBER($H$21)),IF(ABS($H$21-$G$21)&lt;=$J$21,"PASS","FAIL"),"FAIL")</f>
        <v>PASS</v>
      </c>
    </row>
    <row r="22" spans="2:12" ht="16.2" customHeight="1">
      <c r="B22" s="60">
        <v>12</v>
      </c>
      <c r="C22" s="70" t="s">
        <v>279</v>
      </c>
      <c r="D22" s="70"/>
      <c r="E22" s="70"/>
      <c r="F22" s="70"/>
      <c r="G22" s="57">
        <v>0.9047619047619048</v>
      </c>
      <c r="H22" s="39">
        <f>$Q$47</f>
        <v>0.904761904761905</v>
      </c>
      <c r="I22" s="73">
        <f>IF(AND(ISNUMBER($G$22),ISNUMBER($H$22)),ABS($H$22-$G$22),"")</f>
        <v>0</v>
      </c>
      <c r="J22" s="74">
        <v>1E-09</v>
      </c>
      <c r="K22" s="40" t="str">
        <f>IF(AND(ISNUMBER($G$22),ISNUMBER($H$22)),IF(ABS($H$22-$G$22)&lt;=$J$22,"PASS","FAIL"),"FAIL")</f>
        <v>PASS</v>
      </c>
    </row>
    <row r="23" spans="2:12" ht="16.2" customHeight="1">
      <c r="B23" s="60">
        <v>13</v>
      </c>
      <c r="C23" s="70" t="s">
        <v>280</v>
      </c>
      <c r="D23" s="70"/>
      <c r="E23" s="70"/>
      <c r="F23" s="70"/>
      <c r="G23" s="69" t="s">
        <v>281</v>
      </c>
      <c r="H23" s="43" t="str">
        <f>$R$45</f>
        <v>Near target</v>
      </c>
      <c r="I23" s="43"/>
      <c r="J23" s="71" t="s">
        <v>282</v>
      </c>
      <c r="K23" s="40" t="str">
        <f>IF($H$23&amp;""=$G$23&amp;"","PASS","FAIL")</f>
        <v>PASS</v>
      </c>
    </row>
    <row r="24" spans="2:12" ht="16.2" customHeight="1">
      <c r="B24" s="60">
        <v>14</v>
      </c>
      <c r="C24" s="70" t="s">
        <v>283</v>
      </c>
      <c r="D24" s="70"/>
      <c r="E24" s="70"/>
      <c r="F24" s="70"/>
      <c r="G24" s="69" t="s">
        <v>284</v>
      </c>
      <c r="H24" s="43" t="str">
        <f>$T$48</f>
        <v>Good &gt; total</v>
      </c>
      <c r="I24" s="43"/>
      <c r="J24" s="71" t="s">
        <v>282</v>
      </c>
      <c r="K24" s="40" t="str">
        <f>IF($H$24&amp;""=$G$24&amp;"","PASS","FAIL")</f>
        <v>PASS</v>
      </c>
    </row>
    <row r="25" spans="2:12" ht="16.2" customHeight="1">
      <c r="B25" s="60">
        <v>15</v>
      </c>
      <c r="C25" s="70" t="s">
        <v>285</v>
      </c>
      <c r="D25" s="70"/>
      <c r="E25" s="70"/>
      <c r="F25" s="70"/>
      <c r="G25" s="57">
        <v>0.5947457627118644</v>
      </c>
      <c r="H25" s="39">
        <f>IF((SUMIFS(tblVerifyShifts[Planned (min)],tblVerifyShifts[View date],"&gt;0"))=0,"",(SUMIFS(tblVerifyShifts[Productive (min)],tblVerifyShifts[View date],"&gt;0"))/(SUMIFS(tblVerifyShifts[Planned (min)],tblVerifyShifts[View date],"&gt;0")))</f>
        <v>0.594745762711864</v>
      </c>
      <c r="I25" s="73">
        <f>IF(AND(ISNUMBER($G$25),ISNUMBER($H$25)),ABS($H$25-$G$25),"")</f>
        <v>0</v>
      </c>
      <c r="J25" s="74">
        <v>1E-09</v>
      </c>
      <c r="K25" s="40" t="str">
        <f>IF(AND(ISNUMBER($G$25),ISNUMBER($H$25)),IF(ABS($H$25-$G$25)&lt;=$J$25,"PASS","FAIL"),"FAIL")</f>
        <v>PASS</v>
      </c>
    </row>
    <row r="26" spans="2:12" ht="16.2" customHeight="1">
      <c r="B26" s="60">
        <v>16</v>
      </c>
      <c r="C26" s="70" t="s">
        <v>286</v>
      </c>
      <c r="D26" s="70"/>
      <c r="E26" s="70"/>
      <c r="F26" s="70"/>
      <c r="G26" s="57">
        <v>0.9084745762711864</v>
      </c>
      <c r="H26" s="39">
        <f>IF((SUMIFS(tblVerifyShifts[Planned (min)],tblVerifyShifts[View date],"&gt;0"))=0,"",(SUMIFS(tblVerifyShifts[Run (min)],tblVerifyShifts[View date],"&gt;0"))/(SUMIFS(tblVerifyShifts[Planned (min)],tblVerifyShifts[View date],"&gt;0")))</f>
        <v>0.908474576271186</v>
      </c>
      <c r="I26" s="73">
        <f>IF(AND(ISNUMBER($G$26),ISNUMBER($H$26)),ABS($H$26-$G$26),"")</f>
        <v>0</v>
      </c>
      <c r="J26" s="74">
        <v>1E-09</v>
      </c>
      <c r="K26" s="40" t="str">
        <f>IF(AND(ISNUMBER($G$26),ISNUMBER($H$26)),IF(ABS($H$26-$G$26)&lt;=$J$26,"PASS","FAIL"),"FAIL")</f>
        <v>PASS</v>
      </c>
    </row>
    <row r="27" spans="2:12" ht="16.2" customHeight="1">
      <c r="B27" s="60">
        <v>17</v>
      </c>
      <c r="C27" s="70" t="s">
        <v>287</v>
      </c>
      <c r="D27" s="70"/>
      <c r="E27" s="70"/>
      <c r="F27" s="70"/>
      <c r="G27" s="57">
        <v>0.6697761194029851</v>
      </c>
      <c r="H27" s="39">
        <f>IF((SUMIFS(tblVerifyShifts[Run (min)],tblVerifyShifts[View date],"&gt;0"))=0,"",(SUMIFS(tblVerifyShifts[Net run (min)],tblVerifyShifts[View date],"&gt;0"))/(SUMIFS(tblVerifyShifts[Run (min)],tblVerifyShifts[View date],"&gt;0")))</f>
        <v>0.669776119402985</v>
      </c>
      <c r="I27" s="73">
        <f>IF(AND(ISNUMBER($G$27),ISNUMBER($H$27)),ABS($H$27-$G$27),"")</f>
        <v>0</v>
      </c>
      <c r="J27" s="74">
        <v>1E-09</v>
      </c>
      <c r="K27" s="40" t="str">
        <f>IF(AND(ISNUMBER($G$27),ISNUMBER($H$27)),IF(ABS($H$27-$G$27)&lt;=$J$27,"PASS","FAIL"),"FAIL")</f>
        <v>PASS</v>
      </c>
    </row>
    <row r="28" spans="2:12" ht="16.2" customHeight="1">
      <c r="B28" s="60">
        <v>18</v>
      </c>
      <c r="C28" s="70" t="s">
        <v>288</v>
      </c>
      <c r="D28" s="70"/>
      <c r="E28" s="70"/>
      <c r="F28" s="70"/>
      <c r="G28" s="57">
        <v>0.9774373259052925</v>
      </c>
      <c r="H28" s="39">
        <f>IF((SUMIFS(tblVerifyShifts[Net run (min)],tblVerifyShifts[View date],"&gt;0"))=0,"",(SUMIFS(tblVerifyShifts[Productive (min)],tblVerifyShifts[View date],"&gt;0"))/(SUMIFS(tblVerifyShifts[Net run (min)],tblVerifyShifts[View date],"&gt;0")))</f>
        <v>0.977437325905293</v>
      </c>
      <c r="I28" s="73">
        <f>IF(AND(ISNUMBER($G$28),ISNUMBER($H$28)),ABS($H$28-$G$28),"")</f>
        <v>0</v>
      </c>
      <c r="J28" s="74">
        <v>1E-09</v>
      </c>
      <c r="K28" s="40" t="str">
        <f>IF(AND(ISNUMBER($G$28),ISNUMBER($H$28)),IF(ABS($H$28-$G$28)&lt;=$J$28,"PASS","FAIL"),"FAIL")</f>
        <v>PASS</v>
      </c>
    </row>
    <row r="29" spans="2:12" ht="16.2" customHeight="1">
      <c r="B29" s="60">
        <v>19</v>
      </c>
      <c r="C29" s="70" t="s">
        <v>289</v>
      </c>
      <c r="D29" s="70"/>
      <c r="E29" s="70"/>
      <c r="F29" s="70"/>
      <c r="G29" s="57">
        <v>0.5947457627118644</v>
      </c>
      <c r="H29" s="39">
        <f>(IF((SUMIFS(tblVerifyShifts[Planned (min)],tblVerifyShifts[View date],"&gt;0"))=0,"",(SUMIFS(tblVerifyShifts[Run (min)],tblVerifyShifts[View date],"&gt;0"))/(SUMIFS(tblVerifyShifts[Planned (min)],tblVerifyShifts[View date],"&gt;0"))))*(IF((SUMIFS(tblVerifyShifts[Run (min)],tblVerifyShifts[View date],"&gt;0"))=0,"",(SUMIFS(tblVerifyShifts[Net run (min)],tblVerifyShifts[View date],"&gt;0"))/(SUMIFS(tblVerifyShifts[Run (min)],tblVerifyShifts[View date],"&gt;0"))))*(IF((SUMIFS(tblVerifyShifts[Net run (min)],tblVerifyShifts[View date],"&gt;0"))=0,"",(SUMIFS(tblVerifyShifts[Productive (min)],tblVerifyShifts[View date],"&gt;0"))/(SUMIFS(tblVerifyShifts[Net run (min)],tblVerifyShifts[View date],"&gt;0"))))</f>
        <v>0.594745762711865</v>
      </c>
      <c r="I29" s="73">
        <f>IF(AND(ISNUMBER($G$29),ISNUMBER($H$29)),ABS($H$29-$G$29),"")</f>
        <v>0</v>
      </c>
      <c r="J29" s="74">
        <v>1E-09</v>
      </c>
      <c r="K29" s="40" t="str">
        <f>IF(AND(ISNUMBER($G$29),ISNUMBER($H$29)),IF(ABS($H$29-$G$29)&lt;=$J$29,"PASS","FAIL"),"FAIL")</f>
        <v>PASS</v>
      </c>
    </row>
    <row r="31" spans="2:12" ht="21" customHeight="1">
      <c r="B31" s="8" t="s">
        <v>290</v>
      </c>
      <c r="C31" s="8"/>
      <c r="D31" s="8"/>
      <c r="E31" s="8"/>
      <c r="F31" s="8"/>
      <c r="G31" s="8"/>
      <c r="H31" s="8"/>
      <c r="I31" s="8"/>
      <c r="J31" s="8"/>
      <c r="K31" s="8"/>
      <c r="L31" s="8"/>
    </row>
    <row r="32" spans="2:12" ht="5" customHeight="1"/>
    <row r="33" spans="2:21">
      <c r="B33" s="21" t="s">
        <v>291</v>
      </c>
      <c r="C33" s="21"/>
      <c r="D33" s="21"/>
      <c r="E33" s="21"/>
      <c r="F33" s="21"/>
      <c r="G33" s="21"/>
      <c r="H33" s="21"/>
      <c r="I33" s="21"/>
      <c r="J33" s="21"/>
      <c r="K33" s="21"/>
      <c r="L33" s="21"/>
    </row>
    <row r="34" spans="2:21">
      <c r="B34" s="31" t="s">
        <v>292</v>
      </c>
      <c r="C34" s="31"/>
      <c r="D34" s="31"/>
      <c r="E34" s="31"/>
      <c r="F34" s="31"/>
    </row>
    <row r="35" spans="2:21">
      <c r="B35" s="27" t="s">
        <v>293</v>
      </c>
      <c r="C35" s="27"/>
      <c r="D35" s="27"/>
      <c r="E35" s="75">
        <v>0</v>
      </c>
      <c r="F35" s="7"/>
    </row>
    <row r="36" spans="2:21">
      <c r="B36" s="27" t="s">
        <v>294</v>
      </c>
      <c r="C36" s="27"/>
      <c r="D36" s="27"/>
      <c r="E36" s="75">
        <v>2958465</v>
      </c>
      <c r="F36" s="7"/>
    </row>
    <row r="37" spans="2:21">
      <c r="B37" s="27" t="s">
        <v>295</v>
      </c>
      <c r="C37" s="27"/>
      <c r="D37" s="27"/>
      <c r="E37" s="69" t="s">
        <v>156</v>
      </c>
      <c r="F37" s="69"/>
    </row>
    <row r="38" spans="2:21">
      <c r="B38" s="27" t="s">
        <v>81</v>
      </c>
      <c r="C38" s="27"/>
      <c r="D38" s="27"/>
      <c r="E38" s="57">
        <v>0.7</v>
      </c>
      <c r="F38" s="7"/>
    </row>
    <row r="39" spans="2:21">
      <c r="B39" s="27" t="s">
        <v>82</v>
      </c>
      <c r="C39" s="27"/>
      <c r="D39" s="27"/>
      <c r="E39" s="57">
        <v>0.85</v>
      </c>
      <c r="F39" s="7"/>
    </row>
    <row r="40" spans="2:21">
      <c r="B40" s="27" t="s">
        <v>83</v>
      </c>
      <c r="C40" s="27"/>
      <c r="D40" s="27"/>
      <c r="E40" s="57">
        <v>0.88</v>
      </c>
      <c r="F40" s="7"/>
    </row>
    <row r="41" spans="2:21">
      <c r="B41" s="27" t="s">
        <v>84</v>
      </c>
      <c r="C41" s="27"/>
      <c r="D41" s="27"/>
      <c r="E41" s="57">
        <v>0.98</v>
      </c>
      <c r="F41" s="7"/>
    </row>
    <row r="43" spans="2:21">
      <c r="B43" s="31" t="s">
        <v>296</v>
      </c>
      <c r="C43" s="31"/>
      <c r="D43" s="31"/>
      <c r="E43" s="31"/>
      <c r="F43" s="31"/>
      <c r="G43" s="31"/>
      <c r="H43" s="31"/>
      <c r="I43" s="31"/>
      <c r="J43" s="31"/>
      <c r="K43" s="31"/>
      <c r="L43" s="31"/>
    </row>
    <row r="44" spans="2:21" ht="32" customHeight="1">
      <c r="B44" s="32" t="s">
        <v>141</v>
      </c>
      <c r="C44" s="32" t="s">
        <v>67</v>
      </c>
      <c r="D44" s="32" t="s">
        <v>64</v>
      </c>
      <c r="E44" s="32" t="s">
        <v>70</v>
      </c>
      <c r="F44" s="32" t="s">
        <v>142</v>
      </c>
      <c r="G44" s="32" t="s">
        <v>143</v>
      </c>
      <c r="H44" s="32" t="s">
        <v>144</v>
      </c>
      <c r="I44" s="32" t="s">
        <v>145</v>
      </c>
      <c r="J44" s="32" t="s">
        <v>146</v>
      </c>
      <c r="K44" s="32" t="s">
        <v>71</v>
      </c>
      <c r="L44" s="32" t="s">
        <v>147</v>
      </c>
      <c r="M44" s="32" t="s">
        <v>148</v>
      </c>
      <c r="N44" s="32" t="s">
        <v>149</v>
      </c>
      <c r="O44" s="32" t="s">
        <v>150</v>
      </c>
      <c r="P44" s="32" t="s">
        <v>134</v>
      </c>
      <c r="Q44" s="32" t="s">
        <v>151</v>
      </c>
      <c r="R44" s="32" t="s">
        <v>152</v>
      </c>
      <c r="S44" s="32" t="s">
        <v>153</v>
      </c>
      <c r="T44" s="32" t="s">
        <v>154</v>
      </c>
      <c r="U44" s="32" t="s">
        <v>69</v>
      </c>
    </row>
    <row r="45" spans="2:21">
      <c r="B45" s="76">
        <v>46027</v>
      </c>
      <c r="C45" s="69" t="s">
        <v>99</v>
      </c>
      <c r="D45" s="69" t="s">
        <v>297</v>
      </c>
      <c r="E45" s="69" t="s">
        <v>298</v>
      </c>
      <c r="F45" s="75">
        <v>480</v>
      </c>
      <c r="G45" s="75">
        <v>700</v>
      </c>
      <c r="H45" s="75">
        <v>665</v>
      </c>
      <c r="I45" s="75">
        <v>60</v>
      </c>
      <c r="J45" s="36">
        <f>IF(tblVerifyShifts[[#This Row],[Date]]="","",tblVerifyShifts[[#This Row],[Planned (min)]]-tblVerifyShifts[[#This Row],[Downtime (min)]])</f>
        <v>420</v>
      </c>
      <c r="K45" s="77">
        <v>30</v>
      </c>
      <c r="L45" s="38">
        <f>IF(tblVerifyShifts[[#This Row],[Date]]="","",IF(tblVerifyShifts[[#This Row],[Ideal cycle (s/unit)]]="","",tblVerifyShifts[[#This Row],[Ideal cycle (s/unit)]]*tblVerifyShifts[[#This Row],[Total (units)]]/60))</f>
        <v>350</v>
      </c>
      <c r="M45" s="38">
        <f>IF(tblVerifyShifts[[#This Row],[Date]]="","",IF(tblVerifyShifts[[#This Row],[Ideal cycle (s/unit)]]="","",tblVerifyShifts[[#This Row],[Ideal cycle (s/unit)]]*tblVerifyShifts[[#This Row],[Good (units)]]/60))</f>
        <v>332.5</v>
      </c>
      <c r="N45" s="39">
        <f>IF(tblVerifyShifts[[#This Row],[Date]]="","",IF(tblVerifyShifts[[#This Row],[Planned (min)]]&gt;0,tblVerifyShifts[[#This Row],[Run (min)]]/tblVerifyShifts[[#This Row],[Planned (min)]],""))</f>
        <v>0.875</v>
      </c>
      <c r="O45" s="39">
        <f>IF(tblVerifyShifts[[#This Row],[Date]]="","",IF(AND(tblVerifyShifts[[#This Row],[Run (min)]]&gt;0,ISNUMBER(tblVerifyShifts[[#This Row],[Net run (min)]])),tblVerifyShifts[[#This Row],[Net run (min)]]/tblVerifyShifts[[#This Row],[Run (min)]],""))</f>
        <v>0.833333333333333</v>
      </c>
      <c r="P45" s="39">
        <f>IF(tblVerifyShifts[[#This Row],[Date]]="","",IF(tblVerifyShifts[[#This Row],[Total (units)]]&gt;0,tblVerifyShifts[[#This Row],[Good (units)]]/tblVerifyShifts[[#This Row],[Total (units)]],""))</f>
        <v>0.95</v>
      </c>
      <c r="Q45" s="39">
        <f>IF(tblVerifyShifts[[#This Row],[Date]]="","",IF(AND(tblVerifyShifts[[#This Row],[Planned (min)]]&gt;0,ISNUMBER(tblVerifyShifts[[#This Row],[Productive (min)]])),tblVerifyShifts[[#This Row],[Productive (min)]]/tblVerifyShifts[[#This Row],[Planned (min)]],""))</f>
        <v>0.692708333333333</v>
      </c>
      <c r="R45" s="40" t="str">
        <f>IF(NOT(ISNUMBER(tblVerifyShifts[[#This Row],[OEE]])),"",IF(tblVerifyShifts[[#This Row],[OEE]]&gt;=$E$38,"On target",IF(tblVerifyShifts[[#This Row],[OEE]]&gt;=$E$38*(1-0.05),"Near target","Below target")))</f>
        <v>Near target</v>
      </c>
      <c r="S45" s="41">
        <f>IF(tblVerifyShifts[[#This Row],[Date]]="","",IF(AND(tblVerifyShifts[[#This Row],[Date]]&gt;=$E$35,tblVerifyShifts[[#This Row],[Date]]&lt;=$E$36,OR($E$37="",tblVerifyShifts[[#This Row],[Machine]]=$E$37)),tblVerifyShifts[[#This Row],[Date]],""))</f>
        <v>46027</v>
      </c>
      <c r="T45" s="42" t="str">
        <f>IF(tblVerifyShifts[[#This Row],[Date]]="","",IF(tblVerifyShifts[[#This Row],[Machine]]="","Missing machine",IF(tblVerifyShifts[[#This Row],[Product]]="","Missing product",IF(tblVerifyShifts[[#This Row],[Planned (min)]]="","Missing planned",IF(tblVerifyShifts[[#This Row],[Total (units)]]="","Missing total",IF(tblVerifyShifts[[#This Row],[Good (units)]]="","Missing good",IF(tblVerifyShifts[[#This Row],[Ideal cycle (s/unit)]]="","Product not on Setup list",IF(tblVerifyShifts[[#This Row],[Good (units)]]&gt;tblVerifyShifts[[#This Row],[Total (units)]],"Good &gt; total",IF(tblVerifyShifts[[#This Row],[Downtime (min)]]&gt;tblVerifyShifts[[#This Row],[Planned (min)]],"Downtime &gt; planned time",IF(tblVerifyShifts[[#This Row],[Net run (min)]]&gt;tblVerifyShifts[[#This Row],[Run (min)]],"Above ideal rate: check ideal cycle",IF(COUNTIFS(tblVerifyShifts[Date],tblVerifyShifts[[#This Row],[Date]],tblVerifyShifts[Shift],tblVerifyShifts[[#This Row],[Shift]],tblVerifyShifts[Machine],tblVerifyShifts[[#This Row],[Machine]])&gt;1,"Duplicate shift row","OK")))))))))))</f>
        <v>OK</v>
      </c>
      <c r="U45" s="69"/>
    </row>
    <row r="46" spans="2:21">
      <c r="B46" s="76">
        <v>46027</v>
      </c>
      <c r="C46" s="69" t="s">
        <v>102</v>
      </c>
      <c r="D46" s="69" t="s">
        <v>297</v>
      </c>
      <c r="E46" s="69" t="s">
        <v>299</v>
      </c>
      <c r="F46" s="75">
        <v>450</v>
      </c>
      <c r="G46" s="75">
        <v>1610</v>
      </c>
      <c r="H46" s="75">
        <v>1571</v>
      </c>
      <c r="I46" s="75">
        <v>72</v>
      </c>
      <c r="J46" s="36">
        <f>IF(tblVerifyShifts[[#This Row],[Date]]="","",tblVerifyShifts[[#This Row],[Planned (min)]]-tblVerifyShifts[[#This Row],[Downtime (min)]])</f>
        <v>378</v>
      </c>
      <c r="K46" s="77">
        <v>12</v>
      </c>
      <c r="L46" s="38">
        <f>IF(tblVerifyShifts[[#This Row],[Date]]="","",IF(tblVerifyShifts[[#This Row],[Ideal cycle (s/unit)]]="","",tblVerifyShifts[[#This Row],[Ideal cycle (s/unit)]]*tblVerifyShifts[[#This Row],[Total (units)]]/60))</f>
        <v>322</v>
      </c>
      <c r="M46" s="38">
        <f>IF(tblVerifyShifts[[#This Row],[Date]]="","",IF(tblVerifyShifts[[#This Row],[Ideal cycle (s/unit)]]="","",tblVerifyShifts[[#This Row],[Ideal cycle (s/unit)]]*tblVerifyShifts[[#This Row],[Good (units)]]/60))</f>
        <v>314.2</v>
      </c>
      <c r="N46" s="39">
        <f>IF(tblVerifyShifts[[#This Row],[Date]]="","",IF(tblVerifyShifts[[#This Row],[Planned (min)]]&gt;0,tblVerifyShifts[[#This Row],[Run (min)]]/tblVerifyShifts[[#This Row],[Planned (min)]],""))</f>
        <v>0.84</v>
      </c>
      <c r="O46" s="39">
        <f>IF(tblVerifyShifts[[#This Row],[Date]]="","",IF(AND(tblVerifyShifts[[#This Row],[Run (min)]]&gt;0,ISNUMBER(tblVerifyShifts[[#This Row],[Net run (min)]])),tblVerifyShifts[[#This Row],[Net run (min)]]/tblVerifyShifts[[#This Row],[Run (min)]],""))</f>
        <v>0.851851851851852</v>
      </c>
      <c r="P46" s="39">
        <f>IF(tblVerifyShifts[[#This Row],[Date]]="","",IF(tblVerifyShifts[[#This Row],[Total (units)]]&gt;0,tblVerifyShifts[[#This Row],[Good (units)]]/tblVerifyShifts[[#This Row],[Total (units)]],""))</f>
        <v>0.975776397515528</v>
      </c>
      <c r="Q46" s="39">
        <f>IF(tblVerifyShifts[[#This Row],[Date]]="","",IF(AND(tblVerifyShifts[[#This Row],[Planned (min)]]&gt;0,ISNUMBER(tblVerifyShifts[[#This Row],[Productive (min)]])),tblVerifyShifts[[#This Row],[Productive (min)]]/tblVerifyShifts[[#This Row],[Planned (min)]],""))</f>
        <v>0.698222222222222</v>
      </c>
      <c r="R46" s="40" t="str">
        <f>IF(NOT(ISNUMBER(tblVerifyShifts[[#This Row],[OEE]])),"",IF(tblVerifyShifts[[#This Row],[OEE]]&gt;=$E$38,"On target",IF(tblVerifyShifts[[#This Row],[OEE]]&gt;=$E$38*(1-0.05),"Near target","Below target")))</f>
        <v>Near target</v>
      </c>
      <c r="S46" s="41">
        <f>IF(tblVerifyShifts[[#This Row],[Date]]="","",IF(AND(tblVerifyShifts[[#This Row],[Date]]&gt;=$E$35,tblVerifyShifts[[#This Row],[Date]]&lt;=$E$36,OR($E$37="",tblVerifyShifts[[#This Row],[Machine]]=$E$37)),tblVerifyShifts[[#This Row],[Date]],""))</f>
        <v>46027</v>
      </c>
      <c r="T46" s="42" t="str">
        <f>IF(tblVerifyShifts[[#This Row],[Date]]="","",IF(tblVerifyShifts[[#This Row],[Machine]]="","Missing machine",IF(tblVerifyShifts[[#This Row],[Product]]="","Missing product",IF(tblVerifyShifts[[#This Row],[Planned (min)]]="","Missing planned",IF(tblVerifyShifts[[#This Row],[Total (units)]]="","Missing total",IF(tblVerifyShifts[[#This Row],[Good (units)]]="","Missing good",IF(tblVerifyShifts[[#This Row],[Ideal cycle (s/unit)]]="","Product not on Setup list",IF(tblVerifyShifts[[#This Row],[Good (units)]]&gt;tblVerifyShifts[[#This Row],[Total (units)]],"Good &gt; total",IF(tblVerifyShifts[[#This Row],[Downtime (min)]]&gt;tblVerifyShifts[[#This Row],[Planned (min)]],"Downtime &gt; planned time",IF(tblVerifyShifts[[#This Row],[Net run (min)]]&gt;tblVerifyShifts[[#This Row],[Run (min)]],"Above ideal rate: check ideal cycle",IF(COUNTIFS(tblVerifyShifts[Date],tblVerifyShifts[[#This Row],[Date]],tblVerifyShifts[Shift],tblVerifyShifts[[#This Row],[Shift]],tblVerifyShifts[Machine],tblVerifyShifts[[#This Row],[Machine]])&gt;1,"Duplicate shift row","OK")))))))))))</f>
        <v>OK</v>
      </c>
      <c r="U46" s="69"/>
    </row>
    <row r="47" spans="2:21">
      <c r="B47" s="76">
        <v>46028</v>
      </c>
      <c r="C47" s="69" t="s">
        <v>99</v>
      </c>
      <c r="D47" s="69" t="s">
        <v>300</v>
      </c>
      <c r="E47" s="69" t="s">
        <v>301</v>
      </c>
      <c r="F47" s="75">
        <v>420</v>
      </c>
      <c r="G47" s="75">
        <v>7600</v>
      </c>
      <c r="H47" s="75">
        <v>7600</v>
      </c>
      <c r="I47" s="75">
        <v>0</v>
      </c>
      <c r="J47" s="36">
        <f>IF(tblVerifyShifts[[#This Row],[Date]]="","",tblVerifyShifts[[#This Row],[Planned (min)]]-tblVerifyShifts[[#This Row],[Downtime (min)]])</f>
        <v>420</v>
      </c>
      <c r="K47" s="77">
        <v>3</v>
      </c>
      <c r="L47" s="38">
        <f>IF(tblVerifyShifts[[#This Row],[Date]]="","",IF(tblVerifyShifts[[#This Row],[Ideal cycle (s/unit)]]="","",tblVerifyShifts[[#This Row],[Ideal cycle (s/unit)]]*tblVerifyShifts[[#This Row],[Total (units)]]/60))</f>
        <v>380</v>
      </c>
      <c r="M47" s="38">
        <f>IF(tblVerifyShifts[[#This Row],[Date]]="","",IF(tblVerifyShifts[[#This Row],[Ideal cycle (s/unit)]]="","",tblVerifyShifts[[#This Row],[Ideal cycle (s/unit)]]*tblVerifyShifts[[#This Row],[Good (units)]]/60))</f>
        <v>380</v>
      </c>
      <c r="N47" s="39">
        <f>IF(tblVerifyShifts[[#This Row],[Date]]="","",IF(tblVerifyShifts[[#This Row],[Planned (min)]]&gt;0,tblVerifyShifts[[#This Row],[Run (min)]]/tblVerifyShifts[[#This Row],[Planned (min)]],""))</f>
        <v>1</v>
      </c>
      <c r="O47" s="39">
        <f>IF(tblVerifyShifts[[#This Row],[Date]]="","",IF(AND(tblVerifyShifts[[#This Row],[Run (min)]]&gt;0,ISNUMBER(tblVerifyShifts[[#This Row],[Net run (min)]])),tblVerifyShifts[[#This Row],[Net run (min)]]/tblVerifyShifts[[#This Row],[Run (min)]],""))</f>
        <v>0.904761904761905</v>
      </c>
      <c r="P47" s="39">
        <f>IF(tblVerifyShifts[[#This Row],[Date]]="","",IF(tblVerifyShifts[[#This Row],[Total (units)]]&gt;0,tblVerifyShifts[[#This Row],[Good (units)]]/tblVerifyShifts[[#This Row],[Total (units)]],""))</f>
        <v>1</v>
      </c>
      <c r="Q47" s="39">
        <f>IF(tblVerifyShifts[[#This Row],[Date]]="","",IF(AND(tblVerifyShifts[[#This Row],[Planned (min)]]&gt;0,ISNUMBER(tblVerifyShifts[[#This Row],[Productive (min)]])),tblVerifyShifts[[#This Row],[Productive (min)]]/tblVerifyShifts[[#This Row],[Planned (min)]],""))</f>
        <v>0.904761904761905</v>
      </c>
      <c r="R47" s="40" t="str">
        <f>IF(NOT(ISNUMBER(tblVerifyShifts[[#This Row],[OEE]])),"",IF(tblVerifyShifts[[#This Row],[OEE]]&gt;=$E$38,"On target",IF(tblVerifyShifts[[#This Row],[OEE]]&gt;=$E$38*(1-0.05),"Near target","Below target")))</f>
        <v>On target</v>
      </c>
      <c r="S47" s="41">
        <f>IF(tblVerifyShifts[[#This Row],[Date]]="","",IF(AND(tblVerifyShifts[[#This Row],[Date]]&gt;=$E$35,tblVerifyShifts[[#This Row],[Date]]&lt;=$E$36,OR($E$37="",tblVerifyShifts[[#This Row],[Machine]]=$E$37)),tblVerifyShifts[[#This Row],[Date]],""))</f>
        <v>46028</v>
      </c>
      <c r="T47" s="42" t="str">
        <f>IF(tblVerifyShifts[[#This Row],[Date]]="","",IF(tblVerifyShifts[[#This Row],[Machine]]="","Missing machine",IF(tblVerifyShifts[[#This Row],[Product]]="","Missing product",IF(tblVerifyShifts[[#This Row],[Planned (min)]]="","Missing planned",IF(tblVerifyShifts[[#This Row],[Total (units)]]="","Missing total",IF(tblVerifyShifts[[#This Row],[Good (units)]]="","Missing good",IF(tblVerifyShifts[[#This Row],[Ideal cycle (s/unit)]]="","Product not on Setup list",IF(tblVerifyShifts[[#This Row],[Good (units)]]&gt;tblVerifyShifts[[#This Row],[Total (units)]],"Good &gt; total",IF(tblVerifyShifts[[#This Row],[Downtime (min)]]&gt;tblVerifyShifts[[#This Row],[Planned (min)]],"Downtime &gt; planned time",IF(tblVerifyShifts[[#This Row],[Net run (min)]]&gt;tblVerifyShifts[[#This Row],[Run (min)]],"Above ideal rate: check ideal cycle",IF(COUNTIFS(tblVerifyShifts[Date],tblVerifyShifts[[#This Row],[Date]],tblVerifyShifts[Shift],tblVerifyShifts[[#This Row],[Shift]],tblVerifyShifts[Machine],tblVerifyShifts[[#This Row],[Machine]])&gt;1,"Duplicate shift row","OK")))))))))))</f>
        <v>OK</v>
      </c>
      <c r="U47" s="69"/>
    </row>
    <row r="48" spans="2:21">
      <c r="B48" s="76">
        <v>46028</v>
      </c>
      <c r="C48" s="69" t="s">
        <v>102</v>
      </c>
      <c r="D48" s="69" t="s">
        <v>300</v>
      </c>
      <c r="E48" s="69" t="s">
        <v>301</v>
      </c>
      <c r="F48" s="75">
        <v>420</v>
      </c>
      <c r="G48" s="75">
        <v>500</v>
      </c>
      <c r="H48" s="75">
        <v>520</v>
      </c>
      <c r="I48" s="75">
        <v>30</v>
      </c>
      <c r="J48" s="36">
        <f>IF(tblVerifyShifts[[#This Row],[Date]]="","",tblVerifyShifts[[#This Row],[Planned (min)]]-tblVerifyShifts[[#This Row],[Downtime (min)]])</f>
        <v>390</v>
      </c>
      <c r="K48" s="77">
        <v>3</v>
      </c>
      <c r="L48" s="38">
        <f>IF(tblVerifyShifts[[#This Row],[Date]]="","",IF(tblVerifyShifts[[#This Row],[Ideal cycle (s/unit)]]="","",tblVerifyShifts[[#This Row],[Ideal cycle (s/unit)]]*tblVerifyShifts[[#This Row],[Total (units)]]/60))</f>
        <v>25</v>
      </c>
      <c r="M48" s="38">
        <f>IF(tblVerifyShifts[[#This Row],[Date]]="","",IF(tblVerifyShifts[[#This Row],[Ideal cycle (s/unit)]]="","",tblVerifyShifts[[#This Row],[Ideal cycle (s/unit)]]*tblVerifyShifts[[#This Row],[Good (units)]]/60))</f>
        <v>26</v>
      </c>
      <c r="N48" s="39">
        <f>IF(tblVerifyShifts[[#This Row],[Date]]="","",IF(tblVerifyShifts[[#This Row],[Planned (min)]]&gt;0,tblVerifyShifts[[#This Row],[Run (min)]]/tblVerifyShifts[[#This Row],[Planned (min)]],""))</f>
        <v>0.928571428571429</v>
      </c>
      <c r="O48" s="39">
        <f>IF(tblVerifyShifts[[#This Row],[Date]]="","",IF(AND(tblVerifyShifts[[#This Row],[Run (min)]]&gt;0,ISNUMBER(tblVerifyShifts[[#This Row],[Net run (min)]])),tblVerifyShifts[[#This Row],[Net run (min)]]/tblVerifyShifts[[#This Row],[Run (min)]],""))</f>
        <v>0.0641025641025641</v>
      </c>
      <c r="P48" s="39">
        <f>IF(tblVerifyShifts[[#This Row],[Date]]="","",IF(tblVerifyShifts[[#This Row],[Total (units)]]&gt;0,tblVerifyShifts[[#This Row],[Good (units)]]/tblVerifyShifts[[#This Row],[Total (units)]],""))</f>
        <v>1.04</v>
      </c>
      <c r="Q48" s="39">
        <f>IF(tblVerifyShifts[[#This Row],[Date]]="","",IF(AND(tblVerifyShifts[[#This Row],[Planned (min)]]&gt;0,ISNUMBER(tblVerifyShifts[[#This Row],[Productive (min)]])),tblVerifyShifts[[#This Row],[Productive (min)]]/tblVerifyShifts[[#This Row],[Planned (min)]],""))</f>
        <v>0.0619047619047619</v>
      </c>
      <c r="R48" s="40" t="str">
        <f>IF(NOT(ISNUMBER(tblVerifyShifts[[#This Row],[OEE]])),"",IF(tblVerifyShifts[[#This Row],[OEE]]&gt;=$E$38,"On target",IF(tblVerifyShifts[[#This Row],[OEE]]&gt;=$E$38*(1-0.05),"Near target","Below target")))</f>
        <v>Below target</v>
      </c>
      <c r="S48" s="41">
        <f>IF(tblVerifyShifts[[#This Row],[Date]]="","",IF(AND(tblVerifyShifts[[#This Row],[Date]]&gt;=$E$35,tblVerifyShifts[[#This Row],[Date]]&lt;=$E$36,OR($E$37="",tblVerifyShifts[[#This Row],[Machine]]=$E$37)),tblVerifyShifts[[#This Row],[Date]],""))</f>
        <v>46028</v>
      </c>
      <c r="T48" s="42" t="str">
        <f>IF(tblVerifyShifts[[#This Row],[Date]]="","",IF(tblVerifyShifts[[#This Row],[Machine]]="","Missing machine",IF(tblVerifyShifts[[#This Row],[Product]]="","Missing product",IF(tblVerifyShifts[[#This Row],[Planned (min)]]="","Missing planned",IF(tblVerifyShifts[[#This Row],[Total (units)]]="","Missing total",IF(tblVerifyShifts[[#This Row],[Good (units)]]="","Missing good",IF(tblVerifyShifts[[#This Row],[Ideal cycle (s/unit)]]="","Product not on Setup list",IF(tblVerifyShifts[[#This Row],[Good (units)]]&gt;tblVerifyShifts[[#This Row],[Total (units)]],"Good &gt; total",IF(tblVerifyShifts[[#This Row],[Downtime (min)]]&gt;tblVerifyShifts[[#This Row],[Planned (min)]],"Downtime &gt; planned time",IF(tblVerifyShifts[[#This Row],[Net run (min)]]&gt;tblVerifyShifts[[#This Row],[Run (min)]],"Above ideal rate: check ideal cycle",IF(COUNTIFS(tblVerifyShifts[Date],tblVerifyShifts[[#This Row],[Date]],tblVerifyShifts[Shift],tblVerifyShifts[[#This Row],[Shift]],tblVerifyShifts[Machine],tblVerifyShifts[[#This Row],[Machine]])&gt;1,"Duplicate shift row","OK")))))))))))</f>
        <v>Good &gt; total</v>
      </c>
      <c r="U48" s="69"/>
    </row>
  </sheetData>
  <sheetProtection sheet="1" formatColumns="0" formatRows="0"/>
  <mergeCells count="39">
    <mergeCell ref="A1:U1"/>
    <mergeCell ref="B2:T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E37:F37"/>
    <mergeCell ref="B38:D38"/>
    <mergeCell ref="B39:D39"/>
    <mergeCell ref="B40:D40"/>
    <mergeCell ref="B41:D41"/>
    <mergeCell ref="B43:L4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T45:T48">
    <cfRule type="expression" dxfId="3" priority="41">
      <formula>$T45="OK"</formula>
    </cfRule>
    <cfRule type="expression" dxfId="1" priority="42">
      <formula>AND($T45&lt;&gt;"",$T45&lt;&gt;"OK")</formula>
    </cfRule>
  </conditionalFormatting>
  <hyperlinks>
    <hyperlink ref="U2" r:id="rId1" tooltip="Free manufacturing calculators and templates"/>
  </hyperlinks>
  <printOptions horizontalCentered="1"/>
  <pageMargins left="0.4" right="0.4" top="0.7" bottom="0.65" header="0.3" footer="0.3"/>
  <pageSetup fitToHeight="0" orientation="landscape"/>
  <headerFooter>
    <oddHeader>&amp;L&amp;8MFG Calcs - OEE Tracker&amp;R&amp;8&amp;A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30</vt:i4>
      </vt:variant>
    </vt:vector>
  </HeadingPairs>
  <TitlesOfParts>
    <vt:vector size="37" baseType="lpstr">
      <vt:lpstr>Start Here</vt:lpstr>
      <vt:lpstr>Setup</vt:lpstr>
      <vt:lpstr>Shift Log</vt:lpstr>
      <vt:lpstr>Downtime Log</vt:lpstr>
      <vt:lpstr>Dashboard</vt:lpstr>
      <vt:lpstr>Method</vt:lpstr>
      <vt:lpstr>Verify</vt:lpstr>
      <vt:lpstr>Currency</vt:lpstr>
      <vt:lpstr>DashFrom</vt:lpstr>
      <vt:lpstr>DashMachine</vt:lpstr>
      <vt:lpstr>DashTo</vt:lpstr>
      <vt:lpstr>KpiA</vt:lpstr>
      <vt:lpstr>KpiDown</vt:lpstr>
      <vt:lpstr>KpiGood</vt:lpstr>
      <vt:lpstr>KpiLost</vt:lpstr>
      <vt:lpstr>KpiOEE</vt:lpstr>
      <vt:lpstr>KpiP</vt:lpstr>
      <vt:lpstr>KpiQ</vt:lpstr>
      <vt:lpstr>KpiTop</vt:lpstr>
      <vt:lpstr>PlantName</vt:lpstr>
      <vt:lpstr>Dashboard!Print_Area</vt:lpstr>
      <vt:lpstr>'Downtime Log'!Print_Area</vt:lpstr>
      <vt:lpstr>Method!Print_Area</vt:lpstr>
      <vt:lpstr>Setup!Print_Area</vt:lpstr>
      <vt:lpstr>'Shift Log'!Print_Area</vt:lpstr>
      <vt:lpstr>'Start Here'!Print_Area</vt:lpstr>
      <vt:lpstr>Verify!Print_Area</vt:lpstr>
      <vt:lpstr>'Downtime Log'!Print_Titles</vt:lpstr>
      <vt:lpstr>Method!Print_Titles</vt:lpstr>
      <vt:lpstr>'Shift Log'!Print_Titles</vt:lpstr>
      <vt:lpstr>SelfCheck</vt:lpstr>
      <vt:lpstr>SelfCheckSummary</vt:lpstr>
      <vt:lpstr>TargetA</vt:lpstr>
      <vt:lpstr>TargetOEE</vt:lpstr>
      <vt:lpstr>TargetP</vt:lpstr>
      <vt:lpstr>TargetQ</vt:lpstr>
      <vt:lpstr>ValuePerHour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OEE Tracker - free Excel template from MFG Calcs</dc:title>
  <dc:subject>Log every shift and every stop, and see OEE, its three losses and the biggest downtime reasons update as you type.</dc:subject>
  <dc:creator>MFG Calcs</dc:creator>
  <cp:keywords>OEE, overall equipment effectiveness, availability, performance, quality, downtime, Pareto, shift log, TPM</cp:keywords>
  <dc:description>https://www.mfgcalcs.com/templates/oee-tracker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oee-tracker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https://www.mfgcalcs.com/templates/oee-tracker</vt:lpwstr>
  </property>
  <property fmtid="{D5CDD505-2E9C-101B-9397-08002B2CF9AE}" pid="7" name="Template sheet roles">
    <vt:lpwstr>Start Here=start;Setup=setup;Shift Log=work;Downtime Log=work;Dashboard=dashboard;Method=method;Verify=verify</vt:lpwstr>
  </property>
</Properties>
</file>