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Delivery Log" sheetId="3" r:id="rId3"/>
    <sheet name="Dashboard" sheetId="4" r:id="rId4"/>
    <sheet name="Method" sheetId="5" r:id="rId5"/>
    <sheet name="Verify" sheetId="6" r:id="rId6"/>
  </sheets>
  <definedNames>
    <definedName name="CompanyName">Setup!$C$6</definedName>
    <definedName name="Customers">tblCustomers[Customer]</definedName>
    <definedName name="EarlyDays">Setup!$C$10</definedName>
    <definedName name="KpiFill">Dashboard!$J$7</definedName>
    <definedName name="KpiIF">Dashboard!$G$7</definedName>
    <definedName name="KpiOT">Dashboard!$D$7</definedName>
    <definedName name="KpiOTIF">Dashboard!$B$7</definedName>
    <definedName name="LateDays">Setup!$C$11</definedName>
    <definedName name="OverTol">Setup!$C$13</definedName>
    <definedName name="_xlnm.Print_Area" localSheetId="3">Dashboard!$A$1:$L$61</definedName>
    <definedName name="_xlnm.Print_Area" localSheetId="2">'Delivery Log'!$A$1:$P$149</definedName>
    <definedName name="_xlnm.Print_Area" localSheetId="4">Method!$A$1:$D$55</definedName>
    <definedName name="_xlnm.Print_Area" localSheetId="1">Setup!$A$1:$E$36</definedName>
    <definedName name="_xlnm.Print_Area" localSheetId="0">'Start Here'!$A$1:$F$55</definedName>
    <definedName name="_xlnm.Print_Area" localSheetId="5">Verify!$A$1:$P$78</definedName>
    <definedName name="_xlnm.Print_Titles" localSheetId="2">'Delivery Log'!$1:$5</definedName>
    <definedName name="_xlnm.Print_Titles" localSheetId="4">Method!$1:$2</definedName>
    <definedName name="Reasons">tblReasons[Reason]</definedName>
    <definedName name="SelfCheck">Verify!$D$4</definedName>
    <definedName name="SelfCheckSummary">Verify!$F$4</definedName>
    <definedName name="TargetIF">Setup!$C$9</definedName>
    <definedName name="TargetOT">Setup!$C$8</definedName>
    <definedName name="TargetOTIF">Setup!$C$7</definedName>
    <definedName name="UnderTol">Setup!$C$12</definedName>
  </definedNames>
  <calcPr calcId="124519" fullCalcOnLoad="1"/>
</workbook>
</file>

<file path=xl/sharedStrings.xml><?xml version="1.0" encoding="utf-8"?>
<sst xmlns="http://schemas.openxmlformats.org/spreadsheetml/2006/main" count="1134" uniqueCount="389">
  <si>
    <t>OTIF Delivery Tracker</t>
  </si>
  <si>
    <t>Read this first: what the workbook does and how to use it.</t>
  </si>
  <si>
    <t>mfgcalcs.com</t>
  </si>
  <si>
    <t>Log every delivered order line against its promise and see on-time, in-full and OTIF performance by week and customer, with the reason behind every miss.</t>
  </si>
  <si>
    <t>For: Plant and operations managers, customer service and logistics leads, planners and supply-chain managers reporting delivery performance.</t>
  </si>
  <si>
    <t>Version 1.0.0  ·  updated 15 October 2026</t>
  </si>
  <si>
    <t>Quick start</t>
  </si>
  <si>
    <t>1.</t>
  </si>
  <si>
    <t>On Setup, type your company name, your OTIF, on-time and in-full targets, the delivery window (days early and late allowed) and the in-full tolerances, then list your customers and miss reasons.</t>
  </si>
  <si>
    <t>2.</t>
  </si>
  <si>
    <t>On Delivery Log, add one row per order line when it is delivered: order line, customer, item, quantity ordered, promised date, delivered date and quantity delivered.</t>
  </si>
  <si>
    <t>3.</t>
  </si>
  <si>
    <t>For every line that is not OTIF, pick the reason. The Check column names anything missing.</t>
  </si>
  <si>
    <t>4.</t>
  </si>
  <si>
    <t>Open the Dashboard: OTIF by week against target, the reasons behind the misses, and performance by customer.</t>
  </si>
  <si>
    <t>What is in this workbook</t>
  </si>
  <si>
    <t>Start Here</t>
  </si>
  <si>
    <t>Setup</t>
  </si>
  <si>
    <t>Company, targets, the delivery window and in-full tolerances, and the customers and miss reasons.</t>
  </si>
  <si>
    <t>Delivery Log</t>
  </si>
  <si>
    <t>One row per order line delivered: promised and delivered date and quantity, and whether it was on time and in full.</t>
  </si>
  <si>
    <t>Dashboard</t>
  </si>
  <si>
    <t>On-time, in-full and OTIF delivery performance against your targets, by week and customer, and why lines missed.</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</si>
  <si>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</si>
  <si>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</si>
  <si>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</si>
  <si>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</si>
  <si>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</si>
  <si>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</si>
  <si>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</si>
  <si>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</si>
  <si>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</si>
  <si>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</si>
  <si>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</si>
  <si>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</si>
  <si>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</si>
  <si>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</si>
  <si>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</si>
  <si>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</si>
  <si>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</si>
  <si>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</si>
  <si>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</si>
  <si>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</si>
  <si>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On-Time Delivery Rate Calculator on mfgcalcs.com</t>
  </si>
  <si>
    <t>Latest version</t>
  </si>
  <si>
    <t>mfgcalcs.com/templates/otif-delivery-tracker</t>
  </si>
  <si>
    <t>More free templates</t>
  </si>
  <si>
    <t>mfgcalcs.com/templates</t>
  </si>
  <si>
    <t>Version</t>
  </si>
  <si>
    <t>1.0.0 (updated 15 October 2026)</t>
  </si>
  <si>
    <t>About the example data</t>
  </si>
  <si>
    <t>Every number already in this workbook is example data for Sahyadri Auto Components, a fictional business invented for this template, so the dashboard and charts show something meaningful on day one. It holds 144 order lines to six fictional customers over eight weeks (promised 3 August to 25 September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</si>
  <si>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</si>
  <si>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</si>
  <si>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</si>
  <si>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</si>
  <si>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</si>
  <si>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</si>
  <si>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</si>
  <si>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</si>
  <si>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Customer</t>
  </si>
  <si>
    <t>Region</t>
  </si>
  <si>
    <t>Reason</t>
  </si>
  <si>
    <t>Owner</t>
  </si>
  <si>
    <t>Company, targets and rules</t>
  </si>
  <si>
    <t>Company or site</t>
  </si>
  <si>
    <t>Sahyadri Auto Components (example)</t>
  </si>
  <si>
    <t>OTIF target</t>
  </si>
  <si>
    <t>On-time target</t>
  </si>
  <si>
    <t>In-full target</t>
  </si>
  <si>
    <t>Days early allowed</t>
  </si>
  <si>
    <t>days</t>
  </si>
  <si>
    <t>Days late allowed</t>
  </si>
  <si>
    <t>Short delivery allowed</t>
  </si>
  <si>
    <t>Over-delivery allowed</t>
  </si>
  <si>
    <t>Targets, window and tolerances are your policy or your customer's agreement; nothing here is an industry benchmark. Days are calendar days between the promised and delivered dates. 'Near target' means within 5% of the target.</t>
  </si>
  <si>
    <t>Lists that feed the dropdowns</t>
  </si>
  <si>
    <t>Customers</t>
  </si>
  <si>
    <t>Deccan Tractors (example)</t>
  </si>
  <si>
    <t>Pune</t>
  </si>
  <si>
    <t>Konkan Motors (example)</t>
  </si>
  <si>
    <t>Nashik</t>
  </si>
  <si>
    <t>Meridian Pumps (example)</t>
  </si>
  <si>
    <t>Coimbatore</t>
  </si>
  <si>
    <t>Indus Agri Equipment (example)</t>
  </si>
  <si>
    <t>Ludhiana</t>
  </si>
  <si>
    <t>Northstar Rail (example)</t>
  </si>
  <si>
    <t>Kolkata (3 days by road)</t>
  </si>
  <si>
    <t>Coastal Gensets (example)</t>
  </si>
  <si>
    <t>Chennai</t>
  </si>
  <si>
    <t>Miss reasons</t>
  </si>
  <si>
    <t>Material shortage</t>
  </si>
  <si>
    <t>Purchasing</t>
  </si>
  <si>
    <t>Production delay</t>
  </si>
  <si>
    <t>Production</t>
  </si>
  <si>
    <t>Quality hold</t>
  </si>
  <si>
    <t>Quality</t>
  </si>
  <si>
    <t>Transport delay</t>
  </si>
  <si>
    <t>Logistics</t>
  </si>
  <si>
    <t>Short picked</t>
  </si>
  <si>
    <t>Warehouse</t>
  </si>
  <si>
    <t>Shipped too early</t>
  </si>
  <si>
    <t>Documentation error</t>
  </si>
  <si>
    <t>Customer service</t>
  </si>
  <si>
    <t>Order line</t>
  </si>
  <si>
    <t>Item</t>
  </si>
  <si>
    <t>Qty ordered (units)</t>
  </si>
  <si>
    <t>Promised date</t>
  </si>
  <si>
    <t>Delivered date</t>
  </si>
  <si>
    <t>Qty delivered (units)</t>
  </si>
  <si>
    <t>Days late</t>
  </si>
  <si>
    <t>On time</t>
  </si>
  <si>
    <t>In full</t>
  </si>
  <si>
    <t>OTIF</t>
  </si>
  <si>
    <t>Units filled</t>
  </si>
  <si>
    <t>Miss reason</t>
  </si>
  <si>
    <t>Check</t>
  </si>
  <si>
    <t>Notes</t>
  </si>
  <si>
    <t>Example data for Sahyadri Auto Components (fictional). Replace it with your own: select the example rows, right-click, Delete &gt; Table Rows. Log a line when it is delivered; a part shipment is one line, its balance a new line.</t>
  </si>
  <si>
    <t>SO-24600-2</t>
  </si>
  <si>
    <t>CVR-90</t>
  </si>
  <si>
    <t/>
  </si>
  <si>
    <t>SO-24601-1</t>
  </si>
  <si>
    <t>MNT-75</t>
  </si>
  <si>
    <t>SO-24601-2</t>
  </si>
  <si>
    <t>SO-24602-1</t>
  </si>
  <si>
    <t>HUB-220</t>
  </si>
  <si>
    <t>SO-24602-2</t>
  </si>
  <si>
    <t>BSH-32</t>
  </si>
  <si>
    <t>SO-24603-1</t>
  </si>
  <si>
    <t>HSG-310</t>
  </si>
  <si>
    <t>SO-24603-2</t>
  </si>
  <si>
    <t>PLY-150</t>
  </si>
  <si>
    <t>SO-24604-1</t>
  </si>
  <si>
    <t>SO-24604-2</t>
  </si>
  <si>
    <t>SHF-40</t>
  </si>
  <si>
    <t>SO-24605-1</t>
  </si>
  <si>
    <t>SO-24605-2</t>
  </si>
  <si>
    <t>IMP-200</t>
  </si>
  <si>
    <t>SO-24606-1</t>
  </si>
  <si>
    <t>BRK-118</t>
  </si>
  <si>
    <t>SO-24606-2</t>
  </si>
  <si>
    <t>SO-24607-1</t>
  </si>
  <si>
    <t>SO-24607-2</t>
  </si>
  <si>
    <t>SO-24608-1</t>
  </si>
  <si>
    <t>FLW-65</t>
  </si>
  <si>
    <t>SO-24608-2</t>
  </si>
  <si>
    <t>SO-24609-1</t>
  </si>
  <si>
    <t>SO-24609-2</t>
  </si>
  <si>
    <t>SO-24610-1</t>
  </si>
  <si>
    <t>SO-24610-2</t>
  </si>
  <si>
    <t>SO-24611-1</t>
  </si>
  <si>
    <t>SO-24611-2</t>
  </si>
  <si>
    <t>SO-24612-1</t>
  </si>
  <si>
    <t>SO-24612-2</t>
  </si>
  <si>
    <t>SO-24613-1</t>
  </si>
  <si>
    <t>SO-24613-2</t>
  </si>
  <si>
    <t>SO-24614-1</t>
  </si>
  <si>
    <t>SO-24614-2</t>
  </si>
  <si>
    <t>SO-24615-1</t>
  </si>
  <si>
    <t>SO-24615-2</t>
  </si>
  <si>
    <t>SO-24616-1</t>
  </si>
  <si>
    <t>SO-24616-2</t>
  </si>
  <si>
    <t>SO-24617-1</t>
  </si>
  <si>
    <t>SO-24617-2</t>
  </si>
  <si>
    <t>SO-24618-1</t>
  </si>
  <si>
    <t>SO-24618-2</t>
  </si>
  <si>
    <t>SO-24619-1</t>
  </si>
  <si>
    <t>SO-24619-2</t>
  </si>
  <si>
    <t>SO-24620-1</t>
  </si>
  <si>
    <t>SO-24620-2</t>
  </si>
  <si>
    <t>SO-24621-1</t>
  </si>
  <si>
    <t>SO-24621-2</t>
  </si>
  <si>
    <t>SO-24622-1</t>
  </si>
  <si>
    <t>SO-24622-2</t>
  </si>
  <si>
    <t>SO-24623-1</t>
  </si>
  <si>
    <t>SO-24623-2</t>
  </si>
  <si>
    <t>SO-24624-1</t>
  </si>
  <si>
    <t>SO-24624-2</t>
  </si>
  <si>
    <t>SO-24625-1</t>
  </si>
  <si>
    <t>SO-24625-2</t>
  </si>
  <si>
    <t>SO-24626-1</t>
  </si>
  <si>
    <t>SO-24626-2</t>
  </si>
  <si>
    <t>SO-24627-1</t>
  </si>
  <si>
    <t>SO-24627-2</t>
  </si>
  <si>
    <t>SO-24628-1</t>
  </si>
  <si>
    <t>SO-24628-2</t>
  </si>
  <si>
    <t>SO-24629-1</t>
  </si>
  <si>
    <t>SO-24629-2</t>
  </si>
  <si>
    <t>SO-24630-1</t>
  </si>
  <si>
    <t>SO-24630-2</t>
  </si>
  <si>
    <t>SO-24631-1</t>
  </si>
  <si>
    <t>SO-24631-2</t>
  </si>
  <si>
    <t>SO-24632-1</t>
  </si>
  <si>
    <t>SO-24632-2</t>
  </si>
  <si>
    <t>SO-24633-1</t>
  </si>
  <si>
    <t>SO-24633-2</t>
  </si>
  <si>
    <t>SO-24634-1</t>
  </si>
  <si>
    <t>SO-24634-2</t>
  </si>
  <si>
    <t>SO-24635-1</t>
  </si>
  <si>
    <t>SO-24635-2</t>
  </si>
  <si>
    <t>SO-24636-1</t>
  </si>
  <si>
    <t>SO-24636-2</t>
  </si>
  <si>
    <t>SO-24637-1</t>
  </si>
  <si>
    <t>SO-24637-2</t>
  </si>
  <si>
    <t>SO-24638-1</t>
  </si>
  <si>
    <t>SO-24638-2</t>
  </si>
  <si>
    <t>SO-24639-1</t>
  </si>
  <si>
    <t>SO-24639-2</t>
  </si>
  <si>
    <t>SO-24640-1</t>
  </si>
  <si>
    <t>SO-24640-2</t>
  </si>
  <si>
    <t>SO-24641-1</t>
  </si>
  <si>
    <t>SO-24641-2</t>
  </si>
  <si>
    <t>SO-24642-1</t>
  </si>
  <si>
    <t>SO-24642-2</t>
  </si>
  <si>
    <t>SO-24643-1</t>
  </si>
  <si>
    <t>SO-24643-2</t>
  </si>
  <si>
    <t>SO-24644-1</t>
  </si>
  <si>
    <t>SO-24644-2</t>
  </si>
  <si>
    <t>SO-24645-1</t>
  </si>
  <si>
    <t>SO-24645-2</t>
  </si>
  <si>
    <t>SO-24646-1</t>
  </si>
  <si>
    <t>SO-24646-2</t>
  </si>
  <si>
    <t>SO-24647-1</t>
  </si>
  <si>
    <t>SO-24647-2</t>
  </si>
  <si>
    <t>SO-24648-1</t>
  </si>
  <si>
    <t>SO-24648-2</t>
  </si>
  <si>
    <t>SO-24649-1</t>
  </si>
  <si>
    <t>SO-24649-2</t>
  </si>
  <si>
    <t>SO-24650-1</t>
  </si>
  <si>
    <t>SO-24650-2</t>
  </si>
  <si>
    <t>SO-24651-1</t>
  </si>
  <si>
    <t>SO-24651-2</t>
  </si>
  <si>
    <t>SO-24652-1</t>
  </si>
  <si>
    <t>SO-24652-2</t>
  </si>
  <si>
    <t>SO-24653-1</t>
  </si>
  <si>
    <t>SO-24653-2</t>
  </si>
  <si>
    <t>SO-24654-1</t>
  </si>
  <si>
    <t>SO-24654-2</t>
  </si>
  <si>
    <t>SO-24655-1</t>
  </si>
  <si>
    <t>SO-24655-2</t>
  </si>
  <si>
    <t>SO-24656-1</t>
  </si>
  <si>
    <t>SO-24656-2</t>
  </si>
  <si>
    <t>SO-24657-1</t>
  </si>
  <si>
    <t>SO-24657-2</t>
  </si>
  <si>
    <t>SO-24658-1</t>
  </si>
  <si>
    <t>SO-24658-2</t>
  </si>
  <si>
    <t>SO-24659-1</t>
  </si>
  <si>
    <t>SO-24659-2</t>
  </si>
  <si>
    <t>SO-24660-1</t>
  </si>
  <si>
    <t>SO-24660-2</t>
  </si>
  <si>
    <t>SO-24661-1</t>
  </si>
  <si>
    <t>SO-24661-2</t>
  </si>
  <si>
    <t>SO-24662-1</t>
  </si>
  <si>
    <t>SO-24662-2</t>
  </si>
  <si>
    <t>SO-24663-1</t>
  </si>
  <si>
    <t>SO-24663-2</t>
  </si>
  <si>
    <t>SO-24664-1</t>
  </si>
  <si>
    <t>SO-24664-2</t>
  </si>
  <si>
    <t>SO-24665-1</t>
  </si>
  <si>
    <t>SO-24665-2</t>
  </si>
  <si>
    <t>SO-24666-1</t>
  </si>
  <si>
    <t>SO-24666-2</t>
  </si>
  <si>
    <t>SO-24667-1</t>
  </si>
  <si>
    <t>SO-24667-2</t>
  </si>
  <si>
    <t>SO-24668-1</t>
  </si>
  <si>
    <t>SO-24668-2</t>
  </si>
  <si>
    <t>SO-24669-1</t>
  </si>
  <si>
    <t>SO-24669-2</t>
  </si>
  <si>
    <t>SO-24670-1</t>
  </si>
  <si>
    <t>SO-24670-2</t>
  </si>
  <si>
    <t>SO-24671-1</t>
  </si>
  <si>
    <t>SO-24671-2</t>
  </si>
  <si>
    <t>SO-24672-1</t>
  </si>
  <si>
    <t>ON TIME</t>
  </si>
  <si>
    <t>IN FULL</t>
  </si>
  <si>
    <t>UNIT FILL RATE</t>
  </si>
  <si>
    <t>Units filled / units ordered</t>
  </si>
  <si>
    <t>By week promised (last 8 weeks in the log)</t>
  </si>
  <si>
    <t>Week promised (Mon)</t>
  </si>
  <si>
    <t>Lines</t>
  </si>
  <si>
    <t>Lines missed</t>
  </si>
  <si>
    <t>By customer</t>
  </si>
  <si>
    <t>OTIF status</t>
  </si>
  <si>
    <t>Unit fill rate</t>
  </si>
  <si>
    <t>Missed lines by reason (Pareto)</t>
  </si>
  <si>
    <t>Rank</t>
  </si>
  <si>
    <t>Share</t>
  </si>
  <si>
    <t>Cumulative</t>
  </si>
  <si>
    <t>Helper: Reason (list order)</t>
  </si>
  <si>
    <t>Helper: value (-1 = unused slot)</t>
  </si>
  <si>
    <t>Helper: rank, ties by list order</t>
  </si>
  <si>
    <t>lines</t>
  </si>
  <si>
    <t>%</t>
  </si>
  <si>
    <t>Total</t>
  </si>
  <si>
    <t>The Dashboard shows the 6 customers and 7 reasons of the Setup lists. If you add more, extend the 'By customer' and Pareto blocks (see Method) or they will not appear here.</t>
  </si>
  <si>
    <t>What this workbook calculates</t>
  </si>
  <si>
    <t>OTIF (on time, in full) is the share of order lines delivered inside the agreed delivery window with the agreed quantity. Each delivered line is tested twice: on time against the promised date with the early and late days you allow, and in full against the ordered quantity with the short and over tolerances you allow. A line is OTIF only if it passes both. Every percentage counts lines, so a small line weighs the same as a large one; the unit fill rate shows the quantity view.</t>
  </si>
  <si>
    <t>Calculations</t>
  </si>
  <si>
    <t>Quantity</t>
  </si>
  <si>
    <t>How it is calculated</t>
  </si>
  <si>
    <t>Units</t>
  </si>
  <si>
    <t>Delivered date - promised date, in calendar days. Negative = early.</t>
  </si>
  <si>
    <t>Yes when -days early allowed &lt;= days late &lt;= days late allowed.</t>
  </si>
  <si>
    <t>Yes/No</t>
  </si>
  <si>
    <t>Yes when ordered x (1 - short allowed) &lt;= delivered &lt;= ordered x (1 + over allowed).</t>
  </si>
  <si>
    <t>Yes when the line is on time and in full.</t>
  </si>
  <si>
    <t>MIN(delivered, ordered) per line.</t>
  </si>
  <si>
    <t>units</t>
  </si>
  <si>
    <t>On-time, in-full and OTIF %</t>
  </si>
  <si>
    <t>Lines with Yes / delivered lines (COUNTIFS), for the whole log, a promised week or a customer.</t>
  </si>
  <si>
    <t>Sum of units filled / sum of units ordered.</t>
  </si>
  <si>
    <t>Missed lines by reason</t>
  </si>
  <si>
    <t>Lines with OTIF No per reason, ranked largest first by COUNTIF ranks. Helper columns AN:AP on the Dashboard (hidden) hold the unsorted values and ranks.</t>
  </si>
  <si>
    <t>Weeks</t>
  </si>
  <si>
    <t>Monday-to-Sunday weeks of the promised date, ending with the week of the latest promise; up to eight are shown.</t>
  </si>
  <si>
    <t>-</t>
  </si>
  <si>
    <t>Assumptions</t>
  </si>
  <si>
    <t>One row is one order line delivered once. A part shipment is logged as one line (not in full); its balance, shipped later, is a new line with its own promise.</t>
  </si>
  <si>
    <t>The promised date follows one rule throughout (the date you confirmed, or the date the customer asked for); say which on your report.</t>
  </si>
  <si>
    <t>Days are calendar days; weekends and holidays count.</t>
  </si>
  <si>
    <t>The same window and tolerances apply to every customer; where agreements differ, keep a copy of the workbook per customer group.</t>
  </si>
  <si>
    <t>Limitations</t>
  </si>
  <si>
    <t>Lines are counted, not weighted by value or quantity; a late 5-unit line counts the same as a late 5,000-unit line.</t>
  </si>
  <si>
    <t>Open lines that are already late are not counted until they are delivered; review them separately.</t>
  </si>
  <si>
    <t>The Dashboard has fixed blocks for 6 customers and 7 reasons; longer lists need the blocks extended (a warning appears). Weekly figures cover the last 8 promised weeks in the log.</t>
  </si>
  <si>
    <t>Agreement with the live calculator</t>
  </si>
  <si>
    <t>The live On-Time Delivery Rate calculator divides on-time deliveries by delivered shipments and compares the rate with a target. This workbook gives the same on-time rate when each line is a delivery: on-time lines / delivered lines, with the gap to target in points. It adds the in-full test, OTIF and the reasons. The build checks the reference against the calculator's engine for its own example (940 of 1,000 on time against 97%: 94%, 3 points short) and for the whole example log.</t>
  </si>
  <si>
    <t>Open the On-Time Delivery Rate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</si>
  <si>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</si>
  <si>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</si>
  <si>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APICS/ASCM Dictionary, 'on-time delivery' and 'fill rate'.</t>
  </si>
  <si>
    <t>Supply Chain Council, SCOR model, 'perfect order fulfillment' (orders delivered complete, on time and to the agreed documentation); this workbook measures the on-time and in-full parts of it per line.</t>
  </si>
  <si>
    <t>MFG Calcs On-Time Delivery Rate calculator (on-time-delivery-rate): on-time deliveries / delivered shipments x 100, compared with a target.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</si>
  <si>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</si>
  <si>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</si>
  <si>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</si>
  <si>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</si>
  <si>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</si>
  <si>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</si>
  <si>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</si>
  <si>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</si>
  <si>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</si>
  <si>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</si>
  <si>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</si>
  <si>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</si>
  <si>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</si>
  <si>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</si>
  <si>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</si>
  <si>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</si>
  <si>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Line 1: on the day, all units: OTIF</t>
  </si>
  <si>
    <t>Yes</t>
  </si>
  <si>
    <t>exact</t>
  </si>
  <si>
    <t>Line 2: 2 days early is on time</t>
  </si>
  <si>
    <t>Line 3: 3 days early is not on time</t>
  </si>
  <si>
    <t>No</t>
  </si>
  <si>
    <t>Line 3: days late</t>
  </si>
  <si>
    <t>Line 4: 1 day late is not on time</t>
  </si>
  <si>
    <t>Line 4: 5% over is in full</t>
  </si>
  <si>
    <t>Line 4: units filled capped at the order</t>
  </si>
  <si>
    <t>Line 5: 1 short is not in full</t>
  </si>
  <si>
    <t>Line 5: OTIF</t>
  </si>
  <si>
    <t>Line 6: Check reports the missing reason</t>
  </si>
  <si>
    <t>Reason missing for a miss</t>
  </si>
  <si>
    <t>All lines: OTIF (Dashboard formula)</t>
  </si>
  <si>
    <t>All lines: on time (Dashboard formula)</t>
  </si>
  <si>
    <t>All lines: in full (Dashboard formula)</t>
  </si>
  <si>
    <t>All lines: unit fill rate (Dashboard formula)</t>
  </si>
  <si>
    <t>Week 2: OTIF (0 of 2)</t>
  </si>
  <si>
    <t>Week 1: on time (2 of 4)</t>
  </si>
  <si>
    <t>Customer B: in full (2 of 3)</t>
  </si>
  <si>
    <t>Fixed test inputs</t>
  </si>
  <si>
    <t>White cells are fixed test inputs; blue cells are the workbook's formulas evaluated on them.</t>
  </si>
  <si>
    <t>Parameters</t>
  </si>
  <si>
    <t>Test table: Customers</t>
  </si>
  <si>
    <t>Cust A</t>
  </si>
  <si>
    <t>Test</t>
  </si>
  <si>
    <t>Cust B</t>
  </si>
  <si>
    <t>Test table: Reasons</t>
  </si>
  <si>
    <t>Test table: Lines</t>
  </si>
  <si>
    <t>T-1</t>
  </si>
  <si>
    <t>X</t>
  </si>
  <si>
    <t>T-2</t>
  </si>
  <si>
    <t>T-3</t>
  </si>
  <si>
    <t>T-4</t>
  </si>
  <si>
    <t>T-5</t>
  </si>
  <si>
    <t>T-6</t>
  </si>
  <si>
    <t>Test weekly table (same formulas as the Dashboard)</t>
  </si>
  <si>
    <t>Test by-customer table (same formulas as the Dashboard)</t>
  </si>
</sst>
</file>

<file path=xl/styles.xml><?xml version="1.0" encoding="utf-8"?>
<styleSheet xmlns="http://schemas.openxmlformats.org/spreadsheetml/2006/main">
  <numFmts count="7">
    <numFmt numFmtId="164" formatCode="0.0%"/>
    <numFmt numFmtId="165" formatCode="#,##0"/>
    <numFmt numFmtId="166" formatCode="d mmm yyyy"/>
    <numFmt numFmtId="167" formatCode="+#,##0;-#,##0;0"/>
    <numFmt numFmtId="168" formatCode="&quot;Target &quot;0.0%"/>
    <numFmt numFmtId="169" formatCode="0.0E+00"/>
    <numFmt numFmtId="170"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0" fontId="19" fillId="7" borderId="2" xfId="0" applyFont="1" applyFill="1" applyBorder="1" applyAlignment="1">
      <alignment vertical="center" wrapText="1"/>
    </xf>
    <xf numFmtId="166"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5" fontId="10" fillId="4" borderId="3" xfId="0" applyNumberFormat="1" applyFont="1" applyFill="1" applyBorder="1" applyAlignment="1">
      <alignment vertical="center"/>
    </xf>
    <xf numFmtId="0" fontId="20" fillId="4" borderId="3" xfId="0"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8"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166" fontId="9" fillId="0" borderId="9" xfId="0" applyNumberFormat="1" applyFont="1" applyBorder="1" applyAlignment="1">
      <alignment vertical="center"/>
    </xf>
    <xf numFmtId="164" fontId="10" fillId="4" borderId="3" xfId="0" applyNumberFormat="1" applyFont="1" applyFill="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center"/>
    </xf>
    <xf numFmtId="0" fontId="21" fillId="0" borderId="0" xfId="0" applyFont="1" applyAlignment="1">
      <alignment horizontal="center" vertical="center"/>
    </xf>
    <xf numFmtId="165" fontId="9" fillId="0" borderId="9" xfId="0" applyNumberFormat="1" applyFont="1" applyBorder="1" applyAlignment="1">
      <alignment horizontal="center" vertical="center"/>
    </xf>
    <xf numFmtId="0" fontId="10" fillId="4" borderId="3" xfId="0" applyFont="1" applyFill="1" applyBorder="1" applyAlignment="1">
      <alignment vertical="center"/>
    </xf>
    <xf numFmtId="165" fontId="10" fillId="0" borderId="0" xfId="0" applyNumberFormat="1" applyFont="1" applyAlignment="1">
      <alignment vertical="center"/>
    </xf>
    <xf numFmtId="0" fontId="9" fillId="4" borderId="10" xfId="0" applyFont="1" applyFill="1" applyBorder="1" applyAlignment="1">
      <alignment vertical="center"/>
    </xf>
    <xf numFmtId="165"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10" fillId="0" borderId="9" xfId="0" applyNumberFormat="1" applyFont="1" applyBorder="1" applyAlignment="1">
      <alignment vertical="center"/>
    </xf>
    <xf numFmtId="169" fontId="10" fillId="4" borderId="3" xfId="0" applyNumberFormat="1" applyFont="1" applyFill="1" applyBorder="1" applyAlignment="1">
      <alignment vertical="center"/>
    </xf>
    <xf numFmtId="169" fontId="10" fillId="0" borderId="9" xfId="0" applyNumberFormat="1" applyFont="1" applyBorder="1" applyAlignment="1">
      <alignment vertical="center"/>
    </xf>
    <xf numFmtId="170" fontId="10" fillId="0" borderId="9" xfId="0" applyNumberFormat="1" applyFont="1" applyBorder="1" applyAlignment="1">
      <alignment vertical="center"/>
    </xf>
    <xf numFmtId="170" fontId="10" fillId="4" borderId="3" xfId="0" applyNumberFormat="1" applyFont="1" applyFill="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OTIF by week promised</a:t>
            </a:r>
          </a:p>
        </c:rich>
      </c:tx>
      <c:layout/>
    </c:title>
    <c:plotArea>
      <c:layout/>
      <c:barChart>
        <c:barDir val="col"/>
        <c:grouping val="clustered"/>
        <c:ser>
          <c:idx val="0"/>
          <c:order val="0"/>
          <c:tx>
            <c:v>OTIF</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Dashboard!$B$30:$B$37</c:f>
              <c:numCache>
                <c:formatCode>General</c:formatCode>
                <c:ptCount val="8"/>
                <c:pt idx="0">
                  <c:v>46237</c:v>
                </c:pt>
                <c:pt idx="1">
                  <c:v>46244</c:v>
                </c:pt>
                <c:pt idx="2">
                  <c:v>46251</c:v>
                </c:pt>
                <c:pt idx="3">
                  <c:v>46258</c:v>
                </c:pt>
                <c:pt idx="4">
                  <c:v>46265</c:v>
                </c:pt>
                <c:pt idx="5">
                  <c:v>46272</c:v>
                </c:pt>
                <c:pt idx="6">
                  <c:v>46279</c:v>
                </c:pt>
                <c:pt idx="7">
                  <c:v>46286</c:v>
                </c:pt>
              </c:numCache>
            </c:numRef>
          </c:cat>
          <c:val>
            <c:numRef>
              <c:f>Dashboard!$F$30:$F$37</c:f>
              <c:numCache>
                <c:formatCode>General</c:formatCode>
                <c:ptCount val="8"/>
                <c:pt idx="0">
                  <c:v>0.777777777777778</c:v>
                </c:pt>
                <c:pt idx="1">
                  <c:v>0.833333333333333</c:v>
                </c:pt>
                <c:pt idx="2">
                  <c:v>0.611111111111111</c:v>
                </c:pt>
                <c:pt idx="3">
                  <c:v>0.611111111111111</c:v>
                </c:pt>
                <c:pt idx="4">
                  <c:v>0.666666666666667</c:v>
                </c:pt>
                <c:pt idx="5">
                  <c:v>0.944444444444444</c:v>
                </c:pt>
                <c:pt idx="6">
                  <c:v>0.888888888888889</c:v>
                </c:pt>
                <c:pt idx="7">
                  <c:v>0.833333333333333</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Dashboard!$B$30:$B$37</c:f>
              <c:numCache>
                <c:formatCode>General</c:formatCode>
                <c:ptCount val="8"/>
                <c:pt idx="0">
                  <c:v>46237</c:v>
                </c:pt>
                <c:pt idx="1">
                  <c:v>46244</c:v>
                </c:pt>
                <c:pt idx="2">
                  <c:v>46251</c:v>
                </c:pt>
                <c:pt idx="3">
                  <c:v>46258</c:v>
                </c:pt>
                <c:pt idx="4">
                  <c:v>46265</c:v>
                </c:pt>
                <c:pt idx="5">
                  <c:v>46272</c:v>
                </c:pt>
                <c:pt idx="6">
                  <c:v>46279</c:v>
                </c:pt>
                <c:pt idx="7">
                  <c:v>46286</c:v>
                </c:pt>
              </c:numCache>
            </c:numRef>
          </c:cat>
          <c:val>
            <c:numRef>
              <c:f>Dashboard!$G$30:$G$37</c:f>
              <c:numCache>
                <c:formatCode>General</c:formatCode>
                <c:ptCount val="8"/>
                <c:pt idx="0">
                  <c:v>0.95</c:v>
                </c:pt>
                <c:pt idx="1">
                  <c:v>0.95</c:v>
                </c:pt>
                <c:pt idx="2">
                  <c:v>0.95</c:v>
                </c:pt>
                <c:pt idx="3">
                  <c:v>0.95</c:v>
                </c:pt>
                <c:pt idx="4">
                  <c:v>0.95</c:v>
                </c:pt>
                <c:pt idx="5">
                  <c:v>0.95</c:v>
                </c:pt>
                <c:pt idx="6">
                  <c:v>0.95</c:v>
                </c:pt>
                <c:pt idx="7">
                  <c:v>0.95</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Missed lines by reason</a:t>
            </a:r>
          </a:p>
        </c:rich>
      </c:tx>
      <c:layout/>
    </c:title>
    <c:plotArea>
      <c:layout/>
      <c:barChart>
        <c:barDir val="col"/>
        <c:grouping val="clustered"/>
        <c:ser>
          <c:idx val="0"/>
          <c:order val="0"/>
          <c:tx>
            <c:v>Lines missed</c:v>
          </c:tx>
          <c:spPr>
            <a:solidFill>
              <a:srgbClr val="3B64D8"/>
            </a:solidFill>
            <a:ln w="9525">
              <a:solidFill>
                <a:srgbClr val="FFFFFF"/>
              </a:solidFill>
            </a:ln>
          </c:spPr>
          <c:cat>
            <c:strRef>
              <c:f>Dashboard!$C$51:$C$57</c:f>
              <c:strCache>
                <c:ptCount val="7"/>
                <c:pt idx="0">
                  <c:v>Material shortage</c:v>
                </c:pt>
                <c:pt idx="1">
                  <c:v>Short picked</c:v>
                </c:pt>
                <c:pt idx="2">
                  <c:v>Shipped too early</c:v>
                </c:pt>
                <c:pt idx="3">
                  <c:v>Documentation error</c:v>
                </c:pt>
                <c:pt idx="4">
                  <c:v>Transport delay</c:v>
                </c:pt>
                <c:pt idx="5">
                  <c:v>Production delay</c:v>
                </c:pt>
                <c:pt idx="6">
                  <c:v>Quality hold</c:v>
                </c:pt>
              </c:strCache>
            </c:strRef>
          </c:cat>
          <c:val>
            <c:numRef>
              <c:f>Dashboard!$E$51:$E$57</c:f>
              <c:numCache>
                <c:formatCode>General</c:formatCode>
                <c:ptCount val="7"/>
                <c:pt idx="0">
                  <c:v>13</c:v>
                </c:pt>
                <c:pt idx="1">
                  <c:v>5</c:v>
                </c:pt>
                <c:pt idx="2">
                  <c:v>5</c:v>
                </c:pt>
                <c:pt idx="3">
                  <c:v>5</c:v>
                </c:pt>
                <c:pt idx="4">
                  <c:v>3</c:v>
                </c:pt>
                <c:pt idx="5">
                  <c:v>1</c:v>
                </c:pt>
                <c:pt idx="6">
                  <c:v>1</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Dashboard!$C$51:$C$57</c:f>
              <c:strCache>
                <c:ptCount val="7"/>
                <c:pt idx="0">
                  <c:v>Material shortage</c:v>
                </c:pt>
                <c:pt idx="1">
                  <c:v>Short picked</c:v>
                </c:pt>
                <c:pt idx="2">
                  <c:v>Shipped too early</c:v>
                </c:pt>
                <c:pt idx="3">
                  <c:v>Documentation error</c:v>
                </c:pt>
                <c:pt idx="4">
                  <c:v>Transport delay</c:v>
                </c:pt>
                <c:pt idx="5">
                  <c:v>Production delay</c:v>
                </c:pt>
                <c:pt idx="6">
                  <c:v>Quality hold</c:v>
                </c:pt>
              </c:strCache>
            </c:strRef>
          </c:cat>
          <c:val>
            <c:numRef>
              <c:f>Dashboard!$G$51:$G$57</c:f>
              <c:numCache>
                <c:formatCode>General</c:formatCode>
                <c:ptCount val="7"/>
                <c:pt idx="0">
                  <c:v>0.393939393939394</c:v>
                </c:pt>
                <c:pt idx="1">
                  <c:v>0.545454545454545</c:v>
                </c:pt>
                <c:pt idx="2">
                  <c:v>0.696969696969697</c:v>
                </c:pt>
                <c:pt idx="3">
                  <c:v>0.848484848484849</c:v>
                </c:pt>
                <c:pt idx="4">
                  <c:v>0.939393939393939</c:v>
                </c:pt>
                <c:pt idx="5">
                  <c:v>0.96969696969697</c:v>
                </c:pt>
                <c:pt idx="6">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25</xdr:row>
      <xdr:rowOff>152400</xdr:rowOff>
    </xdr:to>
    <xdr:graphicFrame macro="">
      <xdr:nvGraphicFramePr>
        <xdr:cNvPr id="2" name="Chart 1" descr="Column chart of OTIF for each of the last eight weeks by promised date, with the OTIF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25</xdr:row>
      <xdr:rowOff>152400</xdr:rowOff>
    </xdr:to>
    <xdr:graphicFrame macro="">
      <xdr:nvGraphicFramePr>
        <xdr:cNvPr id="3" name="Chart 2" descr="Pareto chart of order lines that were not on time and in full, by reason,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ustomers" displayName="tblCustomers" ref="B20:C26" totalsRowShown="0">
  <autoFilter ref="B20:C26"/>
  <tableColumns count="2">
    <tableColumn id="1" name="Customer"/>
    <tableColumn id="2" name="Region"/>
  </tableColumns>
  <tableStyleInfo name="TableStyleLight1" showFirstColumn="0" showLastColumn="0" showRowStripes="0" showColumnStripes="0"/>
</table>
</file>

<file path=xl/tables/table2.xml><?xml version="1.0" encoding="utf-8"?>
<table xmlns="http://schemas.openxmlformats.org/spreadsheetml/2006/main" id="2" name="tblReasons" displayName="tblReasons" ref="B29:C36" totalsRowShown="0">
  <autoFilter ref="B29:C36"/>
  <tableColumns count="2">
    <tableColumn id="1" name="Reason"/>
    <tableColumn id="2" name="Owner"/>
  </tableColumns>
  <tableStyleInfo name="TableStyleLight1" showFirstColumn="0" showLastColumn="0" showRowStripes="0" showColumnStripes="0"/>
</table>
</file>

<file path=xl/tables/table3.xml><?xml version="1.0" encoding="utf-8"?>
<table xmlns="http://schemas.openxmlformats.org/spreadsheetml/2006/main" id="3" name="tblLines" displayName="tblLines" ref="B5:P149" totalsRowShown="0">
  <autoFilter ref="B5:P149"/>
  <tableColumns count="15">
    <tableColumn id="1" name="Order line"/>
    <tableColumn id="2" name="Customer"/>
    <tableColumn id="3" name="Item"/>
    <tableColumn id="4" name="Qty ordered (units)"/>
    <tableColumn id="5" name="Promised date"/>
    <tableColumn id="6" name="Delivered date"/>
    <tableColumn id="7" name="Qty delivered (units)"/>
    <tableColumn id="8" name="Days late">
      <calculatedColumnFormula>IF(tblLines[[#This Row],[Order line]]="","",tblLines[[#This Row],[Delivered date]]-tblLines[[#This Row],[Promised date]])</calculatedColumnFormula>
    </tableColumn>
    <tableColumn id="9" name="On time">
      <calculatedColumnFormula>IF(tblLines[[#This Row],[Order line]]="","",IF(OR(tblLines[[#This Row],[Promised date]]="",tblLines[[#This Row],[Delivered date]]=""),"",IF(AND(tblLines[[#This Row],[Days late]]&gt;=-EarlyDays,tblLines[[#This Row],[Days late]]&lt;=LateDays),"Yes","No")))</calculatedColumnFormula>
    </tableColumn>
    <tableColumn id="10" name="In full">
      <calculatedColumnFormula>IF(tblLines[[#This Row],[Order line]]="","",IF(tblLines[[#This Row],[Qty delivered (units)]]="","",IF(AND(tblLines[[#This Row],[Qty delivered (units)]]&gt;=tblLines[[#This Row],[Qty ordered (units)]]*(1-UnderTol),tblLines[[#This Row],[Qty delivered (units)]]&lt;=tblLines[[#This Row],[Qty ordered (units)]]*(1+OverTol)),"Yes","No")))</calculatedColumnFormula>
    </tableColumn>
    <tableColumn id="11" name="OTIF">
      <calculatedColumnFormula>IF(tblLines[[#This Row],[Order line]]="","",IF(OR(tblLines[[#This Row],[On time]]="",tblLines[[#This Row],[In full]]=""),"",IF(AND(tblLines[[#This Row],[On time]]="Yes",tblLines[[#This Row],[In full]]="Yes"),"Yes","No")))</calculatedColumnFormula>
    </tableColumn>
    <tableColumn id="12" name="Units filled">
      <calculatedColumnFormula>IF(tblLines[[#This Row],[Order line]]="","",IF(tblLines[[#This Row],[OTIF]]="","",MIN(tblLines[[#This Row],[Qty delivered (units)]],tblLines[[#This Row],[Qty ordered (units)]])))</calculatedColumnFormula>
    </tableColumn>
    <tableColumn id="13" name="Miss reason"/>
    <tableColumn id="14" name="Check">
      <calculatedColumnFormula>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calculatedColumnFormula>
    </tableColumn>
    <tableColumn id="15" name="Notes"/>
  </tableColumns>
  <tableStyleInfo name="TableStyleLight1" showFirstColumn="0" showLastColumn="0" showRowStripes="0" showColumnStripes="0"/>
</table>
</file>

<file path=xl/tables/table4.xml><?xml version="1.0" encoding="utf-8"?>
<table xmlns="http://schemas.openxmlformats.org/spreadsheetml/2006/main" id="4" name="tblVerifyCustomers" displayName="tblVerifyCustomers" ref="B42:C44" totalsRowShown="0">
  <tableColumns count="2">
    <tableColumn id="1" name="Customer"/>
    <tableColumn id="2" name="Region"/>
  </tableColumns>
  <tableStyleInfo name="TableStyleLight1" showFirstColumn="0" showLastColumn="0" showRowStripes="0" showColumnStripes="0"/>
</table>
</file>

<file path=xl/tables/table5.xml><?xml version="1.0" encoding="utf-8"?>
<table xmlns="http://schemas.openxmlformats.org/spreadsheetml/2006/main" id="5" name="tblVerifyReasons" displayName="tblVerifyReasons" ref="B47:C49" totalsRowShown="0">
  <tableColumns count="2">
    <tableColumn id="1" name="Reason"/>
    <tableColumn id="2" name="Owner"/>
  </tableColumns>
  <tableStyleInfo name="TableStyleLight1" showFirstColumn="0" showLastColumn="0" showRowStripes="0" showColumnStripes="0"/>
</table>
</file>

<file path=xl/tables/table6.xml><?xml version="1.0" encoding="utf-8"?>
<table xmlns="http://schemas.openxmlformats.org/spreadsheetml/2006/main" id="6" name="tblVerifyLines" displayName="tblVerifyLines" ref="B52:P58" totalsRowShown="0">
  <tableColumns count="15">
    <tableColumn id="1" name="Order line"/>
    <tableColumn id="2" name="Customer"/>
    <tableColumn id="3" name="Item"/>
    <tableColumn id="4" name="Qty ordered (units)"/>
    <tableColumn id="5" name="Promised date"/>
    <tableColumn id="6" name="Delivered date"/>
    <tableColumn id="7" name="Qty delivered (units)"/>
    <tableColumn id="8" name="Days late">
      <calculatedColumnFormula>IF(tblVerifyLines[[#This Row],[Order line]]="","",tblVerifyLines[[#This Row],[Delivered date]]-tblVerifyLines[[#This Row],[Promised date]])</calculatedColumnFormula>
    </tableColumn>
    <tableColumn id="9" name="On time">
      <calculatedColumnFormula>IF(tblVerifyLines[[#This Row],[Order line]]="","",IF(OR(tblVerifyLines[[#This Row],[Promised date]]="",tblVerifyLines[[#This Row],[Delivered date]]=""),"",IF(AND(tblVerifyLines[[#This Row],[Days late]]&gt;=-$E$33,tblVerifyLines[[#This Row],[Days late]]&lt;=$E$34),"Yes","No")))</calculatedColumnFormula>
    </tableColumn>
    <tableColumn id="10" name="In full">
      <calculatedColumnFormula>IF(tblVerifyLines[[#This Row],[Order line]]="","",IF(tblVerifyLines[[#This Row],[Qty delivered (units)]]="","",IF(AND(tblVerifyLines[[#This Row],[Qty delivered (units)]]&gt;=tblVerifyLines[[#This Row],[Qty ordered (units)]]*(1-$E$35),tblVerifyLines[[#This Row],[Qty delivered (units)]]&lt;=tblVerifyLines[[#This Row],[Qty ordered (units)]]*(1+$E$36)),"Yes","No")))</calculatedColumnFormula>
    </tableColumn>
    <tableColumn id="11" name="OTIF">
      <calculatedColumnFormula>IF(tblVerifyLines[[#This Row],[Order line]]="","",IF(OR(tblVerifyLines[[#This Row],[On time]]="",tblVerifyLines[[#This Row],[In full]]=""),"",IF(AND(tblVerifyLines[[#This Row],[On time]]="Yes",tblVerifyLines[[#This Row],[In full]]="Yes"),"Yes","No")))</calculatedColumnFormula>
    </tableColumn>
    <tableColumn id="12" name="Units filled">
      <calculatedColumnFormula>IF(tblVerifyLines[[#This Row],[Order line]]="","",IF(tblVerifyLines[[#This Row],[OTIF]]="","",MIN(tblVerifyLines[[#This Row],[Qty delivered (units)]],tblVerifyLines[[#This Row],[Qty ordered (units)]])))</calculatedColumnFormula>
    </tableColumn>
    <tableColumn id="13" name="Miss reason"/>
    <tableColumn id="14" name="Check">
      <calculatedColumnFormula>IF(tblVerifyLines[[#This Row],[Order line]]="","",IF(tblVerifyLines[[#This Row],[Customer]]="","Missing customer",IF(tblVerifyLines[[#This Row],[Qty ordered (units)]]="","Missing qty ordered",IF(tblVerifyLines[[#This Row],[Promised date]]="","Missing promised date",IF(tblVerifyLines[[#This Row],[Delivered date]]="","Missing delivered date",IF(tblVerifyLines[[#This Row],[Qty delivered (units)]]="","Missing qty delivered",IF(AND(tblVerifyLines[[#This Row],[OTIF]]="No",tblVerifyLines[[#This Row],[Miss reason]]=""),"Reason missing for a miss",IF(COUNTIF(tblVerifyCustomers[Customer],tblVerifyLines[[#This Row],[Customer]])=0,"Customer not on Setup list",IF(AND(tblVerifyLines[[#This Row],[Miss reason]]&lt;&gt;"",COUNTIF(tblVerifyReasons[Reason],tblVerifyLines[[#This Row],[Miss reason]])=0),"Reason not on Setup list",IF(COUNTIF(tblVerifyLines[Order line],tblVerifyLines[[#This Row],[Order line]])&gt;1,"Order line listed twice","OK"))))))))))</calculatedColumnFormula>
    </tableColumn>
    <tableColumn id="15"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tif-delivery-tracker" TargetMode="External"/><Relationship Id="rId2" Type="http://schemas.openxmlformats.org/officeDocument/2006/relationships/hyperlink" Target="https://www.mfgcalcs.com/calculators/transportation-freight-distribution/on-time-delivery-rate?utm_source=mfgcalcs-template&amp;utm_medium=xlsx&amp;utm_campaign=otif-delivery-tracker" TargetMode="External"/><Relationship Id="rId3" Type="http://schemas.openxmlformats.org/officeDocument/2006/relationships/hyperlink" Target="https://www.mfgcalcs.com/templates/otif-delivery-tracker?utm_source=mfgcalcs-template&amp;utm_medium=xlsx&amp;utm_campaign=otif-delivery-tracker" TargetMode="External"/><Relationship Id="rId4" Type="http://schemas.openxmlformats.org/officeDocument/2006/relationships/hyperlink" Target="https://www.mfgcalcs.com/templates?utm_source=mfgcalcs-template&amp;utm_medium=xlsx&amp;utm_campaign=otif-delivery-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tif-delivery-tracker"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tif-delivery-tracker"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tif-delivery-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tif-delivery-tracker" TargetMode="External"/><Relationship Id="rId2" Type="http://schemas.openxmlformats.org/officeDocument/2006/relationships/hyperlink" Target="https://www.mfgcalcs.com/calculators/transportation-freight-distribution/on-time-delivery-rate?utm_source=mfgcalcs-template&amp;utm_medium=xlsx&amp;utm_campaign=otif-delivery-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tif-delivery-tracker"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17 of 17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Delivery Log'!A1" tooltip="Go to Delivery Log" display="Delivery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OTIF Delivery Tracker&amp;R&amp;8&amp;A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6"/>
  <sheetViews>
    <sheetView showGridLines="0" workbookViewId="0"/>
  </sheetViews>
  <sheetFormatPr defaultRowHeight="15"/>
  <cols>
    <col min="1" max="1" width="2.7109375" customWidth="1"/>
    <col min="2" max="2" width="36.7109375" customWidth="1"/>
    <col min="3" max="3" width="14.7109375" customWidth="1"/>
    <col min="4" max="4" width="44.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64</v>
      </c>
      <c r="C4" s="8"/>
      <c r="D4" s="8"/>
    </row>
    <row r="5" spans="1:5" ht="5" customHeight="1"/>
    <row r="6" spans="1:5">
      <c r="B6" s="27" t="s">
        <v>65</v>
      </c>
      <c r="C6" s="28" t="s">
        <v>66</v>
      </c>
      <c r="D6" s="28"/>
    </row>
    <row r="7" spans="1:5">
      <c r="B7" s="27" t="s">
        <v>67</v>
      </c>
      <c r="C7" s="29">
        <v>0.95</v>
      </c>
      <c r="D7" s="7"/>
    </row>
    <row r="8" spans="1:5">
      <c r="B8" s="27" t="s">
        <v>68</v>
      </c>
      <c r="C8" s="29">
        <v>0.97</v>
      </c>
      <c r="D8" s="7"/>
    </row>
    <row r="9" spans="1:5">
      <c r="B9" s="27" t="s">
        <v>69</v>
      </c>
      <c r="C9" s="29">
        <v>0.98</v>
      </c>
      <c r="D9" s="7"/>
    </row>
    <row r="10" spans="1:5">
      <c r="B10" s="27" t="s">
        <v>70</v>
      </c>
      <c r="C10" s="30">
        <v>2</v>
      </c>
      <c r="D10" s="7" t="s">
        <v>71</v>
      </c>
    </row>
    <row r="11" spans="1:5">
      <c r="B11" s="27" t="s">
        <v>72</v>
      </c>
      <c r="C11" s="30">
        <v>0</v>
      </c>
      <c r="D11" s="7" t="s">
        <v>71</v>
      </c>
    </row>
    <row r="12" spans="1:5">
      <c r="B12" s="27" t="s">
        <v>73</v>
      </c>
      <c r="C12" s="29">
        <v>0</v>
      </c>
      <c r="D12" s="7"/>
    </row>
    <row r="13" spans="1:5">
      <c r="B13" s="27" t="s">
        <v>74</v>
      </c>
      <c r="C13" s="29">
        <v>0.05</v>
      </c>
      <c r="D13" s="7"/>
    </row>
    <row r="15" spans="1:5" ht="35.4" customHeight="1">
      <c r="B15" s="25" t="s">
        <v>75</v>
      </c>
      <c r="C15" s="25"/>
      <c r="D15" s="25"/>
    </row>
    <row r="17" spans="2:4" ht="21" customHeight="1">
      <c r="B17" s="8" t="s">
        <v>76</v>
      </c>
      <c r="C17" s="8"/>
      <c r="D17" s="8"/>
    </row>
    <row r="18" spans="2:4" ht="5" customHeight="1"/>
    <row r="19" spans="2:4">
      <c r="B19" s="31" t="s">
        <v>77</v>
      </c>
      <c r="C19" s="31"/>
    </row>
    <row r="20" spans="2:4" ht="20" customHeight="1">
      <c r="B20" s="32" t="s">
        <v>60</v>
      </c>
      <c r="C20" s="32" t="s">
        <v>61</v>
      </c>
    </row>
    <row r="21" spans="2:4">
      <c r="B21" s="33" t="s">
        <v>78</v>
      </c>
      <c r="C21" s="33" t="s">
        <v>79</v>
      </c>
    </row>
    <row r="22" spans="2:4">
      <c r="B22" s="33" t="s">
        <v>80</v>
      </c>
      <c r="C22" s="33" t="s">
        <v>81</v>
      </c>
    </row>
    <row r="23" spans="2:4">
      <c r="B23" s="33" t="s">
        <v>82</v>
      </c>
      <c r="C23" s="33" t="s">
        <v>83</v>
      </c>
    </row>
    <row r="24" spans="2:4">
      <c r="B24" s="33" t="s">
        <v>84</v>
      </c>
      <c r="C24" s="33" t="s">
        <v>85</v>
      </c>
    </row>
    <row r="25" spans="2:4">
      <c r="B25" s="33" t="s">
        <v>86</v>
      </c>
      <c r="C25" s="33" t="s">
        <v>87</v>
      </c>
    </row>
    <row r="26" spans="2:4">
      <c r="B26" s="33" t="s">
        <v>88</v>
      </c>
      <c r="C26" s="33" t="s">
        <v>89</v>
      </c>
    </row>
    <row r="28" spans="2:4">
      <c r="B28" s="31" t="s">
        <v>90</v>
      </c>
      <c r="C28" s="31"/>
    </row>
    <row r="29" spans="2:4" ht="20" customHeight="1">
      <c r="B29" s="32" t="s">
        <v>62</v>
      </c>
      <c r="C29" s="32" t="s">
        <v>63</v>
      </c>
    </row>
    <row r="30" spans="2:4">
      <c r="B30" s="33" t="s">
        <v>91</v>
      </c>
      <c r="C30" s="33" t="s">
        <v>92</v>
      </c>
    </row>
    <row r="31" spans="2:4">
      <c r="B31" s="33" t="s">
        <v>93</v>
      </c>
      <c r="C31" s="33" t="s">
        <v>94</v>
      </c>
    </row>
    <row r="32" spans="2:4">
      <c r="B32" s="33" t="s">
        <v>95</v>
      </c>
      <c r="C32" s="33" t="s">
        <v>96</v>
      </c>
    </row>
    <row r="33" spans="2:3">
      <c r="B33" s="33" t="s">
        <v>97</v>
      </c>
      <c r="C33" s="33" t="s">
        <v>98</v>
      </c>
    </row>
    <row r="34" spans="2:3">
      <c r="B34" s="33" t="s">
        <v>99</v>
      </c>
      <c r="C34" s="33" t="s">
        <v>100</v>
      </c>
    </row>
    <row r="35" spans="2:3">
      <c r="B35" s="33" t="s">
        <v>101</v>
      </c>
      <c r="C35" s="33" t="s">
        <v>98</v>
      </c>
    </row>
    <row r="36" spans="2:3">
      <c r="B36" s="33" t="s">
        <v>102</v>
      </c>
      <c r="C36" s="33" t="s">
        <v>103</v>
      </c>
    </row>
  </sheetData>
  <mergeCells count="9">
    <mergeCell ref="A1:E1"/>
    <mergeCell ref="B2:C2"/>
    <mergeCell ref="D2:E2"/>
    <mergeCell ref="B4:D4"/>
    <mergeCell ref="C6:D6"/>
    <mergeCell ref="B15:D15"/>
    <mergeCell ref="B17:D17"/>
    <mergeCell ref="B19:C19"/>
    <mergeCell ref="B28:C28"/>
  </mergeCells>
  <dataValidations count="12">
    <dataValidation type="textLength" allowBlank="1" showInputMessage="1" showErrorMessage="1" errorTitle="Check this entry" error="Text up to 80 characters." promptTitle="Company or site" prompt="Shown on the Dashboard. Text up to 80 characters." sqref="C6">
      <formula1>0</formula1>
      <formula2>80</formula2>
    </dataValidation>
    <dataValidation type="decimal" allowBlank="1" showInputMessage="1" showErrorMessage="1" errorTitle="Check this entry" error="Enter a percentage from 0% to 100% (type 85% or 0.85)." promptTitle="OTIF target" prompt="Your own or your customers' target. Enter a percentage from 0% to 100% (type 85% or 0.85)." sqref="C7">
      <formula1>0</formula1>
      <formula2>1</formula2>
    </dataValidation>
    <dataValidation type="decimal" allowBlank="1" showInputMessage="1" showErrorMessage="1" errorTitle="Check this entry" error="Enter a percentage from 0% to 100% (type 85% or 0.85)." promptTitle="On-time target" prompt="Enter a percentage from 0% to 100% (type 85% or 0.85)." sqref="C8">
      <formula1>0</formula1>
      <formula2>1</formula2>
    </dataValidation>
    <dataValidation type="decimal" allowBlank="1" showInputMessage="1" showErrorMessage="1" errorTitle="Check this entry" error="Enter a percentage from 0% to 100% (type 85% or 0.85)." promptTitle="In-full target" prompt="Enter a percentage from 0% to 100% (type 85% or 0.85)." sqref="C9">
      <formula1>0</formula1>
      <formula2>1</formula2>
    </dataValidation>
    <dataValidation type="whole" allowBlank="1" showInputMessage="1" showErrorMessage="1" errorTitle="Check this entry" error="Enter a whole number from 0 to 60." promptTitle="Days early allowed" prompt="A delivery up to this many days before the promised date is on time. 0 = early is late. Enter a whole number from 0 to 60." sqref="C10">
      <formula1>0</formula1>
      <formula2>60</formula2>
    </dataValidation>
    <dataValidation type="whole" allowBlank="1" showInputMessage="1" showErrorMessage="1" errorTitle="Check this entry" error="Enter a whole number from 0 to 60." promptTitle="Days late allowed" prompt="A delivery up to this many days after the promised date is on time. 0 = on or before the day. Enter a whole number from 0 to 60." sqref="C11">
      <formula1>0</formula1>
      <formula2>60</formula2>
    </dataValidation>
    <dataValidation type="decimal" allowBlank="1" showInputMessage="1" showErrorMessage="1" errorTitle="Check this entry" error="Enter a percentage from 0% to 100% (type 85% or 0.85)." promptTitle="Short delivery allowed" prompt="Delivered quantity may be this much below the ordered quantity and still be in full. 0% = every unit. Enter a percentage from 0% to 100% (type 85% or 0.85)." sqref="C12">
      <formula1>0</formula1>
      <formula2>1</formula2>
    </dataValidation>
    <dataValidation type="decimal" allowBlank="1" showInputMessage="1" showErrorMessage="1" errorTitle="Check this entry" error="Enter a percentage from 0% to 1000% (type 85% or 0.85)." promptTitle="Over-delivery allowed" prompt="Delivered quantity may be this much above the ordered quantity and still be in full. Enter a percentage from 0% to 1000% (type 85% or 0.85)." sqref="C13">
      <formula1>0</formula1>
      <formula2>10</formula2>
    </dataValidation>
    <dataValidation type="textLength" allowBlank="1" showInputMessage="1" showErrorMessage="1" errorTitle="Check this entry" error="Text up to 60 characters." promptTitle="Customer" prompt="Text up to 60 characters." sqref="B21:B126">
      <formula1>0</formula1>
      <formula2>60</formula2>
    </dataValidation>
    <dataValidation type="textLength" allowBlank="1" showInputMessage="1" showErrorMessage="1" errorTitle="Check this entry" error="Text up to 80 characters." promptTitle="Region" prompt="Text up to 80 characters." sqref="C21:C126">
      <formula1>0</formula1>
      <formula2>80</formula2>
    </dataValidation>
    <dataValidation type="textLength" allowBlank="1" showInputMessage="1" showErrorMessage="1" errorTitle="Check this entry" error="Text up to 40 characters." promptTitle="Reason" prompt="Text up to 40 characters." sqref="B30:B136">
      <formula1>0</formula1>
      <formula2>40</formula2>
    </dataValidation>
    <dataValidation type="textLength" allowBlank="1" showInputMessage="1" showErrorMessage="1" errorTitle="Check this entry" error="Text up to 60 characters." promptTitle="Owner" prompt="Text up to 60 characters." sqref="C30:C136">
      <formula1>0</formula1>
      <formula2>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OTIF Delivery Tracker&amp;R&amp;8&amp;A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P149"/>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2.7109375" customWidth="1"/>
    <col min="3" max="3" width="24.7109375" customWidth="1"/>
    <col min="4" max="4" width="10.7109375" customWidth="1"/>
    <col min="5" max="5" width="9.7109375" customWidth="1"/>
    <col min="6" max="7" width="12.28515625" customWidth="1"/>
    <col min="8" max="8" width="9.7109375" customWidth="1"/>
    <col min="9" max="11" width="8.28515625" customWidth="1"/>
    <col min="12" max="12" width="7.7109375" customWidth="1"/>
    <col min="13" max="13" width="9.28515625" customWidth="1"/>
    <col min="14" max="14" width="18.7109375" customWidth="1"/>
    <col min="15" max="15" width="20.7109375" customWidth="1"/>
    <col min="16" max="16" width="26.7109375" customWidth="1"/>
  </cols>
  <sheetData>
    <row r="1" spans="1:16" ht="30" customHeight="1">
      <c r="A1" s="1" t="s">
        <v>0</v>
      </c>
      <c r="B1" s="1"/>
      <c r="C1" s="1"/>
      <c r="D1" s="1"/>
      <c r="E1" s="1"/>
      <c r="F1" s="1"/>
      <c r="G1" s="1"/>
      <c r="H1" s="1"/>
      <c r="I1" s="1"/>
      <c r="J1" s="1"/>
      <c r="K1" s="1"/>
      <c r="L1" s="1"/>
      <c r="M1" s="1"/>
      <c r="N1" s="1"/>
      <c r="O1" s="1"/>
      <c r="P1" s="1"/>
    </row>
    <row r="2" spans="1:16" ht="21" customHeight="1">
      <c r="B2" s="2" t="s">
        <v>20</v>
      </c>
      <c r="C2" s="2"/>
      <c r="D2" s="2"/>
      <c r="E2" s="2"/>
      <c r="F2" s="2"/>
      <c r="G2" s="2"/>
      <c r="H2" s="2"/>
      <c r="I2" s="2"/>
      <c r="J2" s="2"/>
      <c r="K2" s="2"/>
      <c r="L2" s="2"/>
      <c r="M2" s="2"/>
      <c r="N2" s="2"/>
      <c r="O2" s="2"/>
      <c r="P2" s="3" t="s">
        <v>2</v>
      </c>
    </row>
    <row r="3" spans="1:16" ht="6" customHeight="1"/>
    <row r="4" spans="1:16" ht="29.76" customHeight="1">
      <c r="B4" s="34" t="s">
        <v>118</v>
      </c>
      <c r="C4" s="34"/>
      <c r="D4" s="34"/>
      <c r="E4" s="34"/>
      <c r="F4" s="34"/>
      <c r="G4" s="34"/>
      <c r="H4" s="34"/>
      <c r="I4" s="34"/>
      <c r="J4" s="34"/>
      <c r="K4" s="34"/>
      <c r="L4" s="34"/>
      <c r="M4" s="34"/>
      <c r="N4" s="34"/>
      <c r="O4" s="34"/>
      <c r="P4" s="34"/>
    </row>
    <row r="5" spans="1:16" ht="45.5" customHeight="1">
      <c r="B5" s="32" t="s">
        <v>104</v>
      </c>
      <c r="C5" s="32" t="s">
        <v>60</v>
      </c>
      <c r="D5" s="32" t="s">
        <v>105</v>
      </c>
      <c r="E5" s="32" t="s">
        <v>106</v>
      </c>
      <c r="F5" s="32" t="s">
        <v>107</v>
      </c>
      <c r="G5" s="32" t="s">
        <v>108</v>
      </c>
      <c r="H5" s="32" t="s">
        <v>109</v>
      </c>
      <c r="I5" s="32" t="s">
        <v>110</v>
      </c>
      <c r="J5" s="32" t="s">
        <v>111</v>
      </c>
      <c r="K5" s="32" t="s">
        <v>112</v>
      </c>
      <c r="L5" s="32" t="s">
        <v>113</v>
      </c>
      <c r="M5" s="32" t="s">
        <v>114</v>
      </c>
      <c r="N5" s="32" t="s">
        <v>115</v>
      </c>
      <c r="O5" s="32" t="s">
        <v>116</v>
      </c>
      <c r="P5" s="32" t="s">
        <v>117</v>
      </c>
    </row>
    <row r="6" spans="1:16">
      <c r="B6" s="28" t="s">
        <v>119</v>
      </c>
      <c r="C6" s="28" t="s">
        <v>86</v>
      </c>
      <c r="D6" s="28" t="s">
        <v>120</v>
      </c>
      <c r="E6" s="30">
        <v>400</v>
      </c>
      <c r="F6" s="35">
        <v>46238</v>
      </c>
      <c r="G6" s="35">
        <v>46240</v>
      </c>
      <c r="H6" s="30">
        <v>400</v>
      </c>
      <c r="I6" s="36">
        <f>IF(tblLines[[#This Row],[Order line]]="","",tblLines[[#This Row],[Delivered date]]-tblLines[[#This Row],[Promised date]])</f>
        <v>2</v>
      </c>
      <c r="J6" s="37" t="str">
        <f>IF(tblLines[[#This Row],[Order line]]="","",IF(OR(tblLines[[#This Row],[Promised date]]="",tblLines[[#This Row],[Delivered date]]=""),"",IF(AND(tblLines[[#This Row],[Days late]]&gt;=-EarlyDays,tblLines[[#This Row],[Days late]]&lt;=LateDays),"Yes","No")))</f>
        <v>No</v>
      </c>
      <c r="K6" s="37" t="str">
        <f>IF(tblLines[[#This Row],[Order line]]="","",IF(tblLines[[#This Row],[Qty delivered (units)]]="","",IF(AND(tblLines[[#This Row],[Qty delivered (units)]]&gt;=tblLines[[#This Row],[Qty ordered (units)]]*(1-UnderTol),tblLines[[#This Row],[Qty delivered (units)]]&lt;=tblLines[[#This Row],[Qty ordered (units)]]*(1+OverTol)),"Yes","No")))</f>
        <v>Yes</v>
      </c>
      <c r="L6" s="37" t="str">
        <f>IF(tblLines[[#This Row],[Order line]]="","",IF(OR(tblLines[[#This Row],[On time]]="",tblLines[[#This Row],[In full]]=""),"",IF(AND(tblLines[[#This Row],[On time]]="Yes",tblLines[[#This Row],[In full]]="Yes"),"Yes","No")))</f>
        <v>No</v>
      </c>
      <c r="M6" s="38">
        <f>IF(tblLines[[#This Row],[Order line]]="","",IF(tblLines[[#This Row],[OTIF]]="","",MIN(tblLines[[#This Row],[Qty delivered (units)]],tblLines[[#This Row],[Qty ordered (units)]])))</f>
        <v>400</v>
      </c>
      <c r="N6" s="28" t="s">
        <v>102</v>
      </c>
      <c r="O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 s="28" t="s">
        <v>121</v>
      </c>
    </row>
    <row r="7" spans="1:16">
      <c r="B7" s="28" t="s">
        <v>122</v>
      </c>
      <c r="C7" s="28" t="s">
        <v>84</v>
      </c>
      <c r="D7" s="28" t="s">
        <v>123</v>
      </c>
      <c r="E7" s="30">
        <v>100</v>
      </c>
      <c r="F7" s="35">
        <v>46239</v>
      </c>
      <c r="G7" s="35">
        <v>46238</v>
      </c>
      <c r="H7" s="30">
        <v>100</v>
      </c>
      <c r="I7" s="36">
        <f>IF(tblLines[[#This Row],[Order line]]="","",tblLines[[#This Row],[Delivered date]]-tblLines[[#This Row],[Promised date]])</f>
        <v>-1</v>
      </c>
      <c r="J7" s="37" t="str">
        <f>IF(tblLines[[#This Row],[Order line]]="","",IF(OR(tblLines[[#This Row],[Promised date]]="",tblLines[[#This Row],[Delivered date]]=""),"",IF(AND(tblLines[[#This Row],[Days late]]&gt;=-EarlyDays,tblLines[[#This Row],[Days late]]&lt;=LateDays),"Yes","No")))</f>
        <v>Yes</v>
      </c>
      <c r="K7" s="37" t="str">
        <f>IF(tblLines[[#This Row],[Order line]]="","",IF(tblLines[[#This Row],[Qty delivered (units)]]="","",IF(AND(tblLines[[#This Row],[Qty delivered (units)]]&gt;=tblLines[[#This Row],[Qty ordered (units)]]*(1-UnderTol),tblLines[[#This Row],[Qty delivered (units)]]&lt;=tblLines[[#This Row],[Qty ordered (units)]]*(1+OverTol)),"Yes","No")))</f>
        <v>Yes</v>
      </c>
      <c r="L7" s="37" t="str">
        <f>IF(tblLines[[#This Row],[Order line]]="","",IF(OR(tblLines[[#This Row],[On time]]="",tblLines[[#This Row],[In full]]=""),"",IF(AND(tblLines[[#This Row],[On time]]="Yes",tblLines[[#This Row],[In full]]="Yes"),"Yes","No")))</f>
        <v>Yes</v>
      </c>
      <c r="M7" s="38">
        <f>IF(tblLines[[#This Row],[Order line]]="","",IF(tblLines[[#This Row],[OTIF]]="","",MIN(tblLines[[#This Row],[Qty delivered (units)]],tblLines[[#This Row],[Qty ordered (units)]])))</f>
        <v>100</v>
      </c>
      <c r="N7" s="28" t="s">
        <v>121</v>
      </c>
      <c r="O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 s="28" t="s">
        <v>121</v>
      </c>
    </row>
    <row r="8" spans="1:16">
      <c r="B8" s="28" t="s">
        <v>124</v>
      </c>
      <c r="C8" s="28" t="s">
        <v>82</v>
      </c>
      <c r="D8" s="28" t="s">
        <v>123</v>
      </c>
      <c r="E8" s="30">
        <v>500</v>
      </c>
      <c r="F8" s="35">
        <v>46241</v>
      </c>
      <c r="G8" s="35">
        <v>46239</v>
      </c>
      <c r="H8" s="30">
        <v>500</v>
      </c>
      <c r="I8" s="36">
        <f>IF(tblLines[[#This Row],[Order line]]="","",tblLines[[#This Row],[Delivered date]]-tblLines[[#This Row],[Promised date]])</f>
        <v>-2</v>
      </c>
      <c r="J8" s="37" t="str">
        <f>IF(tblLines[[#This Row],[Order line]]="","",IF(OR(tblLines[[#This Row],[Promised date]]="",tblLines[[#This Row],[Delivered date]]=""),"",IF(AND(tblLines[[#This Row],[Days late]]&gt;=-EarlyDays,tblLines[[#This Row],[Days late]]&lt;=LateDays),"Yes","No")))</f>
        <v>Yes</v>
      </c>
      <c r="K8" s="37" t="str">
        <f>IF(tblLines[[#This Row],[Order line]]="","",IF(tblLines[[#This Row],[Qty delivered (units)]]="","",IF(AND(tblLines[[#This Row],[Qty delivered (units)]]&gt;=tblLines[[#This Row],[Qty ordered (units)]]*(1-UnderTol),tblLines[[#This Row],[Qty delivered (units)]]&lt;=tblLines[[#This Row],[Qty ordered (units)]]*(1+OverTol)),"Yes","No")))</f>
        <v>Yes</v>
      </c>
      <c r="L8" s="37" t="str">
        <f>IF(tblLines[[#This Row],[Order line]]="","",IF(OR(tblLines[[#This Row],[On time]]="",tblLines[[#This Row],[In full]]=""),"",IF(AND(tblLines[[#This Row],[On time]]="Yes",tblLines[[#This Row],[In full]]="Yes"),"Yes","No")))</f>
        <v>Yes</v>
      </c>
      <c r="M8" s="38">
        <f>IF(tblLines[[#This Row],[Order line]]="","",IF(tblLines[[#This Row],[OTIF]]="","",MIN(tblLines[[#This Row],[Qty delivered (units)]],tblLines[[#This Row],[Qty ordered (units)]])))</f>
        <v>500</v>
      </c>
      <c r="N8" s="28" t="s">
        <v>121</v>
      </c>
      <c r="O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 s="28" t="s">
        <v>121</v>
      </c>
    </row>
    <row r="9" spans="1:16">
      <c r="B9" s="28" t="s">
        <v>125</v>
      </c>
      <c r="C9" s="28" t="s">
        <v>84</v>
      </c>
      <c r="D9" s="28" t="s">
        <v>126</v>
      </c>
      <c r="E9" s="30">
        <v>240</v>
      </c>
      <c r="F9" s="35">
        <v>46237</v>
      </c>
      <c r="G9" s="35">
        <v>46237</v>
      </c>
      <c r="H9" s="30">
        <v>240</v>
      </c>
      <c r="I9" s="36">
        <f>IF(tblLines[[#This Row],[Order line]]="","",tblLines[[#This Row],[Delivered date]]-tblLines[[#This Row],[Promised date]])</f>
        <v>0</v>
      </c>
      <c r="J9" s="37" t="str">
        <f>IF(tblLines[[#This Row],[Order line]]="","",IF(OR(tblLines[[#This Row],[Promised date]]="",tblLines[[#This Row],[Delivered date]]=""),"",IF(AND(tblLines[[#This Row],[Days late]]&gt;=-EarlyDays,tblLines[[#This Row],[Days late]]&lt;=LateDays),"Yes","No")))</f>
        <v>Yes</v>
      </c>
      <c r="K9" s="37" t="str">
        <f>IF(tblLines[[#This Row],[Order line]]="","",IF(tblLines[[#This Row],[Qty delivered (units)]]="","",IF(AND(tblLines[[#This Row],[Qty delivered (units)]]&gt;=tblLines[[#This Row],[Qty ordered (units)]]*(1-UnderTol),tblLines[[#This Row],[Qty delivered (units)]]&lt;=tblLines[[#This Row],[Qty ordered (units)]]*(1+OverTol)),"Yes","No")))</f>
        <v>Yes</v>
      </c>
      <c r="L9" s="37" t="str">
        <f>IF(tblLines[[#This Row],[Order line]]="","",IF(OR(tblLines[[#This Row],[On time]]="",tblLines[[#This Row],[In full]]=""),"",IF(AND(tblLines[[#This Row],[On time]]="Yes",tblLines[[#This Row],[In full]]="Yes"),"Yes","No")))</f>
        <v>Yes</v>
      </c>
      <c r="M9" s="38">
        <f>IF(tblLines[[#This Row],[Order line]]="","",IF(tblLines[[#This Row],[OTIF]]="","",MIN(tblLines[[#This Row],[Qty delivered (units)]],tblLines[[#This Row],[Qty ordered (units)]])))</f>
        <v>240</v>
      </c>
      <c r="N9" s="28" t="s">
        <v>121</v>
      </c>
      <c r="O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 s="28" t="s">
        <v>121</v>
      </c>
    </row>
    <row r="10" spans="1:16">
      <c r="B10" s="28" t="s">
        <v>127</v>
      </c>
      <c r="C10" s="28" t="s">
        <v>84</v>
      </c>
      <c r="D10" s="28" t="s">
        <v>128</v>
      </c>
      <c r="E10" s="30">
        <v>50</v>
      </c>
      <c r="F10" s="35">
        <v>46237</v>
      </c>
      <c r="G10" s="35">
        <v>46237</v>
      </c>
      <c r="H10" s="30">
        <v>50</v>
      </c>
      <c r="I10" s="36">
        <f>IF(tblLines[[#This Row],[Order line]]="","",tblLines[[#This Row],[Delivered date]]-tblLines[[#This Row],[Promised date]])</f>
        <v>0</v>
      </c>
      <c r="J10" s="37" t="str">
        <f>IF(tblLines[[#This Row],[Order line]]="","",IF(OR(tblLines[[#This Row],[Promised date]]="",tblLines[[#This Row],[Delivered date]]=""),"",IF(AND(tblLines[[#This Row],[Days late]]&gt;=-EarlyDays,tblLines[[#This Row],[Days late]]&lt;=LateDays),"Yes","No")))</f>
        <v>Yes</v>
      </c>
      <c r="K10" s="37" t="str">
        <f>IF(tblLines[[#This Row],[Order line]]="","",IF(tblLines[[#This Row],[Qty delivered (units)]]="","",IF(AND(tblLines[[#This Row],[Qty delivered (units)]]&gt;=tblLines[[#This Row],[Qty ordered (units)]]*(1-UnderTol),tblLines[[#This Row],[Qty delivered (units)]]&lt;=tblLines[[#This Row],[Qty ordered (units)]]*(1+OverTol)),"Yes","No")))</f>
        <v>Yes</v>
      </c>
      <c r="L10" s="37" t="str">
        <f>IF(tblLines[[#This Row],[Order line]]="","",IF(OR(tblLines[[#This Row],[On time]]="",tblLines[[#This Row],[In full]]=""),"",IF(AND(tblLines[[#This Row],[On time]]="Yes",tblLines[[#This Row],[In full]]="Yes"),"Yes","No")))</f>
        <v>Yes</v>
      </c>
      <c r="M10" s="38">
        <f>IF(tblLines[[#This Row],[Order line]]="","",IF(tblLines[[#This Row],[OTIF]]="","",MIN(tblLines[[#This Row],[Qty delivered (units)]],tblLines[[#This Row],[Qty ordered (units)]])))</f>
        <v>50</v>
      </c>
      <c r="N10" s="28" t="s">
        <v>121</v>
      </c>
      <c r="O1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 s="28" t="s">
        <v>121</v>
      </c>
    </row>
    <row r="11" spans="1:16">
      <c r="B11" s="28" t="s">
        <v>129</v>
      </c>
      <c r="C11" s="28" t="s">
        <v>78</v>
      </c>
      <c r="D11" s="28" t="s">
        <v>130</v>
      </c>
      <c r="E11" s="30">
        <v>50</v>
      </c>
      <c r="F11" s="35">
        <v>46241</v>
      </c>
      <c r="G11" s="35">
        <v>46241</v>
      </c>
      <c r="H11" s="30">
        <v>50</v>
      </c>
      <c r="I11" s="36">
        <f>IF(tblLines[[#This Row],[Order line]]="","",tblLines[[#This Row],[Delivered date]]-tblLines[[#This Row],[Promised date]])</f>
        <v>0</v>
      </c>
      <c r="J11" s="37" t="str">
        <f>IF(tblLines[[#This Row],[Order line]]="","",IF(OR(tblLines[[#This Row],[Promised date]]="",tblLines[[#This Row],[Delivered date]]=""),"",IF(AND(tblLines[[#This Row],[Days late]]&gt;=-EarlyDays,tblLines[[#This Row],[Days late]]&lt;=LateDays),"Yes","No")))</f>
        <v>Yes</v>
      </c>
      <c r="K11" s="37" t="str">
        <f>IF(tblLines[[#This Row],[Order line]]="","",IF(tblLines[[#This Row],[Qty delivered (units)]]="","",IF(AND(tblLines[[#This Row],[Qty delivered (units)]]&gt;=tblLines[[#This Row],[Qty ordered (units)]]*(1-UnderTol),tblLines[[#This Row],[Qty delivered (units)]]&lt;=tblLines[[#This Row],[Qty ordered (units)]]*(1+OverTol)),"Yes","No")))</f>
        <v>Yes</v>
      </c>
      <c r="L11" s="37" t="str">
        <f>IF(tblLines[[#This Row],[Order line]]="","",IF(OR(tblLines[[#This Row],[On time]]="",tblLines[[#This Row],[In full]]=""),"",IF(AND(tblLines[[#This Row],[On time]]="Yes",tblLines[[#This Row],[In full]]="Yes"),"Yes","No")))</f>
        <v>Yes</v>
      </c>
      <c r="M11" s="38">
        <f>IF(tblLines[[#This Row],[Order line]]="","",IF(tblLines[[#This Row],[OTIF]]="","",MIN(tblLines[[#This Row],[Qty delivered (units)]],tblLines[[#This Row],[Qty ordered (units)]])))</f>
        <v>50</v>
      </c>
      <c r="N11" s="28" t="s">
        <v>121</v>
      </c>
      <c r="O1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 s="28" t="s">
        <v>121</v>
      </c>
    </row>
    <row r="12" spans="1:16">
      <c r="B12" s="28" t="s">
        <v>131</v>
      </c>
      <c r="C12" s="28" t="s">
        <v>86</v>
      </c>
      <c r="D12" s="28" t="s">
        <v>132</v>
      </c>
      <c r="E12" s="30">
        <v>100</v>
      </c>
      <c r="F12" s="35">
        <v>46237</v>
      </c>
      <c r="G12" s="35">
        <v>46233</v>
      </c>
      <c r="H12" s="30">
        <v>100</v>
      </c>
      <c r="I12" s="36">
        <f>IF(tblLines[[#This Row],[Order line]]="","",tblLines[[#This Row],[Delivered date]]-tblLines[[#This Row],[Promised date]])</f>
        <v>-4</v>
      </c>
      <c r="J12" s="37" t="str">
        <f>IF(tblLines[[#This Row],[Order line]]="","",IF(OR(tblLines[[#This Row],[Promised date]]="",tblLines[[#This Row],[Delivered date]]=""),"",IF(AND(tblLines[[#This Row],[Days late]]&gt;=-EarlyDays,tblLines[[#This Row],[Days late]]&lt;=LateDays),"Yes","No")))</f>
        <v>No</v>
      </c>
      <c r="K12" s="37" t="str">
        <f>IF(tblLines[[#This Row],[Order line]]="","",IF(tblLines[[#This Row],[Qty delivered (units)]]="","",IF(AND(tblLines[[#This Row],[Qty delivered (units)]]&gt;=tblLines[[#This Row],[Qty ordered (units)]]*(1-UnderTol),tblLines[[#This Row],[Qty delivered (units)]]&lt;=tblLines[[#This Row],[Qty ordered (units)]]*(1+OverTol)),"Yes","No")))</f>
        <v>Yes</v>
      </c>
      <c r="L12" s="37" t="str">
        <f>IF(tblLines[[#This Row],[Order line]]="","",IF(OR(tblLines[[#This Row],[On time]]="",tblLines[[#This Row],[In full]]=""),"",IF(AND(tblLines[[#This Row],[On time]]="Yes",tblLines[[#This Row],[In full]]="Yes"),"Yes","No")))</f>
        <v>No</v>
      </c>
      <c r="M12" s="38">
        <f>IF(tblLines[[#This Row],[Order line]]="","",IF(tblLines[[#This Row],[OTIF]]="","",MIN(tblLines[[#This Row],[Qty delivered (units)]],tblLines[[#This Row],[Qty ordered (units)]])))</f>
        <v>100</v>
      </c>
      <c r="N12" s="28" t="s">
        <v>101</v>
      </c>
      <c r="O1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 s="28" t="s">
        <v>121</v>
      </c>
    </row>
    <row r="13" spans="1:16">
      <c r="B13" s="28" t="s">
        <v>133</v>
      </c>
      <c r="C13" s="28" t="s">
        <v>82</v>
      </c>
      <c r="D13" s="28" t="s">
        <v>128</v>
      </c>
      <c r="E13" s="30">
        <v>400</v>
      </c>
      <c r="F13" s="35">
        <v>46241</v>
      </c>
      <c r="G13" s="35">
        <v>46240</v>
      </c>
      <c r="H13" s="30">
        <v>400</v>
      </c>
      <c r="I13" s="36">
        <f>IF(tblLines[[#This Row],[Order line]]="","",tblLines[[#This Row],[Delivered date]]-tblLines[[#This Row],[Promised date]])</f>
        <v>-1</v>
      </c>
      <c r="J13" s="37" t="str">
        <f>IF(tblLines[[#This Row],[Order line]]="","",IF(OR(tblLines[[#This Row],[Promised date]]="",tblLines[[#This Row],[Delivered date]]=""),"",IF(AND(tblLines[[#This Row],[Days late]]&gt;=-EarlyDays,tblLines[[#This Row],[Days late]]&lt;=LateDays),"Yes","No")))</f>
        <v>Yes</v>
      </c>
      <c r="K13" s="37" t="str">
        <f>IF(tblLines[[#This Row],[Order line]]="","",IF(tblLines[[#This Row],[Qty delivered (units)]]="","",IF(AND(tblLines[[#This Row],[Qty delivered (units)]]&gt;=tblLines[[#This Row],[Qty ordered (units)]]*(1-UnderTol),tblLines[[#This Row],[Qty delivered (units)]]&lt;=tblLines[[#This Row],[Qty ordered (units)]]*(1+OverTol)),"Yes","No")))</f>
        <v>Yes</v>
      </c>
      <c r="L13" s="37" t="str">
        <f>IF(tblLines[[#This Row],[Order line]]="","",IF(OR(tblLines[[#This Row],[On time]]="",tblLines[[#This Row],[In full]]=""),"",IF(AND(tblLines[[#This Row],[On time]]="Yes",tblLines[[#This Row],[In full]]="Yes"),"Yes","No")))</f>
        <v>Yes</v>
      </c>
      <c r="M13" s="38">
        <f>IF(tblLines[[#This Row],[Order line]]="","",IF(tblLines[[#This Row],[OTIF]]="","",MIN(tblLines[[#This Row],[Qty delivered (units)]],tblLines[[#This Row],[Qty ordered (units)]])))</f>
        <v>400</v>
      </c>
      <c r="N13" s="28" t="s">
        <v>121</v>
      </c>
      <c r="O1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 s="28" t="s">
        <v>121</v>
      </c>
    </row>
    <row r="14" spans="1:16">
      <c r="B14" s="28" t="s">
        <v>134</v>
      </c>
      <c r="C14" s="28" t="s">
        <v>80</v>
      </c>
      <c r="D14" s="28" t="s">
        <v>135</v>
      </c>
      <c r="E14" s="30">
        <v>120</v>
      </c>
      <c r="F14" s="35">
        <v>46237</v>
      </c>
      <c r="G14" s="35">
        <v>46236</v>
      </c>
      <c r="H14" s="30">
        <v>120</v>
      </c>
      <c r="I14" s="36">
        <f>IF(tblLines[[#This Row],[Order line]]="","",tblLines[[#This Row],[Delivered date]]-tblLines[[#This Row],[Promised date]])</f>
        <v>-1</v>
      </c>
      <c r="J14" s="37" t="str">
        <f>IF(tblLines[[#This Row],[Order line]]="","",IF(OR(tblLines[[#This Row],[Promised date]]="",tblLines[[#This Row],[Delivered date]]=""),"",IF(AND(tblLines[[#This Row],[Days late]]&gt;=-EarlyDays,tblLines[[#This Row],[Days late]]&lt;=LateDays),"Yes","No")))</f>
        <v>Yes</v>
      </c>
      <c r="K14" s="37" t="str">
        <f>IF(tblLines[[#This Row],[Order line]]="","",IF(tblLines[[#This Row],[Qty delivered (units)]]="","",IF(AND(tblLines[[#This Row],[Qty delivered (units)]]&gt;=tblLines[[#This Row],[Qty ordered (units)]]*(1-UnderTol),tblLines[[#This Row],[Qty delivered (units)]]&lt;=tblLines[[#This Row],[Qty ordered (units)]]*(1+OverTol)),"Yes","No")))</f>
        <v>Yes</v>
      </c>
      <c r="L14" s="37" t="str">
        <f>IF(tblLines[[#This Row],[Order line]]="","",IF(OR(tblLines[[#This Row],[On time]]="",tblLines[[#This Row],[In full]]=""),"",IF(AND(tblLines[[#This Row],[On time]]="Yes",tblLines[[#This Row],[In full]]="Yes"),"Yes","No")))</f>
        <v>Yes</v>
      </c>
      <c r="M14" s="38">
        <f>IF(tblLines[[#This Row],[Order line]]="","",IF(tblLines[[#This Row],[OTIF]]="","",MIN(tblLines[[#This Row],[Qty delivered (units)]],tblLines[[#This Row],[Qty ordered (units)]])))</f>
        <v>120</v>
      </c>
      <c r="N14" s="28" t="s">
        <v>121</v>
      </c>
      <c r="O1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 s="28" t="s">
        <v>121</v>
      </c>
    </row>
    <row r="15" spans="1:16">
      <c r="B15" s="28" t="s">
        <v>136</v>
      </c>
      <c r="C15" s="28" t="s">
        <v>84</v>
      </c>
      <c r="D15" s="28" t="s">
        <v>128</v>
      </c>
      <c r="E15" s="30">
        <v>50</v>
      </c>
      <c r="F15" s="35">
        <v>46241</v>
      </c>
      <c r="G15" s="35">
        <v>46237</v>
      </c>
      <c r="H15" s="30">
        <v>50</v>
      </c>
      <c r="I15" s="36">
        <f>IF(tblLines[[#This Row],[Order line]]="","",tblLines[[#This Row],[Delivered date]]-tblLines[[#This Row],[Promised date]])</f>
        <v>-4</v>
      </c>
      <c r="J15" s="37" t="str">
        <f>IF(tblLines[[#This Row],[Order line]]="","",IF(OR(tblLines[[#This Row],[Promised date]]="",tblLines[[#This Row],[Delivered date]]=""),"",IF(AND(tblLines[[#This Row],[Days late]]&gt;=-EarlyDays,tblLines[[#This Row],[Days late]]&lt;=LateDays),"Yes","No")))</f>
        <v>No</v>
      </c>
      <c r="K15" s="37" t="str">
        <f>IF(tblLines[[#This Row],[Order line]]="","",IF(tblLines[[#This Row],[Qty delivered (units)]]="","",IF(AND(tblLines[[#This Row],[Qty delivered (units)]]&gt;=tblLines[[#This Row],[Qty ordered (units)]]*(1-UnderTol),tblLines[[#This Row],[Qty delivered (units)]]&lt;=tblLines[[#This Row],[Qty ordered (units)]]*(1+OverTol)),"Yes","No")))</f>
        <v>Yes</v>
      </c>
      <c r="L15" s="37" t="str">
        <f>IF(tblLines[[#This Row],[Order line]]="","",IF(OR(tblLines[[#This Row],[On time]]="",tblLines[[#This Row],[In full]]=""),"",IF(AND(tblLines[[#This Row],[On time]]="Yes",tblLines[[#This Row],[In full]]="Yes"),"Yes","No")))</f>
        <v>No</v>
      </c>
      <c r="M15" s="38">
        <f>IF(tblLines[[#This Row],[Order line]]="","",IF(tblLines[[#This Row],[OTIF]]="","",MIN(tblLines[[#This Row],[Qty delivered (units)]],tblLines[[#This Row],[Qty ordered (units)]])))</f>
        <v>50</v>
      </c>
      <c r="N15" s="28" t="s">
        <v>101</v>
      </c>
      <c r="O1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5" s="28" t="s">
        <v>121</v>
      </c>
    </row>
    <row r="16" spans="1:16">
      <c r="B16" s="28" t="s">
        <v>137</v>
      </c>
      <c r="C16" s="28" t="s">
        <v>80</v>
      </c>
      <c r="D16" s="28" t="s">
        <v>138</v>
      </c>
      <c r="E16" s="30">
        <v>100</v>
      </c>
      <c r="F16" s="35">
        <v>46240</v>
      </c>
      <c r="G16" s="35">
        <v>46237</v>
      </c>
      <c r="H16" s="30">
        <v>100</v>
      </c>
      <c r="I16" s="36">
        <f>IF(tblLines[[#This Row],[Order line]]="","",tblLines[[#This Row],[Delivered date]]-tblLines[[#This Row],[Promised date]])</f>
        <v>-3</v>
      </c>
      <c r="J16" s="37" t="str">
        <f>IF(tblLines[[#This Row],[Order line]]="","",IF(OR(tblLines[[#This Row],[Promised date]]="",tblLines[[#This Row],[Delivered date]]=""),"",IF(AND(tblLines[[#This Row],[Days late]]&gt;=-EarlyDays,tblLines[[#This Row],[Days late]]&lt;=LateDays),"Yes","No")))</f>
        <v>No</v>
      </c>
      <c r="K16" s="37" t="str">
        <f>IF(tblLines[[#This Row],[Order line]]="","",IF(tblLines[[#This Row],[Qty delivered (units)]]="","",IF(AND(tblLines[[#This Row],[Qty delivered (units)]]&gt;=tblLines[[#This Row],[Qty ordered (units)]]*(1-UnderTol),tblLines[[#This Row],[Qty delivered (units)]]&lt;=tblLines[[#This Row],[Qty ordered (units)]]*(1+OverTol)),"Yes","No")))</f>
        <v>Yes</v>
      </c>
      <c r="L16" s="37" t="str">
        <f>IF(tblLines[[#This Row],[Order line]]="","",IF(OR(tblLines[[#This Row],[On time]]="",tblLines[[#This Row],[In full]]=""),"",IF(AND(tblLines[[#This Row],[On time]]="Yes",tblLines[[#This Row],[In full]]="Yes"),"Yes","No")))</f>
        <v>No</v>
      </c>
      <c r="M16" s="38">
        <f>IF(tblLines[[#This Row],[Order line]]="","",IF(tblLines[[#This Row],[OTIF]]="","",MIN(tblLines[[#This Row],[Qty delivered (units)]],tblLines[[#This Row],[Qty ordered (units)]])))</f>
        <v>100</v>
      </c>
      <c r="N16" s="28" t="s">
        <v>101</v>
      </c>
      <c r="O1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6" s="28" t="s">
        <v>121</v>
      </c>
    </row>
    <row r="17" spans="2:16">
      <c r="B17" s="28" t="s">
        <v>139</v>
      </c>
      <c r="C17" s="28" t="s">
        <v>78</v>
      </c>
      <c r="D17" s="28" t="s">
        <v>140</v>
      </c>
      <c r="E17" s="30">
        <v>100</v>
      </c>
      <c r="F17" s="35">
        <v>46238</v>
      </c>
      <c r="G17" s="35">
        <v>46238</v>
      </c>
      <c r="H17" s="30">
        <v>100</v>
      </c>
      <c r="I17" s="36">
        <f>IF(tblLines[[#This Row],[Order line]]="","",tblLines[[#This Row],[Delivered date]]-tblLines[[#This Row],[Promised date]])</f>
        <v>0</v>
      </c>
      <c r="J17" s="37" t="str">
        <f>IF(tblLines[[#This Row],[Order line]]="","",IF(OR(tblLines[[#This Row],[Promised date]]="",tblLines[[#This Row],[Delivered date]]=""),"",IF(AND(tblLines[[#This Row],[Days late]]&gt;=-EarlyDays,tblLines[[#This Row],[Days late]]&lt;=LateDays),"Yes","No")))</f>
        <v>Yes</v>
      </c>
      <c r="K17" s="37" t="str">
        <f>IF(tblLines[[#This Row],[Order line]]="","",IF(tblLines[[#This Row],[Qty delivered (units)]]="","",IF(AND(tblLines[[#This Row],[Qty delivered (units)]]&gt;=tblLines[[#This Row],[Qty ordered (units)]]*(1-UnderTol),tblLines[[#This Row],[Qty delivered (units)]]&lt;=tblLines[[#This Row],[Qty ordered (units)]]*(1+OverTol)),"Yes","No")))</f>
        <v>Yes</v>
      </c>
      <c r="L17" s="37" t="str">
        <f>IF(tblLines[[#This Row],[Order line]]="","",IF(OR(tblLines[[#This Row],[On time]]="",tblLines[[#This Row],[In full]]=""),"",IF(AND(tblLines[[#This Row],[On time]]="Yes",tblLines[[#This Row],[In full]]="Yes"),"Yes","No")))</f>
        <v>Yes</v>
      </c>
      <c r="M17" s="38">
        <f>IF(tblLines[[#This Row],[Order line]]="","",IF(tblLines[[#This Row],[OTIF]]="","",MIN(tblLines[[#This Row],[Qty delivered (units)]],tblLines[[#This Row],[Qty ordered (units)]])))</f>
        <v>100</v>
      </c>
      <c r="N17" s="28" t="s">
        <v>121</v>
      </c>
      <c r="O1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7" s="28" t="s">
        <v>121</v>
      </c>
    </row>
    <row r="18" spans="2:16">
      <c r="B18" s="28" t="s">
        <v>141</v>
      </c>
      <c r="C18" s="28" t="s">
        <v>80</v>
      </c>
      <c r="D18" s="28" t="s">
        <v>128</v>
      </c>
      <c r="E18" s="30">
        <v>200</v>
      </c>
      <c r="F18" s="35">
        <v>46239</v>
      </c>
      <c r="G18" s="35">
        <v>46239</v>
      </c>
      <c r="H18" s="30">
        <v>200</v>
      </c>
      <c r="I18" s="36">
        <f>IF(tblLines[[#This Row],[Order line]]="","",tblLines[[#This Row],[Delivered date]]-tblLines[[#This Row],[Promised date]])</f>
        <v>0</v>
      </c>
      <c r="J18" s="37" t="str">
        <f>IF(tblLines[[#This Row],[Order line]]="","",IF(OR(tblLines[[#This Row],[Promised date]]="",tblLines[[#This Row],[Delivered date]]=""),"",IF(AND(tblLines[[#This Row],[Days late]]&gt;=-EarlyDays,tblLines[[#This Row],[Days late]]&lt;=LateDays),"Yes","No")))</f>
        <v>Yes</v>
      </c>
      <c r="K18" s="37" t="str">
        <f>IF(tblLines[[#This Row],[Order line]]="","",IF(tblLines[[#This Row],[Qty delivered (units)]]="","",IF(AND(tblLines[[#This Row],[Qty delivered (units)]]&gt;=tblLines[[#This Row],[Qty ordered (units)]]*(1-UnderTol),tblLines[[#This Row],[Qty delivered (units)]]&lt;=tblLines[[#This Row],[Qty ordered (units)]]*(1+OverTol)),"Yes","No")))</f>
        <v>Yes</v>
      </c>
      <c r="L18" s="37" t="str">
        <f>IF(tblLines[[#This Row],[Order line]]="","",IF(OR(tblLines[[#This Row],[On time]]="",tblLines[[#This Row],[In full]]=""),"",IF(AND(tblLines[[#This Row],[On time]]="Yes",tblLines[[#This Row],[In full]]="Yes"),"Yes","No")))</f>
        <v>Yes</v>
      </c>
      <c r="M18" s="38">
        <f>IF(tblLines[[#This Row],[Order line]]="","",IF(tblLines[[#This Row],[OTIF]]="","",MIN(tblLines[[#This Row],[Qty delivered (units)]],tblLines[[#This Row],[Qty ordered (units)]])))</f>
        <v>200</v>
      </c>
      <c r="N18" s="28" t="s">
        <v>121</v>
      </c>
      <c r="O1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8" s="28" t="s">
        <v>121</v>
      </c>
    </row>
    <row r="19" spans="2:16">
      <c r="B19" s="28" t="s">
        <v>142</v>
      </c>
      <c r="C19" s="28" t="s">
        <v>78</v>
      </c>
      <c r="D19" s="28" t="s">
        <v>128</v>
      </c>
      <c r="E19" s="30">
        <v>400</v>
      </c>
      <c r="F19" s="35">
        <v>46238</v>
      </c>
      <c r="G19" s="35">
        <v>46238</v>
      </c>
      <c r="H19" s="30">
        <v>400</v>
      </c>
      <c r="I19" s="36">
        <f>IF(tblLines[[#This Row],[Order line]]="","",tblLines[[#This Row],[Delivered date]]-tblLines[[#This Row],[Promised date]])</f>
        <v>0</v>
      </c>
      <c r="J19" s="37" t="str">
        <f>IF(tblLines[[#This Row],[Order line]]="","",IF(OR(tblLines[[#This Row],[Promised date]]="",tblLines[[#This Row],[Delivered date]]=""),"",IF(AND(tblLines[[#This Row],[Days late]]&gt;=-EarlyDays,tblLines[[#This Row],[Days late]]&lt;=LateDays),"Yes","No")))</f>
        <v>Yes</v>
      </c>
      <c r="K19" s="37" t="str">
        <f>IF(tblLines[[#This Row],[Order line]]="","",IF(tblLines[[#This Row],[Qty delivered (units)]]="","",IF(AND(tblLines[[#This Row],[Qty delivered (units)]]&gt;=tblLines[[#This Row],[Qty ordered (units)]]*(1-UnderTol),tblLines[[#This Row],[Qty delivered (units)]]&lt;=tblLines[[#This Row],[Qty ordered (units)]]*(1+OverTol)),"Yes","No")))</f>
        <v>Yes</v>
      </c>
      <c r="L19" s="37" t="str">
        <f>IF(tblLines[[#This Row],[Order line]]="","",IF(OR(tblLines[[#This Row],[On time]]="",tblLines[[#This Row],[In full]]=""),"",IF(AND(tblLines[[#This Row],[On time]]="Yes",tblLines[[#This Row],[In full]]="Yes"),"Yes","No")))</f>
        <v>Yes</v>
      </c>
      <c r="M19" s="38">
        <f>IF(tblLines[[#This Row],[Order line]]="","",IF(tblLines[[#This Row],[OTIF]]="","",MIN(tblLines[[#This Row],[Qty delivered (units)]],tblLines[[#This Row],[Qty ordered (units)]])))</f>
        <v>400</v>
      </c>
      <c r="N19" s="28" t="s">
        <v>121</v>
      </c>
      <c r="O1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9" s="28" t="s">
        <v>121</v>
      </c>
    </row>
    <row r="20" spans="2:16">
      <c r="B20" s="28" t="s">
        <v>143</v>
      </c>
      <c r="C20" s="28" t="s">
        <v>88</v>
      </c>
      <c r="D20" s="28" t="s">
        <v>140</v>
      </c>
      <c r="E20" s="30">
        <v>50</v>
      </c>
      <c r="F20" s="35">
        <v>46241</v>
      </c>
      <c r="G20" s="35">
        <v>46239</v>
      </c>
      <c r="H20" s="30">
        <v>50</v>
      </c>
      <c r="I20" s="36">
        <f>IF(tblLines[[#This Row],[Order line]]="","",tblLines[[#This Row],[Delivered date]]-tblLines[[#This Row],[Promised date]])</f>
        <v>-2</v>
      </c>
      <c r="J20" s="37" t="str">
        <f>IF(tblLines[[#This Row],[Order line]]="","",IF(OR(tblLines[[#This Row],[Promised date]]="",tblLines[[#This Row],[Delivered date]]=""),"",IF(AND(tblLines[[#This Row],[Days late]]&gt;=-EarlyDays,tblLines[[#This Row],[Days late]]&lt;=LateDays),"Yes","No")))</f>
        <v>Yes</v>
      </c>
      <c r="K20" s="37" t="str">
        <f>IF(tblLines[[#This Row],[Order line]]="","",IF(tblLines[[#This Row],[Qty delivered (units)]]="","",IF(AND(tblLines[[#This Row],[Qty delivered (units)]]&gt;=tblLines[[#This Row],[Qty ordered (units)]]*(1-UnderTol),tblLines[[#This Row],[Qty delivered (units)]]&lt;=tblLines[[#This Row],[Qty ordered (units)]]*(1+OverTol)),"Yes","No")))</f>
        <v>Yes</v>
      </c>
      <c r="L20" s="37" t="str">
        <f>IF(tblLines[[#This Row],[Order line]]="","",IF(OR(tblLines[[#This Row],[On time]]="",tblLines[[#This Row],[In full]]=""),"",IF(AND(tblLines[[#This Row],[On time]]="Yes",tblLines[[#This Row],[In full]]="Yes"),"Yes","No")))</f>
        <v>Yes</v>
      </c>
      <c r="M20" s="38">
        <f>IF(tblLines[[#This Row],[Order line]]="","",IF(tblLines[[#This Row],[OTIF]]="","",MIN(tblLines[[#This Row],[Qty delivered (units)]],tblLines[[#This Row],[Qty ordered (units)]])))</f>
        <v>50</v>
      </c>
      <c r="N20" s="28" t="s">
        <v>121</v>
      </c>
      <c r="O2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0" s="28" t="s">
        <v>121</v>
      </c>
    </row>
    <row r="21" spans="2:16">
      <c r="B21" s="28" t="s">
        <v>144</v>
      </c>
      <c r="C21" s="28" t="s">
        <v>84</v>
      </c>
      <c r="D21" s="28" t="s">
        <v>145</v>
      </c>
      <c r="E21" s="30">
        <v>80</v>
      </c>
      <c r="F21" s="35">
        <v>46239</v>
      </c>
      <c r="G21" s="35">
        <v>46239</v>
      </c>
      <c r="H21" s="30">
        <v>80</v>
      </c>
      <c r="I21" s="36">
        <f>IF(tblLines[[#This Row],[Order line]]="","",tblLines[[#This Row],[Delivered date]]-tblLines[[#This Row],[Promised date]])</f>
        <v>0</v>
      </c>
      <c r="J21" s="37" t="str">
        <f>IF(tblLines[[#This Row],[Order line]]="","",IF(OR(tblLines[[#This Row],[Promised date]]="",tblLines[[#This Row],[Delivered date]]=""),"",IF(AND(tblLines[[#This Row],[Days late]]&gt;=-EarlyDays,tblLines[[#This Row],[Days late]]&lt;=LateDays),"Yes","No")))</f>
        <v>Yes</v>
      </c>
      <c r="K21" s="37" t="str">
        <f>IF(tblLines[[#This Row],[Order line]]="","",IF(tblLines[[#This Row],[Qty delivered (units)]]="","",IF(AND(tblLines[[#This Row],[Qty delivered (units)]]&gt;=tblLines[[#This Row],[Qty ordered (units)]]*(1-UnderTol),tblLines[[#This Row],[Qty delivered (units)]]&lt;=tblLines[[#This Row],[Qty ordered (units)]]*(1+OverTol)),"Yes","No")))</f>
        <v>Yes</v>
      </c>
      <c r="L21" s="37" t="str">
        <f>IF(tblLines[[#This Row],[Order line]]="","",IF(OR(tblLines[[#This Row],[On time]]="",tblLines[[#This Row],[In full]]=""),"",IF(AND(tblLines[[#This Row],[On time]]="Yes",tblLines[[#This Row],[In full]]="Yes"),"Yes","No")))</f>
        <v>Yes</v>
      </c>
      <c r="M21" s="38">
        <f>IF(tblLines[[#This Row],[Order line]]="","",IF(tblLines[[#This Row],[OTIF]]="","",MIN(tblLines[[#This Row],[Qty delivered (units)]],tblLines[[#This Row],[Qty ordered (units)]])))</f>
        <v>80</v>
      </c>
      <c r="N21" s="28" t="s">
        <v>121</v>
      </c>
      <c r="O2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1" s="28" t="s">
        <v>121</v>
      </c>
    </row>
    <row r="22" spans="2:16">
      <c r="B22" s="28" t="s">
        <v>146</v>
      </c>
      <c r="C22" s="28" t="s">
        <v>84</v>
      </c>
      <c r="D22" s="28" t="s">
        <v>123</v>
      </c>
      <c r="E22" s="30">
        <v>300</v>
      </c>
      <c r="F22" s="35">
        <v>46240</v>
      </c>
      <c r="G22" s="35">
        <v>46239</v>
      </c>
      <c r="H22" s="30">
        <v>300</v>
      </c>
      <c r="I22" s="36">
        <f>IF(tblLines[[#This Row],[Order line]]="","",tblLines[[#This Row],[Delivered date]]-tblLines[[#This Row],[Promised date]])</f>
        <v>-1</v>
      </c>
      <c r="J22" s="37" t="str">
        <f>IF(tblLines[[#This Row],[Order line]]="","",IF(OR(tblLines[[#This Row],[Promised date]]="",tblLines[[#This Row],[Delivered date]]=""),"",IF(AND(tblLines[[#This Row],[Days late]]&gt;=-EarlyDays,tblLines[[#This Row],[Days late]]&lt;=LateDays),"Yes","No")))</f>
        <v>Yes</v>
      </c>
      <c r="K22" s="37" t="str">
        <f>IF(tblLines[[#This Row],[Order line]]="","",IF(tblLines[[#This Row],[Qty delivered (units)]]="","",IF(AND(tblLines[[#This Row],[Qty delivered (units)]]&gt;=tblLines[[#This Row],[Qty ordered (units)]]*(1-UnderTol),tblLines[[#This Row],[Qty delivered (units)]]&lt;=tblLines[[#This Row],[Qty ordered (units)]]*(1+OverTol)),"Yes","No")))</f>
        <v>Yes</v>
      </c>
      <c r="L22" s="37" t="str">
        <f>IF(tblLines[[#This Row],[Order line]]="","",IF(OR(tblLines[[#This Row],[On time]]="",tblLines[[#This Row],[In full]]=""),"",IF(AND(tblLines[[#This Row],[On time]]="Yes",tblLines[[#This Row],[In full]]="Yes"),"Yes","No")))</f>
        <v>Yes</v>
      </c>
      <c r="M22" s="38">
        <f>IF(tblLines[[#This Row],[Order line]]="","",IF(tblLines[[#This Row],[OTIF]]="","",MIN(tblLines[[#This Row],[Qty delivered (units)]],tblLines[[#This Row],[Qty ordered (units)]])))</f>
        <v>300</v>
      </c>
      <c r="N22" s="28" t="s">
        <v>121</v>
      </c>
      <c r="O2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2" s="28" t="s">
        <v>121</v>
      </c>
    </row>
    <row r="23" spans="2:16">
      <c r="B23" s="28" t="s">
        <v>147</v>
      </c>
      <c r="C23" s="28" t="s">
        <v>80</v>
      </c>
      <c r="D23" s="28" t="s">
        <v>140</v>
      </c>
      <c r="E23" s="30">
        <v>500</v>
      </c>
      <c r="F23" s="35">
        <v>46241</v>
      </c>
      <c r="G23" s="35">
        <v>46241</v>
      </c>
      <c r="H23" s="30">
        <v>500</v>
      </c>
      <c r="I23" s="36">
        <f>IF(tblLines[[#This Row],[Order line]]="","",tblLines[[#This Row],[Delivered date]]-tblLines[[#This Row],[Promised date]])</f>
        <v>0</v>
      </c>
      <c r="J23" s="37" t="str">
        <f>IF(tblLines[[#This Row],[Order line]]="","",IF(OR(tblLines[[#This Row],[Promised date]]="",tblLines[[#This Row],[Delivered date]]=""),"",IF(AND(tblLines[[#This Row],[Days late]]&gt;=-EarlyDays,tblLines[[#This Row],[Days late]]&lt;=LateDays),"Yes","No")))</f>
        <v>Yes</v>
      </c>
      <c r="K23" s="37" t="str">
        <f>IF(tblLines[[#This Row],[Order line]]="","",IF(tblLines[[#This Row],[Qty delivered (units)]]="","",IF(AND(tblLines[[#This Row],[Qty delivered (units)]]&gt;=tblLines[[#This Row],[Qty ordered (units)]]*(1-UnderTol),tblLines[[#This Row],[Qty delivered (units)]]&lt;=tblLines[[#This Row],[Qty ordered (units)]]*(1+OverTol)),"Yes","No")))</f>
        <v>Yes</v>
      </c>
      <c r="L23" s="37" t="str">
        <f>IF(tblLines[[#This Row],[Order line]]="","",IF(OR(tblLines[[#This Row],[On time]]="",tblLines[[#This Row],[In full]]=""),"",IF(AND(tblLines[[#This Row],[On time]]="Yes",tblLines[[#This Row],[In full]]="Yes"),"Yes","No")))</f>
        <v>Yes</v>
      </c>
      <c r="M23" s="38">
        <f>IF(tblLines[[#This Row],[Order line]]="","",IF(tblLines[[#This Row],[OTIF]]="","",MIN(tblLines[[#This Row],[Qty delivered (units)]],tblLines[[#This Row],[Qty ordered (units)]])))</f>
        <v>500</v>
      </c>
      <c r="N23" s="28" t="s">
        <v>121</v>
      </c>
      <c r="O2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3" s="28" t="s">
        <v>121</v>
      </c>
    </row>
    <row r="24" spans="2:16">
      <c r="B24" s="28" t="s">
        <v>148</v>
      </c>
      <c r="C24" s="28" t="s">
        <v>80</v>
      </c>
      <c r="D24" s="28" t="s">
        <v>130</v>
      </c>
      <c r="E24" s="30">
        <v>120</v>
      </c>
      <c r="F24" s="35">
        <v>46245</v>
      </c>
      <c r="G24" s="35">
        <v>46244</v>
      </c>
      <c r="H24" s="30">
        <v>120</v>
      </c>
      <c r="I24" s="36">
        <f>IF(tblLines[[#This Row],[Order line]]="","",tblLines[[#This Row],[Delivered date]]-tblLines[[#This Row],[Promised date]])</f>
        <v>-1</v>
      </c>
      <c r="J24" s="37" t="str">
        <f>IF(tblLines[[#This Row],[Order line]]="","",IF(OR(tblLines[[#This Row],[Promised date]]="",tblLines[[#This Row],[Delivered date]]=""),"",IF(AND(tblLines[[#This Row],[Days late]]&gt;=-EarlyDays,tblLines[[#This Row],[Days late]]&lt;=LateDays),"Yes","No")))</f>
        <v>Yes</v>
      </c>
      <c r="K24" s="37" t="str">
        <f>IF(tblLines[[#This Row],[Order line]]="","",IF(tblLines[[#This Row],[Qty delivered (units)]]="","",IF(AND(tblLines[[#This Row],[Qty delivered (units)]]&gt;=tblLines[[#This Row],[Qty ordered (units)]]*(1-UnderTol),tblLines[[#This Row],[Qty delivered (units)]]&lt;=tblLines[[#This Row],[Qty ordered (units)]]*(1+OverTol)),"Yes","No")))</f>
        <v>Yes</v>
      </c>
      <c r="L24" s="37" t="str">
        <f>IF(tblLines[[#This Row],[Order line]]="","",IF(OR(tblLines[[#This Row],[On time]]="",tblLines[[#This Row],[In full]]=""),"",IF(AND(tblLines[[#This Row],[On time]]="Yes",tblLines[[#This Row],[In full]]="Yes"),"Yes","No")))</f>
        <v>Yes</v>
      </c>
      <c r="M24" s="38">
        <f>IF(tblLines[[#This Row],[Order line]]="","",IF(tblLines[[#This Row],[OTIF]]="","",MIN(tblLines[[#This Row],[Qty delivered (units)]],tblLines[[#This Row],[Qty ordered (units)]])))</f>
        <v>120</v>
      </c>
      <c r="N24" s="28" t="s">
        <v>121</v>
      </c>
      <c r="O2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4" s="28" t="s">
        <v>121</v>
      </c>
    </row>
    <row r="25" spans="2:16">
      <c r="B25" s="28" t="s">
        <v>149</v>
      </c>
      <c r="C25" s="28" t="s">
        <v>80</v>
      </c>
      <c r="D25" s="28" t="s">
        <v>138</v>
      </c>
      <c r="E25" s="30">
        <v>400</v>
      </c>
      <c r="F25" s="35">
        <v>46244</v>
      </c>
      <c r="G25" s="35">
        <v>46244</v>
      </c>
      <c r="H25" s="30">
        <v>400</v>
      </c>
      <c r="I25" s="36">
        <f>IF(tblLines[[#This Row],[Order line]]="","",tblLines[[#This Row],[Delivered date]]-tblLines[[#This Row],[Promised date]])</f>
        <v>0</v>
      </c>
      <c r="J25" s="37" t="str">
        <f>IF(tblLines[[#This Row],[Order line]]="","",IF(OR(tblLines[[#This Row],[Promised date]]="",tblLines[[#This Row],[Delivered date]]=""),"",IF(AND(tblLines[[#This Row],[Days late]]&gt;=-EarlyDays,tblLines[[#This Row],[Days late]]&lt;=LateDays),"Yes","No")))</f>
        <v>Yes</v>
      </c>
      <c r="K25" s="37" t="str">
        <f>IF(tblLines[[#This Row],[Order line]]="","",IF(tblLines[[#This Row],[Qty delivered (units)]]="","",IF(AND(tblLines[[#This Row],[Qty delivered (units)]]&gt;=tblLines[[#This Row],[Qty ordered (units)]]*(1-UnderTol),tblLines[[#This Row],[Qty delivered (units)]]&lt;=tblLines[[#This Row],[Qty ordered (units)]]*(1+OverTol)),"Yes","No")))</f>
        <v>Yes</v>
      </c>
      <c r="L25" s="37" t="str">
        <f>IF(tblLines[[#This Row],[Order line]]="","",IF(OR(tblLines[[#This Row],[On time]]="",tblLines[[#This Row],[In full]]=""),"",IF(AND(tblLines[[#This Row],[On time]]="Yes",tblLines[[#This Row],[In full]]="Yes"),"Yes","No")))</f>
        <v>Yes</v>
      </c>
      <c r="M25" s="38">
        <f>IF(tblLines[[#This Row],[Order line]]="","",IF(tblLines[[#This Row],[OTIF]]="","",MIN(tblLines[[#This Row],[Qty delivered (units)]],tblLines[[#This Row],[Qty ordered (units)]])))</f>
        <v>400</v>
      </c>
      <c r="N25" s="28" t="s">
        <v>121</v>
      </c>
      <c r="O2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5" s="28" t="s">
        <v>121</v>
      </c>
    </row>
    <row r="26" spans="2:16">
      <c r="B26" s="28" t="s">
        <v>150</v>
      </c>
      <c r="C26" s="28" t="s">
        <v>86</v>
      </c>
      <c r="D26" s="28" t="s">
        <v>123</v>
      </c>
      <c r="E26" s="30">
        <v>200</v>
      </c>
      <c r="F26" s="35">
        <v>46245</v>
      </c>
      <c r="G26" s="35">
        <v>46246</v>
      </c>
      <c r="H26" s="30">
        <v>200</v>
      </c>
      <c r="I26" s="36">
        <f>IF(tblLines[[#This Row],[Order line]]="","",tblLines[[#This Row],[Delivered date]]-tblLines[[#This Row],[Promised date]])</f>
        <v>1</v>
      </c>
      <c r="J26" s="37" t="str">
        <f>IF(tblLines[[#This Row],[Order line]]="","",IF(OR(tblLines[[#This Row],[Promised date]]="",tblLines[[#This Row],[Delivered date]]=""),"",IF(AND(tblLines[[#This Row],[Days late]]&gt;=-EarlyDays,tblLines[[#This Row],[Days late]]&lt;=LateDays),"Yes","No")))</f>
        <v>No</v>
      </c>
      <c r="K26" s="37" t="str">
        <f>IF(tblLines[[#This Row],[Order line]]="","",IF(tblLines[[#This Row],[Qty delivered (units)]]="","",IF(AND(tblLines[[#This Row],[Qty delivered (units)]]&gt;=tblLines[[#This Row],[Qty ordered (units)]]*(1-UnderTol),tblLines[[#This Row],[Qty delivered (units)]]&lt;=tblLines[[#This Row],[Qty ordered (units)]]*(1+OverTol)),"Yes","No")))</f>
        <v>Yes</v>
      </c>
      <c r="L26" s="37" t="str">
        <f>IF(tblLines[[#This Row],[Order line]]="","",IF(OR(tblLines[[#This Row],[On time]]="",tblLines[[#This Row],[In full]]=""),"",IF(AND(tblLines[[#This Row],[On time]]="Yes",tblLines[[#This Row],[In full]]="Yes"),"Yes","No")))</f>
        <v>No</v>
      </c>
      <c r="M26" s="38">
        <f>IF(tblLines[[#This Row],[Order line]]="","",IF(tblLines[[#This Row],[OTIF]]="","",MIN(tblLines[[#This Row],[Qty delivered (units)]],tblLines[[#This Row],[Qty ordered (units)]])))</f>
        <v>200</v>
      </c>
      <c r="N26" s="28" t="s">
        <v>102</v>
      </c>
      <c r="O2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6" s="28" t="s">
        <v>121</v>
      </c>
    </row>
    <row r="27" spans="2:16">
      <c r="B27" s="28" t="s">
        <v>151</v>
      </c>
      <c r="C27" s="28" t="s">
        <v>82</v>
      </c>
      <c r="D27" s="28" t="s">
        <v>123</v>
      </c>
      <c r="E27" s="30">
        <v>400</v>
      </c>
      <c r="F27" s="35">
        <v>46246</v>
      </c>
      <c r="G27" s="35">
        <v>46245</v>
      </c>
      <c r="H27" s="30">
        <v>400</v>
      </c>
      <c r="I27" s="36">
        <f>IF(tblLines[[#This Row],[Order line]]="","",tblLines[[#This Row],[Delivered date]]-tblLines[[#This Row],[Promised date]])</f>
        <v>-1</v>
      </c>
      <c r="J27" s="37" t="str">
        <f>IF(tblLines[[#This Row],[Order line]]="","",IF(OR(tblLines[[#This Row],[Promised date]]="",tblLines[[#This Row],[Delivered date]]=""),"",IF(AND(tblLines[[#This Row],[Days late]]&gt;=-EarlyDays,tblLines[[#This Row],[Days late]]&lt;=LateDays),"Yes","No")))</f>
        <v>Yes</v>
      </c>
      <c r="K27" s="37" t="str">
        <f>IF(tblLines[[#This Row],[Order line]]="","",IF(tblLines[[#This Row],[Qty delivered (units)]]="","",IF(AND(tblLines[[#This Row],[Qty delivered (units)]]&gt;=tblLines[[#This Row],[Qty ordered (units)]]*(1-UnderTol),tblLines[[#This Row],[Qty delivered (units)]]&lt;=tblLines[[#This Row],[Qty ordered (units)]]*(1+OverTol)),"Yes","No")))</f>
        <v>Yes</v>
      </c>
      <c r="L27" s="37" t="str">
        <f>IF(tblLines[[#This Row],[Order line]]="","",IF(OR(tblLines[[#This Row],[On time]]="",tblLines[[#This Row],[In full]]=""),"",IF(AND(tblLines[[#This Row],[On time]]="Yes",tblLines[[#This Row],[In full]]="Yes"),"Yes","No")))</f>
        <v>Yes</v>
      </c>
      <c r="M27" s="38">
        <f>IF(tblLines[[#This Row],[Order line]]="","",IF(tblLines[[#This Row],[OTIF]]="","",MIN(tblLines[[#This Row],[Qty delivered (units)]],tblLines[[#This Row],[Qty ordered (units)]])))</f>
        <v>400</v>
      </c>
      <c r="N27" s="28" t="s">
        <v>121</v>
      </c>
      <c r="O2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7" s="28" t="s">
        <v>121</v>
      </c>
    </row>
    <row r="28" spans="2:16">
      <c r="B28" s="28" t="s">
        <v>152</v>
      </c>
      <c r="C28" s="28" t="s">
        <v>80</v>
      </c>
      <c r="D28" s="28" t="s">
        <v>135</v>
      </c>
      <c r="E28" s="30">
        <v>200</v>
      </c>
      <c r="F28" s="35">
        <v>46248</v>
      </c>
      <c r="G28" s="35">
        <v>46247</v>
      </c>
      <c r="H28" s="30">
        <v>200</v>
      </c>
      <c r="I28" s="36">
        <f>IF(tblLines[[#This Row],[Order line]]="","",tblLines[[#This Row],[Delivered date]]-tblLines[[#This Row],[Promised date]])</f>
        <v>-1</v>
      </c>
      <c r="J28" s="37" t="str">
        <f>IF(tblLines[[#This Row],[Order line]]="","",IF(OR(tblLines[[#This Row],[Promised date]]="",tblLines[[#This Row],[Delivered date]]=""),"",IF(AND(tblLines[[#This Row],[Days late]]&gt;=-EarlyDays,tblLines[[#This Row],[Days late]]&lt;=LateDays),"Yes","No")))</f>
        <v>Yes</v>
      </c>
      <c r="K28" s="37" t="str">
        <f>IF(tblLines[[#This Row],[Order line]]="","",IF(tblLines[[#This Row],[Qty delivered (units)]]="","",IF(AND(tblLines[[#This Row],[Qty delivered (units)]]&gt;=tblLines[[#This Row],[Qty ordered (units)]]*(1-UnderTol),tblLines[[#This Row],[Qty delivered (units)]]&lt;=tblLines[[#This Row],[Qty ordered (units)]]*(1+OverTol)),"Yes","No")))</f>
        <v>Yes</v>
      </c>
      <c r="L28" s="37" t="str">
        <f>IF(tblLines[[#This Row],[Order line]]="","",IF(OR(tblLines[[#This Row],[On time]]="",tblLines[[#This Row],[In full]]=""),"",IF(AND(tblLines[[#This Row],[On time]]="Yes",tblLines[[#This Row],[In full]]="Yes"),"Yes","No")))</f>
        <v>Yes</v>
      </c>
      <c r="M28" s="38">
        <f>IF(tblLines[[#This Row],[Order line]]="","",IF(tblLines[[#This Row],[OTIF]]="","",MIN(tblLines[[#This Row],[Qty delivered (units)]],tblLines[[#This Row],[Qty ordered (units)]])))</f>
        <v>200</v>
      </c>
      <c r="N28" s="28" t="s">
        <v>121</v>
      </c>
      <c r="O2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8" s="28" t="s">
        <v>121</v>
      </c>
    </row>
    <row r="29" spans="2:16">
      <c r="B29" s="28" t="s">
        <v>153</v>
      </c>
      <c r="C29" s="28" t="s">
        <v>78</v>
      </c>
      <c r="D29" s="28" t="s">
        <v>132</v>
      </c>
      <c r="E29" s="30">
        <v>500</v>
      </c>
      <c r="F29" s="35">
        <v>46246</v>
      </c>
      <c r="G29" s="35">
        <v>46245</v>
      </c>
      <c r="H29" s="30">
        <v>495</v>
      </c>
      <c r="I29" s="36">
        <f>IF(tblLines[[#This Row],[Order line]]="","",tblLines[[#This Row],[Delivered date]]-tblLines[[#This Row],[Promised date]])</f>
        <v>-1</v>
      </c>
      <c r="J29" s="37" t="str">
        <f>IF(tblLines[[#This Row],[Order line]]="","",IF(OR(tblLines[[#This Row],[Promised date]]="",tblLines[[#This Row],[Delivered date]]=""),"",IF(AND(tblLines[[#This Row],[Days late]]&gt;=-EarlyDays,tblLines[[#This Row],[Days late]]&lt;=LateDays),"Yes","No")))</f>
        <v>Yes</v>
      </c>
      <c r="K29" s="37" t="str">
        <f>IF(tblLines[[#This Row],[Order line]]="","",IF(tblLines[[#This Row],[Qty delivered (units)]]="","",IF(AND(tblLines[[#This Row],[Qty delivered (units)]]&gt;=tblLines[[#This Row],[Qty ordered (units)]]*(1-UnderTol),tblLines[[#This Row],[Qty delivered (units)]]&lt;=tblLines[[#This Row],[Qty ordered (units)]]*(1+OverTol)),"Yes","No")))</f>
        <v>No</v>
      </c>
      <c r="L29" s="37" t="str">
        <f>IF(tblLines[[#This Row],[Order line]]="","",IF(OR(tblLines[[#This Row],[On time]]="",tblLines[[#This Row],[In full]]=""),"",IF(AND(tblLines[[#This Row],[On time]]="Yes",tblLines[[#This Row],[In full]]="Yes"),"Yes","No")))</f>
        <v>No</v>
      </c>
      <c r="M29" s="38">
        <f>IF(tblLines[[#This Row],[Order line]]="","",IF(tblLines[[#This Row],[OTIF]]="","",MIN(tblLines[[#This Row],[Qty delivered (units)]],tblLines[[#This Row],[Qty ordered (units)]])))</f>
        <v>495</v>
      </c>
      <c r="N29" s="28" t="s">
        <v>99</v>
      </c>
      <c r="O2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29" s="28" t="s">
        <v>121</v>
      </c>
    </row>
    <row r="30" spans="2:16">
      <c r="B30" s="28" t="s">
        <v>154</v>
      </c>
      <c r="C30" s="28" t="s">
        <v>78</v>
      </c>
      <c r="D30" s="28" t="s">
        <v>128</v>
      </c>
      <c r="E30" s="30">
        <v>400</v>
      </c>
      <c r="F30" s="35">
        <v>46244</v>
      </c>
      <c r="G30" s="35">
        <v>46243</v>
      </c>
      <c r="H30" s="30">
        <v>400</v>
      </c>
      <c r="I30" s="36">
        <f>IF(tblLines[[#This Row],[Order line]]="","",tblLines[[#This Row],[Delivered date]]-tblLines[[#This Row],[Promised date]])</f>
        <v>-1</v>
      </c>
      <c r="J30" s="37" t="str">
        <f>IF(tblLines[[#This Row],[Order line]]="","",IF(OR(tblLines[[#This Row],[Promised date]]="",tblLines[[#This Row],[Delivered date]]=""),"",IF(AND(tblLines[[#This Row],[Days late]]&gt;=-EarlyDays,tblLines[[#This Row],[Days late]]&lt;=LateDays),"Yes","No")))</f>
        <v>Yes</v>
      </c>
      <c r="K30" s="37" t="str">
        <f>IF(tblLines[[#This Row],[Order line]]="","",IF(tblLines[[#This Row],[Qty delivered (units)]]="","",IF(AND(tblLines[[#This Row],[Qty delivered (units)]]&gt;=tblLines[[#This Row],[Qty ordered (units)]]*(1-UnderTol),tblLines[[#This Row],[Qty delivered (units)]]&lt;=tblLines[[#This Row],[Qty ordered (units)]]*(1+OverTol)),"Yes","No")))</f>
        <v>Yes</v>
      </c>
      <c r="L30" s="37" t="str">
        <f>IF(tblLines[[#This Row],[Order line]]="","",IF(OR(tblLines[[#This Row],[On time]]="",tblLines[[#This Row],[In full]]=""),"",IF(AND(tblLines[[#This Row],[On time]]="Yes",tblLines[[#This Row],[In full]]="Yes"),"Yes","No")))</f>
        <v>Yes</v>
      </c>
      <c r="M30" s="38">
        <f>IF(tblLines[[#This Row],[Order line]]="","",IF(tblLines[[#This Row],[OTIF]]="","",MIN(tblLines[[#This Row],[Qty delivered (units)]],tblLines[[#This Row],[Qty ordered (units)]])))</f>
        <v>400</v>
      </c>
      <c r="N30" s="28" t="s">
        <v>121</v>
      </c>
      <c r="O3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0" s="28" t="s">
        <v>121</v>
      </c>
    </row>
    <row r="31" spans="2:16">
      <c r="B31" s="28" t="s">
        <v>155</v>
      </c>
      <c r="C31" s="28" t="s">
        <v>84</v>
      </c>
      <c r="D31" s="28" t="s">
        <v>132</v>
      </c>
      <c r="E31" s="30">
        <v>240</v>
      </c>
      <c r="F31" s="35">
        <v>46248</v>
      </c>
      <c r="G31" s="35">
        <v>46248</v>
      </c>
      <c r="H31" s="30">
        <v>240</v>
      </c>
      <c r="I31" s="36">
        <f>IF(tblLines[[#This Row],[Order line]]="","",tblLines[[#This Row],[Delivered date]]-tblLines[[#This Row],[Promised date]])</f>
        <v>0</v>
      </c>
      <c r="J31" s="37" t="str">
        <f>IF(tblLines[[#This Row],[Order line]]="","",IF(OR(tblLines[[#This Row],[Promised date]]="",tblLines[[#This Row],[Delivered date]]=""),"",IF(AND(tblLines[[#This Row],[Days late]]&gt;=-EarlyDays,tblLines[[#This Row],[Days late]]&lt;=LateDays),"Yes","No")))</f>
        <v>Yes</v>
      </c>
      <c r="K31" s="37" t="str">
        <f>IF(tblLines[[#This Row],[Order line]]="","",IF(tblLines[[#This Row],[Qty delivered (units)]]="","",IF(AND(tblLines[[#This Row],[Qty delivered (units)]]&gt;=tblLines[[#This Row],[Qty ordered (units)]]*(1-UnderTol),tblLines[[#This Row],[Qty delivered (units)]]&lt;=tblLines[[#This Row],[Qty ordered (units)]]*(1+OverTol)),"Yes","No")))</f>
        <v>Yes</v>
      </c>
      <c r="L31" s="37" t="str">
        <f>IF(tblLines[[#This Row],[Order line]]="","",IF(OR(tblLines[[#This Row],[On time]]="",tblLines[[#This Row],[In full]]=""),"",IF(AND(tblLines[[#This Row],[On time]]="Yes",tblLines[[#This Row],[In full]]="Yes"),"Yes","No")))</f>
        <v>Yes</v>
      </c>
      <c r="M31" s="38">
        <f>IF(tblLines[[#This Row],[Order line]]="","",IF(tblLines[[#This Row],[OTIF]]="","",MIN(tblLines[[#This Row],[Qty delivered (units)]],tblLines[[#This Row],[Qty ordered (units)]])))</f>
        <v>240</v>
      </c>
      <c r="N31" s="28" t="s">
        <v>121</v>
      </c>
      <c r="O3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1" s="28" t="s">
        <v>121</v>
      </c>
    </row>
    <row r="32" spans="2:16">
      <c r="B32" s="28" t="s">
        <v>156</v>
      </c>
      <c r="C32" s="28" t="s">
        <v>88</v>
      </c>
      <c r="D32" s="28" t="s">
        <v>140</v>
      </c>
      <c r="E32" s="30">
        <v>400</v>
      </c>
      <c r="F32" s="35">
        <v>46246</v>
      </c>
      <c r="G32" s="35">
        <v>46243</v>
      </c>
      <c r="H32" s="30">
        <v>400</v>
      </c>
      <c r="I32" s="36">
        <f>IF(tblLines[[#This Row],[Order line]]="","",tblLines[[#This Row],[Delivered date]]-tblLines[[#This Row],[Promised date]])</f>
        <v>-3</v>
      </c>
      <c r="J32" s="37" t="str">
        <f>IF(tblLines[[#This Row],[Order line]]="","",IF(OR(tblLines[[#This Row],[Promised date]]="",tblLines[[#This Row],[Delivered date]]=""),"",IF(AND(tblLines[[#This Row],[Days late]]&gt;=-EarlyDays,tblLines[[#This Row],[Days late]]&lt;=LateDays),"Yes","No")))</f>
        <v>No</v>
      </c>
      <c r="K32" s="37" t="str">
        <f>IF(tblLines[[#This Row],[Order line]]="","",IF(tblLines[[#This Row],[Qty delivered (units)]]="","",IF(AND(tblLines[[#This Row],[Qty delivered (units)]]&gt;=tblLines[[#This Row],[Qty ordered (units)]]*(1-UnderTol),tblLines[[#This Row],[Qty delivered (units)]]&lt;=tblLines[[#This Row],[Qty ordered (units)]]*(1+OverTol)),"Yes","No")))</f>
        <v>Yes</v>
      </c>
      <c r="L32" s="37" t="str">
        <f>IF(tblLines[[#This Row],[Order line]]="","",IF(OR(tblLines[[#This Row],[On time]]="",tblLines[[#This Row],[In full]]=""),"",IF(AND(tblLines[[#This Row],[On time]]="Yes",tblLines[[#This Row],[In full]]="Yes"),"Yes","No")))</f>
        <v>No</v>
      </c>
      <c r="M32" s="38">
        <f>IF(tblLines[[#This Row],[Order line]]="","",IF(tblLines[[#This Row],[OTIF]]="","",MIN(tblLines[[#This Row],[Qty delivered (units)]],tblLines[[#This Row],[Qty ordered (units)]])))</f>
        <v>400</v>
      </c>
      <c r="N32" s="28" t="s">
        <v>101</v>
      </c>
      <c r="O3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2" s="28" t="s">
        <v>121</v>
      </c>
    </row>
    <row r="33" spans="2:16">
      <c r="B33" s="28" t="s">
        <v>157</v>
      </c>
      <c r="C33" s="28" t="s">
        <v>82</v>
      </c>
      <c r="D33" s="28" t="s">
        <v>135</v>
      </c>
      <c r="E33" s="30">
        <v>240</v>
      </c>
      <c r="F33" s="35">
        <v>46247</v>
      </c>
      <c r="G33" s="35">
        <v>46247</v>
      </c>
      <c r="H33" s="30">
        <v>240</v>
      </c>
      <c r="I33" s="36">
        <f>IF(tblLines[[#This Row],[Order line]]="","",tblLines[[#This Row],[Delivered date]]-tblLines[[#This Row],[Promised date]])</f>
        <v>0</v>
      </c>
      <c r="J33" s="37" t="str">
        <f>IF(tblLines[[#This Row],[Order line]]="","",IF(OR(tblLines[[#This Row],[Promised date]]="",tblLines[[#This Row],[Delivered date]]=""),"",IF(AND(tblLines[[#This Row],[Days late]]&gt;=-EarlyDays,tblLines[[#This Row],[Days late]]&lt;=LateDays),"Yes","No")))</f>
        <v>Yes</v>
      </c>
      <c r="K33" s="37" t="str">
        <f>IF(tblLines[[#This Row],[Order line]]="","",IF(tblLines[[#This Row],[Qty delivered (units)]]="","",IF(AND(tblLines[[#This Row],[Qty delivered (units)]]&gt;=tblLines[[#This Row],[Qty ordered (units)]]*(1-UnderTol),tblLines[[#This Row],[Qty delivered (units)]]&lt;=tblLines[[#This Row],[Qty ordered (units)]]*(1+OverTol)),"Yes","No")))</f>
        <v>Yes</v>
      </c>
      <c r="L33" s="37" t="str">
        <f>IF(tblLines[[#This Row],[Order line]]="","",IF(OR(tblLines[[#This Row],[On time]]="",tblLines[[#This Row],[In full]]=""),"",IF(AND(tblLines[[#This Row],[On time]]="Yes",tblLines[[#This Row],[In full]]="Yes"),"Yes","No")))</f>
        <v>Yes</v>
      </c>
      <c r="M33" s="38">
        <f>IF(tblLines[[#This Row],[Order line]]="","",IF(tblLines[[#This Row],[OTIF]]="","",MIN(tblLines[[#This Row],[Qty delivered (units)]],tblLines[[#This Row],[Qty ordered (units)]])))</f>
        <v>240</v>
      </c>
      <c r="N33" s="28" t="s">
        <v>121</v>
      </c>
      <c r="O3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3" s="28" t="s">
        <v>121</v>
      </c>
    </row>
    <row r="34" spans="2:16">
      <c r="B34" s="28" t="s">
        <v>158</v>
      </c>
      <c r="C34" s="28" t="s">
        <v>88</v>
      </c>
      <c r="D34" s="28" t="s">
        <v>138</v>
      </c>
      <c r="E34" s="30">
        <v>200</v>
      </c>
      <c r="F34" s="35">
        <v>46247</v>
      </c>
      <c r="G34" s="35">
        <v>46247</v>
      </c>
      <c r="H34" s="30">
        <v>200</v>
      </c>
      <c r="I34" s="36">
        <f>IF(tblLines[[#This Row],[Order line]]="","",tblLines[[#This Row],[Delivered date]]-tblLines[[#This Row],[Promised date]])</f>
        <v>0</v>
      </c>
      <c r="J34" s="37" t="str">
        <f>IF(tblLines[[#This Row],[Order line]]="","",IF(OR(tblLines[[#This Row],[Promised date]]="",tblLines[[#This Row],[Delivered date]]=""),"",IF(AND(tblLines[[#This Row],[Days late]]&gt;=-EarlyDays,tblLines[[#This Row],[Days late]]&lt;=LateDays),"Yes","No")))</f>
        <v>Yes</v>
      </c>
      <c r="K34" s="37" t="str">
        <f>IF(tblLines[[#This Row],[Order line]]="","",IF(tblLines[[#This Row],[Qty delivered (units)]]="","",IF(AND(tblLines[[#This Row],[Qty delivered (units)]]&gt;=tblLines[[#This Row],[Qty ordered (units)]]*(1-UnderTol),tblLines[[#This Row],[Qty delivered (units)]]&lt;=tblLines[[#This Row],[Qty ordered (units)]]*(1+OverTol)),"Yes","No")))</f>
        <v>Yes</v>
      </c>
      <c r="L34" s="37" t="str">
        <f>IF(tblLines[[#This Row],[Order line]]="","",IF(OR(tblLines[[#This Row],[On time]]="",tblLines[[#This Row],[In full]]=""),"",IF(AND(tblLines[[#This Row],[On time]]="Yes",tblLines[[#This Row],[In full]]="Yes"),"Yes","No")))</f>
        <v>Yes</v>
      </c>
      <c r="M34" s="38">
        <f>IF(tblLines[[#This Row],[Order line]]="","",IF(tblLines[[#This Row],[OTIF]]="","",MIN(tblLines[[#This Row],[Qty delivered (units)]],tblLines[[#This Row],[Qty ordered (units)]])))</f>
        <v>200</v>
      </c>
      <c r="N34" s="28" t="s">
        <v>121</v>
      </c>
      <c r="O3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4" s="28" t="s">
        <v>121</v>
      </c>
    </row>
    <row r="35" spans="2:16">
      <c r="B35" s="28" t="s">
        <v>159</v>
      </c>
      <c r="C35" s="28" t="s">
        <v>80</v>
      </c>
      <c r="D35" s="28" t="s">
        <v>120</v>
      </c>
      <c r="E35" s="30">
        <v>400</v>
      </c>
      <c r="F35" s="35">
        <v>46248</v>
      </c>
      <c r="G35" s="35">
        <v>46248</v>
      </c>
      <c r="H35" s="30">
        <v>400</v>
      </c>
      <c r="I35" s="36">
        <f>IF(tblLines[[#This Row],[Order line]]="","",tblLines[[#This Row],[Delivered date]]-tblLines[[#This Row],[Promised date]])</f>
        <v>0</v>
      </c>
      <c r="J35" s="37" t="str">
        <f>IF(tblLines[[#This Row],[Order line]]="","",IF(OR(tblLines[[#This Row],[Promised date]]="",tblLines[[#This Row],[Delivered date]]=""),"",IF(AND(tblLines[[#This Row],[Days late]]&gt;=-EarlyDays,tblLines[[#This Row],[Days late]]&lt;=LateDays),"Yes","No")))</f>
        <v>Yes</v>
      </c>
      <c r="K35" s="37" t="str">
        <f>IF(tblLines[[#This Row],[Order line]]="","",IF(tblLines[[#This Row],[Qty delivered (units)]]="","",IF(AND(tblLines[[#This Row],[Qty delivered (units)]]&gt;=tblLines[[#This Row],[Qty ordered (units)]]*(1-UnderTol),tblLines[[#This Row],[Qty delivered (units)]]&lt;=tblLines[[#This Row],[Qty ordered (units)]]*(1+OverTol)),"Yes","No")))</f>
        <v>Yes</v>
      </c>
      <c r="L35" s="37" t="str">
        <f>IF(tblLines[[#This Row],[Order line]]="","",IF(OR(tblLines[[#This Row],[On time]]="",tblLines[[#This Row],[In full]]=""),"",IF(AND(tblLines[[#This Row],[On time]]="Yes",tblLines[[#This Row],[In full]]="Yes"),"Yes","No")))</f>
        <v>Yes</v>
      </c>
      <c r="M35" s="38">
        <f>IF(tblLines[[#This Row],[Order line]]="","",IF(tblLines[[#This Row],[OTIF]]="","",MIN(tblLines[[#This Row],[Qty delivered (units)]],tblLines[[#This Row],[Qty ordered (units)]])))</f>
        <v>400</v>
      </c>
      <c r="N35" s="28" t="s">
        <v>121</v>
      </c>
      <c r="O3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5" s="28" t="s">
        <v>121</v>
      </c>
    </row>
    <row r="36" spans="2:16">
      <c r="B36" s="28" t="s">
        <v>160</v>
      </c>
      <c r="C36" s="28" t="s">
        <v>88</v>
      </c>
      <c r="D36" s="28" t="s">
        <v>145</v>
      </c>
      <c r="E36" s="30">
        <v>80</v>
      </c>
      <c r="F36" s="35">
        <v>46245</v>
      </c>
      <c r="G36" s="35">
        <v>46245</v>
      </c>
      <c r="H36" s="30">
        <v>80</v>
      </c>
      <c r="I36" s="36">
        <f>IF(tblLines[[#This Row],[Order line]]="","",tblLines[[#This Row],[Delivered date]]-tblLines[[#This Row],[Promised date]])</f>
        <v>0</v>
      </c>
      <c r="J36" s="37" t="str">
        <f>IF(tblLines[[#This Row],[Order line]]="","",IF(OR(tblLines[[#This Row],[Promised date]]="",tblLines[[#This Row],[Delivered date]]=""),"",IF(AND(tblLines[[#This Row],[Days late]]&gt;=-EarlyDays,tblLines[[#This Row],[Days late]]&lt;=LateDays),"Yes","No")))</f>
        <v>Yes</v>
      </c>
      <c r="K36" s="37" t="str">
        <f>IF(tblLines[[#This Row],[Order line]]="","",IF(tblLines[[#This Row],[Qty delivered (units)]]="","",IF(AND(tblLines[[#This Row],[Qty delivered (units)]]&gt;=tblLines[[#This Row],[Qty ordered (units)]]*(1-UnderTol),tblLines[[#This Row],[Qty delivered (units)]]&lt;=tblLines[[#This Row],[Qty ordered (units)]]*(1+OverTol)),"Yes","No")))</f>
        <v>Yes</v>
      </c>
      <c r="L36" s="37" t="str">
        <f>IF(tblLines[[#This Row],[Order line]]="","",IF(OR(tblLines[[#This Row],[On time]]="",tblLines[[#This Row],[In full]]=""),"",IF(AND(tblLines[[#This Row],[On time]]="Yes",tblLines[[#This Row],[In full]]="Yes"),"Yes","No")))</f>
        <v>Yes</v>
      </c>
      <c r="M36" s="38">
        <f>IF(tblLines[[#This Row],[Order line]]="","",IF(tblLines[[#This Row],[OTIF]]="","",MIN(tblLines[[#This Row],[Qty delivered (units)]],tblLines[[#This Row],[Qty ordered (units)]])))</f>
        <v>80</v>
      </c>
      <c r="N36" s="28" t="s">
        <v>121</v>
      </c>
      <c r="O3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6" s="28" t="s">
        <v>121</v>
      </c>
    </row>
    <row r="37" spans="2:16">
      <c r="B37" s="28" t="s">
        <v>161</v>
      </c>
      <c r="C37" s="28" t="s">
        <v>86</v>
      </c>
      <c r="D37" s="28" t="s">
        <v>126</v>
      </c>
      <c r="E37" s="30">
        <v>80</v>
      </c>
      <c r="F37" s="35">
        <v>46244</v>
      </c>
      <c r="G37" s="35">
        <v>46244</v>
      </c>
      <c r="H37" s="30">
        <v>80</v>
      </c>
      <c r="I37" s="36">
        <f>IF(tblLines[[#This Row],[Order line]]="","",tblLines[[#This Row],[Delivered date]]-tblLines[[#This Row],[Promised date]])</f>
        <v>0</v>
      </c>
      <c r="J37" s="37" t="str">
        <f>IF(tblLines[[#This Row],[Order line]]="","",IF(OR(tblLines[[#This Row],[Promised date]]="",tblLines[[#This Row],[Delivered date]]=""),"",IF(AND(tblLines[[#This Row],[Days late]]&gt;=-EarlyDays,tblLines[[#This Row],[Days late]]&lt;=LateDays),"Yes","No")))</f>
        <v>Yes</v>
      </c>
      <c r="K37" s="37" t="str">
        <f>IF(tblLines[[#This Row],[Order line]]="","",IF(tblLines[[#This Row],[Qty delivered (units)]]="","",IF(AND(tblLines[[#This Row],[Qty delivered (units)]]&gt;=tblLines[[#This Row],[Qty ordered (units)]]*(1-UnderTol),tblLines[[#This Row],[Qty delivered (units)]]&lt;=tblLines[[#This Row],[Qty ordered (units)]]*(1+OverTol)),"Yes","No")))</f>
        <v>Yes</v>
      </c>
      <c r="L37" s="37" t="str">
        <f>IF(tblLines[[#This Row],[Order line]]="","",IF(OR(tblLines[[#This Row],[On time]]="",tblLines[[#This Row],[In full]]=""),"",IF(AND(tblLines[[#This Row],[On time]]="Yes",tblLines[[#This Row],[In full]]="Yes"),"Yes","No")))</f>
        <v>Yes</v>
      </c>
      <c r="M37" s="38">
        <f>IF(tblLines[[#This Row],[Order line]]="","",IF(tblLines[[#This Row],[OTIF]]="","",MIN(tblLines[[#This Row],[Qty delivered (units)]],tblLines[[#This Row],[Qty ordered (units)]])))</f>
        <v>80</v>
      </c>
      <c r="N37" s="28" t="s">
        <v>121</v>
      </c>
      <c r="O3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7" s="28" t="s">
        <v>121</v>
      </c>
    </row>
    <row r="38" spans="2:16">
      <c r="B38" s="28" t="s">
        <v>162</v>
      </c>
      <c r="C38" s="28" t="s">
        <v>78</v>
      </c>
      <c r="D38" s="28" t="s">
        <v>126</v>
      </c>
      <c r="E38" s="30">
        <v>240</v>
      </c>
      <c r="F38" s="35">
        <v>46246</v>
      </c>
      <c r="G38" s="35">
        <v>46246</v>
      </c>
      <c r="H38" s="30">
        <v>240</v>
      </c>
      <c r="I38" s="36">
        <f>IF(tblLines[[#This Row],[Order line]]="","",tblLines[[#This Row],[Delivered date]]-tblLines[[#This Row],[Promised date]])</f>
        <v>0</v>
      </c>
      <c r="J38" s="37" t="str">
        <f>IF(tblLines[[#This Row],[Order line]]="","",IF(OR(tblLines[[#This Row],[Promised date]]="",tblLines[[#This Row],[Delivered date]]=""),"",IF(AND(tblLines[[#This Row],[Days late]]&gt;=-EarlyDays,tblLines[[#This Row],[Days late]]&lt;=LateDays),"Yes","No")))</f>
        <v>Yes</v>
      </c>
      <c r="K38" s="37" t="str">
        <f>IF(tblLines[[#This Row],[Order line]]="","",IF(tblLines[[#This Row],[Qty delivered (units)]]="","",IF(AND(tblLines[[#This Row],[Qty delivered (units)]]&gt;=tblLines[[#This Row],[Qty ordered (units)]]*(1-UnderTol),tblLines[[#This Row],[Qty delivered (units)]]&lt;=tblLines[[#This Row],[Qty ordered (units)]]*(1+OverTol)),"Yes","No")))</f>
        <v>Yes</v>
      </c>
      <c r="L38" s="37" t="str">
        <f>IF(tblLines[[#This Row],[Order line]]="","",IF(OR(tblLines[[#This Row],[On time]]="",tblLines[[#This Row],[In full]]=""),"",IF(AND(tblLines[[#This Row],[On time]]="Yes",tblLines[[#This Row],[In full]]="Yes"),"Yes","No")))</f>
        <v>Yes</v>
      </c>
      <c r="M38" s="38">
        <f>IF(tblLines[[#This Row],[Order line]]="","",IF(tblLines[[#This Row],[OTIF]]="","",MIN(tblLines[[#This Row],[Qty delivered (units)]],tblLines[[#This Row],[Qty ordered (units)]])))</f>
        <v>240</v>
      </c>
      <c r="N38" s="28" t="s">
        <v>121</v>
      </c>
      <c r="O3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8" s="28" t="s">
        <v>121</v>
      </c>
    </row>
    <row r="39" spans="2:16">
      <c r="B39" s="28" t="s">
        <v>163</v>
      </c>
      <c r="C39" s="28" t="s">
        <v>80</v>
      </c>
      <c r="D39" s="28" t="s">
        <v>128</v>
      </c>
      <c r="E39" s="30">
        <v>150</v>
      </c>
      <c r="F39" s="35">
        <v>46244</v>
      </c>
      <c r="G39" s="35">
        <v>46244</v>
      </c>
      <c r="H39" s="30">
        <v>150</v>
      </c>
      <c r="I39" s="36">
        <f>IF(tblLines[[#This Row],[Order line]]="","",tblLines[[#This Row],[Delivered date]]-tblLines[[#This Row],[Promised date]])</f>
        <v>0</v>
      </c>
      <c r="J39" s="37" t="str">
        <f>IF(tblLines[[#This Row],[Order line]]="","",IF(OR(tblLines[[#This Row],[Promised date]]="",tblLines[[#This Row],[Delivered date]]=""),"",IF(AND(tblLines[[#This Row],[Days late]]&gt;=-EarlyDays,tblLines[[#This Row],[Days late]]&lt;=LateDays),"Yes","No")))</f>
        <v>Yes</v>
      </c>
      <c r="K39" s="37" t="str">
        <f>IF(tblLines[[#This Row],[Order line]]="","",IF(tblLines[[#This Row],[Qty delivered (units)]]="","",IF(AND(tblLines[[#This Row],[Qty delivered (units)]]&gt;=tblLines[[#This Row],[Qty ordered (units)]]*(1-UnderTol),tblLines[[#This Row],[Qty delivered (units)]]&lt;=tblLines[[#This Row],[Qty ordered (units)]]*(1+OverTol)),"Yes","No")))</f>
        <v>Yes</v>
      </c>
      <c r="L39" s="37" t="str">
        <f>IF(tblLines[[#This Row],[Order line]]="","",IF(OR(tblLines[[#This Row],[On time]]="",tblLines[[#This Row],[In full]]=""),"",IF(AND(tblLines[[#This Row],[On time]]="Yes",tblLines[[#This Row],[In full]]="Yes"),"Yes","No")))</f>
        <v>Yes</v>
      </c>
      <c r="M39" s="38">
        <f>IF(tblLines[[#This Row],[Order line]]="","",IF(tblLines[[#This Row],[OTIF]]="","",MIN(tblLines[[#This Row],[Qty delivered (units)]],tblLines[[#This Row],[Qty ordered (units)]])))</f>
        <v>150</v>
      </c>
      <c r="N39" s="28" t="s">
        <v>121</v>
      </c>
      <c r="O3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39" s="28" t="s">
        <v>121</v>
      </c>
    </row>
    <row r="40" spans="2:16">
      <c r="B40" s="28" t="s">
        <v>164</v>
      </c>
      <c r="C40" s="28" t="s">
        <v>84</v>
      </c>
      <c r="D40" s="28" t="s">
        <v>135</v>
      </c>
      <c r="E40" s="30">
        <v>100</v>
      </c>
      <c r="F40" s="35">
        <v>46247</v>
      </c>
      <c r="G40" s="35">
        <v>46247</v>
      </c>
      <c r="H40" s="30">
        <v>100</v>
      </c>
      <c r="I40" s="36">
        <f>IF(tblLines[[#This Row],[Order line]]="","",tblLines[[#This Row],[Delivered date]]-tblLines[[#This Row],[Promised date]])</f>
        <v>0</v>
      </c>
      <c r="J40" s="37" t="str">
        <f>IF(tblLines[[#This Row],[Order line]]="","",IF(OR(tblLines[[#This Row],[Promised date]]="",tblLines[[#This Row],[Delivered date]]=""),"",IF(AND(tblLines[[#This Row],[Days late]]&gt;=-EarlyDays,tblLines[[#This Row],[Days late]]&lt;=LateDays),"Yes","No")))</f>
        <v>Yes</v>
      </c>
      <c r="K40" s="37" t="str">
        <f>IF(tblLines[[#This Row],[Order line]]="","",IF(tblLines[[#This Row],[Qty delivered (units)]]="","",IF(AND(tblLines[[#This Row],[Qty delivered (units)]]&gt;=tblLines[[#This Row],[Qty ordered (units)]]*(1-UnderTol),tblLines[[#This Row],[Qty delivered (units)]]&lt;=tblLines[[#This Row],[Qty ordered (units)]]*(1+OverTol)),"Yes","No")))</f>
        <v>Yes</v>
      </c>
      <c r="L40" s="37" t="str">
        <f>IF(tblLines[[#This Row],[Order line]]="","",IF(OR(tblLines[[#This Row],[On time]]="",tblLines[[#This Row],[In full]]=""),"",IF(AND(tblLines[[#This Row],[On time]]="Yes",tblLines[[#This Row],[In full]]="Yes"),"Yes","No")))</f>
        <v>Yes</v>
      </c>
      <c r="M40" s="38">
        <f>IF(tblLines[[#This Row],[Order line]]="","",IF(tblLines[[#This Row],[OTIF]]="","",MIN(tblLines[[#This Row],[Qty delivered (units)]],tblLines[[#This Row],[Qty ordered (units)]])))</f>
        <v>100</v>
      </c>
      <c r="N40" s="28" t="s">
        <v>121</v>
      </c>
      <c r="O4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0" s="28" t="s">
        <v>121</v>
      </c>
    </row>
    <row r="41" spans="2:16">
      <c r="B41" s="28" t="s">
        <v>165</v>
      </c>
      <c r="C41" s="28" t="s">
        <v>82</v>
      </c>
      <c r="D41" s="28" t="s">
        <v>140</v>
      </c>
      <c r="E41" s="30">
        <v>120</v>
      </c>
      <c r="F41" s="35">
        <v>46247</v>
      </c>
      <c r="G41" s="35">
        <v>46247</v>
      </c>
      <c r="H41" s="30">
        <v>120</v>
      </c>
      <c r="I41" s="36">
        <f>IF(tblLines[[#This Row],[Order line]]="","",tblLines[[#This Row],[Delivered date]]-tblLines[[#This Row],[Promised date]])</f>
        <v>0</v>
      </c>
      <c r="J41" s="37" t="str">
        <f>IF(tblLines[[#This Row],[Order line]]="","",IF(OR(tblLines[[#This Row],[Promised date]]="",tblLines[[#This Row],[Delivered date]]=""),"",IF(AND(tblLines[[#This Row],[Days late]]&gt;=-EarlyDays,tblLines[[#This Row],[Days late]]&lt;=LateDays),"Yes","No")))</f>
        <v>Yes</v>
      </c>
      <c r="K41" s="37" t="str">
        <f>IF(tblLines[[#This Row],[Order line]]="","",IF(tblLines[[#This Row],[Qty delivered (units)]]="","",IF(AND(tblLines[[#This Row],[Qty delivered (units)]]&gt;=tblLines[[#This Row],[Qty ordered (units)]]*(1-UnderTol),tblLines[[#This Row],[Qty delivered (units)]]&lt;=tblLines[[#This Row],[Qty ordered (units)]]*(1+OverTol)),"Yes","No")))</f>
        <v>Yes</v>
      </c>
      <c r="L41" s="37" t="str">
        <f>IF(tblLines[[#This Row],[Order line]]="","",IF(OR(tblLines[[#This Row],[On time]]="",tblLines[[#This Row],[In full]]=""),"",IF(AND(tblLines[[#This Row],[On time]]="Yes",tblLines[[#This Row],[In full]]="Yes"),"Yes","No")))</f>
        <v>Yes</v>
      </c>
      <c r="M41" s="38">
        <f>IF(tblLines[[#This Row],[Order line]]="","",IF(tblLines[[#This Row],[OTIF]]="","",MIN(tblLines[[#This Row],[Qty delivered (units)]],tblLines[[#This Row],[Qty ordered (units)]])))</f>
        <v>120</v>
      </c>
      <c r="N41" s="28" t="s">
        <v>121</v>
      </c>
      <c r="O4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1" s="28" t="s">
        <v>121</v>
      </c>
    </row>
    <row r="42" spans="2:16">
      <c r="B42" s="28" t="s">
        <v>166</v>
      </c>
      <c r="C42" s="28" t="s">
        <v>82</v>
      </c>
      <c r="D42" s="28" t="s">
        <v>132</v>
      </c>
      <c r="E42" s="30">
        <v>50</v>
      </c>
      <c r="F42" s="35">
        <v>46253</v>
      </c>
      <c r="G42" s="35">
        <v>46255</v>
      </c>
      <c r="H42" s="30">
        <v>50</v>
      </c>
      <c r="I42" s="36">
        <f>IF(tblLines[[#This Row],[Order line]]="","",tblLines[[#This Row],[Delivered date]]-tblLines[[#This Row],[Promised date]])</f>
        <v>2</v>
      </c>
      <c r="J42" s="37" t="str">
        <f>IF(tblLines[[#This Row],[Order line]]="","",IF(OR(tblLines[[#This Row],[Promised date]]="",tblLines[[#This Row],[Delivered date]]=""),"",IF(AND(tblLines[[#This Row],[Days late]]&gt;=-EarlyDays,tblLines[[#This Row],[Days late]]&lt;=LateDays),"Yes","No")))</f>
        <v>No</v>
      </c>
      <c r="K42" s="37" t="str">
        <f>IF(tblLines[[#This Row],[Order line]]="","",IF(tblLines[[#This Row],[Qty delivered (units)]]="","",IF(AND(tblLines[[#This Row],[Qty delivered (units)]]&gt;=tblLines[[#This Row],[Qty ordered (units)]]*(1-UnderTol),tblLines[[#This Row],[Qty delivered (units)]]&lt;=tblLines[[#This Row],[Qty ordered (units)]]*(1+OverTol)),"Yes","No")))</f>
        <v>Yes</v>
      </c>
      <c r="L42" s="37" t="str">
        <f>IF(tblLines[[#This Row],[Order line]]="","",IF(OR(tblLines[[#This Row],[On time]]="",tblLines[[#This Row],[In full]]=""),"",IF(AND(tblLines[[#This Row],[On time]]="Yes",tblLines[[#This Row],[In full]]="Yes"),"Yes","No")))</f>
        <v>No</v>
      </c>
      <c r="M42" s="38">
        <f>IF(tblLines[[#This Row],[Order line]]="","",IF(tblLines[[#This Row],[OTIF]]="","",MIN(tblLines[[#This Row],[Qty delivered (units)]],tblLines[[#This Row],[Qty ordered (units)]])))</f>
        <v>50</v>
      </c>
      <c r="N42" s="28" t="s">
        <v>102</v>
      </c>
      <c r="O4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2" s="28" t="s">
        <v>121</v>
      </c>
    </row>
    <row r="43" spans="2:16">
      <c r="B43" s="28" t="s">
        <v>167</v>
      </c>
      <c r="C43" s="28" t="s">
        <v>80</v>
      </c>
      <c r="D43" s="28" t="s">
        <v>130</v>
      </c>
      <c r="E43" s="30">
        <v>400</v>
      </c>
      <c r="F43" s="35">
        <v>46253</v>
      </c>
      <c r="G43" s="35">
        <v>46253</v>
      </c>
      <c r="H43" s="30">
        <v>400</v>
      </c>
      <c r="I43" s="36">
        <f>IF(tblLines[[#This Row],[Order line]]="","",tblLines[[#This Row],[Delivered date]]-tblLines[[#This Row],[Promised date]])</f>
        <v>0</v>
      </c>
      <c r="J43" s="37" t="str">
        <f>IF(tblLines[[#This Row],[Order line]]="","",IF(OR(tblLines[[#This Row],[Promised date]]="",tblLines[[#This Row],[Delivered date]]=""),"",IF(AND(tblLines[[#This Row],[Days late]]&gt;=-EarlyDays,tblLines[[#This Row],[Days late]]&lt;=LateDays),"Yes","No")))</f>
        <v>Yes</v>
      </c>
      <c r="K43" s="37" t="str">
        <f>IF(tblLines[[#This Row],[Order line]]="","",IF(tblLines[[#This Row],[Qty delivered (units)]]="","",IF(AND(tblLines[[#This Row],[Qty delivered (units)]]&gt;=tblLines[[#This Row],[Qty ordered (units)]]*(1-UnderTol),tblLines[[#This Row],[Qty delivered (units)]]&lt;=tblLines[[#This Row],[Qty ordered (units)]]*(1+OverTol)),"Yes","No")))</f>
        <v>Yes</v>
      </c>
      <c r="L43" s="37" t="str">
        <f>IF(tblLines[[#This Row],[Order line]]="","",IF(OR(tblLines[[#This Row],[On time]]="",tblLines[[#This Row],[In full]]=""),"",IF(AND(tblLines[[#This Row],[On time]]="Yes",tblLines[[#This Row],[In full]]="Yes"),"Yes","No")))</f>
        <v>Yes</v>
      </c>
      <c r="M43" s="38">
        <f>IF(tblLines[[#This Row],[Order line]]="","",IF(tblLines[[#This Row],[OTIF]]="","",MIN(tblLines[[#This Row],[Qty delivered (units)]],tblLines[[#This Row],[Qty ordered (units)]])))</f>
        <v>400</v>
      </c>
      <c r="N43" s="28" t="s">
        <v>121</v>
      </c>
      <c r="O4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3" s="28" t="s">
        <v>121</v>
      </c>
    </row>
    <row r="44" spans="2:16">
      <c r="B44" s="28" t="s">
        <v>168</v>
      </c>
      <c r="C44" s="28" t="s">
        <v>82</v>
      </c>
      <c r="D44" s="28" t="s">
        <v>145</v>
      </c>
      <c r="E44" s="30">
        <v>50</v>
      </c>
      <c r="F44" s="35">
        <v>46251</v>
      </c>
      <c r="G44" s="35">
        <v>46251</v>
      </c>
      <c r="H44" s="30">
        <v>50</v>
      </c>
      <c r="I44" s="36">
        <f>IF(tblLines[[#This Row],[Order line]]="","",tblLines[[#This Row],[Delivered date]]-tblLines[[#This Row],[Promised date]])</f>
        <v>0</v>
      </c>
      <c r="J44" s="37" t="str">
        <f>IF(tblLines[[#This Row],[Order line]]="","",IF(OR(tblLines[[#This Row],[Promised date]]="",tblLines[[#This Row],[Delivered date]]=""),"",IF(AND(tblLines[[#This Row],[Days late]]&gt;=-EarlyDays,tblLines[[#This Row],[Days late]]&lt;=LateDays),"Yes","No")))</f>
        <v>Yes</v>
      </c>
      <c r="K44" s="37" t="str">
        <f>IF(tblLines[[#This Row],[Order line]]="","",IF(tblLines[[#This Row],[Qty delivered (units)]]="","",IF(AND(tblLines[[#This Row],[Qty delivered (units)]]&gt;=tblLines[[#This Row],[Qty ordered (units)]]*(1-UnderTol),tblLines[[#This Row],[Qty delivered (units)]]&lt;=tblLines[[#This Row],[Qty ordered (units)]]*(1+OverTol)),"Yes","No")))</f>
        <v>Yes</v>
      </c>
      <c r="L44" s="37" t="str">
        <f>IF(tblLines[[#This Row],[Order line]]="","",IF(OR(tblLines[[#This Row],[On time]]="",tblLines[[#This Row],[In full]]=""),"",IF(AND(tblLines[[#This Row],[On time]]="Yes",tblLines[[#This Row],[In full]]="Yes"),"Yes","No")))</f>
        <v>Yes</v>
      </c>
      <c r="M44" s="38">
        <f>IF(tblLines[[#This Row],[Order line]]="","",IF(tblLines[[#This Row],[OTIF]]="","",MIN(tblLines[[#This Row],[Qty delivered (units)]],tblLines[[#This Row],[Qty ordered (units)]])))</f>
        <v>50</v>
      </c>
      <c r="N44" s="28" t="s">
        <v>121</v>
      </c>
      <c r="O4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4" s="28" t="s">
        <v>121</v>
      </c>
    </row>
    <row r="45" spans="2:16">
      <c r="B45" s="28" t="s">
        <v>169</v>
      </c>
      <c r="C45" s="28" t="s">
        <v>88</v>
      </c>
      <c r="D45" s="28" t="s">
        <v>135</v>
      </c>
      <c r="E45" s="30">
        <v>50</v>
      </c>
      <c r="F45" s="35">
        <v>46253</v>
      </c>
      <c r="G45" s="35">
        <v>46253</v>
      </c>
      <c r="H45" s="30">
        <v>50</v>
      </c>
      <c r="I45" s="36">
        <f>IF(tblLines[[#This Row],[Order line]]="","",tblLines[[#This Row],[Delivered date]]-tblLines[[#This Row],[Promised date]])</f>
        <v>0</v>
      </c>
      <c r="J45" s="37" t="str">
        <f>IF(tblLines[[#This Row],[Order line]]="","",IF(OR(tblLines[[#This Row],[Promised date]]="",tblLines[[#This Row],[Delivered date]]=""),"",IF(AND(tblLines[[#This Row],[Days late]]&gt;=-EarlyDays,tblLines[[#This Row],[Days late]]&lt;=LateDays),"Yes","No")))</f>
        <v>Yes</v>
      </c>
      <c r="K45" s="37" t="str">
        <f>IF(tblLines[[#This Row],[Order line]]="","",IF(tblLines[[#This Row],[Qty delivered (units)]]="","",IF(AND(tblLines[[#This Row],[Qty delivered (units)]]&gt;=tblLines[[#This Row],[Qty ordered (units)]]*(1-UnderTol),tblLines[[#This Row],[Qty delivered (units)]]&lt;=tblLines[[#This Row],[Qty ordered (units)]]*(1+OverTol)),"Yes","No")))</f>
        <v>Yes</v>
      </c>
      <c r="L45" s="37" t="str">
        <f>IF(tblLines[[#This Row],[Order line]]="","",IF(OR(tblLines[[#This Row],[On time]]="",tblLines[[#This Row],[In full]]=""),"",IF(AND(tblLines[[#This Row],[On time]]="Yes",tblLines[[#This Row],[In full]]="Yes"),"Yes","No")))</f>
        <v>Yes</v>
      </c>
      <c r="M45" s="38">
        <f>IF(tblLines[[#This Row],[Order line]]="","",IF(tblLines[[#This Row],[OTIF]]="","",MIN(tblLines[[#This Row],[Qty delivered (units)]],tblLines[[#This Row],[Qty ordered (units)]])))</f>
        <v>50</v>
      </c>
      <c r="N45" s="28" t="s">
        <v>121</v>
      </c>
      <c r="O4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5" s="28" t="s">
        <v>121</v>
      </c>
    </row>
    <row r="46" spans="2:16">
      <c r="B46" s="28" t="s">
        <v>170</v>
      </c>
      <c r="C46" s="28" t="s">
        <v>88</v>
      </c>
      <c r="D46" s="28" t="s">
        <v>126</v>
      </c>
      <c r="E46" s="30">
        <v>240</v>
      </c>
      <c r="F46" s="35">
        <v>46251</v>
      </c>
      <c r="G46" s="35">
        <v>46251</v>
      </c>
      <c r="H46" s="30">
        <v>216</v>
      </c>
      <c r="I46" s="36">
        <f>IF(tblLines[[#This Row],[Order line]]="","",tblLines[[#This Row],[Delivered date]]-tblLines[[#This Row],[Promised date]])</f>
        <v>0</v>
      </c>
      <c r="J46" s="37" t="str">
        <f>IF(tblLines[[#This Row],[Order line]]="","",IF(OR(tblLines[[#This Row],[Promised date]]="",tblLines[[#This Row],[Delivered date]]=""),"",IF(AND(tblLines[[#This Row],[Days late]]&gt;=-EarlyDays,tblLines[[#This Row],[Days late]]&lt;=LateDays),"Yes","No")))</f>
        <v>Yes</v>
      </c>
      <c r="K46" s="37" t="str">
        <f>IF(tblLines[[#This Row],[Order line]]="","",IF(tblLines[[#This Row],[Qty delivered (units)]]="","",IF(AND(tblLines[[#This Row],[Qty delivered (units)]]&gt;=tblLines[[#This Row],[Qty ordered (units)]]*(1-UnderTol),tblLines[[#This Row],[Qty delivered (units)]]&lt;=tblLines[[#This Row],[Qty ordered (units)]]*(1+OverTol)),"Yes","No")))</f>
        <v>No</v>
      </c>
      <c r="L46" s="37" t="str">
        <f>IF(tblLines[[#This Row],[Order line]]="","",IF(OR(tblLines[[#This Row],[On time]]="",tblLines[[#This Row],[In full]]=""),"",IF(AND(tblLines[[#This Row],[On time]]="Yes",tblLines[[#This Row],[In full]]="Yes"),"Yes","No")))</f>
        <v>No</v>
      </c>
      <c r="M46" s="38">
        <f>IF(tblLines[[#This Row],[Order line]]="","",IF(tblLines[[#This Row],[OTIF]]="","",MIN(tblLines[[#This Row],[Qty delivered (units)]],tblLines[[#This Row],[Qty ordered (units)]])))</f>
        <v>216</v>
      </c>
      <c r="N46" s="28" t="s">
        <v>91</v>
      </c>
      <c r="O4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6" s="28" t="s">
        <v>121</v>
      </c>
    </row>
    <row r="47" spans="2:16">
      <c r="B47" s="28" t="s">
        <v>171</v>
      </c>
      <c r="C47" s="28" t="s">
        <v>80</v>
      </c>
      <c r="D47" s="28" t="s">
        <v>126</v>
      </c>
      <c r="E47" s="30">
        <v>400</v>
      </c>
      <c r="F47" s="35">
        <v>46251</v>
      </c>
      <c r="G47" s="35">
        <v>46251</v>
      </c>
      <c r="H47" s="30">
        <v>400</v>
      </c>
      <c r="I47" s="36">
        <f>IF(tblLines[[#This Row],[Order line]]="","",tblLines[[#This Row],[Delivered date]]-tblLines[[#This Row],[Promised date]])</f>
        <v>0</v>
      </c>
      <c r="J47" s="37" t="str">
        <f>IF(tblLines[[#This Row],[Order line]]="","",IF(OR(tblLines[[#This Row],[Promised date]]="",tblLines[[#This Row],[Delivered date]]=""),"",IF(AND(tblLines[[#This Row],[Days late]]&gt;=-EarlyDays,tblLines[[#This Row],[Days late]]&lt;=LateDays),"Yes","No")))</f>
        <v>Yes</v>
      </c>
      <c r="K47" s="37" t="str">
        <f>IF(tblLines[[#This Row],[Order line]]="","",IF(tblLines[[#This Row],[Qty delivered (units)]]="","",IF(AND(tblLines[[#This Row],[Qty delivered (units)]]&gt;=tblLines[[#This Row],[Qty ordered (units)]]*(1-UnderTol),tblLines[[#This Row],[Qty delivered (units)]]&lt;=tblLines[[#This Row],[Qty ordered (units)]]*(1+OverTol)),"Yes","No")))</f>
        <v>Yes</v>
      </c>
      <c r="L47" s="37" t="str">
        <f>IF(tblLines[[#This Row],[Order line]]="","",IF(OR(tblLines[[#This Row],[On time]]="",tblLines[[#This Row],[In full]]=""),"",IF(AND(tblLines[[#This Row],[On time]]="Yes",tblLines[[#This Row],[In full]]="Yes"),"Yes","No")))</f>
        <v>Yes</v>
      </c>
      <c r="M47" s="38">
        <f>IF(tblLines[[#This Row],[Order line]]="","",IF(tblLines[[#This Row],[OTIF]]="","",MIN(tblLines[[#This Row],[Qty delivered (units)]],tblLines[[#This Row],[Qty ordered (units)]])))</f>
        <v>400</v>
      </c>
      <c r="N47" s="28" t="s">
        <v>121</v>
      </c>
      <c r="O4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7" s="28" t="s">
        <v>121</v>
      </c>
    </row>
    <row r="48" spans="2:16">
      <c r="B48" s="28" t="s">
        <v>172</v>
      </c>
      <c r="C48" s="28" t="s">
        <v>82</v>
      </c>
      <c r="D48" s="28" t="s">
        <v>126</v>
      </c>
      <c r="E48" s="30">
        <v>500</v>
      </c>
      <c r="F48" s="35">
        <v>46252</v>
      </c>
      <c r="G48" s="35">
        <v>46252</v>
      </c>
      <c r="H48" s="30">
        <v>500</v>
      </c>
      <c r="I48" s="36">
        <f>IF(tblLines[[#This Row],[Order line]]="","",tblLines[[#This Row],[Delivered date]]-tblLines[[#This Row],[Promised date]])</f>
        <v>0</v>
      </c>
      <c r="J48" s="37" t="str">
        <f>IF(tblLines[[#This Row],[Order line]]="","",IF(OR(tblLines[[#This Row],[Promised date]]="",tblLines[[#This Row],[Delivered date]]=""),"",IF(AND(tblLines[[#This Row],[Days late]]&gt;=-EarlyDays,tblLines[[#This Row],[Days late]]&lt;=LateDays),"Yes","No")))</f>
        <v>Yes</v>
      </c>
      <c r="K48" s="37" t="str">
        <f>IF(tblLines[[#This Row],[Order line]]="","",IF(tblLines[[#This Row],[Qty delivered (units)]]="","",IF(AND(tblLines[[#This Row],[Qty delivered (units)]]&gt;=tblLines[[#This Row],[Qty ordered (units)]]*(1-UnderTol),tblLines[[#This Row],[Qty delivered (units)]]&lt;=tblLines[[#This Row],[Qty ordered (units)]]*(1+OverTol)),"Yes","No")))</f>
        <v>Yes</v>
      </c>
      <c r="L48" s="37" t="str">
        <f>IF(tblLines[[#This Row],[Order line]]="","",IF(OR(tblLines[[#This Row],[On time]]="",tblLines[[#This Row],[In full]]=""),"",IF(AND(tblLines[[#This Row],[On time]]="Yes",tblLines[[#This Row],[In full]]="Yes"),"Yes","No")))</f>
        <v>Yes</v>
      </c>
      <c r="M48" s="38">
        <f>IF(tblLines[[#This Row],[Order line]]="","",IF(tblLines[[#This Row],[OTIF]]="","",MIN(tblLines[[#This Row],[Qty delivered (units)]],tblLines[[#This Row],[Qty ordered (units)]])))</f>
        <v>500</v>
      </c>
      <c r="N48" s="28" t="s">
        <v>121</v>
      </c>
      <c r="O4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8" s="28" t="s">
        <v>121</v>
      </c>
    </row>
    <row r="49" spans="2:16">
      <c r="B49" s="28" t="s">
        <v>173</v>
      </c>
      <c r="C49" s="28" t="s">
        <v>78</v>
      </c>
      <c r="D49" s="28" t="s">
        <v>123</v>
      </c>
      <c r="E49" s="30">
        <v>100</v>
      </c>
      <c r="F49" s="35">
        <v>46253</v>
      </c>
      <c r="G49" s="35">
        <v>46253</v>
      </c>
      <c r="H49" s="30">
        <v>100</v>
      </c>
      <c r="I49" s="36">
        <f>IF(tblLines[[#This Row],[Order line]]="","",tblLines[[#This Row],[Delivered date]]-tblLines[[#This Row],[Promised date]])</f>
        <v>0</v>
      </c>
      <c r="J49" s="37" t="str">
        <f>IF(tblLines[[#This Row],[Order line]]="","",IF(OR(tblLines[[#This Row],[Promised date]]="",tblLines[[#This Row],[Delivered date]]=""),"",IF(AND(tblLines[[#This Row],[Days late]]&gt;=-EarlyDays,tblLines[[#This Row],[Days late]]&lt;=LateDays),"Yes","No")))</f>
        <v>Yes</v>
      </c>
      <c r="K49" s="37" t="str">
        <f>IF(tblLines[[#This Row],[Order line]]="","",IF(tblLines[[#This Row],[Qty delivered (units)]]="","",IF(AND(tblLines[[#This Row],[Qty delivered (units)]]&gt;=tblLines[[#This Row],[Qty ordered (units)]]*(1-UnderTol),tblLines[[#This Row],[Qty delivered (units)]]&lt;=tblLines[[#This Row],[Qty ordered (units)]]*(1+OverTol)),"Yes","No")))</f>
        <v>Yes</v>
      </c>
      <c r="L49" s="37" t="str">
        <f>IF(tblLines[[#This Row],[Order line]]="","",IF(OR(tblLines[[#This Row],[On time]]="",tblLines[[#This Row],[In full]]=""),"",IF(AND(tblLines[[#This Row],[On time]]="Yes",tblLines[[#This Row],[In full]]="Yes"),"Yes","No")))</f>
        <v>Yes</v>
      </c>
      <c r="M49" s="38">
        <f>IF(tblLines[[#This Row],[Order line]]="","",IF(tblLines[[#This Row],[OTIF]]="","",MIN(tblLines[[#This Row],[Qty delivered (units)]],tblLines[[#This Row],[Qty ordered (units)]])))</f>
        <v>100</v>
      </c>
      <c r="N49" s="28" t="s">
        <v>121</v>
      </c>
      <c r="O4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49" s="28" t="s">
        <v>121</v>
      </c>
    </row>
    <row r="50" spans="2:16">
      <c r="B50" s="28" t="s">
        <v>174</v>
      </c>
      <c r="C50" s="28" t="s">
        <v>80</v>
      </c>
      <c r="D50" s="28" t="s">
        <v>123</v>
      </c>
      <c r="E50" s="30">
        <v>80</v>
      </c>
      <c r="F50" s="35">
        <v>46254</v>
      </c>
      <c r="G50" s="35">
        <v>46254</v>
      </c>
      <c r="H50" s="30">
        <v>80</v>
      </c>
      <c r="I50" s="36">
        <f>IF(tblLines[[#This Row],[Order line]]="","",tblLines[[#This Row],[Delivered date]]-tblLines[[#This Row],[Promised date]])</f>
        <v>0</v>
      </c>
      <c r="J50" s="37" t="str">
        <f>IF(tblLines[[#This Row],[Order line]]="","",IF(OR(tblLines[[#This Row],[Promised date]]="",tblLines[[#This Row],[Delivered date]]=""),"",IF(AND(tblLines[[#This Row],[Days late]]&gt;=-EarlyDays,tblLines[[#This Row],[Days late]]&lt;=LateDays),"Yes","No")))</f>
        <v>Yes</v>
      </c>
      <c r="K50" s="37" t="str">
        <f>IF(tblLines[[#This Row],[Order line]]="","",IF(tblLines[[#This Row],[Qty delivered (units)]]="","",IF(AND(tblLines[[#This Row],[Qty delivered (units)]]&gt;=tblLines[[#This Row],[Qty ordered (units)]]*(1-UnderTol),tblLines[[#This Row],[Qty delivered (units)]]&lt;=tblLines[[#This Row],[Qty ordered (units)]]*(1+OverTol)),"Yes","No")))</f>
        <v>Yes</v>
      </c>
      <c r="L50" s="37" t="str">
        <f>IF(tblLines[[#This Row],[Order line]]="","",IF(OR(tblLines[[#This Row],[On time]]="",tblLines[[#This Row],[In full]]=""),"",IF(AND(tblLines[[#This Row],[On time]]="Yes",tblLines[[#This Row],[In full]]="Yes"),"Yes","No")))</f>
        <v>Yes</v>
      </c>
      <c r="M50" s="38">
        <f>IF(tblLines[[#This Row],[Order line]]="","",IF(tblLines[[#This Row],[OTIF]]="","",MIN(tblLines[[#This Row],[Qty delivered (units)]],tblLines[[#This Row],[Qty ordered (units)]])))</f>
        <v>80</v>
      </c>
      <c r="N50" s="28" t="s">
        <v>121</v>
      </c>
      <c r="O5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0" s="28" t="s">
        <v>121</v>
      </c>
    </row>
    <row r="51" spans="2:16">
      <c r="B51" s="28" t="s">
        <v>175</v>
      </c>
      <c r="C51" s="28" t="s">
        <v>78</v>
      </c>
      <c r="D51" s="28" t="s">
        <v>130</v>
      </c>
      <c r="E51" s="30">
        <v>120</v>
      </c>
      <c r="F51" s="35">
        <v>46252</v>
      </c>
      <c r="G51" s="35">
        <v>46252</v>
      </c>
      <c r="H51" s="30">
        <v>90</v>
      </c>
      <c r="I51" s="36">
        <f>IF(tblLines[[#This Row],[Order line]]="","",tblLines[[#This Row],[Delivered date]]-tblLines[[#This Row],[Promised date]])</f>
        <v>0</v>
      </c>
      <c r="J51" s="37" t="str">
        <f>IF(tblLines[[#This Row],[Order line]]="","",IF(OR(tblLines[[#This Row],[Promised date]]="",tblLines[[#This Row],[Delivered date]]=""),"",IF(AND(tblLines[[#This Row],[Days late]]&gt;=-EarlyDays,tblLines[[#This Row],[Days late]]&lt;=LateDays),"Yes","No")))</f>
        <v>Yes</v>
      </c>
      <c r="K51" s="37" t="str">
        <f>IF(tblLines[[#This Row],[Order line]]="","",IF(tblLines[[#This Row],[Qty delivered (units)]]="","",IF(AND(tblLines[[#This Row],[Qty delivered (units)]]&gt;=tblLines[[#This Row],[Qty ordered (units)]]*(1-UnderTol),tblLines[[#This Row],[Qty delivered (units)]]&lt;=tblLines[[#This Row],[Qty ordered (units)]]*(1+OverTol)),"Yes","No")))</f>
        <v>No</v>
      </c>
      <c r="L51" s="37" t="str">
        <f>IF(tblLines[[#This Row],[Order line]]="","",IF(OR(tblLines[[#This Row],[On time]]="",tblLines[[#This Row],[In full]]=""),"",IF(AND(tblLines[[#This Row],[On time]]="Yes",tblLines[[#This Row],[In full]]="Yes"),"Yes","No")))</f>
        <v>No</v>
      </c>
      <c r="M51" s="38">
        <f>IF(tblLines[[#This Row],[Order line]]="","",IF(tblLines[[#This Row],[OTIF]]="","",MIN(tblLines[[#This Row],[Qty delivered (units)]],tblLines[[#This Row],[Qty ordered (units)]])))</f>
        <v>90</v>
      </c>
      <c r="N51" s="28" t="s">
        <v>91</v>
      </c>
      <c r="O5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1" s="28" t="s">
        <v>121</v>
      </c>
    </row>
    <row r="52" spans="2:16">
      <c r="B52" s="28" t="s">
        <v>176</v>
      </c>
      <c r="C52" s="28" t="s">
        <v>80</v>
      </c>
      <c r="D52" s="28" t="s">
        <v>126</v>
      </c>
      <c r="E52" s="30">
        <v>240</v>
      </c>
      <c r="F52" s="35">
        <v>46253</v>
      </c>
      <c r="G52" s="35">
        <v>46251</v>
      </c>
      <c r="H52" s="30">
        <v>240</v>
      </c>
      <c r="I52" s="36">
        <f>IF(tblLines[[#This Row],[Order line]]="","",tblLines[[#This Row],[Delivered date]]-tblLines[[#This Row],[Promised date]])</f>
        <v>-2</v>
      </c>
      <c r="J52" s="37" t="str">
        <f>IF(tblLines[[#This Row],[Order line]]="","",IF(OR(tblLines[[#This Row],[Promised date]]="",tblLines[[#This Row],[Delivered date]]=""),"",IF(AND(tblLines[[#This Row],[Days late]]&gt;=-EarlyDays,tblLines[[#This Row],[Days late]]&lt;=LateDays),"Yes","No")))</f>
        <v>Yes</v>
      </c>
      <c r="K52" s="37" t="str">
        <f>IF(tblLines[[#This Row],[Order line]]="","",IF(tblLines[[#This Row],[Qty delivered (units)]]="","",IF(AND(tblLines[[#This Row],[Qty delivered (units)]]&gt;=tblLines[[#This Row],[Qty ordered (units)]]*(1-UnderTol),tblLines[[#This Row],[Qty delivered (units)]]&lt;=tblLines[[#This Row],[Qty ordered (units)]]*(1+OverTol)),"Yes","No")))</f>
        <v>Yes</v>
      </c>
      <c r="L52" s="37" t="str">
        <f>IF(tblLines[[#This Row],[Order line]]="","",IF(OR(tblLines[[#This Row],[On time]]="",tblLines[[#This Row],[In full]]=""),"",IF(AND(tblLines[[#This Row],[On time]]="Yes",tblLines[[#This Row],[In full]]="Yes"),"Yes","No")))</f>
        <v>Yes</v>
      </c>
      <c r="M52" s="38">
        <f>IF(tblLines[[#This Row],[Order line]]="","",IF(tblLines[[#This Row],[OTIF]]="","",MIN(tblLines[[#This Row],[Qty delivered (units)]],tblLines[[#This Row],[Qty ordered (units)]])))</f>
        <v>240</v>
      </c>
      <c r="N52" s="28" t="s">
        <v>121</v>
      </c>
      <c r="O5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2" s="28" t="s">
        <v>121</v>
      </c>
    </row>
    <row r="53" spans="2:16">
      <c r="B53" s="28" t="s">
        <v>177</v>
      </c>
      <c r="C53" s="28" t="s">
        <v>84</v>
      </c>
      <c r="D53" s="28" t="s">
        <v>128</v>
      </c>
      <c r="E53" s="30">
        <v>200</v>
      </c>
      <c r="F53" s="35">
        <v>46255</v>
      </c>
      <c r="G53" s="35">
        <v>46255</v>
      </c>
      <c r="H53" s="30">
        <v>150</v>
      </c>
      <c r="I53" s="36">
        <f>IF(tblLines[[#This Row],[Order line]]="","",tblLines[[#This Row],[Delivered date]]-tblLines[[#This Row],[Promised date]])</f>
        <v>0</v>
      </c>
      <c r="J53" s="37" t="str">
        <f>IF(tblLines[[#This Row],[Order line]]="","",IF(OR(tblLines[[#This Row],[Promised date]]="",tblLines[[#This Row],[Delivered date]]=""),"",IF(AND(tblLines[[#This Row],[Days late]]&gt;=-EarlyDays,tblLines[[#This Row],[Days late]]&lt;=LateDays),"Yes","No")))</f>
        <v>Yes</v>
      </c>
      <c r="K53" s="37" t="str">
        <f>IF(tblLines[[#This Row],[Order line]]="","",IF(tblLines[[#This Row],[Qty delivered (units)]]="","",IF(AND(tblLines[[#This Row],[Qty delivered (units)]]&gt;=tblLines[[#This Row],[Qty ordered (units)]]*(1-UnderTol),tblLines[[#This Row],[Qty delivered (units)]]&lt;=tblLines[[#This Row],[Qty ordered (units)]]*(1+OverTol)),"Yes","No")))</f>
        <v>No</v>
      </c>
      <c r="L53" s="37" t="str">
        <f>IF(tblLines[[#This Row],[Order line]]="","",IF(OR(tblLines[[#This Row],[On time]]="",tblLines[[#This Row],[In full]]=""),"",IF(AND(tblLines[[#This Row],[On time]]="Yes",tblLines[[#This Row],[In full]]="Yes"),"Yes","No")))</f>
        <v>No</v>
      </c>
      <c r="M53" s="38">
        <f>IF(tblLines[[#This Row],[Order line]]="","",IF(tblLines[[#This Row],[OTIF]]="","",MIN(tblLines[[#This Row],[Qty delivered (units)]],tblLines[[#This Row],[Qty ordered (units)]])))</f>
        <v>150</v>
      </c>
      <c r="N53" s="28" t="s">
        <v>91</v>
      </c>
      <c r="O5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3" s="28" t="s">
        <v>121</v>
      </c>
    </row>
    <row r="54" spans="2:16">
      <c r="B54" s="28" t="s">
        <v>178</v>
      </c>
      <c r="C54" s="28" t="s">
        <v>80</v>
      </c>
      <c r="D54" s="28" t="s">
        <v>140</v>
      </c>
      <c r="E54" s="30">
        <v>400</v>
      </c>
      <c r="F54" s="35">
        <v>46254</v>
      </c>
      <c r="G54" s="35">
        <v>46254</v>
      </c>
      <c r="H54" s="30">
        <v>400</v>
      </c>
      <c r="I54" s="36">
        <f>IF(tblLines[[#This Row],[Order line]]="","",tblLines[[#This Row],[Delivered date]]-tblLines[[#This Row],[Promised date]])</f>
        <v>0</v>
      </c>
      <c r="J54" s="37" t="str">
        <f>IF(tblLines[[#This Row],[Order line]]="","",IF(OR(tblLines[[#This Row],[Promised date]]="",tblLines[[#This Row],[Delivered date]]=""),"",IF(AND(tblLines[[#This Row],[Days late]]&gt;=-EarlyDays,tblLines[[#This Row],[Days late]]&lt;=LateDays),"Yes","No")))</f>
        <v>Yes</v>
      </c>
      <c r="K54" s="37" t="str">
        <f>IF(tblLines[[#This Row],[Order line]]="","",IF(tblLines[[#This Row],[Qty delivered (units)]]="","",IF(AND(tblLines[[#This Row],[Qty delivered (units)]]&gt;=tblLines[[#This Row],[Qty ordered (units)]]*(1-UnderTol),tblLines[[#This Row],[Qty delivered (units)]]&lt;=tblLines[[#This Row],[Qty ordered (units)]]*(1+OverTol)),"Yes","No")))</f>
        <v>Yes</v>
      </c>
      <c r="L54" s="37" t="str">
        <f>IF(tblLines[[#This Row],[Order line]]="","",IF(OR(tblLines[[#This Row],[On time]]="",tblLines[[#This Row],[In full]]=""),"",IF(AND(tblLines[[#This Row],[On time]]="Yes",tblLines[[#This Row],[In full]]="Yes"),"Yes","No")))</f>
        <v>Yes</v>
      </c>
      <c r="M54" s="38">
        <f>IF(tblLines[[#This Row],[Order line]]="","",IF(tblLines[[#This Row],[OTIF]]="","",MIN(tblLines[[#This Row],[Qty delivered (units)]],tblLines[[#This Row],[Qty ordered (units)]])))</f>
        <v>400</v>
      </c>
      <c r="N54" s="28" t="s">
        <v>121</v>
      </c>
      <c r="O5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4" s="28" t="s">
        <v>121</v>
      </c>
    </row>
    <row r="55" spans="2:16">
      <c r="B55" s="28" t="s">
        <v>179</v>
      </c>
      <c r="C55" s="28" t="s">
        <v>80</v>
      </c>
      <c r="D55" s="28" t="s">
        <v>130</v>
      </c>
      <c r="E55" s="30">
        <v>120</v>
      </c>
      <c r="F55" s="35">
        <v>46254</v>
      </c>
      <c r="G55" s="35">
        <v>46254</v>
      </c>
      <c r="H55" s="30">
        <v>120</v>
      </c>
      <c r="I55" s="36">
        <f>IF(tblLines[[#This Row],[Order line]]="","",tblLines[[#This Row],[Delivered date]]-tblLines[[#This Row],[Promised date]])</f>
        <v>0</v>
      </c>
      <c r="J55" s="37" t="str">
        <f>IF(tblLines[[#This Row],[Order line]]="","",IF(OR(tblLines[[#This Row],[Promised date]]="",tblLines[[#This Row],[Delivered date]]=""),"",IF(AND(tblLines[[#This Row],[Days late]]&gt;=-EarlyDays,tblLines[[#This Row],[Days late]]&lt;=LateDays),"Yes","No")))</f>
        <v>Yes</v>
      </c>
      <c r="K55" s="37" t="str">
        <f>IF(tblLines[[#This Row],[Order line]]="","",IF(tblLines[[#This Row],[Qty delivered (units)]]="","",IF(AND(tblLines[[#This Row],[Qty delivered (units)]]&gt;=tblLines[[#This Row],[Qty ordered (units)]]*(1-UnderTol),tblLines[[#This Row],[Qty delivered (units)]]&lt;=tblLines[[#This Row],[Qty ordered (units)]]*(1+OverTol)),"Yes","No")))</f>
        <v>Yes</v>
      </c>
      <c r="L55" s="37" t="str">
        <f>IF(tblLines[[#This Row],[Order line]]="","",IF(OR(tblLines[[#This Row],[On time]]="",tblLines[[#This Row],[In full]]=""),"",IF(AND(tblLines[[#This Row],[On time]]="Yes",tblLines[[#This Row],[In full]]="Yes"),"Yes","No")))</f>
        <v>Yes</v>
      </c>
      <c r="M55" s="38">
        <f>IF(tblLines[[#This Row],[Order line]]="","",IF(tblLines[[#This Row],[OTIF]]="","",MIN(tblLines[[#This Row],[Qty delivered (units)]],tblLines[[#This Row],[Qty ordered (units)]])))</f>
        <v>120</v>
      </c>
      <c r="N55" s="28" t="s">
        <v>121</v>
      </c>
      <c r="O5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5" s="28" t="s">
        <v>121</v>
      </c>
    </row>
    <row r="56" spans="2:16">
      <c r="B56" s="28" t="s">
        <v>180</v>
      </c>
      <c r="C56" s="28" t="s">
        <v>86</v>
      </c>
      <c r="D56" s="28" t="s">
        <v>126</v>
      </c>
      <c r="E56" s="30">
        <v>120</v>
      </c>
      <c r="F56" s="35">
        <v>46253</v>
      </c>
      <c r="G56" s="35">
        <v>46253</v>
      </c>
      <c r="H56" s="30">
        <v>72</v>
      </c>
      <c r="I56" s="36">
        <f>IF(tblLines[[#This Row],[Order line]]="","",tblLines[[#This Row],[Delivered date]]-tblLines[[#This Row],[Promised date]])</f>
        <v>0</v>
      </c>
      <c r="J56" s="37" t="str">
        <f>IF(tblLines[[#This Row],[Order line]]="","",IF(OR(tblLines[[#This Row],[Promised date]]="",tblLines[[#This Row],[Delivered date]]=""),"",IF(AND(tblLines[[#This Row],[Days late]]&gt;=-EarlyDays,tblLines[[#This Row],[Days late]]&lt;=LateDays),"Yes","No")))</f>
        <v>Yes</v>
      </c>
      <c r="K56" s="37" t="str">
        <f>IF(tblLines[[#This Row],[Order line]]="","",IF(tblLines[[#This Row],[Qty delivered (units)]]="","",IF(AND(tblLines[[#This Row],[Qty delivered (units)]]&gt;=tblLines[[#This Row],[Qty ordered (units)]]*(1-UnderTol),tblLines[[#This Row],[Qty delivered (units)]]&lt;=tblLines[[#This Row],[Qty ordered (units)]]*(1+OverTol)),"Yes","No")))</f>
        <v>No</v>
      </c>
      <c r="L56" s="37" t="str">
        <f>IF(tblLines[[#This Row],[Order line]]="","",IF(OR(tblLines[[#This Row],[On time]]="",tblLines[[#This Row],[In full]]=""),"",IF(AND(tblLines[[#This Row],[On time]]="Yes",tblLines[[#This Row],[In full]]="Yes"),"Yes","No")))</f>
        <v>No</v>
      </c>
      <c r="M56" s="38">
        <f>IF(tblLines[[#This Row],[Order line]]="","",IF(tblLines[[#This Row],[OTIF]]="","",MIN(tblLines[[#This Row],[Qty delivered (units)]],tblLines[[#This Row],[Qty ordered (units)]])))</f>
        <v>72</v>
      </c>
      <c r="N56" s="28" t="s">
        <v>91</v>
      </c>
      <c r="O5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6" s="28" t="s">
        <v>121</v>
      </c>
    </row>
    <row r="57" spans="2:16">
      <c r="B57" s="28" t="s">
        <v>181</v>
      </c>
      <c r="C57" s="28" t="s">
        <v>82</v>
      </c>
      <c r="D57" s="28" t="s">
        <v>140</v>
      </c>
      <c r="E57" s="30">
        <v>240</v>
      </c>
      <c r="F57" s="35">
        <v>46252</v>
      </c>
      <c r="G57" s="35">
        <v>46253</v>
      </c>
      <c r="H57" s="30">
        <v>240</v>
      </c>
      <c r="I57" s="36">
        <f>IF(tblLines[[#This Row],[Order line]]="","",tblLines[[#This Row],[Delivered date]]-tblLines[[#This Row],[Promised date]])</f>
        <v>1</v>
      </c>
      <c r="J57" s="37" t="str">
        <f>IF(tblLines[[#This Row],[Order line]]="","",IF(OR(tblLines[[#This Row],[Promised date]]="",tblLines[[#This Row],[Delivered date]]=""),"",IF(AND(tblLines[[#This Row],[Days late]]&gt;=-EarlyDays,tblLines[[#This Row],[Days late]]&lt;=LateDays),"Yes","No")))</f>
        <v>No</v>
      </c>
      <c r="K57" s="37" t="str">
        <f>IF(tblLines[[#This Row],[Order line]]="","",IF(tblLines[[#This Row],[Qty delivered (units)]]="","",IF(AND(tblLines[[#This Row],[Qty delivered (units)]]&gt;=tblLines[[#This Row],[Qty ordered (units)]]*(1-UnderTol),tblLines[[#This Row],[Qty delivered (units)]]&lt;=tblLines[[#This Row],[Qty ordered (units)]]*(1+OverTol)),"Yes","No")))</f>
        <v>Yes</v>
      </c>
      <c r="L57" s="37" t="str">
        <f>IF(tblLines[[#This Row],[Order line]]="","",IF(OR(tblLines[[#This Row],[On time]]="",tblLines[[#This Row],[In full]]=""),"",IF(AND(tblLines[[#This Row],[On time]]="Yes",tblLines[[#This Row],[In full]]="Yes"),"Yes","No")))</f>
        <v>No</v>
      </c>
      <c r="M57" s="38">
        <f>IF(tblLines[[#This Row],[Order line]]="","",IF(tblLines[[#This Row],[OTIF]]="","",MIN(tblLines[[#This Row],[Qty delivered (units)]],tblLines[[#This Row],[Qty ordered (units)]])))</f>
        <v>240</v>
      </c>
      <c r="N57" s="28" t="s">
        <v>95</v>
      </c>
      <c r="O5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7" s="28" t="s">
        <v>121</v>
      </c>
    </row>
    <row r="58" spans="2:16">
      <c r="B58" s="28" t="s">
        <v>182</v>
      </c>
      <c r="C58" s="28" t="s">
        <v>80</v>
      </c>
      <c r="D58" s="28" t="s">
        <v>138</v>
      </c>
      <c r="E58" s="30">
        <v>240</v>
      </c>
      <c r="F58" s="35">
        <v>46252</v>
      </c>
      <c r="G58" s="35">
        <v>46252</v>
      </c>
      <c r="H58" s="30">
        <v>192</v>
      </c>
      <c r="I58" s="36">
        <f>IF(tblLines[[#This Row],[Order line]]="","",tblLines[[#This Row],[Delivered date]]-tblLines[[#This Row],[Promised date]])</f>
        <v>0</v>
      </c>
      <c r="J58" s="37" t="str">
        <f>IF(tblLines[[#This Row],[Order line]]="","",IF(OR(tblLines[[#This Row],[Promised date]]="",tblLines[[#This Row],[Delivered date]]=""),"",IF(AND(tblLines[[#This Row],[Days late]]&gt;=-EarlyDays,tblLines[[#This Row],[Days late]]&lt;=LateDays),"Yes","No")))</f>
        <v>Yes</v>
      </c>
      <c r="K58" s="37" t="str">
        <f>IF(tblLines[[#This Row],[Order line]]="","",IF(tblLines[[#This Row],[Qty delivered (units)]]="","",IF(AND(tblLines[[#This Row],[Qty delivered (units)]]&gt;=tblLines[[#This Row],[Qty ordered (units)]]*(1-UnderTol),tblLines[[#This Row],[Qty delivered (units)]]&lt;=tblLines[[#This Row],[Qty ordered (units)]]*(1+OverTol)),"Yes","No")))</f>
        <v>No</v>
      </c>
      <c r="L58" s="37" t="str">
        <f>IF(tblLines[[#This Row],[Order line]]="","",IF(OR(tblLines[[#This Row],[On time]]="",tblLines[[#This Row],[In full]]=""),"",IF(AND(tblLines[[#This Row],[On time]]="Yes",tblLines[[#This Row],[In full]]="Yes"),"Yes","No")))</f>
        <v>No</v>
      </c>
      <c r="M58" s="38">
        <f>IF(tblLines[[#This Row],[Order line]]="","",IF(tblLines[[#This Row],[OTIF]]="","",MIN(tblLines[[#This Row],[Qty delivered (units)]],tblLines[[#This Row],[Qty ordered (units)]])))</f>
        <v>192</v>
      </c>
      <c r="N58" s="28" t="s">
        <v>91</v>
      </c>
      <c r="O5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8" s="28" t="s">
        <v>121</v>
      </c>
    </row>
    <row r="59" spans="2:16">
      <c r="B59" s="28" t="s">
        <v>183</v>
      </c>
      <c r="C59" s="28" t="s">
        <v>84</v>
      </c>
      <c r="D59" s="28" t="s">
        <v>128</v>
      </c>
      <c r="E59" s="30">
        <v>120</v>
      </c>
      <c r="F59" s="35">
        <v>46252</v>
      </c>
      <c r="G59" s="35">
        <v>46251</v>
      </c>
      <c r="H59" s="30">
        <v>120</v>
      </c>
      <c r="I59" s="36">
        <f>IF(tblLines[[#This Row],[Order line]]="","",tblLines[[#This Row],[Delivered date]]-tblLines[[#This Row],[Promised date]])</f>
        <v>-1</v>
      </c>
      <c r="J59" s="37" t="str">
        <f>IF(tblLines[[#This Row],[Order line]]="","",IF(OR(tblLines[[#This Row],[Promised date]]="",tblLines[[#This Row],[Delivered date]]=""),"",IF(AND(tblLines[[#This Row],[Days late]]&gt;=-EarlyDays,tblLines[[#This Row],[Days late]]&lt;=LateDays),"Yes","No")))</f>
        <v>Yes</v>
      </c>
      <c r="K59" s="37" t="str">
        <f>IF(tblLines[[#This Row],[Order line]]="","",IF(tblLines[[#This Row],[Qty delivered (units)]]="","",IF(AND(tblLines[[#This Row],[Qty delivered (units)]]&gt;=tblLines[[#This Row],[Qty ordered (units)]]*(1-UnderTol),tblLines[[#This Row],[Qty delivered (units)]]&lt;=tblLines[[#This Row],[Qty ordered (units)]]*(1+OverTol)),"Yes","No")))</f>
        <v>Yes</v>
      </c>
      <c r="L59" s="37" t="str">
        <f>IF(tblLines[[#This Row],[Order line]]="","",IF(OR(tblLines[[#This Row],[On time]]="",tblLines[[#This Row],[In full]]=""),"",IF(AND(tblLines[[#This Row],[On time]]="Yes",tblLines[[#This Row],[In full]]="Yes"),"Yes","No")))</f>
        <v>Yes</v>
      </c>
      <c r="M59" s="38">
        <f>IF(tblLines[[#This Row],[Order line]]="","",IF(tblLines[[#This Row],[OTIF]]="","",MIN(tblLines[[#This Row],[Qty delivered (units)]],tblLines[[#This Row],[Qty ordered (units)]])))</f>
        <v>120</v>
      </c>
      <c r="N59" s="28" t="s">
        <v>121</v>
      </c>
      <c r="O5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59" s="28" t="s">
        <v>121</v>
      </c>
    </row>
    <row r="60" spans="2:16">
      <c r="B60" s="28" t="s">
        <v>184</v>
      </c>
      <c r="C60" s="28" t="s">
        <v>86</v>
      </c>
      <c r="D60" s="28" t="s">
        <v>135</v>
      </c>
      <c r="E60" s="30">
        <v>500</v>
      </c>
      <c r="F60" s="35">
        <v>46258</v>
      </c>
      <c r="G60" s="35">
        <v>46256</v>
      </c>
      <c r="H60" s="30">
        <v>500</v>
      </c>
      <c r="I60" s="36">
        <f>IF(tblLines[[#This Row],[Order line]]="","",tblLines[[#This Row],[Delivered date]]-tblLines[[#This Row],[Promised date]])</f>
        <v>-2</v>
      </c>
      <c r="J60" s="37" t="str">
        <f>IF(tblLines[[#This Row],[Order line]]="","",IF(OR(tblLines[[#This Row],[Promised date]]="",tblLines[[#This Row],[Delivered date]]=""),"",IF(AND(tblLines[[#This Row],[Days late]]&gt;=-EarlyDays,tblLines[[#This Row],[Days late]]&lt;=LateDays),"Yes","No")))</f>
        <v>Yes</v>
      </c>
      <c r="K60" s="37" t="str">
        <f>IF(tblLines[[#This Row],[Order line]]="","",IF(tblLines[[#This Row],[Qty delivered (units)]]="","",IF(AND(tblLines[[#This Row],[Qty delivered (units)]]&gt;=tblLines[[#This Row],[Qty ordered (units)]]*(1-UnderTol),tblLines[[#This Row],[Qty delivered (units)]]&lt;=tblLines[[#This Row],[Qty ordered (units)]]*(1+OverTol)),"Yes","No")))</f>
        <v>Yes</v>
      </c>
      <c r="L60" s="37" t="str">
        <f>IF(tblLines[[#This Row],[Order line]]="","",IF(OR(tblLines[[#This Row],[On time]]="",tblLines[[#This Row],[In full]]=""),"",IF(AND(tblLines[[#This Row],[On time]]="Yes",tblLines[[#This Row],[In full]]="Yes"),"Yes","No")))</f>
        <v>Yes</v>
      </c>
      <c r="M60" s="38">
        <f>IF(tblLines[[#This Row],[Order line]]="","",IF(tblLines[[#This Row],[OTIF]]="","",MIN(tblLines[[#This Row],[Qty delivered (units)]],tblLines[[#This Row],[Qty ordered (units)]])))</f>
        <v>500</v>
      </c>
      <c r="N60" s="28" t="s">
        <v>121</v>
      </c>
      <c r="O6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0" s="28" t="s">
        <v>121</v>
      </c>
    </row>
    <row r="61" spans="2:16">
      <c r="B61" s="28" t="s">
        <v>185</v>
      </c>
      <c r="C61" s="28" t="s">
        <v>82</v>
      </c>
      <c r="D61" s="28" t="s">
        <v>130</v>
      </c>
      <c r="E61" s="30">
        <v>300</v>
      </c>
      <c r="F61" s="35">
        <v>46258</v>
      </c>
      <c r="G61" s="35">
        <v>46258</v>
      </c>
      <c r="H61" s="30">
        <v>290</v>
      </c>
      <c r="I61" s="36">
        <f>IF(tblLines[[#This Row],[Order line]]="","",tblLines[[#This Row],[Delivered date]]-tblLines[[#This Row],[Promised date]])</f>
        <v>0</v>
      </c>
      <c r="J61" s="37" t="str">
        <f>IF(tblLines[[#This Row],[Order line]]="","",IF(OR(tblLines[[#This Row],[Promised date]]="",tblLines[[#This Row],[Delivered date]]=""),"",IF(AND(tblLines[[#This Row],[Days late]]&gt;=-EarlyDays,tblLines[[#This Row],[Days late]]&lt;=LateDays),"Yes","No")))</f>
        <v>Yes</v>
      </c>
      <c r="K61" s="37" t="str">
        <f>IF(tblLines[[#This Row],[Order line]]="","",IF(tblLines[[#This Row],[Qty delivered (units)]]="","",IF(AND(tblLines[[#This Row],[Qty delivered (units)]]&gt;=tblLines[[#This Row],[Qty ordered (units)]]*(1-UnderTol),tblLines[[#This Row],[Qty delivered (units)]]&lt;=tblLines[[#This Row],[Qty ordered (units)]]*(1+OverTol)),"Yes","No")))</f>
        <v>No</v>
      </c>
      <c r="L61" s="37" t="str">
        <f>IF(tblLines[[#This Row],[Order line]]="","",IF(OR(tblLines[[#This Row],[On time]]="",tblLines[[#This Row],[In full]]=""),"",IF(AND(tblLines[[#This Row],[On time]]="Yes",tblLines[[#This Row],[In full]]="Yes"),"Yes","No")))</f>
        <v>No</v>
      </c>
      <c r="M61" s="38">
        <f>IF(tblLines[[#This Row],[Order line]]="","",IF(tblLines[[#This Row],[OTIF]]="","",MIN(tblLines[[#This Row],[Qty delivered (units)]],tblLines[[#This Row],[Qty ordered (units)]])))</f>
        <v>290</v>
      </c>
      <c r="N61" s="28" t="s">
        <v>99</v>
      </c>
      <c r="O6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1" s="28" t="s">
        <v>121</v>
      </c>
    </row>
    <row r="62" spans="2:16">
      <c r="B62" s="28" t="s">
        <v>186</v>
      </c>
      <c r="C62" s="28" t="s">
        <v>86</v>
      </c>
      <c r="D62" s="28" t="s">
        <v>126</v>
      </c>
      <c r="E62" s="30">
        <v>120</v>
      </c>
      <c r="F62" s="35">
        <v>46261</v>
      </c>
      <c r="G62" s="35">
        <v>46261</v>
      </c>
      <c r="H62" s="30">
        <v>120</v>
      </c>
      <c r="I62" s="36">
        <f>IF(tblLines[[#This Row],[Order line]]="","",tblLines[[#This Row],[Delivered date]]-tblLines[[#This Row],[Promised date]])</f>
        <v>0</v>
      </c>
      <c r="J62" s="37" t="str">
        <f>IF(tblLines[[#This Row],[Order line]]="","",IF(OR(tblLines[[#This Row],[Promised date]]="",tblLines[[#This Row],[Delivered date]]=""),"",IF(AND(tblLines[[#This Row],[Days late]]&gt;=-EarlyDays,tblLines[[#This Row],[Days late]]&lt;=LateDays),"Yes","No")))</f>
        <v>Yes</v>
      </c>
      <c r="K62" s="37" t="str">
        <f>IF(tblLines[[#This Row],[Order line]]="","",IF(tblLines[[#This Row],[Qty delivered (units)]]="","",IF(AND(tblLines[[#This Row],[Qty delivered (units)]]&gt;=tblLines[[#This Row],[Qty ordered (units)]]*(1-UnderTol),tblLines[[#This Row],[Qty delivered (units)]]&lt;=tblLines[[#This Row],[Qty ordered (units)]]*(1+OverTol)),"Yes","No")))</f>
        <v>Yes</v>
      </c>
      <c r="L62" s="37" t="str">
        <f>IF(tblLines[[#This Row],[Order line]]="","",IF(OR(tblLines[[#This Row],[On time]]="",tblLines[[#This Row],[In full]]=""),"",IF(AND(tblLines[[#This Row],[On time]]="Yes",tblLines[[#This Row],[In full]]="Yes"),"Yes","No")))</f>
        <v>Yes</v>
      </c>
      <c r="M62" s="38">
        <f>IF(tblLines[[#This Row],[Order line]]="","",IF(tblLines[[#This Row],[OTIF]]="","",MIN(tblLines[[#This Row],[Qty delivered (units)]],tblLines[[#This Row],[Qty ordered (units)]])))</f>
        <v>120</v>
      </c>
      <c r="N62" s="28" t="s">
        <v>121</v>
      </c>
      <c r="O6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2" s="28" t="s">
        <v>121</v>
      </c>
    </row>
    <row r="63" spans="2:16">
      <c r="B63" s="28" t="s">
        <v>187</v>
      </c>
      <c r="C63" s="28" t="s">
        <v>78</v>
      </c>
      <c r="D63" s="28" t="s">
        <v>123</v>
      </c>
      <c r="E63" s="30">
        <v>50</v>
      </c>
      <c r="F63" s="35">
        <v>46262</v>
      </c>
      <c r="G63" s="35">
        <v>46262</v>
      </c>
      <c r="H63" s="30">
        <v>40</v>
      </c>
      <c r="I63" s="36">
        <f>IF(tblLines[[#This Row],[Order line]]="","",tblLines[[#This Row],[Delivered date]]-tblLines[[#This Row],[Promised date]])</f>
        <v>0</v>
      </c>
      <c r="J63" s="37" t="str">
        <f>IF(tblLines[[#This Row],[Order line]]="","",IF(OR(tblLines[[#This Row],[Promised date]]="",tblLines[[#This Row],[Delivered date]]=""),"",IF(AND(tblLines[[#This Row],[Days late]]&gt;=-EarlyDays,tblLines[[#This Row],[Days late]]&lt;=LateDays),"Yes","No")))</f>
        <v>Yes</v>
      </c>
      <c r="K63" s="37" t="str">
        <f>IF(tblLines[[#This Row],[Order line]]="","",IF(tblLines[[#This Row],[Qty delivered (units)]]="","",IF(AND(tblLines[[#This Row],[Qty delivered (units)]]&gt;=tblLines[[#This Row],[Qty ordered (units)]]*(1-UnderTol),tblLines[[#This Row],[Qty delivered (units)]]&lt;=tblLines[[#This Row],[Qty ordered (units)]]*(1+OverTol)),"Yes","No")))</f>
        <v>No</v>
      </c>
      <c r="L63" s="37" t="str">
        <f>IF(tblLines[[#This Row],[Order line]]="","",IF(OR(tblLines[[#This Row],[On time]]="",tblLines[[#This Row],[In full]]=""),"",IF(AND(tblLines[[#This Row],[On time]]="Yes",tblLines[[#This Row],[In full]]="Yes"),"Yes","No")))</f>
        <v>No</v>
      </c>
      <c r="M63" s="38">
        <f>IF(tblLines[[#This Row],[Order line]]="","",IF(tblLines[[#This Row],[OTIF]]="","",MIN(tblLines[[#This Row],[Qty delivered (units)]],tblLines[[#This Row],[Qty ordered (units)]])))</f>
        <v>40</v>
      </c>
      <c r="N63" s="28" t="s">
        <v>91</v>
      </c>
      <c r="O6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3" s="28" t="s">
        <v>121</v>
      </c>
    </row>
    <row r="64" spans="2:16">
      <c r="B64" s="28" t="s">
        <v>188</v>
      </c>
      <c r="C64" s="28" t="s">
        <v>78</v>
      </c>
      <c r="D64" s="28" t="s">
        <v>126</v>
      </c>
      <c r="E64" s="30">
        <v>200</v>
      </c>
      <c r="F64" s="35">
        <v>46260</v>
      </c>
      <c r="G64" s="35">
        <v>46260</v>
      </c>
      <c r="H64" s="30">
        <v>160</v>
      </c>
      <c r="I64" s="36">
        <f>IF(tblLines[[#This Row],[Order line]]="","",tblLines[[#This Row],[Delivered date]]-tblLines[[#This Row],[Promised date]])</f>
        <v>0</v>
      </c>
      <c r="J64" s="37" t="str">
        <f>IF(tblLines[[#This Row],[Order line]]="","",IF(OR(tblLines[[#This Row],[Promised date]]="",tblLines[[#This Row],[Delivered date]]=""),"",IF(AND(tblLines[[#This Row],[Days late]]&gt;=-EarlyDays,tblLines[[#This Row],[Days late]]&lt;=LateDays),"Yes","No")))</f>
        <v>Yes</v>
      </c>
      <c r="K64" s="37" t="str">
        <f>IF(tblLines[[#This Row],[Order line]]="","",IF(tblLines[[#This Row],[Qty delivered (units)]]="","",IF(AND(tblLines[[#This Row],[Qty delivered (units)]]&gt;=tblLines[[#This Row],[Qty ordered (units)]]*(1-UnderTol),tblLines[[#This Row],[Qty delivered (units)]]&lt;=tblLines[[#This Row],[Qty ordered (units)]]*(1+OverTol)),"Yes","No")))</f>
        <v>No</v>
      </c>
      <c r="L64" s="37" t="str">
        <f>IF(tblLines[[#This Row],[Order line]]="","",IF(OR(tblLines[[#This Row],[On time]]="",tblLines[[#This Row],[In full]]=""),"",IF(AND(tblLines[[#This Row],[On time]]="Yes",tblLines[[#This Row],[In full]]="Yes"),"Yes","No")))</f>
        <v>No</v>
      </c>
      <c r="M64" s="38">
        <f>IF(tblLines[[#This Row],[Order line]]="","",IF(tblLines[[#This Row],[OTIF]]="","",MIN(tblLines[[#This Row],[Qty delivered (units)]],tblLines[[#This Row],[Qty ordered (units)]])))</f>
        <v>160</v>
      </c>
      <c r="N64" s="28" t="s">
        <v>91</v>
      </c>
      <c r="O6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4" s="28" t="s">
        <v>121</v>
      </c>
    </row>
    <row r="65" spans="2:16">
      <c r="B65" s="28" t="s">
        <v>189</v>
      </c>
      <c r="C65" s="28" t="s">
        <v>84</v>
      </c>
      <c r="D65" s="28" t="s">
        <v>128</v>
      </c>
      <c r="E65" s="30">
        <v>500</v>
      </c>
      <c r="F65" s="35">
        <v>46259</v>
      </c>
      <c r="G65" s="35">
        <v>46258</v>
      </c>
      <c r="H65" s="30">
        <v>500</v>
      </c>
      <c r="I65" s="36">
        <f>IF(tblLines[[#This Row],[Order line]]="","",tblLines[[#This Row],[Delivered date]]-tblLines[[#This Row],[Promised date]])</f>
        <v>-1</v>
      </c>
      <c r="J65" s="37" t="str">
        <f>IF(tblLines[[#This Row],[Order line]]="","",IF(OR(tblLines[[#This Row],[Promised date]]="",tblLines[[#This Row],[Delivered date]]=""),"",IF(AND(tblLines[[#This Row],[Days late]]&gt;=-EarlyDays,tblLines[[#This Row],[Days late]]&lt;=LateDays),"Yes","No")))</f>
        <v>Yes</v>
      </c>
      <c r="K65" s="37" t="str">
        <f>IF(tblLines[[#This Row],[Order line]]="","",IF(tblLines[[#This Row],[Qty delivered (units)]]="","",IF(AND(tblLines[[#This Row],[Qty delivered (units)]]&gt;=tblLines[[#This Row],[Qty ordered (units)]]*(1-UnderTol),tblLines[[#This Row],[Qty delivered (units)]]&lt;=tblLines[[#This Row],[Qty ordered (units)]]*(1+OverTol)),"Yes","No")))</f>
        <v>Yes</v>
      </c>
      <c r="L65" s="37" t="str">
        <f>IF(tblLines[[#This Row],[Order line]]="","",IF(OR(tblLines[[#This Row],[On time]]="",tblLines[[#This Row],[In full]]=""),"",IF(AND(tblLines[[#This Row],[On time]]="Yes",tblLines[[#This Row],[In full]]="Yes"),"Yes","No")))</f>
        <v>Yes</v>
      </c>
      <c r="M65" s="38">
        <f>IF(tblLines[[#This Row],[Order line]]="","",IF(tblLines[[#This Row],[OTIF]]="","",MIN(tblLines[[#This Row],[Qty delivered (units)]],tblLines[[#This Row],[Qty ordered (units)]])))</f>
        <v>500</v>
      </c>
      <c r="N65" s="28" t="s">
        <v>121</v>
      </c>
      <c r="O6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5" s="28" t="s">
        <v>121</v>
      </c>
    </row>
    <row r="66" spans="2:16">
      <c r="B66" s="28" t="s">
        <v>190</v>
      </c>
      <c r="C66" s="28" t="s">
        <v>86</v>
      </c>
      <c r="D66" s="28" t="s">
        <v>138</v>
      </c>
      <c r="E66" s="30">
        <v>200</v>
      </c>
      <c r="F66" s="35">
        <v>46261</v>
      </c>
      <c r="G66" s="35">
        <v>46261</v>
      </c>
      <c r="H66" s="30">
        <v>200</v>
      </c>
      <c r="I66" s="36">
        <f>IF(tblLines[[#This Row],[Order line]]="","",tblLines[[#This Row],[Delivered date]]-tblLines[[#This Row],[Promised date]])</f>
        <v>0</v>
      </c>
      <c r="J66" s="37" t="str">
        <f>IF(tblLines[[#This Row],[Order line]]="","",IF(OR(tblLines[[#This Row],[Promised date]]="",tblLines[[#This Row],[Delivered date]]=""),"",IF(AND(tblLines[[#This Row],[Days late]]&gt;=-EarlyDays,tblLines[[#This Row],[Days late]]&lt;=LateDays),"Yes","No")))</f>
        <v>Yes</v>
      </c>
      <c r="K66" s="37" t="str">
        <f>IF(tblLines[[#This Row],[Order line]]="","",IF(tblLines[[#This Row],[Qty delivered (units)]]="","",IF(AND(tblLines[[#This Row],[Qty delivered (units)]]&gt;=tblLines[[#This Row],[Qty ordered (units)]]*(1-UnderTol),tblLines[[#This Row],[Qty delivered (units)]]&lt;=tblLines[[#This Row],[Qty ordered (units)]]*(1+OverTol)),"Yes","No")))</f>
        <v>Yes</v>
      </c>
      <c r="L66" s="37" t="str">
        <f>IF(tblLines[[#This Row],[Order line]]="","",IF(OR(tblLines[[#This Row],[On time]]="",tblLines[[#This Row],[In full]]=""),"",IF(AND(tblLines[[#This Row],[On time]]="Yes",tblLines[[#This Row],[In full]]="Yes"),"Yes","No")))</f>
        <v>Yes</v>
      </c>
      <c r="M66" s="38">
        <f>IF(tblLines[[#This Row],[Order line]]="","",IF(tblLines[[#This Row],[OTIF]]="","",MIN(tblLines[[#This Row],[Qty delivered (units)]],tblLines[[#This Row],[Qty ordered (units)]])))</f>
        <v>200</v>
      </c>
      <c r="N66" s="28" t="s">
        <v>121</v>
      </c>
      <c r="O6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6" s="28" t="s">
        <v>121</v>
      </c>
    </row>
    <row r="67" spans="2:16">
      <c r="B67" s="28" t="s">
        <v>191</v>
      </c>
      <c r="C67" s="28" t="s">
        <v>78</v>
      </c>
      <c r="D67" s="28" t="s">
        <v>140</v>
      </c>
      <c r="E67" s="30">
        <v>150</v>
      </c>
      <c r="F67" s="35">
        <v>46262</v>
      </c>
      <c r="G67" s="35">
        <v>46262</v>
      </c>
      <c r="H67" s="30">
        <v>150</v>
      </c>
      <c r="I67" s="36">
        <f>IF(tblLines[[#This Row],[Order line]]="","",tblLines[[#This Row],[Delivered date]]-tblLines[[#This Row],[Promised date]])</f>
        <v>0</v>
      </c>
      <c r="J67" s="37" t="str">
        <f>IF(tblLines[[#This Row],[Order line]]="","",IF(OR(tblLines[[#This Row],[Promised date]]="",tblLines[[#This Row],[Delivered date]]=""),"",IF(AND(tblLines[[#This Row],[Days late]]&gt;=-EarlyDays,tblLines[[#This Row],[Days late]]&lt;=LateDays),"Yes","No")))</f>
        <v>Yes</v>
      </c>
      <c r="K67" s="37" t="str">
        <f>IF(tblLines[[#This Row],[Order line]]="","",IF(tblLines[[#This Row],[Qty delivered (units)]]="","",IF(AND(tblLines[[#This Row],[Qty delivered (units)]]&gt;=tblLines[[#This Row],[Qty ordered (units)]]*(1-UnderTol),tblLines[[#This Row],[Qty delivered (units)]]&lt;=tblLines[[#This Row],[Qty ordered (units)]]*(1+OverTol)),"Yes","No")))</f>
        <v>Yes</v>
      </c>
      <c r="L67" s="37" t="str">
        <f>IF(tblLines[[#This Row],[Order line]]="","",IF(OR(tblLines[[#This Row],[On time]]="",tblLines[[#This Row],[In full]]=""),"",IF(AND(tblLines[[#This Row],[On time]]="Yes",tblLines[[#This Row],[In full]]="Yes"),"Yes","No")))</f>
        <v>Yes</v>
      </c>
      <c r="M67" s="38">
        <f>IF(tblLines[[#This Row],[Order line]]="","",IF(tblLines[[#This Row],[OTIF]]="","",MIN(tblLines[[#This Row],[Qty delivered (units)]],tblLines[[#This Row],[Qty ordered (units)]])))</f>
        <v>150</v>
      </c>
      <c r="N67" s="28" t="s">
        <v>121</v>
      </c>
      <c r="O6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7" s="28" t="s">
        <v>121</v>
      </c>
    </row>
    <row r="68" spans="2:16">
      <c r="B68" s="28" t="s">
        <v>192</v>
      </c>
      <c r="C68" s="28" t="s">
        <v>80</v>
      </c>
      <c r="D68" s="28" t="s">
        <v>123</v>
      </c>
      <c r="E68" s="30">
        <v>400</v>
      </c>
      <c r="F68" s="35">
        <v>46261</v>
      </c>
      <c r="G68" s="35">
        <v>46261</v>
      </c>
      <c r="H68" s="30">
        <v>400</v>
      </c>
      <c r="I68" s="36">
        <f>IF(tblLines[[#This Row],[Order line]]="","",tblLines[[#This Row],[Delivered date]]-tblLines[[#This Row],[Promised date]])</f>
        <v>0</v>
      </c>
      <c r="J68" s="37" t="str">
        <f>IF(tblLines[[#This Row],[Order line]]="","",IF(OR(tblLines[[#This Row],[Promised date]]="",tblLines[[#This Row],[Delivered date]]=""),"",IF(AND(tblLines[[#This Row],[Days late]]&gt;=-EarlyDays,tblLines[[#This Row],[Days late]]&lt;=LateDays),"Yes","No")))</f>
        <v>Yes</v>
      </c>
      <c r="K68" s="37" t="str">
        <f>IF(tblLines[[#This Row],[Order line]]="","",IF(tblLines[[#This Row],[Qty delivered (units)]]="","",IF(AND(tblLines[[#This Row],[Qty delivered (units)]]&gt;=tblLines[[#This Row],[Qty ordered (units)]]*(1-UnderTol),tblLines[[#This Row],[Qty delivered (units)]]&lt;=tblLines[[#This Row],[Qty ordered (units)]]*(1+OverTol)),"Yes","No")))</f>
        <v>Yes</v>
      </c>
      <c r="L68" s="37" t="str">
        <f>IF(tblLines[[#This Row],[Order line]]="","",IF(OR(tblLines[[#This Row],[On time]]="",tblLines[[#This Row],[In full]]=""),"",IF(AND(tblLines[[#This Row],[On time]]="Yes",tblLines[[#This Row],[In full]]="Yes"),"Yes","No")))</f>
        <v>Yes</v>
      </c>
      <c r="M68" s="38">
        <f>IF(tblLines[[#This Row],[Order line]]="","",IF(tblLines[[#This Row],[OTIF]]="","",MIN(tblLines[[#This Row],[Qty delivered (units)]],tblLines[[#This Row],[Qty ordered (units)]])))</f>
        <v>400</v>
      </c>
      <c r="N68" s="28" t="s">
        <v>121</v>
      </c>
      <c r="O6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8" s="28" t="s">
        <v>121</v>
      </c>
    </row>
    <row r="69" spans="2:16">
      <c r="B69" s="28" t="s">
        <v>193</v>
      </c>
      <c r="C69" s="28" t="s">
        <v>80</v>
      </c>
      <c r="D69" s="28" t="s">
        <v>135</v>
      </c>
      <c r="E69" s="30">
        <v>120</v>
      </c>
      <c r="F69" s="35">
        <v>46262</v>
      </c>
      <c r="G69" s="35">
        <v>46262</v>
      </c>
      <c r="H69" s="30">
        <v>90</v>
      </c>
      <c r="I69" s="36">
        <f>IF(tblLines[[#This Row],[Order line]]="","",tblLines[[#This Row],[Delivered date]]-tblLines[[#This Row],[Promised date]])</f>
        <v>0</v>
      </c>
      <c r="J69" s="37" t="str">
        <f>IF(tblLines[[#This Row],[Order line]]="","",IF(OR(tblLines[[#This Row],[Promised date]]="",tblLines[[#This Row],[Delivered date]]=""),"",IF(AND(tblLines[[#This Row],[Days late]]&gt;=-EarlyDays,tblLines[[#This Row],[Days late]]&lt;=LateDays),"Yes","No")))</f>
        <v>Yes</v>
      </c>
      <c r="K69" s="37" t="str">
        <f>IF(tblLines[[#This Row],[Order line]]="","",IF(tblLines[[#This Row],[Qty delivered (units)]]="","",IF(AND(tblLines[[#This Row],[Qty delivered (units)]]&gt;=tblLines[[#This Row],[Qty ordered (units)]]*(1-UnderTol),tblLines[[#This Row],[Qty delivered (units)]]&lt;=tblLines[[#This Row],[Qty ordered (units)]]*(1+OverTol)),"Yes","No")))</f>
        <v>No</v>
      </c>
      <c r="L69" s="37" t="str">
        <f>IF(tblLines[[#This Row],[Order line]]="","",IF(OR(tblLines[[#This Row],[On time]]="",tblLines[[#This Row],[In full]]=""),"",IF(AND(tblLines[[#This Row],[On time]]="Yes",tblLines[[#This Row],[In full]]="Yes"),"Yes","No")))</f>
        <v>No</v>
      </c>
      <c r="M69" s="38">
        <f>IF(tblLines[[#This Row],[Order line]]="","",IF(tblLines[[#This Row],[OTIF]]="","",MIN(tblLines[[#This Row],[Qty delivered (units)]],tblLines[[#This Row],[Qty ordered (units)]])))</f>
        <v>90</v>
      </c>
      <c r="N69" s="28" t="s">
        <v>91</v>
      </c>
      <c r="O6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69" s="28" t="s">
        <v>121</v>
      </c>
    </row>
    <row r="70" spans="2:16">
      <c r="B70" s="28" t="s">
        <v>194</v>
      </c>
      <c r="C70" s="28" t="s">
        <v>80</v>
      </c>
      <c r="D70" s="28" t="s">
        <v>130</v>
      </c>
      <c r="E70" s="30">
        <v>100</v>
      </c>
      <c r="F70" s="35">
        <v>46260</v>
      </c>
      <c r="G70" s="35">
        <v>46260</v>
      </c>
      <c r="H70" s="30">
        <v>60</v>
      </c>
      <c r="I70" s="36">
        <f>IF(tblLines[[#This Row],[Order line]]="","",tblLines[[#This Row],[Delivered date]]-tblLines[[#This Row],[Promised date]])</f>
        <v>0</v>
      </c>
      <c r="J70" s="37" t="str">
        <f>IF(tblLines[[#This Row],[Order line]]="","",IF(OR(tblLines[[#This Row],[Promised date]]="",tblLines[[#This Row],[Delivered date]]=""),"",IF(AND(tblLines[[#This Row],[Days late]]&gt;=-EarlyDays,tblLines[[#This Row],[Days late]]&lt;=LateDays),"Yes","No")))</f>
        <v>Yes</v>
      </c>
      <c r="K70" s="37" t="str">
        <f>IF(tblLines[[#This Row],[Order line]]="","",IF(tblLines[[#This Row],[Qty delivered (units)]]="","",IF(AND(tblLines[[#This Row],[Qty delivered (units)]]&gt;=tblLines[[#This Row],[Qty ordered (units)]]*(1-UnderTol),tblLines[[#This Row],[Qty delivered (units)]]&lt;=tblLines[[#This Row],[Qty ordered (units)]]*(1+OverTol)),"Yes","No")))</f>
        <v>No</v>
      </c>
      <c r="L70" s="37" t="str">
        <f>IF(tblLines[[#This Row],[Order line]]="","",IF(OR(tblLines[[#This Row],[On time]]="",tblLines[[#This Row],[In full]]=""),"",IF(AND(tblLines[[#This Row],[On time]]="Yes",tblLines[[#This Row],[In full]]="Yes"),"Yes","No")))</f>
        <v>No</v>
      </c>
      <c r="M70" s="38">
        <f>IF(tblLines[[#This Row],[Order line]]="","",IF(tblLines[[#This Row],[OTIF]]="","",MIN(tblLines[[#This Row],[Qty delivered (units)]],tblLines[[#This Row],[Qty ordered (units)]])))</f>
        <v>60</v>
      </c>
      <c r="N70" s="28" t="s">
        <v>91</v>
      </c>
      <c r="O7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0" s="28" t="s">
        <v>121</v>
      </c>
    </row>
    <row r="71" spans="2:16">
      <c r="B71" s="28" t="s">
        <v>195</v>
      </c>
      <c r="C71" s="28" t="s">
        <v>84</v>
      </c>
      <c r="D71" s="28" t="s">
        <v>126</v>
      </c>
      <c r="E71" s="30">
        <v>150</v>
      </c>
      <c r="F71" s="35">
        <v>46260</v>
      </c>
      <c r="G71" s="35">
        <v>46260</v>
      </c>
      <c r="H71" s="30">
        <v>150</v>
      </c>
      <c r="I71" s="36">
        <f>IF(tblLines[[#This Row],[Order line]]="","",tblLines[[#This Row],[Delivered date]]-tblLines[[#This Row],[Promised date]])</f>
        <v>0</v>
      </c>
      <c r="J71" s="37" t="str">
        <f>IF(tblLines[[#This Row],[Order line]]="","",IF(OR(tblLines[[#This Row],[Promised date]]="",tblLines[[#This Row],[Delivered date]]=""),"",IF(AND(tblLines[[#This Row],[Days late]]&gt;=-EarlyDays,tblLines[[#This Row],[Days late]]&lt;=LateDays),"Yes","No")))</f>
        <v>Yes</v>
      </c>
      <c r="K71" s="37" t="str">
        <f>IF(tblLines[[#This Row],[Order line]]="","",IF(tblLines[[#This Row],[Qty delivered (units)]]="","",IF(AND(tblLines[[#This Row],[Qty delivered (units)]]&gt;=tblLines[[#This Row],[Qty ordered (units)]]*(1-UnderTol),tblLines[[#This Row],[Qty delivered (units)]]&lt;=tblLines[[#This Row],[Qty ordered (units)]]*(1+OverTol)),"Yes","No")))</f>
        <v>Yes</v>
      </c>
      <c r="L71" s="37" t="str">
        <f>IF(tblLines[[#This Row],[Order line]]="","",IF(OR(tblLines[[#This Row],[On time]]="",tblLines[[#This Row],[In full]]=""),"",IF(AND(tblLines[[#This Row],[On time]]="Yes",tblLines[[#This Row],[In full]]="Yes"),"Yes","No")))</f>
        <v>Yes</v>
      </c>
      <c r="M71" s="38">
        <f>IF(tblLines[[#This Row],[Order line]]="","",IF(tblLines[[#This Row],[OTIF]]="","",MIN(tblLines[[#This Row],[Qty delivered (units)]],tblLines[[#This Row],[Qty ordered (units)]])))</f>
        <v>150</v>
      </c>
      <c r="N71" s="28" t="s">
        <v>121</v>
      </c>
      <c r="O7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1" s="28" t="s">
        <v>121</v>
      </c>
    </row>
    <row r="72" spans="2:16">
      <c r="B72" s="28" t="s">
        <v>196</v>
      </c>
      <c r="C72" s="28" t="s">
        <v>88</v>
      </c>
      <c r="D72" s="28" t="s">
        <v>138</v>
      </c>
      <c r="E72" s="30">
        <v>50</v>
      </c>
      <c r="F72" s="35">
        <v>46260</v>
      </c>
      <c r="G72" s="35">
        <v>46258</v>
      </c>
      <c r="H72" s="30">
        <v>50</v>
      </c>
      <c r="I72" s="36">
        <f>IF(tblLines[[#This Row],[Order line]]="","",tblLines[[#This Row],[Delivered date]]-tblLines[[#This Row],[Promised date]])</f>
        <v>-2</v>
      </c>
      <c r="J72" s="37" t="str">
        <f>IF(tblLines[[#This Row],[Order line]]="","",IF(OR(tblLines[[#This Row],[Promised date]]="",tblLines[[#This Row],[Delivered date]]=""),"",IF(AND(tblLines[[#This Row],[Days late]]&gt;=-EarlyDays,tblLines[[#This Row],[Days late]]&lt;=LateDays),"Yes","No")))</f>
        <v>Yes</v>
      </c>
      <c r="K72" s="37" t="str">
        <f>IF(tblLines[[#This Row],[Order line]]="","",IF(tblLines[[#This Row],[Qty delivered (units)]]="","",IF(AND(tblLines[[#This Row],[Qty delivered (units)]]&gt;=tblLines[[#This Row],[Qty ordered (units)]]*(1-UnderTol),tblLines[[#This Row],[Qty delivered (units)]]&lt;=tblLines[[#This Row],[Qty ordered (units)]]*(1+OverTol)),"Yes","No")))</f>
        <v>Yes</v>
      </c>
      <c r="L72" s="37" t="str">
        <f>IF(tblLines[[#This Row],[Order line]]="","",IF(OR(tblLines[[#This Row],[On time]]="",tblLines[[#This Row],[In full]]=""),"",IF(AND(tblLines[[#This Row],[On time]]="Yes",tblLines[[#This Row],[In full]]="Yes"),"Yes","No")))</f>
        <v>Yes</v>
      </c>
      <c r="M72" s="38">
        <f>IF(tblLines[[#This Row],[Order line]]="","",IF(tblLines[[#This Row],[OTIF]]="","",MIN(tblLines[[#This Row],[Qty delivered (units)]],tblLines[[#This Row],[Qty ordered (units)]])))</f>
        <v>50</v>
      </c>
      <c r="N72" s="28" t="s">
        <v>121</v>
      </c>
      <c r="O7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2" s="28" t="s">
        <v>121</v>
      </c>
    </row>
    <row r="73" spans="2:16">
      <c r="B73" s="28" t="s">
        <v>197</v>
      </c>
      <c r="C73" s="28" t="s">
        <v>80</v>
      </c>
      <c r="D73" s="28" t="s">
        <v>130</v>
      </c>
      <c r="E73" s="30">
        <v>240</v>
      </c>
      <c r="F73" s="35">
        <v>46260</v>
      </c>
      <c r="G73" s="35">
        <v>46260</v>
      </c>
      <c r="H73" s="30">
        <v>144</v>
      </c>
      <c r="I73" s="36">
        <f>IF(tblLines[[#This Row],[Order line]]="","",tblLines[[#This Row],[Delivered date]]-tblLines[[#This Row],[Promised date]])</f>
        <v>0</v>
      </c>
      <c r="J73" s="37" t="str">
        <f>IF(tblLines[[#This Row],[Order line]]="","",IF(OR(tblLines[[#This Row],[Promised date]]="",tblLines[[#This Row],[Delivered date]]=""),"",IF(AND(tblLines[[#This Row],[Days late]]&gt;=-EarlyDays,tblLines[[#This Row],[Days late]]&lt;=LateDays),"Yes","No")))</f>
        <v>Yes</v>
      </c>
      <c r="K73" s="37" t="str">
        <f>IF(tblLines[[#This Row],[Order line]]="","",IF(tblLines[[#This Row],[Qty delivered (units)]]="","",IF(AND(tblLines[[#This Row],[Qty delivered (units)]]&gt;=tblLines[[#This Row],[Qty ordered (units)]]*(1-UnderTol),tblLines[[#This Row],[Qty delivered (units)]]&lt;=tblLines[[#This Row],[Qty ordered (units)]]*(1+OverTol)),"Yes","No")))</f>
        <v>No</v>
      </c>
      <c r="L73" s="37" t="str">
        <f>IF(tblLines[[#This Row],[Order line]]="","",IF(OR(tblLines[[#This Row],[On time]]="",tblLines[[#This Row],[In full]]=""),"",IF(AND(tblLines[[#This Row],[On time]]="Yes",tblLines[[#This Row],[In full]]="Yes"),"Yes","No")))</f>
        <v>No</v>
      </c>
      <c r="M73" s="38">
        <f>IF(tblLines[[#This Row],[Order line]]="","",IF(tblLines[[#This Row],[OTIF]]="","",MIN(tblLines[[#This Row],[Qty delivered (units)]],tblLines[[#This Row],[Qty ordered (units)]])))</f>
        <v>144</v>
      </c>
      <c r="N73" s="28" t="s">
        <v>91</v>
      </c>
      <c r="O7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3" s="28" t="s">
        <v>121</v>
      </c>
    </row>
    <row r="74" spans="2:16">
      <c r="B74" s="28" t="s">
        <v>198</v>
      </c>
      <c r="C74" s="28" t="s">
        <v>84</v>
      </c>
      <c r="D74" s="28" t="s">
        <v>120</v>
      </c>
      <c r="E74" s="30">
        <v>150</v>
      </c>
      <c r="F74" s="35">
        <v>46260</v>
      </c>
      <c r="G74" s="35">
        <v>46260</v>
      </c>
      <c r="H74" s="30">
        <v>150</v>
      </c>
      <c r="I74" s="36">
        <f>IF(tblLines[[#This Row],[Order line]]="","",tblLines[[#This Row],[Delivered date]]-tblLines[[#This Row],[Promised date]])</f>
        <v>0</v>
      </c>
      <c r="J74" s="37" t="str">
        <f>IF(tblLines[[#This Row],[Order line]]="","",IF(OR(tblLines[[#This Row],[Promised date]]="",tblLines[[#This Row],[Delivered date]]=""),"",IF(AND(tblLines[[#This Row],[Days late]]&gt;=-EarlyDays,tblLines[[#This Row],[Days late]]&lt;=LateDays),"Yes","No")))</f>
        <v>Yes</v>
      </c>
      <c r="K74" s="37" t="str">
        <f>IF(tblLines[[#This Row],[Order line]]="","",IF(tblLines[[#This Row],[Qty delivered (units)]]="","",IF(AND(tblLines[[#This Row],[Qty delivered (units)]]&gt;=tblLines[[#This Row],[Qty ordered (units)]]*(1-UnderTol),tblLines[[#This Row],[Qty delivered (units)]]&lt;=tblLines[[#This Row],[Qty ordered (units)]]*(1+OverTol)),"Yes","No")))</f>
        <v>Yes</v>
      </c>
      <c r="L74" s="37" t="str">
        <f>IF(tblLines[[#This Row],[Order line]]="","",IF(OR(tblLines[[#This Row],[On time]]="",tblLines[[#This Row],[In full]]=""),"",IF(AND(tblLines[[#This Row],[On time]]="Yes",tblLines[[#This Row],[In full]]="Yes"),"Yes","No")))</f>
        <v>Yes</v>
      </c>
      <c r="M74" s="38">
        <f>IF(tblLines[[#This Row],[Order line]]="","",IF(tblLines[[#This Row],[OTIF]]="","",MIN(tblLines[[#This Row],[Qty delivered (units)]],tblLines[[#This Row],[Qty ordered (units)]])))</f>
        <v>150</v>
      </c>
      <c r="N74" s="28" t="s">
        <v>121</v>
      </c>
      <c r="O7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4" s="28" t="s">
        <v>121</v>
      </c>
    </row>
    <row r="75" spans="2:16">
      <c r="B75" s="28" t="s">
        <v>199</v>
      </c>
      <c r="C75" s="28" t="s">
        <v>86</v>
      </c>
      <c r="D75" s="28" t="s">
        <v>132</v>
      </c>
      <c r="E75" s="30">
        <v>100</v>
      </c>
      <c r="F75" s="35">
        <v>46262</v>
      </c>
      <c r="G75" s="35">
        <v>46263</v>
      </c>
      <c r="H75" s="30">
        <v>100</v>
      </c>
      <c r="I75" s="36">
        <f>IF(tblLines[[#This Row],[Order line]]="","",tblLines[[#This Row],[Delivered date]]-tblLines[[#This Row],[Promised date]])</f>
        <v>1</v>
      </c>
      <c r="J75" s="37" t="str">
        <f>IF(tblLines[[#This Row],[Order line]]="","",IF(OR(tblLines[[#This Row],[Promised date]]="",tblLines[[#This Row],[Delivered date]]=""),"",IF(AND(tblLines[[#This Row],[Days late]]&gt;=-EarlyDays,tblLines[[#This Row],[Days late]]&lt;=LateDays),"Yes","No")))</f>
        <v>No</v>
      </c>
      <c r="K75" s="37" t="str">
        <f>IF(tblLines[[#This Row],[Order line]]="","",IF(tblLines[[#This Row],[Qty delivered (units)]]="","",IF(AND(tblLines[[#This Row],[Qty delivered (units)]]&gt;=tblLines[[#This Row],[Qty ordered (units)]]*(1-UnderTol),tblLines[[#This Row],[Qty delivered (units)]]&lt;=tblLines[[#This Row],[Qty ordered (units)]]*(1+OverTol)),"Yes","No")))</f>
        <v>Yes</v>
      </c>
      <c r="L75" s="37" t="str">
        <f>IF(tblLines[[#This Row],[Order line]]="","",IF(OR(tblLines[[#This Row],[On time]]="",tblLines[[#This Row],[In full]]=""),"",IF(AND(tblLines[[#This Row],[On time]]="Yes",tblLines[[#This Row],[In full]]="Yes"),"Yes","No")))</f>
        <v>No</v>
      </c>
      <c r="M75" s="38">
        <f>IF(tblLines[[#This Row],[Order line]]="","",IF(tblLines[[#This Row],[OTIF]]="","",MIN(tblLines[[#This Row],[Qty delivered (units)]],tblLines[[#This Row],[Qty ordered (units)]])))</f>
        <v>100</v>
      </c>
      <c r="N75" s="28" t="s">
        <v>97</v>
      </c>
      <c r="O7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5" s="28" t="s">
        <v>121</v>
      </c>
    </row>
    <row r="76" spans="2:16">
      <c r="B76" s="28" t="s">
        <v>200</v>
      </c>
      <c r="C76" s="28" t="s">
        <v>86</v>
      </c>
      <c r="D76" s="28" t="s">
        <v>138</v>
      </c>
      <c r="E76" s="30">
        <v>50</v>
      </c>
      <c r="F76" s="35">
        <v>46260</v>
      </c>
      <c r="G76" s="35">
        <v>46260</v>
      </c>
      <c r="H76" s="30">
        <v>50</v>
      </c>
      <c r="I76" s="36">
        <f>IF(tblLines[[#This Row],[Order line]]="","",tblLines[[#This Row],[Delivered date]]-tblLines[[#This Row],[Promised date]])</f>
        <v>0</v>
      </c>
      <c r="J76" s="37" t="str">
        <f>IF(tblLines[[#This Row],[Order line]]="","",IF(OR(tblLines[[#This Row],[Promised date]]="",tblLines[[#This Row],[Delivered date]]=""),"",IF(AND(tblLines[[#This Row],[Days late]]&gt;=-EarlyDays,tblLines[[#This Row],[Days late]]&lt;=LateDays),"Yes","No")))</f>
        <v>Yes</v>
      </c>
      <c r="K76" s="37" t="str">
        <f>IF(tblLines[[#This Row],[Order line]]="","",IF(tblLines[[#This Row],[Qty delivered (units)]]="","",IF(AND(tblLines[[#This Row],[Qty delivered (units)]]&gt;=tblLines[[#This Row],[Qty ordered (units)]]*(1-UnderTol),tblLines[[#This Row],[Qty delivered (units)]]&lt;=tblLines[[#This Row],[Qty ordered (units)]]*(1+OverTol)),"Yes","No")))</f>
        <v>Yes</v>
      </c>
      <c r="L76" s="37" t="str">
        <f>IF(tblLines[[#This Row],[Order line]]="","",IF(OR(tblLines[[#This Row],[On time]]="",tblLines[[#This Row],[In full]]=""),"",IF(AND(tblLines[[#This Row],[On time]]="Yes",tblLines[[#This Row],[In full]]="Yes"),"Yes","No")))</f>
        <v>Yes</v>
      </c>
      <c r="M76" s="38">
        <f>IF(tblLines[[#This Row],[Order line]]="","",IF(tblLines[[#This Row],[OTIF]]="","",MIN(tblLines[[#This Row],[Qty delivered (units)]],tblLines[[#This Row],[Qty ordered (units)]])))</f>
        <v>50</v>
      </c>
      <c r="N76" s="28" t="s">
        <v>121</v>
      </c>
      <c r="O7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6" s="28" t="s">
        <v>121</v>
      </c>
    </row>
    <row r="77" spans="2:16">
      <c r="B77" s="28" t="s">
        <v>201</v>
      </c>
      <c r="C77" s="28" t="s">
        <v>80</v>
      </c>
      <c r="D77" s="28" t="s">
        <v>145</v>
      </c>
      <c r="E77" s="30">
        <v>100</v>
      </c>
      <c r="F77" s="35">
        <v>46260</v>
      </c>
      <c r="G77" s="35">
        <v>46259</v>
      </c>
      <c r="H77" s="30">
        <v>100</v>
      </c>
      <c r="I77" s="36">
        <f>IF(tblLines[[#This Row],[Order line]]="","",tblLines[[#This Row],[Delivered date]]-tblLines[[#This Row],[Promised date]])</f>
        <v>-1</v>
      </c>
      <c r="J77" s="37" t="str">
        <f>IF(tblLines[[#This Row],[Order line]]="","",IF(OR(tblLines[[#This Row],[Promised date]]="",tblLines[[#This Row],[Delivered date]]=""),"",IF(AND(tblLines[[#This Row],[Days late]]&gt;=-EarlyDays,tblLines[[#This Row],[Days late]]&lt;=LateDays),"Yes","No")))</f>
        <v>Yes</v>
      </c>
      <c r="K77" s="37" t="str">
        <f>IF(tblLines[[#This Row],[Order line]]="","",IF(tblLines[[#This Row],[Qty delivered (units)]]="","",IF(AND(tblLines[[#This Row],[Qty delivered (units)]]&gt;=tblLines[[#This Row],[Qty ordered (units)]]*(1-UnderTol),tblLines[[#This Row],[Qty delivered (units)]]&lt;=tblLines[[#This Row],[Qty ordered (units)]]*(1+OverTol)),"Yes","No")))</f>
        <v>Yes</v>
      </c>
      <c r="L77" s="37" t="str">
        <f>IF(tblLines[[#This Row],[Order line]]="","",IF(OR(tblLines[[#This Row],[On time]]="",tblLines[[#This Row],[In full]]=""),"",IF(AND(tblLines[[#This Row],[On time]]="Yes",tblLines[[#This Row],[In full]]="Yes"),"Yes","No")))</f>
        <v>Yes</v>
      </c>
      <c r="M77" s="38">
        <f>IF(tblLines[[#This Row],[Order line]]="","",IF(tblLines[[#This Row],[OTIF]]="","",MIN(tblLines[[#This Row],[Qty delivered (units)]],tblLines[[#This Row],[Qty ordered (units)]])))</f>
        <v>100</v>
      </c>
      <c r="N77" s="28" t="s">
        <v>121</v>
      </c>
      <c r="O7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7" s="28" t="s">
        <v>121</v>
      </c>
    </row>
    <row r="78" spans="2:16">
      <c r="B78" s="28" t="s">
        <v>202</v>
      </c>
      <c r="C78" s="28" t="s">
        <v>82</v>
      </c>
      <c r="D78" s="28" t="s">
        <v>126</v>
      </c>
      <c r="E78" s="30">
        <v>200</v>
      </c>
      <c r="F78" s="35">
        <v>46267</v>
      </c>
      <c r="G78" s="35">
        <v>46264</v>
      </c>
      <c r="H78" s="30">
        <v>200</v>
      </c>
      <c r="I78" s="36">
        <f>IF(tblLines[[#This Row],[Order line]]="","",tblLines[[#This Row],[Delivered date]]-tblLines[[#This Row],[Promised date]])</f>
        <v>-3</v>
      </c>
      <c r="J78" s="37" t="str">
        <f>IF(tblLines[[#This Row],[Order line]]="","",IF(OR(tblLines[[#This Row],[Promised date]]="",tblLines[[#This Row],[Delivered date]]=""),"",IF(AND(tblLines[[#This Row],[Days late]]&gt;=-EarlyDays,tblLines[[#This Row],[Days late]]&lt;=LateDays),"Yes","No")))</f>
        <v>No</v>
      </c>
      <c r="K78" s="37" t="str">
        <f>IF(tblLines[[#This Row],[Order line]]="","",IF(tblLines[[#This Row],[Qty delivered (units)]]="","",IF(AND(tblLines[[#This Row],[Qty delivered (units)]]&gt;=tblLines[[#This Row],[Qty ordered (units)]]*(1-UnderTol),tblLines[[#This Row],[Qty delivered (units)]]&lt;=tblLines[[#This Row],[Qty ordered (units)]]*(1+OverTol)),"Yes","No")))</f>
        <v>Yes</v>
      </c>
      <c r="L78" s="37" t="str">
        <f>IF(tblLines[[#This Row],[Order line]]="","",IF(OR(tblLines[[#This Row],[On time]]="",tblLines[[#This Row],[In full]]=""),"",IF(AND(tblLines[[#This Row],[On time]]="Yes",tblLines[[#This Row],[In full]]="Yes"),"Yes","No")))</f>
        <v>No</v>
      </c>
      <c r="M78" s="38">
        <f>IF(tblLines[[#This Row],[Order line]]="","",IF(tblLines[[#This Row],[OTIF]]="","",MIN(tblLines[[#This Row],[Qty delivered (units)]],tblLines[[#This Row],[Qty ordered (units)]])))</f>
        <v>200</v>
      </c>
      <c r="N78" s="28" t="s">
        <v>101</v>
      </c>
      <c r="O7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8" s="28" t="s">
        <v>121</v>
      </c>
    </row>
    <row r="79" spans="2:16">
      <c r="B79" s="28" t="s">
        <v>203</v>
      </c>
      <c r="C79" s="28" t="s">
        <v>78</v>
      </c>
      <c r="D79" s="28" t="s">
        <v>138</v>
      </c>
      <c r="E79" s="30">
        <v>120</v>
      </c>
      <c r="F79" s="35">
        <v>46266</v>
      </c>
      <c r="G79" s="35">
        <v>46266</v>
      </c>
      <c r="H79" s="30">
        <v>120</v>
      </c>
      <c r="I79" s="36">
        <f>IF(tblLines[[#This Row],[Order line]]="","",tblLines[[#This Row],[Delivered date]]-tblLines[[#This Row],[Promised date]])</f>
        <v>0</v>
      </c>
      <c r="J79" s="37" t="str">
        <f>IF(tblLines[[#This Row],[Order line]]="","",IF(OR(tblLines[[#This Row],[Promised date]]="",tblLines[[#This Row],[Delivered date]]=""),"",IF(AND(tblLines[[#This Row],[Days late]]&gt;=-EarlyDays,tblLines[[#This Row],[Days late]]&lt;=LateDays),"Yes","No")))</f>
        <v>Yes</v>
      </c>
      <c r="K79" s="37" t="str">
        <f>IF(tblLines[[#This Row],[Order line]]="","",IF(tblLines[[#This Row],[Qty delivered (units)]]="","",IF(AND(tblLines[[#This Row],[Qty delivered (units)]]&gt;=tblLines[[#This Row],[Qty ordered (units)]]*(1-UnderTol),tblLines[[#This Row],[Qty delivered (units)]]&lt;=tblLines[[#This Row],[Qty ordered (units)]]*(1+OverTol)),"Yes","No")))</f>
        <v>Yes</v>
      </c>
      <c r="L79" s="37" t="str">
        <f>IF(tblLines[[#This Row],[Order line]]="","",IF(OR(tblLines[[#This Row],[On time]]="",tblLines[[#This Row],[In full]]=""),"",IF(AND(tblLines[[#This Row],[On time]]="Yes",tblLines[[#This Row],[In full]]="Yes"),"Yes","No")))</f>
        <v>Yes</v>
      </c>
      <c r="M79" s="38">
        <f>IF(tblLines[[#This Row],[Order line]]="","",IF(tblLines[[#This Row],[OTIF]]="","",MIN(tblLines[[#This Row],[Qty delivered (units)]],tblLines[[#This Row],[Qty ordered (units)]])))</f>
        <v>120</v>
      </c>
      <c r="N79" s="28" t="s">
        <v>121</v>
      </c>
      <c r="O7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79" s="28" t="s">
        <v>121</v>
      </c>
    </row>
    <row r="80" spans="2:16">
      <c r="B80" s="28" t="s">
        <v>204</v>
      </c>
      <c r="C80" s="28" t="s">
        <v>88</v>
      </c>
      <c r="D80" s="28" t="s">
        <v>120</v>
      </c>
      <c r="E80" s="30">
        <v>400</v>
      </c>
      <c r="F80" s="35">
        <v>46267</v>
      </c>
      <c r="G80" s="35">
        <v>46265</v>
      </c>
      <c r="H80" s="30">
        <v>400</v>
      </c>
      <c r="I80" s="36">
        <f>IF(tblLines[[#This Row],[Order line]]="","",tblLines[[#This Row],[Delivered date]]-tblLines[[#This Row],[Promised date]])</f>
        <v>-2</v>
      </c>
      <c r="J80" s="37" t="str">
        <f>IF(tblLines[[#This Row],[Order line]]="","",IF(OR(tblLines[[#This Row],[Promised date]]="",tblLines[[#This Row],[Delivered date]]=""),"",IF(AND(tblLines[[#This Row],[Days late]]&gt;=-EarlyDays,tblLines[[#This Row],[Days late]]&lt;=LateDays),"Yes","No")))</f>
        <v>Yes</v>
      </c>
      <c r="K80" s="37" t="str">
        <f>IF(tblLines[[#This Row],[Order line]]="","",IF(tblLines[[#This Row],[Qty delivered (units)]]="","",IF(AND(tblLines[[#This Row],[Qty delivered (units)]]&gt;=tblLines[[#This Row],[Qty ordered (units)]]*(1-UnderTol),tblLines[[#This Row],[Qty delivered (units)]]&lt;=tblLines[[#This Row],[Qty ordered (units)]]*(1+OverTol)),"Yes","No")))</f>
        <v>Yes</v>
      </c>
      <c r="L80" s="37" t="str">
        <f>IF(tblLines[[#This Row],[Order line]]="","",IF(OR(tblLines[[#This Row],[On time]]="",tblLines[[#This Row],[In full]]=""),"",IF(AND(tblLines[[#This Row],[On time]]="Yes",tblLines[[#This Row],[In full]]="Yes"),"Yes","No")))</f>
        <v>Yes</v>
      </c>
      <c r="M80" s="38">
        <f>IF(tblLines[[#This Row],[Order line]]="","",IF(tblLines[[#This Row],[OTIF]]="","",MIN(tblLines[[#This Row],[Qty delivered (units)]],tblLines[[#This Row],[Qty ordered (units)]])))</f>
        <v>400</v>
      </c>
      <c r="N80" s="28" t="s">
        <v>121</v>
      </c>
      <c r="O8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0" s="28" t="s">
        <v>121</v>
      </c>
    </row>
    <row r="81" spans="2:16">
      <c r="B81" s="28" t="s">
        <v>205</v>
      </c>
      <c r="C81" s="28" t="s">
        <v>78</v>
      </c>
      <c r="D81" s="28" t="s">
        <v>128</v>
      </c>
      <c r="E81" s="30">
        <v>400</v>
      </c>
      <c r="F81" s="35">
        <v>46269</v>
      </c>
      <c r="G81" s="35">
        <v>46268</v>
      </c>
      <c r="H81" s="30">
        <v>320</v>
      </c>
      <c r="I81" s="36">
        <f>IF(tblLines[[#This Row],[Order line]]="","",tblLines[[#This Row],[Delivered date]]-tblLines[[#This Row],[Promised date]])</f>
        <v>-1</v>
      </c>
      <c r="J81" s="37" t="str">
        <f>IF(tblLines[[#This Row],[Order line]]="","",IF(OR(tblLines[[#This Row],[Promised date]]="",tblLines[[#This Row],[Delivered date]]=""),"",IF(AND(tblLines[[#This Row],[Days late]]&gt;=-EarlyDays,tblLines[[#This Row],[Days late]]&lt;=LateDays),"Yes","No")))</f>
        <v>Yes</v>
      </c>
      <c r="K81" s="37" t="str">
        <f>IF(tblLines[[#This Row],[Order line]]="","",IF(tblLines[[#This Row],[Qty delivered (units)]]="","",IF(AND(tblLines[[#This Row],[Qty delivered (units)]]&gt;=tblLines[[#This Row],[Qty ordered (units)]]*(1-UnderTol),tblLines[[#This Row],[Qty delivered (units)]]&lt;=tblLines[[#This Row],[Qty ordered (units)]]*(1+OverTol)),"Yes","No")))</f>
        <v>No</v>
      </c>
      <c r="L81" s="37" t="str">
        <f>IF(tblLines[[#This Row],[Order line]]="","",IF(OR(tblLines[[#This Row],[On time]]="",tblLines[[#This Row],[In full]]=""),"",IF(AND(tblLines[[#This Row],[On time]]="Yes",tblLines[[#This Row],[In full]]="Yes"),"Yes","No")))</f>
        <v>No</v>
      </c>
      <c r="M81" s="38">
        <f>IF(tblLines[[#This Row],[Order line]]="","",IF(tblLines[[#This Row],[OTIF]]="","",MIN(tblLines[[#This Row],[Qty delivered (units)]],tblLines[[#This Row],[Qty ordered (units)]])))</f>
        <v>320</v>
      </c>
      <c r="N81" s="28" t="s">
        <v>91</v>
      </c>
      <c r="O8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1" s="28" t="s">
        <v>121</v>
      </c>
    </row>
    <row r="82" spans="2:16">
      <c r="B82" s="28" t="s">
        <v>206</v>
      </c>
      <c r="C82" s="28" t="s">
        <v>80</v>
      </c>
      <c r="D82" s="28" t="s">
        <v>126</v>
      </c>
      <c r="E82" s="30">
        <v>50</v>
      </c>
      <c r="F82" s="35">
        <v>46269</v>
      </c>
      <c r="G82" s="35">
        <v>46267</v>
      </c>
      <c r="H82" s="30">
        <v>50</v>
      </c>
      <c r="I82" s="36">
        <f>IF(tblLines[[#This Row],[Order line]]="","",tblLines[[#This Row],[Delivered date]]-tblLines[[#This Row],[Promised date]])</f>
        <v>-2</v>
      </c>
      <c r="J82" s="37" t="str">
        <f>IF(tblLines[[#This Row],[Order line]]="","",IF(OR(tblLines[[#This Row],[Promised date]]="",tblLines[[#This Row],[Delivered date]]=""),"",IF(AND(tblLines[[#This Row],[Days late]]&gt;=-EarlyDays,tblLines[[#This Row],[Days late]]&lt;=LateDays),"Yes","No")))</f>
        <v>Yes</v>
      </c>
      <c r="K82" s="37" t="str">
        <f>IF(tblLines[[#This Row],[Order line]]="","",IF(tblLines[[#This Row],[Qty delivered (units)]]="","",IF(AND(tblLines[[#This Row],[Qty delivered (units)]]&gt;=tblLines[[#This Row],[Qty ordered (units)]]*(1-UnderTol),tblLines[[#This Row],[Qty delivered (units)]]&lt;=tblLines[[#This Row],[Qty ordered (units)]]*(1+OverTol)),"Yes","No")))</f>
        <v>Yes</v>
      </c>
      <c r="L82" s="37" t="str">
        <f>IF(tblLines[[#This Row],[Order line]]="","",IF(OR(tblLines[[#This Row],[On time]]="",tblLines[[#This Row],[In full]]=""),"",IF(AND(tblLines[[#This Row],[On time]]="Yes",tblLines[[#This Row],[In full]]="Yes"),"Yes","No")))</f>
        <v>Yes</v>
      </c>
      <c r="M82" s="38">
        <f>IF(tblLines[[#This Row],[Order line]]="","",IF(tblLines[[#This Row],[OTIF]]="","",MIN(tblLines[[#This Row],[Qty delivered (units)]],tblLines[[#This Row],[Qty ordered (units)]])))</f>
        <v>50</v>
      </c>
      <c r="N82" s="28" t="s">
        <v>121</v>
      </c>
      <c r="O8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2" s="28" t="s">
        <v>121</v>
      </c>
    </row>
    <row r="83" spans="2:16">
      <c r="B83" s="28" t="s">
        <v>207</v>
      </c>
      <c r="C83" s="28" t="s">
        <v>82</v>
      </c>
      <c r="D83" s="28" t="s">
        <v>128</v>
      </c>
      <c r="E83" s="30">
        <v>80</v>
      </c>
      <c r="F83" s="35">
        <v>46266</v>
      </c>
      <c r="G83" s="35">
        <v>46266</v>
      </c>
      <c r="H83" s="30">
        <v>70</v>
      </c>
      <c r="I83" s="36">
        <f>IF(tblLines[[#This Row],[Order line]]="","",tblLines[[#This Row],[Delivered date]]-tblLines[[#This Row],[Promised date]])</f>
        <v>0</v>
      </c>
      <c r="J83" s="37" t="str">
        <f>IF(tblLines[[#This Row],[Order line]]="","",IF(OR(tblLines[[#This Row],[Promised date]]="",tblLines[[#This Row],[Delivered date]]=""),"",IF(AND(tblLines[[#This Row],[Days late]]&gt;=-EarlyDays,tblLines[[#This Row],[Days late]]&lt;=LateDays),"Yes","No")))</f>
        <v>Yes</v>
      </c>
      <c r="K83" s="37" t="str">
        <f>IF(tblLines[[#This Row],[Order line]]="","",IF(tblLines[[#This Row],[Qty delivered (units)]]="","",IF(AND(tblLines[[#This Row],[Qty delivered (units)]]&gt;=tblLines[[#This Row],[Qty ordered (units)]]*(1-UnderTol),tblLines[[#This Row],[Qty delivered (units)]]&lt;=tblLines[[#This Row],[Qty ordered (units)]]*(1+OverTol)),"Yes","No")))</f>
        <v>No</v>
      </c>
      <c r="L83" s="37" t="str">
        <f>IF(tblLines[[#This Row],[Order line]]="","",IF(OR(tblLines[[#This Row],[On time]]="",tblLines[[#This Row],[In full]]=""),"",IF(AND(tblLines[[#This Row],[On time]]="Yes",tblLines[[#This Row],[In full]]="Yes"),"Yes","No")))</f>
        <v>No</v>
      </c>
      <c r="M83" s="38">
        <f>IF(tblLines[[#This Row],[Order line]]="","",IF(tblLines[[#This Row],[OTIF]]="","",MIN(tblLines[[#This Row],[Qty delivered (units)]],tblLines[[#This Row],[Qty ordered (units)]])))</f>
        <v>70</v>
      </c>
      <c r="N83" s="28" t="s">
        <v>99</v>
      </c>
      <c r="O8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3" s="28" t="s">
        <v>121</v>
      </c>
    </row>
    <row r="84" spans="2:16">
      <c r="B84" s="28" t="s">
        <v>208</v>
      </c>
      <c r="C84" s="28" t="s">
        <v>78</v>
      </c>
      <c r="D84" s="28" t="s">
        <v>128</v>
      </c>
      <c r="E84" s="30">
        <v>80</v>
      </c>
      <c r="F84" s="35">
        <v>46269</v>
      </c>
      <c r="G84" s="35">
        <v>46269</v>
      </c>
      <c r="H84" s="30">
        <v>72</v>
      </c>
      <c r="I84" s="36">
        <f>IF(tblLines[[#This Row],[Order line]]="","",tblLines[[#This Row],[Delivered date]]-tblLines[[#This Row],[Promised date]])</f>
        <v>0</v>
      </c>
      <c r="J84" s="37" t="str">
        <f>IF(tblLines[[#This Row],[Order line]]="","",IF(OR(tblLines[[#This Row],[Promised date]]="",tblLines[[#This Row],[Delivered date]]=""),"",IF(AND(tblLines[[#This Row],[Days late]]&gt;=-EarlyDays,tblLines[[#This Row],[Days late]]&lt;=LateDays),"Yes","No")))</f>
        <v>Yes</v>
      </c>
      <c r="K84" s="37" t="str">
        <f>IF(tblLines[[#This Row],[Order line]]="","",IF(tblLines[[#This Row],[Qty delivered (units)]]="","",IF(AND(tblLines[[#This Row],[Qty delivered (units)]]&gt;=tblLines[[#This Row],[Qty ordered (units)]]*(1-UnderTol),tblLines[[#This Row],[Qty delivered (units)]]&lt;=tblLines[[#This Row],[Qty ordered (units)]]*(1+OverTol)),"Yes","No")))</f>
        <v>No</v>
      </c>
      <c r="L84" s="37" t="str">
        <f>IF(tblLines[[#This Row],[Order line]]="","",IF(OR(tblLines[[#This Row],[On time]]="",tblLines[[#This Row],[In full]]=""),"",IF(AND(tblLines[[#This Row],[On time]]="Yes",tblLines[[#This Row],[In full]]="Yes"),"Yes","No")))</f>
        <v>No</v>
      </c>
      <c r="M84" s="38">
        <f>IF(tblLines[[#This Row],[Order line]]="","",IF(tblLines[[#This Row],[OTIF]]="","",MIN(tblLines[[#This Row],[Qty delivered (units)]],tblLines[[#This Row],[Qty ordered (units)]])))</f>
        <v>72</v>
      </c>
      <c r="N84" s="28" t="s">
        <v>91</v>
      </c>
      <c r="O8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4" s="28" t="s">
        <v>121</v>
      </c>
    </row>
    <row r="85" spans="2:16">
      <c r="B85" s="28" t="s">
        <v>209</v>
      </c>
      <c r="C85" s="28" t="s">
        <v>80</v>
      </c>
      <c r="D85" s="28" t="s">
        <v>130</v>
      </c>
      <c r="E85" s="30">
        <v>300</v>
      </c>
      <c r="F85" s="35">
        <v>46268</v>
      </c>
      <c r="G85" s="35">
        <v>46266</v>
      </c>
      <c r="H85" s="30">
        <v>270</v>
      </c>
      <c r="I85" s="36">
        <f>IF(tblLines[[#This Row],[Order line]]="","",tblLines[[#This Row],[Delivered date]]-tblLines[[#This Row],[Promised date]])</f>
        <v>-2</v>
      </c>
      <c r="J85" s="37" t="str">
        <f>IF(tblLines[[#This Row],[Order line]]="","",IF(OR(tblLines[[#This Row],[Promised date]]="",tblLines[[#This Row],[Delivered date]]=""),"",IF(AND(tblLines[[#This Row],[Days late]]&gt;=-EarlyDays,tblLines[[#This Row],[Days late]]&lt;=LateDays),"Yes","No")))</f>
        <v>Yes</v>
      </c>
      <c r="K85" s="37" t="str">
        <f>IF(tblLines[[#This Row],[Order line]]="","",IF(tblLines[[#This Row],[Qty delivered (units)]]="","",IF(AND(tblLines[[#This Row],[Qty delivered (units)]]&gt;=tblLines[[#This Row],[Qty ordered (units)]]*(1-UnderTol),tblLines[[#This Row],[Qty delivered (units)]]&lt;=tblLines[[#This Row],[Qty ordered (units)]]*(1+OverTol)),"Yes","No")))</f>
        <v>No</v>
      </c>
      <c r="L85" s="37" t="str">
        <f>IF(tblLines[[#This Row],[Order line]]="","",IF(OR(tblLines[[#This Row],[On time]]="",tblLines[[#This Row],[In full]]=""),"",IF(AND(tblLines[[#This Row],[On time]]="Yes",tblLines[[#This Row],[In full]]="Yes"),"Yes","No")))</f>
        <v>No</v>
      </c>
      <c r="M85" s="38">
        <f>IF(tblLines[[#This Row],[Order line]]="","",IF(tblLines[[#This Row],[OTIF]]="","",MIN(tblLines[[#This Row],[Qty delivered (units)]],tblLines[[#This Row],[Qty ordered (units)]])))</f>
        <v>270</v>
      </c>
      <c r="N85" s="28" t="s">
        <v>91</v>
      </c>
      <c r="O8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5" s="28" t="s">
        <v>121</v>
      </c>
    </row>
    <row r="86" spans="2:16">
      <c r="B86" s="28" t="s">
        <v>210</v>
      </c>
      <c r="C86" s="28" t="s">
        <v>86</v>
      </c>
      <c r="D86" s="28" t="s">
        <v>120</v>
      </c>
      <c r="E86" s="30">
        <v>500</v>
      </c>
      <c r="F86" s="35">
        <v>46267</v>
      </c>
      <c r="G86" s="35">
        <v>46269</v>
      </c>
      <c r="H86" s="30">
        <v>500</v>
      </c>
      <c r="I86" s="36">
        <f>IF(tblLines[[#This Row],[Order line]]="","",tblLines[[#This Row],[Delivered date]]-tblLines[[#This Row],[Promised date]])</f>
        <v>2</v>
      </c>
      <c r="J86" s="37" t="str">
        <f>IF(tblLines[[#This Row],[Order line]]="","",IF(OR(tblLines[[#This Row],[Promised date]]="",tblLines[[#This Row],[Delivered date]]=""),"",IF(AND(tblLines[[#This Row],[Days late]]&gt;=-EarlyDays,tblLines[[#This Row],[Days late]]&lt;=LateDays),"Yes","No")))</f>
        <v>No</v>
      </c>
      <c r="K86" s="37" t="str">
        <f>IF(tblLines[[#This Row],[Order line]]="","",IF(tblLines[[#This Row],[Qty delivered (units)]]="","",IF(AND(tblLines[[#This Row],[Qty delivered (units)]]&gt;=tblLines[[#This Row],[Qty ordered (units)]]*(1-UnderTol),tblLines[[#This Row],[Qty delivered (units)]]&lt;=tblLines[[#This Row],[Qty ordered (units)]]*(1+OverTol)),"Yes","No")))</f>
        <v>Yes</v>
      </c>
      <c r="L86" s="37" t="str">
        <f>IF(tblLines[[#This Row],[Order line]]="","",IF(OR(tblLines[[#This Row],[On time]]="",tblLines[[#This Row],[In full]]=""),"",IF(AND(tblLines[[#This Row],[On time]]="Yes",tblLines[[#This Row],[In full]]="Yes"),"Yes","No")))</f>
        <v>No</v>
      </c>
      <c r="M86" s="38">
        <f>IF(tblLines[[#This Row],[Order line]]="","",IF(tblLines[[#This Row],[OTIF]]="","",MIN(tblLines[[#This Row],[Qty delivered (units)]],tblLines[[#This Row],[Qty ordered (units)]])))</f>
        <v>500</v>
      </c>
      <c r="N86" s="28" t="s">
        <v>97</v>
      </c>
      <c r="O8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6" s="28" t="s">
        <v>121</v>
      </c>
    </row>
    <row r="87" spans="2:16">
      <c r="B87" s="28" t="s">
        <v>211</v>
      </c>
      <c r="C87" s="28" t="s">
        <v>82</v>
      </c>
      <c r="D87" s="28" t="s">
        <v>135</v>
      </c>
      <c r="E87" s="30">
        <v>150</v>
      </c>
      <c r="F87" s="35">
        <v>46268</v>
      </c>
      <c r="G87" s="35">
        <v>46267</v>
      </c>
      <c r="H87" s="30">
        <v>150</v>
      </c>
      <c r="I87" s="36">
        <f>IF(tblLines[[#This Row],[Order line]]="","",tblLines[[#This Row],[Delivered date]]-tblLines[[#This Row],[Promised date]])</f>
        <v>-1</v>
      </c>
      <c r="J87" s="37" t="str">
        <f>IF(tblLines[[#This Row],[Order line]]="","",IF(OR(tblLines[[#This Row],[Promised date]]="",tblLines[[#This Row],[Delivered date]]=""),"",IF(AND(tblLines[[#This Row],[Days late]]&gt;=-EarlyDays,tblLines[[#This Row],[Days late]]&lt;=LateDays),"Yes","No")))</f>
        <v>Yes</v>
      </c>
      <c r="K87" s="37" t="str">
        <f>IF(tblLines[[#This Row],[Order line]]="","",IF(tblLines[[#This Row],[Qty delivered (units)]]="","",IF(AND(tblLines[[#This Row],[Qty delivered (units)]]&gt;=tblLines[[#This Row],[Qty ordered (units)]]*(1-UnderTol),tblLines[[#This Row],[Qty delivered (units)]]&lt;=tblLines[[#This Row],[Qty ordered (units)]]*(1+OverTol)),"Yes","No")))</f>
        <v>Yes</v>
      </c>
      <c r="L87" s="37" t="str">
        <f>IF(tblLines[[#This Row],[Order line]]="","",IF(OR(tblLines[[#This Row],[On time]]="",tblLines[[#This Row],[In full]]=""),"",IF(AND(tblLines[[#This Row],[On time]]="Yes",tblLines[[#This Row],[In full]]="Yes"),"Yes","No")))</f>
        <v>Yes</v>
      </c>
      <c r="M87" s="38">
        <f>IF(tblLines[[#This Row],[Order line]]="","",IF(tblLines[[#This Row],[OTIF]]="","",MIN(tblLines[[#This Row],[Qty delivered (units)]],tblLines[[#This Row],[Qty ordered (units)]])))</f>
        <v>150</v>
      </c>
      <c r="N87" s="28" t="s">
        <v>121</v>
      </c>
      <c r="O8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7" s="28" t="s">
        <v>121</v>
      </c>
    </row>
    <row r="88" spans="2:16">
      <c r="B88" s="28" t="s">
        <v>212</v>
      </c>
      <c r="C88" s="28" t="s">
        <v>80</v>
      </c>
      <c r="D88" s="28" t="s">
        <v>145</v>
      </c>
      <c r="E88" s="30">
        <v>80</v>
      </c>
      <c r="F88" s="35">
        <v>46268</v>
      </c>
      <c r="G88" s="35">
        <v>46268</v>
      </c>
      <c r="H88" s="30">
        <v>80</v>
      </c>
      <c r="I88" s="36">
        <f>IF(tblLines[[#This Row],[Order line]]="","",tblLines[[#This Row],[Delivered date]]-tblLines[[#This Row],[Promised date]])</f>
        <v>0</v>
      </c>
      <c r="J88" s="37" t="str">
        <f>IF(tblLines[[#This Row],[Order line]]="","",IF(OR(tblLines[[#This Row],[Promised date]]="",tblLines[[#This Row],[Delivered date]]=""),"",IF(AND(tblLines[[#This Row],[Days late]]&gt;=-EarlyDays,tblLines[[#This Row],[Days late]]&lt;=LateDays),"Yes","No")))</f>
        <v>Yes</v>
      </c>
      <c r="K88" s="37" t="str">
        <f>IF(tblLines[[#This Row],[Order line]]="","",IF(tblLines[[#This Row],[Qty delivered (units)]]="","",IF(AND(tblLines[[#This Row],[Qty delivered (units)]]&gt;=tblLines[[#This Row],[Qty ordered (units)]]*(1-UnderTol),tblLines[[#This Row],[Qty delivered (units)]]&lt;=tblLines[[#This Row],[Qty ordered (units)]]*(1+OverTol)),"Yes","No")))</f>
        <v>Yes</v>
      </c>
      <c r="L88" s="37" t="str">
        <f>IF(tblLines[[#This Row],[Order line]]="","",IF(OR(tblLines[[#This Row],[On time]]="",tblLines[[#This Row],[In full]]=""),"",IF(AND(tblLines[[#This Row],[On time]]="Yes",tblLines[[#This Row],[In full]]="Yes"),"Yes","No")))</f>
        <v>Yes</v>
      </c>
      <c r="M88" s="38">
        <f>IF(tblLines[[#This Row],[Order line]]="","",IF(tblLines[[#This Row],[OTIF]]="","",MIN(tblLines[[#This Row],[Qty delivered (units)]],tblLines[[#This Row],[Qty ordered (units)]])))</f>
        <v>80</v>
      </c>
      <c r="N88" s="28" t="s">
        <v>121</v>
      </c>
      <c r="O8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8" s="28" t="s">
        <v>121</v>
      </c>
    </row>
    <row r="89" spans="2:16">
      <c r="B89" s="28" t="s">
        <v>213</v>
      </c>
      <c r="C89" s="28" t="s">
        <v>80</v>
      </c>
      <c r="D89" s="28" t="s">
        <v>123</v>
      </c>
      <c r="E89" s="30">
        <v>300</v>
      </c>
      <c r="F89" s="35">
        <v>46265</v>
      </c>
      <c r="G89" s="35">
        <v>46263</v>
      </c>
      <c r="H89" s="30">
        <v>300</v>
      </c>
      <c r="I89" s="36">
        <f>IF(tblLines[[#This Row],[Order line]]="","",tblLines[[#This Row],[Delivered date]]-tblLines[[#This Row],[Promised date]])</f>
        <v>-2</v>
      </c>
      <c r="J89" s="37" t="str">
        <f>IF(tblLines[[#This Row],[Order line]]="","",IF(OR(tblLines[[#This Row],[Promised date]]="",tblLines[[#This Row],[Delivered date]]=""),"",IF(AND(tblLines[[#This Row],[Days late]]&gt;=-EarlyDays,tblLines[[#This Row],[Days late]]&lt;=LateDays),"Yes","No")))</f>
        <v>Yes</v>
      </c>
      <c r="K89" s="37" t="str">
        <f>IF(tblLines[[#This Row],[Order line]]="","",IF(tblLines[[#This Row],[Qty delivered (units)]]="","",IF(AND(tblLines[[#This Row],[Qty delivered (units)]]&gt;=tblLines[[#This Row],[Qty ordered (units)]]*(1-UnderTol),tblLines[[#This Row],[Qty delivered (units)]]&lt;=tblLines[[#This Row],[Qty ordered (units)]]*(1+OverTol)),"Yes","No")))</f>
        <v>Yes</v>
      </c>
      <c r="L89" s="37" t="str">
        <f>IF(tblLines[[#This Row],[Order line]]="","",IF(OR(tblLines[[#This Row],[On time]]="",tblLines[[#This Row],[In full]]=""),"",IF(AND(tblLines[[#This Row],[On time]]="Yes",tblLines[[#This Row],[In full]]="Yes"),"Yes","No")))</f>
        <v>Yes</v>
      </c>
      <c r="M89" s="38">
        <f>IF(tblLines[[#This Row],[Order line]]="","",IF(tblLines[[#This Row],[OTIF]]="","",MIN(tblLines[[#This Row],[Qty delivered (units)]],tblLines[[#This Row],[Qty ordered (units)]])))</f>
        <v>300</v>
      </c>
      <c r="N89" s="28" t="s">
        <v>121</v>
      </c>
      <c r="O8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89" s="28" t="s">
        <v>121</v>
      </c>
    </row>
    <row r="90" spans="2:16">
      <c r="B90" s="28" t="s">
        <v>214</v>
      </c>
      <c r="C90" s="28" t="s">
        <v>84</v>
      </c>
      <c r="D90" s="28" t="s">
        <v>145</v>
      </c>
      <c r="E90" s="30">
        <v>50</v>
      </c>
      <c r="F90" s="35">
        <v>46265</v>
      </c>
      <c r="G90" s="35">
        <v>46264</v>
      </c>
      <c r="H90" s="30">
        <v>50</v>
      </c>
      <c r="I90" s="36">
        <f>IF(tblLines[[#This Row],[Order line]]="","",tblLines[[#This Row],[Delivered date]]-tblLines[[#This Row],[Promised date]])</f>
        <v>-1</v>
      </c>
      <c r="J90" s="37" t="str">
        <f>IF(tblLines[[#This Row],[Order line]]="","",IF(OR(tblLines[[#This Row],[Promised date]]="",tblLines[[#This Row],[Delivered date]]=""),"",IF(AND(tblLines[[#This Row],[Days late]]&gt;=-EarlyDays,tblLines[[#This Row],[Days late]]&lt;=LateDays),"Yes","No")))</f>
        <v>Yes</v>
      </c>
      <c r="K90" s="37" t="str">
        <f>IF(tblLines[[#This Row],[Order line]]="","",IF(tblLines[[#This Row],[Qty delivered (units)]]="","",IF(AND(tblLines[[#This Row],[Qty delivered (units)]]&gt;=tblLines[[#This Row],[Qty ordered (units)]]*(1-UnderTol),tblLines[[#This Row],[Qty delivered (units)]]&lt;=tblLines[[#This Row],[Qty ordered (units)]]*(1+OverTol)),"Yes","No")))</f>
        <v>Yes</v>
      </c>
      <c r="L90" s="37" t="str">
        <f>IF(tblLines[[#This Row],[Order line]]="","",IF(OR(tblLines[[#This Row],[On time]]="",tblLines[[#This Row],[In full]]=""),"",IF(AND(tblLines[[#This Row],[On time]]="Yes",tblLines[[#This Row],[In full]]="Yes"),"Yes","No")))</f>
        <v>Yes</v>
      </c>
      <c r="M90" s="38">
        <f>IF(tblLines[[#This Row],[Order line]]="","",IF(tblLines[[#This Row],[OTIF]]="","",MIN(tblLines[[#This Row],[Qty delivered (units)]],tblLines[[#This Row],[Qty ordered (units)]])))</f>
        <v>50</v>
      </c>
      <c r="N90" s="28" t="s">
        <v>121</v>
      </c>
      <c r="O9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0" s="28" t="s">
        <v>121</v>
      </c>
    </row>
    <row r="91" spans="2:16">
      <c r="B91" s="28" t="s">
        <v>215</v>
      </c>
      <c r="C91" s="28" t="s">
        <v>84</v>
      </c>
      <c r="D91" s="28" t="s">
        <v>120</v>
      </c>
      <c r="E91" s="30">
        <v>400</v>
      </c>
      <c r="F91" s="35">
        <v>46268</v>
      </c>
      <c r="G91" s="35">
        <v>46267</v>
      </c>
      <c r="H91" s="30">
        <v>400</v>
      </c>
      <c r="I91" s="36">
        <f>IF(tblLines[[#This Row],[Order line]]="","",tblLines[[#This Row],[Delivered date]]-tblLines[[#This Row],[Promised date]])</f>
        <v>-1</v>
      </c>
      <c r="J91" s="37" t="str">
        <f>IF(tblLines[[#This Row],[Order line]]="","",IF(OR(tblLines[[#This Row],[Promised date]]="",tblLines[[#This Row],[Delivered date]]=""),"",IF(AND(tblLines[[#This Row],[Days late]]&gt;=-EarlyDays,tblLines[[#This Row],[Days late]]&lt;=LateDays),"Yes","No")))</f>
        <v>Yes</v>
      </c>
      <c r="K91" s="37" t="str">
        <f>IF(tblLines[[#This Row],[Order line]]="","",IF(tblLines[[#This Row],[Qty delivered (units)]]="","",IF(AND(tblLines[[#This Row],[Qty delivered (units)]]&gt;=tblLines[[#This Row],[Qty ordered (units)]]*(1-UnderTol),tblLines[[#This Row],[Qty delivered (units)]]&lt;=tblLines[[#This Row],[Qty ordered (units)]]*(1+OverTol)),"Yes","No")))</f>
        <v>Yes</v>
      </c>
      <c r="L91" s="37" t="str">
        <f>IF(tblLines[[#This Row],[Order line]]="","",IF(OR(tblLines[[#This Row],[On time]]="",tblLines[[#This Row],[In full]]=""),"",IF(AND(tblLines[[#This Row],[On time]]="Yes",tblLines[[#This Row],[In full]]="Yes"),"Yes","No")))</f>
        <v>Yes</v>
      </c>
      <c r="M91" s="38">
        <f>IF(tblLines[[#This Row],[Order line]]="","",IF(tblLines[[#This Row],[OTIF]]="","",MIN(tblLines[[#This Row],[Qty delivered (units)]],tblLines[[#This Row],[Qty ordered (units)]])))</f>
        <v>400</v>
      </c>
      <c r="N91" s="28" t="s">
        <v>121</v>
      </c>
      <c r="O9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1" s="28" t="s">
        <v>121</v>
      </c>
    </row>
    <row r="92" spans="2:16">
      <c r="B92" s="28" t="s">
        <v>216</v>
      </c>
      <c r="C92" s="28" t="s">
        <v>80</v>
      </c>
      <c r="D92" s="28" t="s">
        <v>120</v>
      </c>
      <c r="E92" s="30">
        <v>100</v>
      </c>
      <c r="F92" s="35">
        <v>46267</v>
      </c>
      <c r="G92" s="35">
        <v>46267</v>
      </c>
      <c r="H92" s="30">
        <v>100</v>
      </c>
      <c r="I92" s="36">
        <f>IF(tblLines[[#This Row],[Order line]]="","",tblLines[[#This Row],[Delivered date]]-tblLines[[#This Row],[Promised date]])</f>
        <v>0</v>
      </c>
      <c r="J92" s="37" t="str">
        <f>IF(tblLines[[#This Row],[Order line]]="","",IF(OR(tblLines[[#This Row],[Promised date]]="",tblLines[[#This Row],[Delivered date]]=""),"",IF(AND(tblLines[[#This Row],[Days late]]&gt;=-EarlyDays,tblLines[[#This Row],[Days late]]&lt;=LateDays),"Yes","No")))</f>
        <v>Yes</v>
      </c>
      <c r="K92" s="37" t="str">
        <f>IF(tblLines[[#This Row],[Order line]]="","",IF(tblLines[[#This Row],[Qty delivered (units)]]="","",IF(AND(tblLines[[#This Row],[Qty delivered (units)]]&gt;=tblLines[[#This Row],[Qty ordered (units)]]*(1-UnderTol),tblLines[[#This Row],[Qty delivered (units)]]&lt;=tblLines[[#This Row],[Qty ordered (units)]]*(1+OverTol)),"Yes","No")))</f>
        <v>Yes</v>
      </c>
      <c r="L92" s="37" t="str">
        <f>IF(tblLines[[#This Row],[Order line]]="","",IF(OR(tblLines[[#This Row],[On time]]="",tblLines[[#This Row],[In full]]=""),"",IF(AND(tblLines[[#This Row],[On time]]="Yes",tblLines[[#This Row],[In full]]="Yes"),"Yes","No")))</f>
        <v>Yes</v>
      </c>
      <c r="M92" s="38">
        <f>IF(tblLines[[#This Row],[Order line]]="","",IF(tblLines[[#This Row],[OTIF]]="","",MIN(tblLines[[#This Row],[Qty delivered (units)]],tblLines[[#This Row],[Qty ordered (units)]])))</f>
        <v>100</v>
      </c>
      <c r="N92" s="28" t="s">
        <v>121</v>
      </c>
      <c r="O9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2" s="28" t="s">
        <v>121</v>
      </c>
    </row>
    <row r="93" spans="2:16">
      <c r="B93" s="28" t="s">
        <v>217</v>
      </c>
      <c r="C93" s="28" t="s">
        <v>78</v>
      </c>
      <c r="D93" s="28" t="s">
        <v>145</v>
      </c>
      <c r="E93" s="30">
        <v>500</v>
      </c>
      <c r="F93" s="35">
        <v>46269</v>
      </c>
      <c r="G93" s="35">
        <v>46269</v>
      </c>
      <c r="H93" s="30">
        <v>500</v>
      </c>
      <c r="I93" s="36">
        <f>IF(tblLines[[#This Row],[Order line]]="","",tblLines[[#This Row],[Delivered date]]-tblLines[[#This Row],[Promised date]])</f>
        <v>0</v>
      </c>
      <c r="J93" s="37" t="str">
        <f>IF(tblLines[[#This Row],[Order line]]="","",IF(OR(tblLines[[#This Row],[Promised date]]="",tblLines[[#This Row],[Delivered date]]=""),"",IF(AND(tblLines[[#This Row],[Days late]]&gt;=-EarlyDays,tblLines[[#This Row],[Days late]]&lt;=LateDays),"Yes","No")))</f>
        <v>Yes</v>
      </c>
      <c r="K93" s="37" t="str">
        <f>IF(tblLines[[#This Row],[Order line]]="","",IF(tblLines[[#This Row],[Qty delivered (units)]]="","",IF(AND(tblLines[[#This Row],[Qty delivered (units)]]&gt;=tblLines[[#This Row],[Qty ordered (units)]]*(1-UnderTol),tblLines[[#This Row],[Qty delivered (units)]]&lt;=tblLines[[#This Row],[Qty ordered (units)]]*(1+OverTol)),"Yes","No")))</f>
        <v>Yes</v>
      </c>
      <c r="L93" s="37" t="str">
        <f>IF(tblLines[[#This Row],[Order line]]="","",IF(OR(tblLines[[#This Row],[On time]]="",tblLines[[#This Row],[In full]]=""),"",IF(AND(tblLines[[#This Row],[On time]]="Yes",tblLines[[#This Row],[In full]]="Yes"),"Yes","No")))</f>
        <v>Yes</v>
      </c>
      <c r="M93" s="38">
        <f>IF(tblLines[[#This Row],[Order line]]="","",IF(tblLines[[#This Row],[OTIF]]="","",MIN(tblLines[[#This Row],[Qty delivered (units)]],tblLines[[#This Row],[Qty ordered (units)]])))</f>
        <v>500</v>
      </c>
      <c r="N93" s="28" t="s">
        <v>121</v>
      </c>
      <c r="O9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3" s="28" t="s">
        <v>121</v>
      </c>
    </row>
    <row r="94" spans="2:16">
      <c r="B94" s="28" t="s">
        <v>218</v>
      </c>
      <c r="C94" s="28" t="s">
        <v>80</v>
      </c>
      <c r="D94" s="28" t="s">
        <v>126</v>
      </c>
      <c r="E94" s="30">
        <v>500</v>
      </c>
      <c r="F94" s="35">
        <v>46269</v>
      </c>
      <c r="G94" s="35">
        <v>46268</v>
      </c>
      <c r="H94" s="30">
        <v>500</v>
      </c>
      <c r="I94" s="36">
        <f>IF(tblLines[[#This Row],[Order line]]="","",tblLines[[#This Row],[Delivered date]]-tblLines[[#This Row],[Promised date]])</f>
        <v>-1</v>
      </c>
      <c r="J94" s="37" t="str">
        <f>IF(tblLines[[#This Row],[Order line]]="","",IF(OR(tblLines[[#This Row],[Promised date]]="",tblLines[[#This Row],[Delivered date]]=""),"",IF(AND(tblLines[[#This Row],[Days late]]&gt;=-EarlyDays,tblLines[[#This Row],[Days late]]&lt;=LateDays),"Yes","No")))</f>
        <v>Yes</v>
      </c>
      <c r="K94" s="37" t="str">
        <f>IF(tblLines[[#This Row],[Order line]]="","",IF(tblLines[[#This Row],[Qty delivered (units)]]="","",IF(AND(tblLines[[#This Row],[Qty delivered (units)]]&gt;=tblLines[[#This Row],[Qty ordered (units)]]*(1-UnderTol),tblLines[[#This Row],[Qty delivered (units)]]&lt;=tblLines[[#This Row],[Qty ordered (units)]]*(1+OverTol)),"Yes","No")))</f>
        <v>Yes</v>
      </c>
      <c r="L94" s="37" t="str">
        <f>IF(tblLines[[#This Row],[Order line]]="","",IF(OR(tblLines[[#This Row],[On time]]="",tblLines[[#This Row],[In full]]=""),"",IF(AND(tblLines[[#This Row],[On time]]="Yes",tblLines[[#This Row],[In full]]="Yes"),"Yes","No")))</f>
        <v>Yes</v>
      </c>
      <c r="M94" s="38">
        <f>IF(tblLines[[#This Row],[Order line]]="","",IF(tblLines[[#This Row],[OTIF]]="","",MIN(tblLines[[#This Row],[Qty delivered (units)]],tblLines[[#This Row],[Qty ordered (units)]])))</f>
        <v>500</v>
      </c>
      <c r="N94" s="28" t="s">
        <v>121</v>
      </c>
      <c r="O9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4" s="28" t="s">
        <v>121</v>
      </c>
    </row>
    <row r="95" spans="2:16">
      <c r="B95" s="28" t="s">
        <v>219</v>
      </c>
      <c r="C95" s="28" t="s">
        <v>84</v>
      </c>
      <c r="D95" s="28" t="s">
        <v>145</v>
      </c>
      <c r="E95" s="30">
        <v>200</v>
      </c>
      <c r="F95" s="35">
        <v>46269</v>
      </c>
      <c r="G95" s="35">
        <v>46268</v>
      </c>
      <c r="H95" s="30">
        <v>200</v>
      </c>
      <c r="I95" s="36">
        <f>IF(tblLines[[#This Row],[Order line]]="","",tblLines[[#This Row],[Delivered date]]-tblLines[[#This Row],[Promised date]])</f>
        <v>-1</v>
      </c>
      <c r="J95" s="37" t="str">
        <f>IF(tblLines[[#This Row],[Order line]]="","",IF(OR(tblLines[[#This Row],[Promised date]]="",tblLines[[#This Row],[Delivered date]]=""),"",IF(AND(tblLines[[#This Row],[Days late]]&gt;=-EarlyDays,tblLines[[#This Row],[Days late]]&lt;=LateDays),"Yes","No")))</f>
        <v>Yes</v>
      </c>
      <c r="K95" s="37" t="str">
        <f>IF(tblLines[[#This Row],[Order line]]="","",IF(tblLines[[#This Row],[Qty delivered (units)]]="","",IF(AND(tblLines[[#This Row],[Qty delivered (units)]]&gt;=tblLines[[#This Row],[Qty ordered (units)]]*(1-UnderTol),tblLines[[#This Row],[Qty delivered (units)]]&lt;=tblLines[[#This Row],[Qty ordered (units)]]*(1+OverTol)),"Yes","No")))</f>
        <v>Yes</v>
      </c>
      <c r="L95" s="37" t="str">
        <f>IF(tblLines[[#This Row],[Order line]]="","",IF(OR(tblLines[[#This Row],[On time]]="",tblLines[[#This Row],[In full]]=""),"",IF(AND(tblLines[[#This Row],[On time]]="Yes",tblLines[[#This Row],[In full]]="Yes"),"Yes","No")))</f>
        <v>Yes</v>
      </c>
      <c r="M95" s="38">
        <f>IF(tblLines[[#This Row],[Order line]]="","",IF(tblLines[[#This Row],[OTIF]]="","",MIN(tblLines[[#This Row],[Qty delivered (units)]],tblLines[[#This Row],[Qty ordered (units)]])))</f>
        <v>200</v>
      </c>
      <c r="N95" s="28" t="s">
        <v>121</v>
      </c>
      <c r="O9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5" s="28" t="s">
        <v>121</v>
      </c>
    </row>
    <row r="96" spans="2:16">
      <c r="B96" s="28" t="s">
        <v>220</v>
      </c>
      <c r="C96" s="28" t="s">
        <v>78</v>
      </c>
      <c r="D96" s="28" t="s">
        <v>126</v>
      </c>
      <c r="E96" s="30">
        <v>80</v>
      </c>
      <c r="F96" s="35">
        <v>46274</v>
      </c>
      <c r="G96" s="35">
        <v>46272</v>
      </c>
      <c r="H96" s="30">
        <v>80</v>
      </c>
      <c r="I96" s="36">
        <f>IF(tblLines[[#This Row],[Order line]]="","",tblLines[[#This Row],[Delivered date]]-tblLines[[#This Row],[Promised date]])</f>
        <v>-2</v>
      </c>
      <c r="J96" s="37" t="str">
        <f>IF(tblLines[[#This Row],[Order line]]="","",IF(OR(tblLines[[#This Row],[Promised date]]="",tblLines[[#This Row],[Delivered date]]=""),"",IF(AND(tblLines[[#This Row],[Days late]]&gt;=-EarlyDays,tblLines[[#This Row],[Days late]]&lt;=LateDays),"Yes","No")))</f>
        <v>Yes</v>
      </c>
      <c r="K96" s="37" t="str">
        <f>IF(tblLines[[#This Row],[Order line]]="","",IF(tblLines[[#This Row],[Qty delivered (units)]]="","",IF(AND(tblLines[[#This Row],[Qty delivered (units)]]&gt;=tblLines[[#This Row],[Qty ordered (units)]]*(1-UnderTol),tblLines[[#This Row],[Qty delivered (units)]]&lt;=tblLines[[#This Row],[Qty ordered (units)]]*(1+OverTol)),"Yes","No")))</f>
        <v>Yes</v>
      </c>
      <c r="L96" s="37" t="str">
        <f>IF(tblLines[[#This Row],[Order line]]="","",IF(OR(tblLines[[#This Row],[On time]]="",tblLines[[#This Row],[In full]]=""),"",IF(AND(tblLines[[#This Row],[On time]]="Yes",tblLines[[#This Row],[In full]]="Yes"),"Yes","No")))</f>
        <v>Yes</v>
      </c>
      <c r="M96" s="38">
        <f>IF(tblLines[[#This Row],[Order line]]="","",IF(tblLines[[#This Row],[OTIF]]="","",MIN(tblLines[[#This Row],[Qty delivered (units)]],tblLines[[#This Row],[Qty ordered (units)]])))</f>
        <v>80</v>
      </c>
      <c r="N96" s="28" t="s">
        <v>121</v>
      </c>
      <c r="O9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6" s="28" t="s">
        <v>121</v>
      </c>
    </row>
    <row r="97" spans="2:16">
      <c r="B97" s="28" t="s">
        <v>221</v>
      </c>
      <c r="C97" s="28" t="s">
        <v>82</v>
      </c>
      <c r="D97" s="28" t="s">
        <v>123</v>
      </c>
      <c r="E97" s="30">
        <v>400</v>
      </c>
      <c r="F97" s="35">
        <v>46274</v>
      </c>
      <c r="G97" s="35">
        <v>46274</v>
      </c>
      <c r="H97" s="30">
        <v>400</v>
      </c>
      <c r="I97" s="36">
        <f>IF(tblLines[[#This Row],[Order line]]="","",tblLines[[#This Row],[Delivered date]]-tblLines[[#This Row],[Promised date]])</f>
        <v>0</v>
      </c>
      <c r="J97" s="37" t="str">
        <f>IF(tblLines[[#This Row],[Order line]]="","",IF(OR(tblLines[[#This Row],[Promised date]]="",tblLines[[#This Row],[Delivered date]]=""),"",IF(AND(tblLines[[#This Row],[Days late]]&gt;=-EarlyDays,tblLines[[#This Row],[Days late]]&lt;=LateDays),"Yes","No")))</f>
        <v>Yes</v>
      </c>
      <c r="K97" s="37" t="str">
        <f>IF(tblLines[[#This Row],[Order line]]="","",IF(tblLines[[#This Row],[Qty delivered (units)]]="","",IF(AND(tblLines[[#This Row],[Qty delivered (units)]]&gt;=tblLines[[#This Row],[Qty ordered (units)]]*(1-UnderTol),tblLines[[#This Row],[Qty delivered (units)]]&lt;=tblLines[[#This Row],[Qty ordered (units)]]*(1+OverTol)),"Yes","No")))</f>
        <v>Yes</v>
      </c>
      <c r="L97" s="37" t="str">
        <f>IF(tblLines[[#This Row],[Order line]]="","",IF(OR(tblLines[[#This Row],[On time]]="",tblLines[[#This Row],[In full]]=""),"",IF(AND(tblLines[[#This Row],[On time]]="Yes",tblLines[[#This Row],[In full]]="Yes"),"Yes","No")))</f>
        <v>Yes</v>
      </c>
      <c r="M97" s="38">
        <f>IF(tblLines[[#This Row],[Order line]]="","",IF(tblLines[[#This Row],[OTIF]]="","",MIN(tblLines[[#This Row],[Qty delivered (units)]],tblLines[[#This Row],[Qty ordered (units)]])))</f>
        <v>400</v>
      </c>
      <c r="N97" s="28" t="s">
        <v>121</v>
      </c>
      <c r="O9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7" s="28" t="s">
        <v>121</v>
      </c>
    </row>
    <row r="98" spans="2:16">
      <c r="B98" s="28" t="s">
        <v>222</v>
      </c>
      <c r="C98" s="28" t="s">
        <v>88</v>
      </c>
      <c r="D98" s="28" t="s">
        <v>140</v>
      </c>
      <c r="E98" s="30">
        <v>300</v>
      </c>
      <c r="F98" s="35">
        <v>46272</v>
      </c>
      <c r="G98" s="35">
        <v>46272</v>
      </c>
      <c r="H98" s="30">
        <v>300</v>
      </c>
      <c r="I98" s="36">
        <f>IF(tblLines[[#This Row],[Order line]]="","",tblLines[[#This Row],[Delivered date]]-tblLines[[#This Row],[Promised date]])</f>
        <v>0</v>
      </c>
      <c r="J98" s="37" t="str">
        <f>IF(tblLines[[#This Row],[Order line]]="","",IF(OR(tblLines[[#This Row],[Promised date]]="",tblLines[[#This Row],[Delivered date]]=""),"",IF(AND(tblLines[[#This Row],[Days late]]&gt;=-EarlyDays,tblLines[[#This Row],[Days late]]&lt;=LateDays),"Yes","No")))</f>
        <v>Yes</v>
      </c>
      <c r="K98" s="37" t="str">
        <f>IF(tblLines[[#This Row],[Order line]]="","",IF(tblLines[[#This Row],[Qty delivered (units)]]="","",IF(AND(tblLines[[#This Row],[Qty delivered (units)]]&gt;=tblLines[[#This Row],[Qty ordered (units)]]*(1-UnderTol),tblLines[[#This Row],[Qty delivered (units)]]&lt;=tblLines[[#This Row],[Qty ordered (units)]]*(1+OverTol)),"Yes","No")))</f>
        <v>Yes</v>
      </c>
      <c r="L98" s="37" t="str">
        <f>IF(tblLines[[#This Row],[Order line]]="","",IF(OR(tblLines[[#This Row],[On time]]="",tblLines[[#This Row],[In full]]=""),"",IF(AND(tblLines[[#This Row],[On time]]="Yes",tblLines[[#This Row],[In full]]="Yes"),"Yes","No")))</f>
        <v>Yes</v>
      </c>
      <c r="M98" s="38">
        <f>IF(tblLines[[#This Row],[Order line]]="","",IF(tblLines[[#This Row],[OTIF]]="","",MIN(tblLines[[#This Row],[Qty delivered (units)]],tblLines[[#This Row],[Qty ordered (units)]])))</f>
        <v>300</v>
      </c>
      <c r="N98" s="28" t="s">
        <v>121</v>
      </c>
      <c r="O9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8" s="28" t="s">
        <v>121</v>
      </c>
    </row>
    <row r="99" spans="2:16">
      <c r="B99" s="28" t="s">
        <v>223</v>
      </c>
      <c r="C99" s="28" t="s">
        <v>78</v>
      </c>
      <c r="D99" s="28" t="s">
        <v>130</v>
      </c>
      <c r="E99" s="30">
        <v>80</v>
      </c>
      <c r="F99" s="35">
        <v>46273</v>
      </c>
      <c r="G99" s="35">
        <v>46273</v>
      </c>
      <c r="H99" s="30">
        <v>80</v>
      </c>
      <c r="I99" s="36">
        <f>IF(tblLines[[#This Row],[Order line]]="","",tblLines[[#This Row],[Delivered date]]-tblLines[[#This Row],[Promised date]])</f>
        <v>0</v>
      </c>
      <c r="J99" s="37" t="str">
        <f>IF(tblLines[[#This Row],[Order line]]="","",IF(OR(tblLines[[#This Row],[Promised date]]="",tblLines[[#This Row],[Delivered date]]=""),"",IF(AND(tblLines[[#This Row],[Days late]]&gt;=-EarlyDays,tblLines[[#This Row],[Days late]]&lt;=LateDays),"Yes","No")))</f>
        <v>Yes</v>
      </c>
      <c r="K99" s="37" t="str">
        <f>IF(tblLines[[#This Row],[Order line]]="","",IF(tblLines[[#This Row],[Qty delivered (units)]]="","",IF(AND(tblLines[[#This Row],[Qty delivered (units)]]&gt;=tblLines[[#This Row],[Qty ordered (units)]]*(1-UnderTol),tblLines[[#This Row],[Qty delivered (units)]]&lt;=tblLines[[#This Row],[Qty ordered (units)]]*(1+OverTol)),"Yes","No")))</f>
        <v>Yes</v>
      </c>
      <c r="L99" s="37" t="str">
        <f>IF(tblLines[[#This Row],[Order line]]="","",IF(OR(tblLines[[#This Row],[On time]]="",tblLines[[#This Row],[In full]]=""),"",IF(AND(tblLines[[#This Row],[On time]]="Yes",tblLines[[#This Row],[In full]]="Yes"),"Yes","No")))</f>
        <v>Yes</v>
      </c>
      <c r="M99" s="38">
        <f>IF(tblLines[[#This Row],[Order line]]="","",IF(tblLines[[#This Row],[OTIF]]="","",MIN(tblLines[[#This Row],[Qty delivered (units)]],tblLines[[#This Row],[Qty ordered (units)]])))</f>
        <v>80</v>
      </c>
      <c r="N99" s="28" t="s">
        <v>121</v>
      </c>
      <c r="O9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99" s="28" t="s">
        <v>121</v>
      </c>
    </row>
    <row r="100" spans="2:16">
      <c r="B100" s="28" t="s">
        <v>224</v>
      </c>
      <c r="C100" s="28" t="s">
        <v>82</v>
      </c>
      <c r="D100" s="28" t="s">
        <v>140</v>
      </c>
      <c r="E100" s="30">
        <v>200</v>
      </c>
      <c r="F100" s="35">
        <v>46274</v>
      </c>
      <c r="G100" s="35">
        <v>46274</v>
      </c>
      <c r="H100" s="30">
        <v>200</v>
      </c>
      <c r="I100" s="36">
        <f>IF(tblLines[[#This Row],[Order line]]="","",tblLines[[#This Row],[Delivered date]]-tblLines[[#This Row],[Promised date]])</f>
        <v>0</v>
      </c>
      <c r="J100" s="37" t="str">
        <f>IF(tblLines[[#This Row],[Order line]]="","",IF(OR(tblLines[[#This Row],[Promised date]]="",tblLines[[#This Row],[Delivered date]]=""),"",IF(AND(tblLines[[#This Row],[Days late]]&gt;=-EarlyDays,tblLines[[#This Row],[Days late]]&lt;=LateDays),"Yes","No")))</f>
        <v>Yes</v>
      </c>
      <c r="K100" s="37" t="str">
        <f>IF(tblLines[[#This Row],[Order line]]="","",IF(tblLines[[#This Row],[Qty delivered (units)]]="","",IF(AND(tblLines[[#This Row],[Qty delivered (units)]]&gt;=tblLines[[#This Row],[Qty ordered (units)]]*(1-UnderTol),tblLines[[#This Row],[Qty delivered (units)]]&lt;=tblLines[[#This Row],[Qty ordered (units)]]*(1+OverTol)),"Yes","No")))</f>
        <v>Yes</v>
      </c>
      <c r="L100" s="37" t="str">
        <f>IF(tblLines[[#This Row],[Order line]]="","",IF(OR(tblLines[[#This Row],[On time]]="",tblLines[[#This Row],[In full]]=""),"",IF(AND(tblLines[[#This Row],[On time]]="Yes",tblLines[[#This Row],[In full]]="Yes"),"Yes","No")))</f>
        <v>Yes</v>
      </c>
      <c r="M100" s="38">
        <f>IF(tblLines[[#This Row],[Order line]]="","",IF(tblLines[[#This Row],[OTIF]]="","",MIN(tblLines[[#This Row],[Qty delivered (units)]],tblLines[[#This Row],[Qty ordered (units)]])))</f>
        <v>200</v>
      </c>
      <c r="N100" s="28" t="s">
        <v>121</v>
      </c>
      <c r="O10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0" s="28" t="s">
        <v>121</v>
      </c>
    </row>
    <row r="101" spans="2:16">
      <c r="B101" s="28" t="s">
        <v>225</v>
      </c>
      <c r="C101" s="28" t="s">
        <v>80</v>
      </c>
      <c r="D101" s="28" t="s">
        <v>132</v>
      </c>
      <c r="E101" s="30">
        <v>150</v>
      </c>
      <c r="F101" s="35">
        <v>46275</v>
      </c>
      <c r="G101" s="35">
        <v>46277</v>
      </c>
      <c r="H101" s="30">
        <v>150</v>
      </c>
      <c r="I101" s="36">
        <f>IF(tblLines[[#This Row],[Order line]]="","",tblLines[[#This Row],[Delivered date]]-tblLines[[#This Row],[Promised date]])</f>
        <v>2</v>
      </c>
      <c r="J101" s="37" t="str">
        <f>IF(tblLines[[#This Row],[Order line]]="","",IF(OR(tblLines[[#This Row],[Promised date]]="",tblLines[[#This Row],[Delivered date]]=""),"",IF(AND(tblLines[[#This Row],[Days late]]&gt;=-EarlyDays,tblLines[[#This Row],[Days late]]&lt;=LateDays),"Yes","No")))</f>
        <v>No</v>
      </c>
      <c r="K101" s="37" t="str">
        <f>IF(tblLines[[#This Row],[Order line]]="","",IF(tblLines[[#This Row],[Qty delivered (units)]]="","",IF(AND(tblLines[[#This Row],[Qty delivered (units)]]&gt;=tblLines[[#This Row],[Qty ordered (units)]]*(1-UnderTol),tblLines[[#This Row],[Qty delivered (units)]]&lt;=tblLines[[#This Row],[Qty ordered (units)]]*(1+OverTol)),"Yes","No")))</f>
        <v>Yes</v>
      </c>
      <c r="L101" s="37" t="str">
        <f>IF(tblLines[[#This Row],[Order line]]="","",IF(OR(tblLines[[#This Row],[On time]]="",tblLines[[#This Row],[In full]]=""),"",IF(AND(tblLines[[#This Row],[On time]]="Yes",tblLines[[#This Row],[In full]]="Yes"),"Yes","No")))</f>
        <v>No</v>
      </c>
      <c r="M101" s="38">
        <f>IF(tblLines[[#This Row],[Order line]]="","",IF(tblLines[[#This Row],[OTIF]]="","",MIN(tblLines[[#This Row],[Qty delivered (units)]],tblLines[[#This Row],[Qty ordered (units)]])))</f>
        <v>150</v>
      </c>
      <c r="N101" s="28" t="s">
        <v>93</v>
      </c>
      <c r="O10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1" s="28" t="s">
        <v>121</v>
      </c>
    </row>
    <row r="102" spans="2:16">
      <c r="B102" s="28" t="s">
        <v>226</v>
      </c>
      <c r="C102" s="28" t="s">
        <v>84</v>
      </c>
      <c r="D102" s="28" t="s">
        <v>135</v>
      </c>
      <c r="E102" s="30">
        <v>240</v>
      </c>
      <c r="F102" s="35">
        <v>46273</v>
      </c>
      <c r="G102" s="35">
        <v>46273</v>
      </c>
      <c r="H102" s="30">
        <v>240</v>
      </c>
      <c r="I102" s="36">
        <f>IF(tblLines[[#This Row],[Order line]]="","",tblLines[[#This Row],[Delivered date]]-tblLines[[#This Row],[Promised date]])</f>
        <v>0</v>
      </c>
      <c r="J102" s="37" t="str">
        <f>IF(tblLines[[#This Row],[Order line]]="","",IF(OR(tblLines[[#This Row],[Promised date]]="",tblLines[[#This Row],[Delivered date]]=""),"",IF(AND(tblLines[[#This Row],[Days late]]&gt;=-EarlyDays,tblLines[[#This Row],[Days late]]&lt;=LateDays),"Yes","No")))</f>
        <v>Yes</v>
      </c>
      <c r="K102" s="37" t="str">
        <f>IF(tblLines[[#This Row],[Order line]]="","",IF(tblLines[[#This Row],[Qty delivered (units)]]="","",IF(AND(tblLines[[#This Row],[Qty delivered (units)]]&gt;=tblLines[[#This Row],[Qty ordered (units)]]*(1-UnderTol),tblLines[[#This Row],[Qty delivered (units)]]&lt;=tblLines[[#This Row],[Qty ordered (units)]]*(1+OverTol)),"Yes","No")))</f>
        <v>Yes</v>
      </c>
      <c r="L102" s="37" t="str">
        <f>IF(tblLines[[#This Row],[Order line]]="","",IF(OR(tblLines[[#This Row],[On time]]="",tblLines[[#This Row],[In full]]=""),"",IF(AND(tblLines[[#This Row],[On time]]="Yes",tblLines[[#This Row],[In full]]="Yes"),"Yes","No")))</f>
        <v>Yes</v>
      </c>
      <c r="M102" s="38">
        <f>IF(tblLines[[#This Row],[Order line]]="","",IF(tblLines[[#This Row],[OTIF]]="","",MIN(tblLines[[#This Row],[Qty delivered (units)]],tblLines[[#This Row],[Qty ordered (units)]])))</f>
        <v>240</v>
      </c>
      <c r="N102" s="28" t="s">
        <v>121</v>
      </c>
      <c r="O10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2" s="28" t="s">
        <v>121</v>
      </c>
    </row>
    <row r="103" spans="2:16">
      <c r="B103" s="28" t="s">
        <v>227</v>
      </c>
      <c r="C103" s="28" t="s">
        <v>88</v>
      </c>
      <c r="D103" s="28" t="s">
        <v>130</v>
      </c>
      <c r="E103" s="30">
        <v>500</v>
      </c>
      <c r="F103" s="35">
        <v>46275</v>
      </c>
      <c r="G103" s="35">
        <v>46275</v>
      </c>
      <c r="H103" s="30">
        <v>500</v>
      </c>
      <c r="I103" s="36">
        <f>IF(tblLines[[#This Row],[Order line]]="","",tblLines[[#This Row],[Delivered date]]-tblLines[[#This Row],[Promised date]])</f>
        <v>0</v>
      </c>
      <c r="J103" s="37" t="str">
        <f>IF(tblLines[[#This Row],[Order line]]="","",IF(OR(tblLines[[#This Row],[Promised date]]="",tblLines[[#This Row],[Delivered date]]=""),"",IF(AND(tblLines[[#This Row],[Days late]]&gt;=-EarlyDays,tblLines[[#This Row],[Days late]]&lt;=LateDays),"Yes","No")))</f>
        <v>Yes</v>
      </c>
      <c r="K103" s="37" t="str">
        <f>IF(tblLines[[#This Row],[Order line]]="","",IF(tblLines[[#This Row],[Qty delivered (units)]]="","",IF(AND(tblLines[[#This Row],[Qty delivered (units)]]&gt;=tblLines[[#This Row],[Qty ordered (units)]]*(1-UnderTol),tblLines[[#This Row],[Qty delivered (units)]]&lt;=tblLines[[#This Row],[Qty ordered (units)]]*(1+OverTol)),"Yes","No")))</f>
        <v>Yes</v>
      </c>
      <c r="L103" s="37" t="str">
        <f>IF(tblLines[[#This Row],[Order line]]="","",IF(OR(tblLines[[#This Row],[On time]]="",tblLines[[#This Row],[In full]]=""),"",IF(AND(tblLines[[#This Row],[On time]]="Yes",tblLines[[#This Row],[In full]]="Yes"),"Yes","No")))</f>
        <v>Yes</v>
      </c>
      <c r="M103" s="38">
        <f>IF(tblLines[[#This Row],[Order line]]="","",IF(tblLines[[#This Row],[OTIF]]="","",MIN(tblLines[[#This Row],[Qty delivered (units)]],tblLines[[#This Row],[Qty ordered (units)]])))</f>
        <v>500</v>
      </c>
      <c r="N103" s="28" t="s">
        <v>121</v>
      </c>
      <c r="O10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3" s="28" t="s">
        <v>121</v>
      </c>
    </row>
    <row r="104" spans="2:16">
      <c r="B104" s="28" t="s">
        <v>228</v>
      </c>
      <c r="C104" s="28" t="s">
        <v>82</v>
      </c>
      <c r="D104" s="28" t="s">
        <v>126</v>
      </c>
      <c r="E104" s="30">
        <v>120</v>
      </c>
      <c r="F104" s="35">
        <v>46274</v>
      </c>
      <c r="G104" s="35">
        <v>46274</v>
      </c>
      <c r="H104" s="30">
        <v>120</v>
      </c>
      <c r="I104" s="36">
        <f>IF(tblLines[[#This Row],[Order line]]="","",tblLines[[#This Row],[Delivered date]]-tblLines[[#This Row],[Promised date]])</f>
        <v>0</v>
      </c>
      <c r="J104" s="37" t="str">
        <f>IF(tblLines[[#This Row],[Order line]]="","",IF(OR(tblLines[[#This Row],[Promised date]]="",tblLines[[#This Row],[Delivered date]]=""),"",IF(AND(tblLines[[#This Row],[Days late]]&gt;=-EarlyDays,tblLines[[#This Row],[Days late]]&lt;=LateDays),"Yes","No")))</f>
        <v>Yes</v>
      </c>
      <c r="K104" s="37" t="str">
        <f>IF(tblLines[[#This Row],[Order line]]="","",IF(tblLines[[#This Row],[Qty delivered (units)]]="","",IF(AND(tblLines[[#This Row],[Qty delivered (units)]]&gt;=tblLines[[#This Row],[Qty ordered (units)]]*(1-UnderTol),tblLines[[#This Row],[Qty delivered (units)]]&lt;=tblLines[[#This Row],[Qty ordered (units)]]*(1+OverTol)),"Yes","No")))</f>
        <v>Yes</v>
      </c>
      <c r="L104" s="37" t="str">
        <f>IF(tblLines[[#This Row],[Order line]]="","",IF(OR(tblLines[[#This Row],[On time]]="",tblLines[[#This Row],[In full]]=""),"",IF(AND(tblLines[[#This Row],[On time]]="Yes",tblLines[[#This Row],[In full]]="Yes"),"Yes","No")))</f>
        <v>Yes</v>
      </c>
      <c r="M104" s="38">
        <f>IF(tblLines[[#This Row],[Order line]]="","",IF(tblLines[[#This Row],[OTIF]]="","",MIN(tblLines[[#This Row],[Qty delivered (units)]],tblLines[[#This Row],[Qty ordered (units)]])))</f>
        <v>120</v>
      </c>
      <c r="N104" s="28" t="s">
        <v>121</v>
      </c>
      <c r="O10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4" s="28" t="s">
        <v>121</v>
      </c>
    </row>
    <row r="105" spans="2:16">
      <c r="B105" s="28" t="s">
        <v>229</v>
      </c>
      <c r="C105" s="28" t="s">
        <v>82</v>
      </c>
      <c r="D105" s="28" t="s">
        <v>128</v>
      </c>
      <c r="E105" s="30">
        <v>400</v>
      </c>
      <c r="F105" s="35">
        <v>46275</v>
      </c>
      <c r="G105" s="35">
        <v>46274</v>
      </c>
      <c r="H105" s="30">
        <v>400</v>
      </c>
      <c r="I105" s="36">
        <f>IF(tblLines[[#This Row],[Order line]]="","",tblLines[[#This Row],[Delivered date]]-tblLines[[#This Row],[Promised date]])</f>
        <v>-1</v>
      </c>
      <c r="J105" s="37" t="str">
        <f>IF(tblLines[[#This Row],[Order line]]="","",IF(OR(tblLines[[#This Row],[Promised date]]="",tblLines[[#This Row],[Delivered date]]=""),"",IF(AND(tblLines[[#This Row],[Days late]]&gt;=-EarlyDays,tblLines[[#This Row],[Days late]]&lt;=LateDays),"Yes","No")))</f>
        <v>Yes</v>
      </c>
      <c r="K105" s="37" t="str">
        <f>IF(tblLines[[#This Row],[Order line]]="","",IF(tblLines[[#This Row],[Qty delivered (units)]]="","",IF(AND(tblLines[[#This Row],[Qty delivered (units)]]&gt;=tblLines[[#This Row],[Qty ordered (units)]]*(1-UnderTol),tblLines[[#This Row],[Qty delivered (units)]]&lt;=tblLines[[#This Row],[Qty ordered (units)]]*(1+OverTol)),"Yes","No")))</f>
        <v>Yes</v>
      </c>
      <c r="L105" s="37" t="str">
        <f>IF(tblLines[[#This Row],[Order line]]="","",IF(OR(tblLines[[#This Row],[On time]]="",tblLines[[#This Row],[In full]]=""),"",IF(AND(tblLines[[#This Row],[On time]]="Yes",tblLines[[#This Row],[In full]]="Yes"),"Yes","No")))</f>
        <v>Yes</v>
      </c>
      <c r="M105" s="38">
        <f>IF(tblLines[[#This Row],[Order line]]="","",IF(tblLines[[#This Row],[OTIF]]="","",MIN(tblLines[[#This Row],[Qty delivered (units)]],tblLines[[#This Row],[Qty ordered (units)]])))</f>
        <v>400</v>
      </c>
      <c r="N105" s="28" t="s">
        <v>121</v>
      </c>
      <c r="O10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5" s="28" t="s">
        <v>121</v>
      </c>
    </row>
    <row r="106" spans="2:16">
      <c r="B106" s="28" t="s">
        <v>230</v>
      </c>
      <c r="C106" s="28" t="s">
        <v>80</v>
      </c>
      <c r="D106" s="28" t="s">
        <v>123</v>
      </c>
      <c r="E106" s="30">
        <v>240</v>
      </c>
      <c r="F106" s="35">
        <v>46273</v>
      </c>
      <c r="G106" s="35">
        <v>46273</v>
      </c>
      <c r="H106" s="30">
        <v>240</v>
      </c>
      <c r="I106" s="36">
        <f>IF(tblLines[[#This Row],[Order line]]="","",tblLines[[#This Row],[Delivered date]]-tblLines[[#This Row],[Promised date]])</f>
        <v>0</v>
      </c>
      <c r="J106" s="37" t="str">
        <f>IF(tblLines[[#This Row],[Order line]]="","",IF(OR(tblLines[[#This Row],[Promised date]]="",tblLines[[#This Row],[Delivered date]]=""),"",IF(AND(tblLines[[#This Row],[Days late]]&gt;=-EarlyDays,tblLines[[#This Row],[Days late]]&lt;=LateDays),"Yes","No")))</f>
        <v>Yes</v>
      </c>
      <c r="K106" s="37" t="str">
        <f>IF(tblLines[[#This Row],[Order line]]="","",IF(tblLines[[#This Row],[Qty delivered (units)]]="","",IF(AND(tblLines[[#This Row],[Qty delivered (units)]]&gt;=tblLines[[#This Row],[Qty ordered (units)]]*(1-UnderTol),tblLines[[#This Row],[Qty delivered (units)]]&lt;=tblLines[[#This Row],[Qty ordered (units)]]*(1+OverTol)),"Yes","No")))</f>
        <v>Yes</v>
      </c>
      <c r="L106" s="37" t="str">
        <f>IF(tblLines[[#This Row],[Order line]]="","",IF(OR(tblLines[[#This Row],[On time]]="",tblLines[[#This Row],[In full]]=""),"",IF(AND(tblLines[[#This Row],[On time]]="Yes",tblLines[[#This Row],[In full]]="Yes"),"Yes","No")))</f>
        <v>Yes</v>
      </c>
      <c r="M106" s="38">
        <f>IF(tblLines[[#This Row],[Order line]]="","",IF(tblLines[[#This Row],[OTIF]]="","",MIN(tblLines[[#This Row],[Qty delivered (units)]],tblLines[[#This Row],[Qty ordered (units)]])))</f>
        <v>240</v>
      </c>
      <c r="N106" s="28" t="s">
        <v>121</v>
      </c>
      <c r="O10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6" s="28" t="s">
        <v>121</v>
      </c>
    </row>
    <row r="107" spans="2:16">
      <c r="B107" s="28" t="s">
        <v>231</v>
      </c>
      <c r="C107" s="28" t="s">
        <v>78</v>
      </c>
      <c r="D107" s="28" t="s">
        <v>138</v>
      </c>
      <c r="E107" s="30">
        <v>80</v>
      </c>
      <c r="F107" s="35">
        <v>46272</v>
      </c>
      <c r="G107" s="35">
        <v>46272</v>
      </c>
      <c r="H107" s="30">
        <v>80</v>
      </c>
      <c r="I107" s="36">
        <f>IF(tblLines[[#This Row],[Order line]]="","",tblLines[[#This Row],[Delivered date]]-tblLines[[#This Row],[Promised date]])</f>
        <v>0</v>
      </c>
      <c r="J107" s="37" t="str">
        <f>IF(tblLines[[#This Row],[Order line]]="","",IF(OR(tblLines[[#This Row],[Promised date]]="",tblLines[[#This Row],[Delivered date]]=""),"",IF(AND(tblLines[[#This Row],[Days late]]&gt;=-EarlyDays,tblLines[[#This Row],[Days late]]&lt;=LateDays),"Yes","No")))</f>
        <v>Yes</v>
      </c>
      <c r="K107" s="37" t="str">
        <f>IF(tblLines[[#This Row],[Order line]]="","",IF(tblLines[[#This Row],[Qty delivered (units)]]="","",IF(AND(tblLines[[#This Row],[Qty delivered (units)]]&gt;=tblLines[[#This Row],[Qty ordered (units)]]*(1-UnderTol),tblLines[[#This Row],[Qty delivered (units)]]&lt;=tblLines[[#This Row],[Qty ordered (units)]]*(1+OverTol)),"Yes","No")))</f>
        <v>Yes</v>
      </c>
      <c r="L107" s="37" t="str">
        <f>IF(tblLines[[#This Row],[Order line]]="","",IF(OR(tblLines[[#This Row],[On time]]="",tblLines[[#This Row],[In full]]=""),"",IF(AND(tblLines[[#This Row],[On time]]="Yes",tblLines[[#This Row],[In full]]="Yes"),"Yes","No")))</f>
        <v>Yes</v>
      </c>
      <c r="M107" s="38">
        <f>IF(tblLines[[#This Row],[Order line]]="","",IF(tblLines[[#This Row],[OTIF]]="","",MIN(tblLines[[#This Row],[Qty delivered (units)]],tblLines[[#This Row],[Qty ordered (units)]])))</f>
        <v>80</v>
      </c>
      <c r="N107" s="28" t="s">
        <v>121</v>
      </c>
      <c r="O10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7" s="28" t="s">
        <v>121</v>
      </c>
    </row>
    <row r="108" spans="2:16">
      <c r="B108" s="28" t="s">
        <v>232</v>
      </c>
      <c r="C108" s="28" t="s">
        <v>82</v>
      </c>
      <c r="D108" s="28" t="s">
        <v>132</v>
      </c>
      <c r="E108" s="30">
        <v>120</v>
      </c>
      <c r="F108" s="35">
        <v>46275</v>
      </c>
      <c r="G108" s="35">
        <v>46274</v>
      </c>
      <c r="H108" s="30">
        <v>120</v>
      </c>
      <c r="I108" s="36">
        <f>IF(tblLines[[#This Row],[Order line]]="","",tblLines[[#This Row],[Delivered date]]-tblLines[[#This Row],[Promised date]])</f>
        <v>-1</v>
      </c>
      <c r="J108" s="37" t="str">
        <f>IF(tblLines[[#This Row],[Order line]]="","",IF(OR(tblLines[[#This Row],[Promised date]]="",tblLines[[#This Row],[Delivered date]]=""),"",IF(AND(tblLines[[#This Row],[Days late]]&gt;=-EarlyDays,tblLines[[#This Row],[Days late]]&lt;=LateDays),"Yes","No")))</f>
        <v>Yes</v>
      </c>
      <c r="K108" s="37" t="str">
        <f>IF(tblLines[[#This Row],[Order line]]="","",IF(tblLines[[#This Row],[Qty delivered (units)]]="","",IF(AND(tblLines[[#This Row],[Qty delivered (units)]]&gt;=tblLines[[#This Row],[Qty ordered (units)]]*(1-UnderTol),tblLines[[#This Row],[Qty delivered (units)]]&lt;=tblLines[[#This Row],[Qty ordered (units)]]*(1+OverTol)),"Yes","No")))</f>
        <v>Yes</v>
      </c>
      <c r="L108" s="37" t="str">
        <f>IF(tblLines[[#This Row],[Order line]]="","",IF(OR(tblLines[[#This Row],[On time]]="",tblLines[[#This Row],[In full]]=""),"",IF(AND(tblLines[[#This Row],[On time]]="Yes",tblLines[[#This Row],[In full]]="Yes"),"Yes","No")))</f>
        <v>Yes</v>
      </c>
      <c r="M108" s="38">
        <f>IF(tblLines[[#This Row],[Order line]]="","",IF(tblLines[[#This Row],[OTIF]]="","",MIN(tblLines[[#This Row],[Qty delivered (units)]],tblLines[[#This Row],[Qty ordered (units)]])))</f>
        <v>120</v>
      </c>
      <c r="N108" s="28" t="s">
        <v>121</v>
      </c>
      <c r="O10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8" s="28" t="s">
        <v>121</v>
      </c>
    </row>
    <row r="109" spans="2:16">
      <c r="B109" s="28" t="s">
        <v>233</v>
      </c>
      <c r="C109" s="28" t="s">
        <v>82</v>
      </c>
      <c r="D109" s="28" t="s">
        <v>130</v>
      </c>
      <c r="E109" s="30">
        <v>80</v>
      </c>
      <c r="F109" s="35">
        <v>46275</v>
      </c>
      <c r="G109" s="35">
        <v>46275</v>
      </c>
      <c r="H109" s="30">
        <v>80</v>
      </c>
      <c r="I109" s="36">
        <f>IF(tblLines[[#This Row],[Order line]]="","",tblLines[[#This Row],[Delivered date]]-tblLines[[#This Row],[Promised date]])</f>
        <v>0</v>
      </c>
      <c r="J109" s="37" t="str">
        <f>IF(tblLines[[#This Row],[Order line]]="","",IF(OR(tblLines[[#This Row],[Promised date]]="",tblLines[[#This Row],[Delivered date]]=""),"",IF(AND(tblLines[[#This Row],[Days late]]&gt;=-EarlyDays,tblLines[[#This Row],[Days late]]&lt;=LateDays),"Yes","No")))</f>
        <v>Yes</v>
      </c>
      <c r="K109" s="37" t="str">
        <f>IF(tblLines[[#This Row],[Order line]]="","",IF(tblLines[[#This Row],[Qty delivered (units)]]="","",IF(AND(tblLines[[#This Row],[Qty delivered (units)]]&gt;=tblLines[[#This Row],[Qty ordered (units)]]*(1-UnderTol),tblLines[[#This Row],[Qty delivered (units)]]&lt;=tblLines[[#This Row],[Qty ordered (units)]]*(1+OverTol)),"Yes","No")))</f>
        <v>Yes</v>
      </c>
      <c r="L109" s="37" t="str">
        <f>IF(tblLines[[#This Row],[Order line]]="","",IF(OR(tblLines[[#This Row],[On time]]="",tblLines[[#This Row],[In full]]=""),"",IF(AND(tblLines[[#This Row],[On time]]="Yes",tblLines[[#This Row],[In full]]="Yes"),"Yes","No")))</f>
        <v>Yes</v>
      </c>
      <c r="M109" s="38">
        <f>IF(tblLines[[#This Row],[Order line]]="","",IF(tblLines[[#This Row],[OTIF]]="","",MIN(tblLines[[#This Row],[Qty delivered (units)]],tblLines[[#This Row],[Qty ordered (units)]])))</f>
        <v>80</v>
      </c>
      <c r="N109" s="28" t="s">
        <v>121</v>
      </c>
      <c r="O10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09" s="28" t="s">
        <v>121</v>
      </c>
    </row>
    <row r="110" spans="2:16">
      <c r="B110" s="28" t="s">
        <v>234</v>
      </c>
      <c r="C110" s="28" t="s">
        <v>78</v>
      </c>
      <c r="D110" s="28" t="s">
        <v>126</v>
      </c>
      <c r="E110" s="30">
        <v>150</v>
      </c>
      <c r="F110" s="35">
        <v>46274</v>
      </c>
      <c r="G110" s="35">
        <v>46274</v>
      </c>
      <c r="H110" s="30">
        <v>150</v>
      </c>
      <c r="I110" s="36">
        <f>IF(tblLines[[#This Row],[Order line]]="","",tblLines[[#This Row],[Delivered date]]-tblLines[[#This Row],[Promised date]])</f>
        <v>0</v>
      </c>
      <c r="J110" s="37" t="str">
        <f>IF(tblLines[[#This Row],[Order line]]="","",IF(OR(tblLines[[#This Row],[Promised date]]="",tblLines[[#This Row],[Delivered date]]=""),"",IF(AND(tblLines[[#This Row],[Days late]]&gt;=-EarlyDays,tblLines[[#This Row],[Days late]]&lt;=LateDays),"Yes","No")))</f>
        <v>Yes</v>
      </c>
      <c r="K110" s="37" t="str">
        <f>IF(tblLines[[#This Row],[Order line]]="","",IF(tblLines[[#This Row],[Qty delivered (units)]]="","",IF(AND(tblLines[[#This Row],[Qty delivered (units)]]&gt;=tblLines[[#This Row],[Qty ordered (units)]]*(1-UnderTol),tblLines[[#This Row],[Qty delivered (units)]]&lt;=tblLines[[#This Row],[Qty ordered (units)]]*(1+OverTol)),"Yes","No")))</f>
        <v>Yes</v>
      </c>
      <c r="L110" s="37" t="str">
        <f>IF(tblLines[[#This Row],[Order line]]="","",IF(OR(tblLines[[#This Row],[On time]]="",tblLines[[#This Row],[In full]]=""),"",IF(AND(tblLines[[#This Row],[On time]]="Yes",tblLines[[#This Row],[In full]]="Yes"),"Yes","No")))</f>
        <v>Yes</v>
      </c>
      <c r="M110" s="38">
        <f>IF(tblLines[[#This Row],[Order line]]="","",IF(tblLines[[#This Row],[OTIF]]="","",MIN(tblLines[[#This Row],[Qty delivered (units)]],tblLines[[#This Row],[Qty ordered (units)]])))</f>
        <v>150</v>
      </c>
      <c r="N110" s="28" t="s">
        <v>121</v>
      </c>
      <c r="O11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0" s="28" t="s">
        <v>121</v>
      </c>
    </row>
    <row r="111" spans="2:16">
      <c r="B111" s="28" t="s">
        <v>235</v>
      </c>
      <c r="C111" s="28" t="s">
        <v>80</v>
      </c>
      <c r="D111" s="28" t="s">
        <v>120</v>
      </c>
      <c r="E111" s="30">
        <v>240</v>
      </c>
      <c r="F111" s="35">
        <v>46275</v>
      </c>
      <c r="G111" s="35">
        <v>46273</v>
      </c>
      <c r="H111" s="30">
        <v>240</v>
      </c>
      <c r="I111" s="36">
        <f>IF(tblLines[[#This Row],[Order line]]="","",tblLines[[#This Row],[Delivered date]]-tblLines[[#This Row],[Promised date]])</f>
        <v>-2</v>
      </c>
      <c r="J111" s="37" t="str">
        <f>IF(tblLines[[#This Row],[Order line]]="","",IF(OR(tblLines[[#This Row],[Promised date]]="",tblLines[[#This Row],[Delivered date]]=""),"",IF(AND(tblLines[[#This Row],[Days late]]&gt;=-EarlyDays,tblLines[[#This Row],[Days late]]&lt;=LateDays),"Yes","No")))</f>
        <v>Yes</v>
      </c>
      <c r="K111" s="37" t="str">
        <f>IF(tblLines[[#This Row],[Order line]]="","",IF(tblLines[[#This Row],[Qty delivered (units)]]="","",IF(AND(tblLines[[#This Row],[Qty delivered (units)]]&gt;=tblLines[[#This Row],[Qty ordered (units)]]*(1-UnderTol),tblLines[[#This Row],[Qty delivered (units)]]&lt;=tblLines[[#This Row],[Qty ordered (units)]]*(1+OverTol)),"Yes","No")))</f>
        <v>Yes</v>
      </c>
      <c r="L111" s="37" t="str">
        <f>IF(tblLines[[#This Row],[Order line]]="","",IF(OR(tblLines[[#This Row],[On time]]="",tblLines[[#This Row],[In full]]=""),"",IF(AND(tblLines[[#This Row],[On time]]="Yes",tblLines[[#This Row],[In full]]="Yes"),"Yes","No")))</f>
        <v>Yes</v>
      </c>
      <c r="M111" s="38">
        <f>IF(tblLines[[#This Row],[Order line]]="","",IF(tblLines[[#This Row],[OTIF]]="","",MIN(tblLines[[#This Row],[Qty delivered (units)]],tblLines[[#This Row],[Qty ordered (units)]])))</f>
        <v>240</v>
      </c>
      <c r="N111" s="28" t="s">
        <v>121</v>
      </c>
      <c r="O11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1" s="28" t="s">
        <v>121</v>
      </c>
    </row>
    <row r="112" spans="2:16">
      <c r="B112" s="28" t="s">
        <v>236</v>
      </c>
      <c r="C112" s="28" t="s">
        <v>80</v>
      </c>
      <c r="D112" s="28" t="s">
        <v>128</v>
      </c>
      <c r="E112" s="30">
        <v>100</v>
      </c>
      <c r="F112" s="35">
        <v>46273</v>
      </c>
      <c r="G112" s="35">
        <v>46272</v>
      </c>
      <c r="H112" s="30">
        <v>100</v>
      </c>
      <c r="I112" s="36">
        <f>IF(tblLines[[#This Row],[Order line]]="","",tblLines[[#This Row],[Delivered date]]-tblLines[[#This Row],[Promised date]])</f>
        <v>-1</v>
      </c>
      <c r="J112" s="37" t="str">
        <f>IF(tblLines[[#This Row],[Order line]]="","",IF(OR(tblLines[[#This Row],[Promised date]]="",tblLines[[#This Row],[Delivered date]]=""),"",IF(AND(tblLines[[#This Row],[Days late]]&gt;=-EarlyDays,tblLines[[#This Row],[Days late]]&lt;=LateDays),"Yes","No")))</f>
        <v>Yes</v>
      </c>
      <c r="K112" s="37" t="str">
        <f>IF(tblLines[[#This Row],[Order line]]="","",IF(tblLines[[#This Row],[Qty delivered (units)]]="","",IF(AND(tblLines[[#This Row],[Qty delivered (units)]]&gt;=tblLines[[#This Row],[Qty ordered (units)]]*(1-UnderTol),tblLines[[#This Row],[Qty delivered (units)]]&lt;=tblLines[[#This Row],[Qty ordered (units)]]*(1+OverTol)),"Yes","No")))</f>
        <v>Yes</v>
      </c>
      <c r="L112" s="37" t="str">
        <f>IF(tblLines[[#This Row],[Order line]]="","",IF(OR(tblLines[[#This Row],[On time]]="",tblLines[[#This Row],[In full]]=""),"",IF(AND(tblLines[[#This Row],[On time]]="Yes",tblLines[[#This Row],[In full]]="Yes"),"Yes","No")))</f>
        <v>Yes</v>
      </c>
      <c r="M112" s="38">
        <f>IF(tblLines[[#This Row],[Order line]]="","",IF(tblLines[[#This Row],[OTIF]]="","",MIN(tblLines[[#This Row],[Qty delivered (units)]],tblLines[[#This Row],[Qty ordered (units)]])))</f>
        <v>100</v>
      </c>
      <c r="N112" s="28" t="s">
        <v>121</v>
      </c>
      <c r="O11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2" s="28" t="s">
        <v>121</v>
      </c>
    </row>
    <row r="113" spans="2:16">
      <c r="B113" s="28" t="s">
        <v>237</v>
      </c>
      <c r="C113" s="28" t="s">
        <v>82</v>
      </c>
      <c r="D113" s="28" t="s">
        <v>130</v>
      </c>
      <c r="E113" s="30">
        <v>400</v>
      </c>
      <c r="F113" s="35">
        <v>46272</v>
      </c>
      <c r="G113" s="35">
        <v>46272</v>
      </c>
      <c r="H113" s="30">
        <v>400</v>
      </c>
      <c r="I113" s="36">
        <f>IF(tblLines[[#This Row],[Order line]]="","",tblLines[[#This Row],[Delivered date]]-tblLines[[#This Row],[Promised date]])</f>
        <v>0</v>
      </c>
      <c r="J113" s="37" t="str">
        <f>IF(tblLines[[#This Row],[Order line]]="","",IF(OR(tblLines[[#This Row],[Promised date]]="",tblLines[[#This Row],[Delivered date]]=""),"",IF(AND(tblLines[[#This Row],[Days late]]&gt;=-EarlyDays,tblLines[[#This Row],[Days late]]&lt;=LateDays),"Yes","No")))</f>
        <v>Yes</v>
      </c>
      <c r="K113" s="37" t="str">
        <f>IF(tblLines[[#This Row],[Order line]]="","",IF(tblLines[[#This Row],[Qty delivered (units)]]="","",IF(AND(tblLines[[#This Row],[Qty delivered (units)]]&gt;=tblLines[[#This Row],[Qty ordered (units)]]*(1-UnderTol),tblLines[[#This Row],[Qty delivered (units)]]&lt;=tblLines[[#This Row],[Qty ordered (units)]]*(1+OverTol)),"Yes","No")))</f>
        <v>Yes</v>
      </c>
      <c r="L113" s="37" t="str">
        <f>IF(tblLines[[#This Row],[Order line]]="","",IF(OR(tblLines[[#This Row],[On time]]="",tblLines[[#This Row],[In full]]=""),"",IF(AND(tblLines[[#This Row],[On time]]="Yes",tblLines[[#This Row],[In full]]="Yes"),"Yes","No")))</f>
        <v>Yes</v>
      </c>
      <c r="M113" s="38">
        <f>IF(tblLines[[#This Row],[Order line]]="","",IF(tblLines[[#This Row],[OTIF]]="","",MIN(tblLines[[#This Row],[Qty delivered (units)]],tblLines[[#This Row],[Qty ordered (units)]])))</f>
        <v>400</v>
      </c>
      <c r="N113" s="28" t="s">
        <v>121</v>
      </c>
      <c r="O11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3" s="28" t="s">
        <v>121</v>
      </c>
    </row>
    <row r="114" spans="2:16">
      <c r="B114" s="28" t="s">
        <v>238</v>
      </c>
      <c r="C114" s="28" t="s">
        <v>78</v>
      </c>
      <c r="D114" s="28" t="s">
        <v>130</v>
      </c>
      <c r="E114" s="30">
        <v>240</v>
      </c>
      <c r="F114" s="35">
        <v>46281</v>
      </c>
      <c r="G114" s="35">
        <v>46281</v>
      </c>
      <c r="H114" s="30">
        <v>240</v>
      </c>
      <c r="I114" s="36">
        <f>IF(tblLines[[#This Row],[Order line]]="","",tblLines[[#This Row],[Delivered date]]-tblLines[[#This Row],[Promised date]])</f>
        <v>0</v>
      </c>
      <c r="J114" s="37" t="str">
        <f>IF(tblLines[[#This Row],[Order line]]="","",IF(OR(tblLines[[#This Row],[Promised date]]="",tblLines[[#This Row],[Delivered date]]=""),"",IF(AND(tblLines[[#This Row],[Days late]]&gt;=-EarlyDays,tblLines[[#This Row],[Days late]]&lt;=LateDays),"Yes","No")))</f>
        <v>Yes</v>
      </c>
      <c r="K114" s="37" t="str">
        <f>IF(tblLines[[#This Row],[Order line]]="","",IF(tblLines[[#This Row],[Qty delivered (units)]]="","",IF(AND(tblLines[[#This Row],[Qty delivered (units)]]&gt;=tblLines[[#This Row],[Qty ordered (units)]]*(1-UnderTol),tblLines[[#This Row],[Qty delivered (units)]]&lt;=tblLines[[#This Row],[Qty ordered (units)]]*(1+OverTol)),"Yes","No")))</f>
        <v>Yes</v>
      </c>
      <c r="L114" s="37" t="str">
        <f>IF(tblLines[[#This Row],[Order line]]="","",IF(OR(tblLines[[#This Row],[On time]]="",tblLines[[#This Row],[In full]]=""),"",IF(AND(tblLines[[#This Row],[On time]]="Yes",tblLines[[#This Row],[In full]]="Yes"),"Yes","No")))</f>
        <v>Yes</v>
      </c>
      <c r="M114" s="38">
        <f>IF(tblLines[[#This Row],[Order line]]="","",IF(tblLines[[#This Row],[OTIF]]="","",MIN(tblLines[[#This Row],[Qty delivered (units)]],tblLines[[#This Row],[Qty ordered (units)]])))</f>
        <v>240</v>
      </c>
      <c r="N114" s="28" t="s">
        <v>121</v>
      </c>
      <c r="O11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4" s="28" t="s">
        <v>121</v>
      </c>
    </row>
    <row r="115" spans="2:16">
      <c r="B115" s="28" t="s">
        <v>239</v>
      </c>
      <c r="C115" s="28" t="s">
        <v>78</v>
      </c>
      <c r="D115" s="28" t="s">
        <v>123</v>
      </c>
      <c r="E115" s="30">
        <v>150</v>
      </c>
      <c r="F115" s="35">
        <v>46281</v>
      </c>
      <c r="G115" s="35">
        <v>46281</v>
      </c>
      <c r="H115" s="30">
        <v>150</v>
      </c>
      <c r="I115" s="36">
        <f>IF(tblLines[[#This Row],[Order line]]="","",tblLines[[#This Row],[Delivered date]]-tblLines[[#This Row],[Promised date]])</f>
        <v>0</v>
      </c>
      <c r="J115" s="37" t="str">
        <f>IF(tblLines[[#This Row],[Order line]]="","",IF(OR(tblLines[[#This Row],[Promised date]]="",tblLines[[#This Row],[Delivered date]]=""),"",IF(AND(tblLines[[#This Row],[Days late]]&gt;=-EarlyDays,tblLines[[#This Row],[Days late]]&lt;=LateDays),"Yes","No")))</f>
        <v>Yes</v>
      </c>
      <c r="K115" s="37" t="str">
        <f>IF(tblLines[[#This Row],[Order line]]="","",IF(tblLines[[#This Row],[Qty delivered (units)]]="","",IF(AND(tblLines[[#This Row],[Qty delivered (units)]]&gt;=tblLines[[#This Row],[Qty ordered (units)]]*(1-UnderTol),tblLines[[#This Row],[Qty delivered (units)]]&lt;=tblLines[[#This Row],[Qty ordered (units)]]*(1+OverTol)),"Yes","No")))</f>
        <v>Yes</v>
      </c>
      <c r="L115" s="37" t="str">
        <f>IF(tblLines[[#This Row],[Order line]]="","",IF(OR(tblLines[[#This Row],[On time]]="",tblLines[[#This Row],[In full]]=""),"",IF(AND(tblLines[[#This Row],[On time]]="Yes",tblLines[[#This Row],[In full]]="Yes"),"Yes","No")))</f>
        <v>Yes</v>
      </c>
      <c r="M115" s="38">
        <f>IF(tblLines[[#This Row],[Order line]]="","",IF(tblLines[[#This Row],[OTIF]]="","",MIN(tblLines[[#This Row],[Qty delivered (units)]],tblLines[[#This Row],[Qty ordered (units)]])))</f>
        <v>150</v>
      </c>
      <c r="N115" s="28" t="s">
        <v>121</v>
      </c>
      <c r="O11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5" s="28" t="s">
        <v>121</v>
      </c>
    </row>
    <row r="116" spans="2:16">
      <c r="B116" s="28" t="s">
        <v>240</v>
      </c>
      <c r="C116" s="28" t="s">
        <v>82</v>
      </c>
      <c r="D116" s="28" t="s">
        <v>135</v>
      </c>
      <c r="E116" s="30">
        <v>50</v>
      </c>
      <c r="F116" s="35">
        <v>46281</v>
      </c>
      <c r="G116" s="35">
        <v>46281</v>
      </c>
      <c r="H116" s="30">
        <v>50</v>
      </c>
      <c r="I116" s="36">
        <f>IF(tblLines[[#This Row],[Order line]]="","",tblLines[[#This Row],[Delivered date]]-tblLines[[#This Row],[Promised date]])</f>
        <v>0</v>
      </c>
      <c r="J116" s="37" t="str">
        <f>IF(tblLines[[#This Row],[Order line]]="","",IF(OR(tblLines[[#This Row],[Promised date]]="",tblLines[[#This Row],[Delivered date]]=""),"",IF(AND(tblLines[[#This Row],[Days late]]&gt;=-EarlyDays,tblLines[[#This Row],[Days late]]&lt;=LateDays),"Yes","No")))</f>
        <v>Yes</v>
      </c>
      <c r="K116" s="37" t="str">
        <f>IF(tblLines[[#This Row],[Order line]]="","",IF(tblLines[[#This Row],[Qty delivered (units)]]="","",IF(AND(tblLines[[#This Row],[Qty delivered (units)]]&gt;=tblLines[[#This Row],[Qty ordered (units)]]*(1-UnderTol),tblLines[[#This Row],[Qty delivered (units)]]&lt;=tblLines[[#This Row],[Qty ordered (units)]]*(1+OverTol)),"Yes","No")))</f>
        <v>Yes</v>
      </c>
      <c r="L116" s="37" t="str">
        <f>IF(tblLines[[#This Row],[Order line]]="","",IF(OR(tblLines[[#This Row],[On time]]="",tblLines[[#This Row],[In full]]=""),"",IF(AND(tblLines[[#This Row],[On time]]="Yes",tblLines[[#This Row],[In full]]="Yes"),"Yes","No")))</f>
        <v>Yes</v>
      </c>
      <c r="M116" s="38">
        <f>IF(tblLines[[#This Row],[Order line]]="","",IF(tblLines[[#This Row],[OTIF]]="","",MIN(tblLines[[#This Row],[Qty delivered (units)]],tblLines[[#This Row],[Qty ordered (units)]])))</f>
        <v>50</v>
      </c>
      <c r="N116" s="28" t="s">
        <v>121</v>
      </c>
      <c r="O11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6" s="28" t="s">
        <v>121</v>
      </c>
    </row>
    <row r="117" spans="2:16">
      <c r="B117" s="28" t="s">
        <v>241</v>
      </c>
      <c r="C117" s="28" t="s">
        <v>82</v>
      </c>
      <c r="D117" s="28" t="s">
        <v>145</v>
      </c>
      <c r="E117" s="30">
        <v>200</v>
      </c>
      <c r="F117" s="35">
        <v>46280</v>
      </c>
      <c r="G117" s="35">
        <v>46280</v>
      </c>
      <c r="H117" s="30">
        <v>200</v>
      </c>
      <c r="I117" s="36">
        <f>IF(tblLines[[#This Row],[Order line]]="","",tblLines[[#This Row],[Delivered date]]-tblLines[[#This Row],[Promised date]])</f>
        <v>0</v>
      </c>
      <c r="J117" s="37" t="str">
        <f>IF(tblLines[[#This Row],[Order line]]="","",IF(OR(tblLines[[#This Row],[Promised date]]="",tblLines[[#This Row],[Delivered date]]=""),"",IF(AND(tblLines[[#This Row],[Days late]]&gt;=-EarlyDays,tblLines[[#This Row],[Days late]]&lt;=LateDays),"Yes","No")))</f>
        <v>Yes</v>
      </c>
      <c r="K117" s="37" t="str">
        <f>IF(tblLines[[#This Row],[Order line]]="","",IF(tblLines[[#This Row],[Qty delivered (units)]]="","",IF(AND(tblLines[[#This Row],[Qty delivered (units)]]&gt;=tblLines[[#This Row],[Qty ordered (units)]]*(1-UnderTol),tblLines[[#This Row],[Qty delivered (units)]]&lt;=tblLines[[#This Row],[Qty ordered (units)]]*(1+OverTol)),"Yes","No")))</f>
        <v>Yes</v>
      </c>
      <c r="L117" s="37" t="str">
        <f>IF(tblLines[[#This Row],[Order line]]="","",IF(OR(tblLines[[#This Row],[On time]]="",tblLines[[#This Row],[In full]]=""),"",IF(AND(tblLines[[#This Row],[On time]]="Yes",tblLines[[#This Row],[In full]]="Yes"),"Yes","No")))</f>
        <v>Yes</v>
      </c>
      <c r="M117" s="38">
        <f>IF(tblLines[[#This Row],[Order line]]="","",IF(tblLines[[#This Row],[OTIF]]="","",MIN(tblLines[[#This Row],[Qty delivered (units)]],tblLines[[#This Row],[Qty ordered (units)]])))</f>
        <v>200</v>
      </c>
      <c r="N117" s="28" t="s">
        <v>121</v>
      </c>
      <c r="O11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7" s="28" t="s">
        <v>121</v>
      </c>
    </row>
    <row r="118" spans="2:16">
      <c r="B118" s="28" t="s">
        <v>242</v>
      </c>
      <c r="C118" s="28" t="s">
        <v>80</v>
      </c>
      <c r="D118" s="28" t="s">
        <v>135</v>
      </c>
      <c r="E118" s="30">
        <v>80</v>
      </c>
      <c r="F118" s="35">
        <v>46283</v>
      </c>
      <c r="G118" s="35">
        <v>46283</v>
      </c>
      <c r="H118" s="30">
        <v>80</v>
      </c>
      <c r="I118" s="36">
        <f>IF(tblLines[[#This Row],[Order line]]="","",tblLines[[#This Row],[Delivered date]]-tblLines[[#This Row],[Promised date]])</f>
        <v>0</v>
      </c>
      <c r="J118" s="37" t="str">
        <f>IF(tblLines[[#This Row],[Order line]]="","",IF(OR(tblLines[[#This Row],[Promised date]]="",tblLines[[#This Row],[Delivered date]]=""),"",IF(AND(tblLines[[#This Row],[Days late]]&gt;=-EarlyDays,tblLines[[#This Row],[Days late]]&lt;=LateDays),"Yes","No")))</f>
        <v>Yes</v>
      </c>
      <c r="K118" s="37" t="str">
        <f>IF(tblLines[[#This Row],[Order line]]="","",IF(tblLines[[#This Row],[Qty delivered (units)]]="","",IF(AND(tblLines[[#This Row],[Qty delivered (units)]]&gt;=tblLines[[#This Row],[Qty ordered (units)]]*(1-UnderTol),tblLines[[#This Row],[Qty delivered (units)]]&lt;=tblLines[[#This Row],[Qty ordered (units)]]*(1+OverTol)),"Yes","No")))</f>
        <v>Yes</v>
      </c>
      <c r="L118" s="37" t="str">
        <f>IF(tblLines[[#This Row],[Order line]]="","",IF(OR(tblLines[[#This Row],[On time]]="",tblLines[[#This Row],[In full]]=""),"",IF(AND(tblLines[[#This Row],[On time]]="Yes",tblLines[[#This Row],[In full]]="Yes"),"Yes","No")))</f>
        <v>Yes</v>
      </c>
      <c r="M118" s="38">
        <f>IF(tblLines[[#This Row],[Order line]]="","",IF(tblLines[[#This Row],[OTIF]]="","",MIN(tblLines[[#This Row],[Qty delivered (units)]],tblLines[[#This Row],[Qty ordered (units)]])))</f>
        <v>80</v>
      </c>
      <c r="N118" s="28" t="s">
        <v>121</v>
      </c>
      <c r="O11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8" s="28" t="s">
        <v>121</v>
      </c>
    </row>
    <row r="119" spans="2:16">
      <c r="B119" s="28" t="s">
        <v>243</v>
      </c>
      <c r="C119" s="28" t="s">
        <v>86</v>
      </c>
      <c r="D119" s="28" t="s">
        <v>128</v>
      </c>
      <c r="E119" s="30">
        <v>400</v>
      </c>
      <c r="F119" s="35">
        <v>46281</v>
      </c>
      <c r="G119" s="35">
        <v>46281</v>
      </c>
      <c r="H119" s="30">
        <v>400</v>
      </c>
      <c r="I119" s="36">
        <f>IF(tblLines[[#This Row],[Order line]]="","",tblLines[[#This Row],[Delivered date]]-tblLines[[#This Row],[Promised date]])</f>
        <v>0</v>
      </c>
      <c r="J119" s="37" t="str">
        <f>IF(tblLines[[#This Row],[Order line]]="","",IF(OR(tblLines[[#This Row],[Promised date]]="",tblLines[[#This Row],[Delivered date]]=""),"",IF(AND(tblLines[[#This Row],[Days late]]&gt;=-EarlyDays,tblLines[[#This Row],[Days late]]&lt;=LateDays),"Yes","No")))</f>
        <v>Yes</v>
      </c>
      <c r="K119" s="37" t="str">
        <f>IF(tblLines[[#This Row],[Order line]]="","",IF(tblLines[[#This Row],[Qty delivered (units)]]="","",IF(AND(tblLines[[#This Row],[Qty delivered (units)]]&gt;=tblLines[[#This Row],[Qty ordered (units)]]*(1-UnderTol),tblLines[[#This Row],[Qty delivered (units)]]&lt;=tblLines[[#This Row],[Qty ordered (units)]]*(1+OverTol)),"Yes","No")))</f>
        <v>Yes</v>
      </c>
      <c r="L119" s="37" t="str">
        <f>IF(tblLines[[#This Row],[Order line]]="","",IF(OR(tblLines[[#This Row],[On time]]="",tblLines[[#This Row],[In full]]=""),"",IF(AND(tblLines[[#This Row],[On time]]="Yes",tblLines[[#This Row],[In full]]="Yes"),"Yes","No")))</f>
        <v>Yes</v>
      </c>
      <c r="M119" s="38">
        <f>IF(tblLines[[#This Row],[Order line]]="","",IF(tblLines[[#This Row],[OTIF]]="","",MIN(tblLines[[#This Row],[Qty delivered (units)]],tblLines[[#This Row],[Qty ordered (units)]])))</f>
        <v>400</v>
      </c>
      <c r="N119" s="28" t="s">
        <v>121</v>
      </c>
      <c r="O11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19" s="28" t="s">
        <v>121</v>
      </c>
    </row>
    <row r="120" spans="2:16">
      <c r="B120" s="28" t="s">
        <v>244</v>
      </c>
      <c r="C120" s="28" t="s">
        <v>80</v>
      </c>
      <c r="D120" s="28" t="s">
        <v>132</v>
      </c>
      <c r="E120" s="30">
        <v>240</v>
      </c>
      <c r="F120" s="35">
        <v>46280</v>
      </c>
      <c r="G120" s="35">
        <v>46280</v>
      </c>
      <c r="H120" s="30">
        <v>240</v>
      </c>
      <c r="I120" s="36">
        <f>IF(tblLines[[#This Row],[Order line]]="","",tblLines[[#This Row],[Delivered date]]-tblLines[[#This Row],[Promised date]])</f>
        <v>0</v>
      </c>
      <c r="J120" s="37" t="str">
        <f>IF(tblLines[[#This Row],[Order line]]="","",IF(OR(tblLines[[#This Row],[Promised date]]="",tblLines[[#This Row],[Delivered date]]=""),"",IF(AND(tblLines[[#This Row],[Days late]]&gt;=-EarlyDays,tblLines[[#This Row],[Days late]]&lt;=LateDays),"Yes","No")))</f>
        <v>Yes</v>
      </c>
      <c r="K120" s="37" t="str">
        <f>IF(tblLines[[#This Row],[Order line]]="","",IF(tblLines[[#This Row],[Qty delivered (units)]]="","",IF(AND(tblLines[[#This Row],[Qty delivered (units)]]&gt;=tblLines[[#This Row],[Qty ordered (units)]]*(1-UnderTol),tblLines[[#This Row],[Qty delivered (units)]]&lt;=tblLines[[#This Row],[Qty ordered (units)]]*(1+OverTol)),"Yes","No")))</f>
        <v>Yes</v>
      </c>
      <c r="L120" s="37" t="str">
        <f>IF(tblLines[[#This Row],[Order line]]="","",IF(OR(tblLines[[#This Row],[On time]]="",tblLines[[#This Row],[In full]]=""),"",IF(AND(tblLines[[#This Row],[On time]]="Yes",tblLines[[#This Row],[In full]]="Yes"),"Yes","No")))</f>
        <v>Yes</v>
      </c>
      <c r="M120" s="38">
        <f>IF(tblLines[[#This Row],[Order line]]="","",IF(tblLines[[#This Row],[OTIF]]="","",MIN(tblLines[[#This Row],[Qty delivered (units)]],tblLines[[#This Row],[Qty ordered (units)]])))</f>
        <v>240</v>
      </c>
      <c r="N120" s="28" t="s">
        <v>121</v>
      </c>
      <c r="O12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0" s="28" t="s">
        <v>121</v>
      </c>
    </row>
    <row r="121" spans="2:16">
      <c r="B121" s="28" t="s">
        <v>245</v>
      </c>
      <c r="C121" s="28" t="s">
        <v>78</v>
      </c>
      <c r="D121" s="28" t="s">
        <v>138</v>
      </c>
      <c r="E121" s="30">
        <v>150</v>
      </c>
      <c r="F121" s="35">
        <v>46282</v>
      </c>
      <c r="G121" s="35">
        <v>46282</v>
      </c>
      <c r="H121" s="30">
        <v>150</v>
      </c>
      <c r="I121" s="36">
        <f>IF(tblLines[[#This Row],[Order line]]="","",tblLines[[#This Row],[Delivered date]]-tblLines[[#This Row],[Promised date]])</f>
        <v>0</v>
      </c>
      <c r="J121" s="37" t="str">
        <f>IF(tblLines[[#This Row],[Order line]]="","",IF(OR(tblLines[[#This Row],[Promised date]]="",tblLines[[#This Row],[Delivered date]]=""),"",IF(AND(tblLines[[#This Row],[Days late]]&gt;=-EarlyDays,tblLines[[#This Row],[Days late]]&lt;=LateDays),"Yes","No")))</f>
        <v>Yes</v>
      </c>
      <c r="K121" s="37" t="str">
        <f>IF(tblLines[[#This Row],[Order line]]="","",IF(tblLines[[#This Row],[Qty delivered (units)]]="","",IF(AND(tblLines[[#This Row],[Qty delivered (units)]]&gt;=tblLines[[#This Row],[Qty ordered (units)]]*(1-UnderTol),tblLines[[#This Row],[Qty delivered (units)]]&lt;=tblLines[[#This Row],[Qty ordered (units)]]*(1+OverTol)),"Yes","No")))</f>
        <v>Yes</v>
      </c>
      <c r="L121" s="37" t="str">
        <f>IF(tblLines[[#This Row],[Order line]]="","",IF(OR(tblLines[[#This Row],[On time]]="",tblLines[[#This Row],[In full]]=""),"",IF(AND(tblLines[[#This Row],[On time]]="Yes",tblLines[[#This Row],[In full]]="Yes"),"Yes","No")))</f>
        <v>Yes</v>
      </c>
      <c r="M121" s="38">
        <f>IF(tblLines[[#This Row],[Order line]]="","",IF(tblLines[[#This Row],[OTIF]]="","",MIN(tblLines[[#This Row],[Qty delivered (units)]],tblLines[[#This Row],[Qty ordered (units)]])))</f>
        <v>150</v>
      </c>
      <c r="N121" s="28" t="s">
        <v>121</v>
      </c>
      <c r="O12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1" s="28" t="s">
        <v>121</v>
      </c>
    </row>
    <row r="122" spans="2:16">
      <c r="B122" s="28" t="s">
        <v>246</v>
      </c>
      <c r="C122" s="28" t="s">
        <v>80</v>
      </c>
      <c r="D122" s="28" t="s">
        <v>140</v>
      </c>
      <c r="E122" s="30">
        <v>300</v>
      </c>
      <c r="F122" s="35">
        <v>46283</v>
      </c>
      <c r="G122" s="35">
        <v>46283</v>
      </c>
      <c r="H122" s="30">
        <v>300</v>
      </c>
      <c r="I122" s="36">
        <f>IF(tblLines[[#This Row],[Order line]]="","",tblLines[[#This Row],[Delivered date]]-tblLines[[#This Row],[Promised date]])</f>
        <v>0</v>
      </c>
      <c r="J122" s="37" t="str">
        <f>IF(tblLines[[#This Row],[Order line]]="","",IF(OR(tblLines[[#This Row],[Promised date]]="",tblLines[[#This Row],[Delivered date]]=""),"",IF(AND(tblLines[[#This Row],[Days late]]&gt;=-EarlyDays,tblLines[[#This Row],[Days late]]&lt;=LateDays),"Yes","No")))</f>
        <v>Yes</v>
      </c>
      <c r="K122" s="37" t="str">
        <f>IF(tblLines[[#This Row],[Order line]]="","",IF(tblLines[[#This Row],[Qty delivered (units)]]="","",IF(AND(tblLines[[#This Row],[Qty delivered (units)]]&gt;=tblLines[[#This Row],[Qty ordered (units)]]*(1-UnderTol),tblLines[[#This Row],[Qty delivered (units)]]&lt;=tblLines[[#This Row],[Qty ordered (units)]]*(1+OverTol)),"Yes","No")))</f>
        <v>Yes</v>
      </c>
      <c r="L122" s="37" t="str">
        <f>IF(tblLines[[#This Row],[Order line]]="","",IF(OR(tblLines[[#This Row],[On time]]="",tblLines[[#This Row],[In full]]=""),"",IF(AND(tblLines[[#This Row],[On time]]="Yes",tblLines[[#This Row],[In full]]="Yes"),"Yes","No")))</f>
        <v>Yes</v>
      </c>
      <c r="M122" s="38">
        <f>IF(tblLines[[#This Row],[Order line]]="","",IF(tblLines[[#This Row],[OTIF]]="","",MIN(tblLines[[#This Row],[Qty delivered (units)]],tblLines[[#This Row],[Qty ordered (units)]])))</f>
        <v>300</v>
      </c>
      <c r="N122" s="28" t="s">
        <v>121</v>
      </c>
      <c r="O12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2" s="28" t="s">
        <v>121</v>
      </c>
    </row>
    <row r="123" spans="2:16">
      <c r="B123" s="28" t="s">
        <v>247</v>
      </c>
      <c r="C123" s="28" t="s">
        <v>80</v>
      </c>
      <c r="D123" s="28" t="s">
        <v>123</v>
      </c>
      <c r="E123" s="30">
        <v>150</v>
      </c>
      <c r="F123" s="35">
        <v>46279</v>
      </c>
      <c r="G123" s="35">
        <v>46279</v>
      </c>
      <c r="H123" s="30">
        <v>150</v>
      </c>
      <c r="I123" s="36">
        <f>IF(tblLines[[#This Row],[Order line]]="","",tblLines[[#This Row],[Delivered date]]-tblLines[[#This Row],[Promised date]])</f>
        <v>0</v>
      </c>
      <c r="J123" s="37" t="str">
        <f>IF(tblLines[[#This Row],[Order line]]="","",IF(OR(tblLines[[#This Row],[Promised date]]="",tblLines[[#This Row],[Delivered date]]=""),"",IF(AND(tblLines[[#This Row],[Days late]]&gt;=-EarlyDays,tblLines[[#This Row],[Days late]]&lt;=LateDays),"Yes","No")))</f>
        <v>Yes</v>
      </c>
      <c r="K123" s="37" t="str">
        <f>IF(tblLines[[#This Row],[Order line]]="","",IF(tblLines[[#This Row],[Qty delivered (units)]]="","",IF(AND(tblLines[[#This Row],[Qty delivered (units)]]&gt;=tblLines[[#This Row],[Qty ordered (units)]]*(1-UnderTol),tblLines[[#This Row],[Qty delivered (units)]]&lt;=tblLines[[#This Row],[Qty ordered (units)]]*(1+OverTol)),"Yes","No")))</f>
        <v>Yes</v>
      </c>
      <c r="L123" s="37" t="str">
        <f>IF(tblLines[[#This Row],[Order line]]="","",IF(OR(tblLines[[#This Row],[On time]]="",tblLines[[#This Row],[In full]]=""),"",IF(AND(tblLines[[#This Row],[On time]]="Yes",tblLines[[#This Row],[In full]]="Yes"),"Yes","No")))</f>
        <v>Yes</v>
      </c>
      <c r="M123" s="38">
        <f>IF(tblLines[[#This Row],[Order line]]="","",IF(tblLines[[#This Row],[OTIF]]="","",MIN(tblLines[[#This Row],[Qty delivered (units)]],tblLines[[#This Row],[Qty ordered (units)]])))</f>
        <v>150</v>
      </c>
      <c r="N123" s="28" t="s">
        <v>121</v>
      </c>
      <c r="O12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3" s="28" t="s">
        <v>121</v>
      </c>
    </row>
    <row r="124" spans="2:16">
      <c r="B124" s="28" t="s">
        <v>248</v>
      </c>
      <c r="C124" s="28" t="s">
        <v>78</v>
      </c>
      <c r="D124" s="28" t="s">
        <v>130</v>
      </c>
      <c r="E124" s="30">
        <v>80</v>
      </c>
      <c r="F124" s="35">
        <v>46279</v>
      </c>
      <c r="G124" s="35">
        <v>46279</v>
      </c>
      <c r="H124" s="30">
        <v>80</v>
      </c>
      <c r="I124" s="36">
        <f>IF(tblLines[[#This Row],[Order line]]="","",tblLines[[#This Row],[Delivered date]]-tblLines[[#This Row],[Promised date]])</f>
        <v>0</v>
      </c>
      <c r="J124" s="37" t="str">
        <f>IF(tblLines[[#This Row],[Order line]]="","",IF(OR(tblLines[[#This Row],[Promised date]]="",tblLines[[#This Row],[Delivered date]]=""),"",IF(AND(tblLines[[#This Row],[Days late]]&gt;=-EarlyDays,tblLines[[#This Row],[Days late]]&lt;=LateDays),"Yes","No")))</f>
        <v>Yes</v>
      </c>
      <c r="K124" s="37" t="str">
        <f>IF(tblLines[[#This Row],[Order line]]="","",IF(tblLines[[#This Row],[Qty delivered (units)]]="","",IF(AND(tblLines[[#This Row],[Qty delivered (units)]]&gt;=tblLines[[#This Row],[Qty ordered (units)]]*(1-UnderTol),tblLines[[#This Row],[Qty delivered (units)]]&lt;=tblLines[[#This Row],[Qty ordered (units)]]*(1+OverTol)),"Yes","No")))</f>
        <v>Yes</v>
      </c>
      <c r="L124" s="37" t="str">
        <f>IF(tblLines[[#This Row],[Order line]]="","",IF(OR(tblLines[[#This Row],[On time]]="",tblLines[[#This Row],[In full]]=""),"",IF(AND(tblLines[[#This Row],[On time]]="Yes",tblLines[[#This Row],[In full]]="Yes"),"Yes","No")))</f>
        <v>Yes</v>
      </c>
      <c r="M124" s="38">
        <f>IF(tblLines[[#This Row],[Order line]]="","",IF(tblLines[[#This Row],[OTIF]]="","",MIN(tblLines[[#This Row],[Qty delivered (units)]],tblLines[[#This Row],[Qty ordered (units)]])))</f>
        <v>80</v>
      </c>
      <c r="N124" s="28" t="s">
        <v>121</v>
      </c>
      <c r="O12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4" s="28" t="s">
        <v>121</v>
      </c>
    </row>
    <row r="125" spans="2:16">
      <c r="B125" s="28" t="s">
        <v>249</v>
      </c>
      <c r="C125" s="28" t="s">
        <v>80</v>
      </c>
      <c r="D125" s="28" t="s">
        <v>145</v>
      </c>
      <c r="E125" s="30">
        <v>240</v>
      </c>
      <c r="F125" s="35">
        <v>46281</v>
      </c>
      <c r="G125" s="35">
        <v>46282</v>
      </c>
      <c r="H125" s="30">
        <v>240</v>
      </c>
      <c r="I125" s="36">
        <f>IF(tblLines[[#This Row],[Order line]]="","",tblLines[[#This Row],[Delivered date]]-tblLines[[#This Row],[Promised date]])</f>
        <v>1</v>
      </c>
      <c r="J125" s="37" t="str">
        <f>IF(tblLines[[#This Row],[Order line]]="","",IF(OR(tblLines[[#This Row],[Promised date]]="",tblLines[[#This Row],[Delivered date]]=""),"",IF(AND(tblLines[[#This Row],[Days late]]&gt;=-EarlyDays,tblLines[[#This Row],[Days late]]&lt;=LateDays),"Yes","No")))</f>
        <v>No</v>
      </c>
      <c r="K125" s="37" t="str">
        <f>IF(tblLines[[#This Row],[Order line]]="","",IF(tblLines[[#This Row],[Qty delivered (units)]]="","",IF(AND(tblLines[[#This Row],[Qty delivered (units)]]&gt;=tblLines[[#This Row],[Qty ordered (units)]]*(1-UnderTol),tblLines[[#This Row],[Qty delivered (units)]]&lt;=tblLines[[#This Row],[Qty ordered (units)]]*(1+OverTol)),"Yes","No")))</f>
        <v>Yes</v>
      </c>
      <c r="L125" s="37" t="str">
        <f>IF(tblLines[[#This Row],[Order line]]="","",IF(OR(tblLines[[#This Row],[On time]]="",tblLines[[#This Row],[In full]]=""),"",IF(AND(tblLines[[#This Row],[On time]]="Yes",tblLines[[#This Row],[In full]]="Yes"),"Yes","No")))</f>
        <v>No</v>
      </c>
      <c r="M125" s="38">
        <f>IF(tblLines[[#This Row],[Order line]]="","",IF(tblLines[[#This Row],[OTIF]]="","",MIN(tblLines[[#This Row],[Qty delivered (units)]],tblLines[[#This Row],[Qty ordered (units)]])))</f>
        <v>240</v>
      </c>
      <c r="N125" s="28" t="s">
        <v>102</v>
      </c>
      <c r="O12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5" s="28" t="s">
        <v>121</v>
      </c>
    </row>
    <row r="126" spans="2:16">
      <c r="B126" s="28" t="s">
        <v>250</v>
      </c>
      <c r="C126" s="28" t="s">
        <v>86</v>
      </c>
      <c r="D126" s="28" t="s">
        <v>120</v>
      </c>
      <c r="E126" s="30">
        <v>500</v>
      </c>
      <c r="F126" s="35">
        <v>46283</v>
      </c>
      <c r="G126" s="35">
        <v>46282</v>
      </c>
      <c r="H126" s="30">
        <v>500</v>
      </c>
      <c r="I126" s="36">
        <f>IF(tblLines[[#This Row],[Order line]]="","",tblLines[[#This Row],[Delivered date]]-tblLines[[#This Row],[Promised date]])</f>
        <v>-1</v>
      </c>
      <c r="J126" s="37" t="str">
        <f>IF(tblLines[[#This Row],[Order line]]="","",IF(OR(tblLines[[#This Row],[Promised date]]="",tblLines[[#This Row],[Delivered date]]=""),"",IF(AND(tblLines[[#This Row],[Days late]]&gt;=-EarlyDays,tblLines[[#This Row],[Days late]]&lt;=LateDays),"Yes","No")))</f>
        <v>Yes</v>
      </c>
      <c r="K126" s="37" t="str">
        <f>IF(tblLines[[#This Row],[Order line]]="","",IF(tblLines[[#This Row],[Qty delivered (units)]]="","",IF(AND(tblLines[[#This Row],[Qty delivered (units)]]&gt;=tblLines[[#This Row],[Qty ordered (units)]]*(1-UnderTol),tblLines[[#This Row],[Qty delivered (units)]]&lt;=tblLines[[#This Row],[Qty ordered (units)]]*(1+OverTol)),"Yes","No")))</f>
        <v>Yes</v>
      </c>
      <c r="L126" s="37" t="str">
        <f>IF(tblLines[[#This Row],[Order line]]="","",IF(OR(tblLines[[#This Row],[On time]]="",tblLines[[#This Row],[In full]]=""),"",IF(AND(tblLines[[#This Row],[On time]]="Yes",tblLines[[#This Row],[In full]]="Yes"),"Yes","No")))</f>
        <v>Yes</v>
      </c>
      <c r="M126" s="38">
        <f>IF(tblLines[[#This Row],[Order line]]="","",IF(tblLines[[#This Row],[OTIF]]="","",MIN(tblLines[[#This Row],[Qty delivered (units)]],tblLines[[#This Row],[Qty ordered (units)]])))</f>
        <v>500</v>
      </c>
      <c r="N126" s="28" t="s">
        <v>121</v>
      </c>
      <c r="O12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6" s="28" t="s">
        <v>121</v>
      </c>
    </row>
    <row r="127" spans="2:16">
      <c r="B127" s="28" t="s">
        <v>251</v>
      </c>
      <c r="C127" s="28" t="s">
        <v>80</v>
      </c>
      <c r="D127" s="28" t="s">
        <v>128</v>
      </c>
      <c r="E127" s="30">
        <v>50</v>
      </c>
      <c r="F127" s="35">
        <v>46281</v>
      </c>
      <c r="G127" s="35">
        <v>46281</v>
      </c>
      <c r="H127" s="30">
        <v>50</v>
      </c>
      <c r="I127" s="36">
        <f>IF(tblLines[[#This Row],[Order line]]="","",tblLines[[#This Row],[Delivered date]]-tblLines[[#This Row],[Promised date]])</f>
        <v>0</v>
      </c>
      <c r="J127" s="37" t="str">
        <f>IF(tblLines[[#This Row],[Order line]]="","",IF(OR(tblLines[[#This Row],[Promised date]]="",tblLines[[#This Row],[Delivered date]]=""),"",IF(AND(tblLines[[#This Row],[Days late]]&gt;=-EarlyDays,tblLines[[#This Row],[Days late]]&lt;=LateDays),"Yes","No")))</f>
        <v>Yes</v>
      </c>
      <c r="K127" s="37" t="str">
        <f>IF(tblLines[[#This Row],[Order line]]="","",IF(tblLines[[#This Row],[Qty delivered (units)]]="","",IF(AND(tblLines[[#This Row],[Qty delivered (units)]]&gt;=tblLines[[#This Row],[Qty ordered (units)]]*(1-UnderTol),tblLines[[#This Row],[Qty delivered (units)]]&lt;=tblLines[[#This Row],[Qty ordered (units)]]*(1+OverTol)),"Yes","No")))</f>
        <v>Yes</v>
      </c>
      <c r="L127" s="37" t="str">
        <f>IF(tblLines[[#This Row],[Order line]]="","",IF(OR(tblLines[[#This Row],[On time]]="",tblLines[[#This Row],[In full]]=""),"",IF(AND(tblLines[[#This Row],[On time]]="Yes",tblLines[[#This Row],[In full]]="Yes"),"Yes","No")))</f>
        <v>Yes</v>
      </c>
      <c r="M127" s="38">
        <f>IF(tblLines[[#This Row],[Order line]]="","",IF(tblLines[[#This Row],[OTIF]]="","",MIN(tblLines[[#This Row],[Qty delivered (units)]],tblLines[[#This Row],[Qty ordered (units)]])))</f>
        <v>50</v>
      </c>
      <c r="N127" s="28" t="s">
        <v>121</v>
      </c>
      <c r="O12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7" s="28" t="s">
        <v>121</v>
      </c>
    </row>
    <row r="128" spans="2:16">
      <c r="B128" s="28" t="s">
        <v>252</v>
      </c>
      <c r="C128" s="28" t="s">
        <v>78</v>
      </c>
      <c r="D128" s="28" t="s">
        <v>135</v>
      </c>
      <c r="E128" s="30">
        <v>80</v>
      </c>
      <c r="F128" s="35">
        <v>46283</v>
      </c>
      <c r="G128" s="35">
        <v>46285</v>
      </c>
      <c r="H128" s="30">
        <v>80</v>
      </c>
      <c r="I128" s="36">
        <f>IF(tblLines[[#This Row],[Order line]]="","",tblLines[[#This Row],[Delivered date]]-tblLines[[#This Row],[Promised date]])</f>
        <v>2</v>
      </c>
      <c r="J128" s="37" t="str">
        <f>IF(tblLines[[#This Row],[Order line]]="","",IF(OR(tblLines[[#This Row],[Promised date]]="",tblLines[[#This Row],[Delivered date]]=""),"",IF(AND(tblLines[[#This Row],[Days late]]&gt;=-EarlyDays,tblLines[[#This Row],[Days late]]&lt;=LateDays),"Yes","No")))</f>
        <v>No</v>
      </c>
      <c r="K128" s="37" t="str">
        <f>IF(tblLines[[#This Row],[Order line]]="","",IF(tblLines[[#This Row],[Qty delivered (units)]]="","",IF(AND(tblLines[[#This Row],[Qty delivered (units)]]&gt;=tblLines[[#This Row],[Qty ordered (units)]]*(1-UnderTol),tblLines[[#This Row],[Qty delivered (units)]]&lt;=tblLines[[#This Row],[Qty ordered (units)]]*(1+OverTol)),"Yes","No")))</f>
        <v>Yes</v>
      </c>
      <c r="L128" s="37" t="str">
        <f>IF(tblLines[[#This Row],[Order line]]="","",IF(OR(tblLines[[#This Row],[On time]]="",tblLines[[#This Row],[In full]]=""),"",IF(AND(tblLines[[#This Row],[On time]]="Yes",tblLines[[#This Row],[In full]]="Yes"),"Yes","No")))</f>
        <v>No</v>
      </c>
      <c r="M128" s="38">
        <f>IF(tblLines[[#This Row],[Order line]]="","",IF(tblLines[[#This Row],[OTIF]]="","",MIN(tblLines[[#This Row],[Qty delivered (units)]],tblLines[[#This Row],[Qty ordered (units)]])))</f>
        <v>80</v>
      </c>
      <c r="N128" s="28" t="s">
        <v>102</v>
      </c>
      <c r="O12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8" s="28" t="s">
        <v>121</v>
      </c>
    </row>
    <row r="129" spans="2:16">
      <c r="B129" s="28" t="s">
        <v>253</v>
      </c>
      <c r="C129" s="28" t="s">
        <v>86</v>
      </c>
      <c r="D129" s="28" t="s">
        <v>120</v>
      </c>
      <c r="E129" s="30">
        <v>120</v>
      </c>
      <c r="F129" s="35">
        <v>46281</v>
      </c>
      <c r="G129" s="35">
        <v>46280</v>
      </c>
      <c r="H129" s="30">
        <v>120</v>
      </c>
      <c r="I129" s="36">
        <f>IF(tblLines[[#This Row],[Order line]]="","",tblLines[[#This Row],[Delivered date]]-tblLines[[#This Row],[Promised date]])</f>
        <v>-1</v>
      </c>
      <c r="J129" s="37" t="str">
        <f>IF(tblLines[[#This Row],[Order line]]="","",IF(OR(tblLines[[#This Row],[Promised date]]="",tblLines[[#This Row],[Delivered date]]=""),"",IF(AND(tblLines[[#This Row],[Days late]]&gt;=-EarlyDays,tblLines[[#This Row],[Days late]]&lt;=LateDays),"Yes","No")))</f>
        <v>Yes</v>
      </c>
      <c r="K129" s="37" t="str">
        <f>IF(tblLines[[#This Row],[Order line]]="","",IF(tblLines[[#This Row],[Qty delivered (units)]]="","",IF(AND(tblLines[[#This Row],[Qty delivered (units)]]&gt;=tblLines[[#This Row],[Qty ordered (units)]]*(1-UnderTol),tblLines[[#This Row],[Qty delivered (units)]]&lt;=tblLines[[#This Row],[Qty ordered (units)]]*(1+OverTol)),"Yes","No")))</f>
        <v>Yes</v>
      </c>
      <c r="L129" s="37" t="str">
        <f>IF(tblLines[[#This Row],[Order line]]="","",IF(OR(tblLines[[#This Row],[On time]]="",tblLines[[#This Row],[In full]]=""),"",IF(AND(tblLines[[#This Row],[On time]]="Yes",tblLines[[#This Row],[In full]]="Yes"),"Yes","No")))</f>
        <v>Yes</v>
      </c>
      <c r="M129" s="38">
        <f>IF(tblLines[[#This Row],[Order line]]="","",IF(tblLines[[#This Row],[OTIF]]="","",MIN(tblLines[[#This Row],[Qty delivered (units)]],tblLines[[#This Row],[Qty ordered (units)]])))</f>
        <v>120</v>
      </c>
      <c r="N129" s="28" t="s">
        <v>121</v>
      </c>
      <c r="O12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29" s="28" t="s">
        <v>121</v>
      </c>
    </row>
    <row r="130" spans="2:16">
      <c r="B130" s="28" t="s">
        <v>254</v>
      </c>
      <c r="C130" s="28" t="s">
        <v>80</v>
      </c>
      <c r="D130" s="28" t="s">
        <v>132</v>
      </c>
      <c r="E130" s="30">
        <v>400</v>
      </c>
      <c r="F130" s="35">
        <v>46283</v>
      </c>
      <c r="G130" s="35">
        <v>46281</v>
      </c>
      <c r="H130" s="30">
        <v>400</v>
      </c>
      <c r="I130" s="36">
        <f>IF(tblLines[[#This Row],[Order line]]="","",tblLines[[#This Row],[Delivered date]]-tblLines[[#This Row],[Promised date]])</f>
        <v>-2</v>
      </c>
      <c r="J130" s="37" t="str">
        <f>IF(tblLines[[#This Row],[Order line]]="","",IF(OR(tblLines[[#This Row],[Promised date]]="",tblLines[[#This Row],[Delivered date]]=""),"",IF(AND(tblLines[[#This Row],[Days late]]&gt;=-EarlyDays,tblLines[[#This Row],[Days late]]&lt;=LateDays),"Yes","No")))</f>
        <v>Yes</v>
      </c>
      <c r="K130" s="37" t="str">
        <f>IF(tblLines[[#This Row],[Order line]]="","",IF(tblLines[[#This Row],[Qty delivered (units)]]="","",IF(AND(tblLines[[#This Row],[Qty delivered (units)]]&gt;=tblLines[[#This Row],[Qty ordered (units)]]*(1-UnderTol),tblLines[[#This Row],[Qty delivered (units)]]&lt;=tblLines[[#This Row],[Qty ordered (units)]]*(1+OverTol)),"Yes","No")))</f>
        <v>Yes</v>
      </c>
      <c r="L130" s="37" t="str">
        <f>IF(tblLines[[#This Row],[Order line]]="","",IF(OR(tblLines[[#This Row],[On time]]="",tblLines[[#This Row],[In full]]=""),"",IF(AND(tblLines[[#This Row],[On time]]="Yes",tblLines[[#This Row],[In full]]="Yes"),"Yes","No")))</f>
        <v>Yes</v>
      </c>
      <c r="M130" s="38">
        <f>IF(tblLines[[#This Row],[Order line]]="","",IF(tblLines[[#This Row],[OTIF]]="","",MIN(tblLines[[#This Row],[Qty delivered (units)]],tblLines[[#This Row],[Qty ordered (units)]])))</f>
        <v>400</v>
      </c>
      <c r="N130" s="28" t="s">
        <v>121</v>
      </c>
      <c r="O13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0" s="28" t="s">
        <v>121</v>
      </c>
    </row>
    <row r="131" spans="2:16">
      <c r="B131" s="28" t="s">
        <v>255</v>
      </c>
      <c r="C131" s="28" t="s">
        <v>78</v>
      </c>
      <c r="D131" s="28" t="s">
        <v>130</v>
      </c>
      <c r="E131" s="30">
        <v>120</v>
      </c>
      <c r="F131" s="35">
        <v>46283</v>
      </c>
      <c r="G131" s="35">
        <v>46283</v>
      </c>
      <c r="H131" s="30">
        <v>120</v>
      </c>
      <c r="I131" s="36">
        <f>IF(tblLines[[#This Row],[Order line]]="","",tblLines[[#This Row],[Delivered date]]-tblLines[[#This Row],[Promised date]])</f>
        <v>0</v>
      </c>
      <c r="J131" s="37" t="str">
        <f>IF(tblLines[[#This Row],[Order line]]="","",IF(OR(tblLines[[#This Row],[Promised date]]="",tblLines[[#This Row],[Delivered date]]=""),"",IF(AND(tblLines[[#This Row],[Days late]]&gt;=-EarlyDays,tblLines[[#This Row],[Days late]]&lt;=LateDays),"Yes","No")))</f>
        <v>Yes</v>
      </c>
      <c r="K131" s="37" t="str">
        <f>IF(tblLines[[#This Row],[Order line]]="","",IF(tblLines[[#This Row],[Qty delivered (units)]]="","",IF(AND(tblLines[[#This Row],[Qty delivered (units)]]&gt;=tblLines[[#This Row],[Qty ordered (units)]]*(1-UnderTol),tblLines[[#This Row],[Qty delivered (units)]]&lt;=tblLines[[#This Row],[Qty ordered (units)]]*(1+OverTol)),"Yes","No")))</f>
        <v>Yes</v>
      </c>
      <c r="L131" s="37" t="str">
        <f>IF(tblLines[[#This Row],[Order line]]="","",IF(OR(tblLines[[#This Row],[On time]]="",tblLines[[#This Row],[In full]]=""),"",IF(AND(tblLines[[#This Row],[On time]]="Yes",tblLines[[#This Row],[In full]]="Yes"),"Yes","No")))</f>
        <v>Yes</v>
      </c>
      <c r="M131" s="38">
        <f>IF(tblLines[[#This Row],[Order line]]="","",IF(tblLines[[#This Row],[OTIF]]="","",MIN(tblLines[[#This Row],[Qty delivered (units)]],tblLines[[#This Row],[Qty ordered (units)]])))</f>
        <v>120</v>
      </c>
      <c r="N131" s="28" t="s">
        <v>121</v>
      </c>
      <c r="O13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1" s="28" t="s">
        <v>121</v>
      </c>
    </row>
    <row r="132" spans="2:16">
      <c r="B132" s="28" t="s">
        <v>256</v>
      </c>
      <c r="C132" s="28" t="s">
        <v>80</v>
      </c>
      <c r="D132" s="28" t="s">
        <v>138</v>
      </c>
      <c r="E132" s="30">
        <v>100</v>
      </c>
      <c r="F132" s="35">
        <v>46289</v>
      </c>
      <c r="G132" s="35">
        <v>46289</v>
      </c>
      <c r="H132" s="30">
        <v>100</v>
      </c>
      <c r="I132" s="36">
        <f>IF(tblLines[[#This Row],[Order line]]="","",tblLines[[#This Row],[Delivered date]]-tblLines[[#This Row],[Promised date]])</f>
        <v>0</v>
      </c>
      <c r="J132" s="37" t="str">
        <f>IF(tblLines[[#This Row],[Order line]]="","",IF(OR(tblLines[[#This Row],[Promised date]]="",tblLines[[#This Row],[Delivered date]]=""),"",IF(AND(tblLines[[#This Row],[Days late]]&gt;=-EarlyDays,tblLines[[#This Row],[Days late]]&lt;=LateDays),"Yes","No")))</f>
        <v>Yes</v>
      </c>
      <c r="K132" s="37" t="str">
        <f>IF(tblLines[[#This Row],[Order line]]="","",IF(tblLines[[#This Row],[Qty delivered (units)]]="","",IF(AND(tblLines[[#This Row],[Qty delivered (units)]]&gt;=tblLines[[#This Row],[Qty ordered (units)]]*(1-UnderTol),tblLines[[#This Row],[Qty delivered (units)]]&lt;=tblLines[[#This Row],[Qty ordered (units)]]*(1+OverTol)),"Yes","No")))</f>
        <v>Yes</v>
      </c>
      <c r="L132" s="37" t="str">
        <f>IF(tblLines[[#This Row],[Order line]]="","",IF(OR(tblLines[[#This Row],[On time]]="",tblLines[[#This Row],[In full]]=""),"",IF(AND(tblLines[[#This Row],[On time]]="Yes",tblLines[[#This Row],[In full]]="Yes"),"Yes","No")))</f>
        <v>Yes</v>
      </c>
      <c r="M132" s="38">
        <f>IF(tblLines[[#This Row],[Order line]]="","",IF(tblLines[[#This Row],[OTIF]]="","",MIN(tblLines[[#This Row],[Qty delivered (units)]],tblLines[[#This Row],[Qty ordered (units)]])))</f>
        <v>100</v>
      </c>
      <c r="N132" s="28" t="s">
        <v>121</v>
      </c>
      <c r="O13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2" s="28" t="s">
        <v>121</v>
      </c>
    </row>
    <row r="133" spans="2:16">
      <c r="B133" s="28" t="s">
        <v>257</v>
      </c>
      <c r="C133" s="28" t="s">
        <v>78</v>
      </c>
      <c r="D133" s="28" t="s">
        <v>145</v>
      </c>
      <c r="E133" s="30">
        <v>200</v>
      </c>
      <c r="F133" s="35">
        <v>46287</v>
      </c>
      <c r="G133" s="35">
        <v>46287</v>
      </c>
      <c r="H133" s="30">
        <v>180</v>
      </c>
      <c r="I133" s="36">
        <f>IF(tblLines[[#This Row],[Order line]]="","",tblLines[[#This Row],[Delivered date]]-tblLines[[#This Row],[Promised date]])</f>
        <v>0</v>
      </c>
      <c r="J133" s="37" t="str">
        <f>IF(tblLines[[#This Row],[Order line]]="","",IF(OR(tblLines[[#This Row],[Promised date]]="",tblLines[[#This Row],[Delivered date]]=""),"",IF(AND(tblLines[[#This Row],[Days late]]&gt;=-EarlyDays,tblLines[[#This Row],[Days late]]&lt;=LateDays),"Yes","No")))</f>
        <v>Yes</v>
      </c>
      <c r="K133" s="37" t="str">
        <f>IF(tblLines[[#This Row],[Order line]]="","",IF(tblLines[[#This Row],[Qty delivered (units)]]="","",IF(AND(tblLines[[#This Row],[Qty delivered (units)]]&gt;=tblLines[[#This Row],[Qty ordered (units)]]*(1-UnderTol),tblLines[[#This Row],[Qty delivered (units)]]&lt;=tblLines[[#This Row],[Qty ordered (units)]]*(1+OverTol)),"Yes","No")))</f>
        <v>No</v>
      </c>
      <c r="L133" s="37" t="str">
        <f>IF(tblLines[[#This Row],[Order line]]="","",IF(OR(tblLines[[#This Row],[On time]]="",tblLines[[#This Row],[In full]]=""),"",IF(AND(tblLines[[#This Row],[On time]]="Yes",tblLines[[#This Row],[In full]]="Yes"),"Yes","No")))</f>
        <v>No</v>
      </c>
      <c r="M133" s="38">
        <f>IF(tblLines[[#This Row],[Order line]]="","",IF(tblLines[[#This Row],[OTIF]]="","",MIN(tblLines[[#This Row],[Qty delivered (units)]],tblLines[[#This Row],[Qty ordered (units)]])))</f>
        <v>180</v>
      </c>
      <c r="N133" s="28" t="s">
        <v>99</v>
      </c>
      <c r="O13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3" s="28" t="s">
        <v>121</v>
      </c>
    </row>
    <row r="134" spans="2:16">
      <c r="B134" s="28" t="s">
        <v>258</v>
      </c>
      <c r="C134" s="28" t="s">
        <v>84</v>
      </c>
      <c r="D134" s="28" t="s">
        <v>145</v>
      </c>
      <c r="E134" s="30">
        <v>400</v>
      </c>
      <c r="F134" s="35">
        <v>46288</v>
      </c>
      <c r="G134" s="35">
        <v>46288</v>
      </c>
      <c r="H134" s="30">
        <v>400</v>
      </c>
      <c r="I134" s="36">
        <f>IF(tblLines[[#This Row],[Order line]]="","",tblLines[[#This Row],[Delivered date]]-tblLines[[#This Row],[Promised date]])</f>
        <v>0</v>
      </c>
      <c r="J134" s="37" t="str">
        <f>IF(tblLines[[#This Row],[Order line]]="","",IF(OR(tblLines[[#This Row],[Promised date]]="",tblLines[[#This Row],[Delivered date]]=""),"",IF(AND(tblLines[[#This Row],[Days late]]&gt;=-EarlyDays,tblLines[[#This Row],[Days late]]&lt;=LateDays),"Yes","No")))</f>
        <v>Yes</v>
      </c>
      <c r="K134" s="37" t="str">
        <f>IF(tblLines[[#This Row],[Order line]]="","",IF(tblLines[[#This Row],[Qty delivered (units)]]="","",IF(AND(tblLines[[#This Row],[Qty delivered (units)]]&gt;=tblLines[[#This Row],[Qty ordered (units)]]*(1-UnderTol),tblLines[[#This Row],[Qty delivered (units)]]&lt;=tblLines[[#This Row],[Qty ordered (units)]]*(1+OverTol)),"Yes","No")))</f>
        <v>Yes</v>
      </c>
      <c r="L134" s="37" t="str">
        <f>IF(tblLines[[#This Row],[Order line]]="","",IF(OR(tblLines[[#This Row],[On time]]="",tblLines[[#This Row],[In full]]=""),"",IF(AND(tblLines[[#This Row],[On time]]="Yes",tblLines[[#This Row],[In full]]="Yes"),"Yes","No")))</f>
        <v>Yes</v>
      </c>
      <c r="M134" s="38">
        <f>IF(tblLines[[#This Row],[Order line]]="","",IF(tblLines[[#This Row],[OTIF]]="","",MIN(tblLines[[#This Row],[Qty delivered (units)]],tblLines[[#This Row],[Qty ordered (units)]])))</f>
        <v>400</v>
      </c>
      <c r="N134" s="28" t="s">
        <v>121</v>
      </c>
      <c r="O13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4" s="28" t="s">
        <v>121</v>
      </c>
    </row>
    <row r="135" spans="2:16">
      <c r="B135" s="28" t="s">
        <v>259</v>
      </c>
      <c r="C135" s="28" t="s">
        <v>86</v>
      </c>
      <c r="D135" s="28" t="s">
        <v>135</v>
      </c>
      <c r="E135" s="30">
        <v>120</v>
      </c>
      <c r="F135" s="35">
        <v>46290</v>
      </c>
      <c r="G135" s="35">
        <v>46290</v>
      </c>
      <c r="H135" s="30">
        <v>120</v>
      </c>
      <c r="I135" s="36">
        <f>IF(tblLines[[#This Row],[Order line]]="","",tblLines[[#This Row],[Delivered date]]-tblLines[[#This Row],[Promised date]])</f>
        <v>0</v>
      </c>
      <c r="J135" s="37" t="str">
        <f>IF(tblLines[[#This Row],[Order line]]="","",IF(OR(tblLines[[#This Row],[Promised date]]="",tblLines[[#This Row],[Delivered date]]=""),"",IF(AND(tblLines[[#This Row],[Days late]]&gt;=-EarlyDays,tblLines[[#This Row],[Days late]]&lt;=LateDays),"Yes","No")))</f>
        <v>Yes</v>
      </c>
      <c r="K135" s="37" t="str">
        <f>IF(tblLines[[#This Row],[Order line]]="","",IF(tblLines[[#This Row],[Qty delivered (units)]]="","",IF(AND(tblLines[[#This Row],[Qty delivered (units)]]&gt;=tblLines[[#This Row],[Qty ordered (units)]]*(1-UnderTol),tblLines[[#This Row],[Qty delivered (units)]]&lt;=tblLines[[#This Row],[Qty ordered (units)]]*(1+OverTol)),"Yes","No")))</f>
        <v>Yes</v>
      </c>
      <c r="L135" s="37" t="str">
        <f>IF(tblLines[[#This Row],[Order line]]="","",IF(OR(tblLines[[#This Row],[On time]]="",tblLines[[#This Row],[In full]]=""),"",IF(AND(tblLines[[#This Row],[On time]]="Yes",tblLines[[#This Row],[In full]]="Yes"),"Yes","No")))</f>
        <v>Yes</v>
      </c>
      <c r="M135" s="38">
        <f>IF(tblLines[[#This Row],[Order line]]="","",IF(tblLines[[#This Row],[OTIF]]="","",MIN(tblLines[[#This Row],[Qty delivered (units)]],tblLines[[#This Row],[Qty ordered (units)]])))</f>
        <v>120</v>
      </c>
      <c r="N135" s="28" t="s">
        <v>121</v>
      </c>
      <c r="O13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5" s="28" t="s">
        <v>121</v>
      </c>
    </row>
    <row r="136" spans="2:16">
      <c r="B136" s="28" t="s">
        <v>260</v>
      </c>
      <c r="C136" s="28" t="s">
        <v>86</v>
      </c>
      <c r="D136" s="28" t="s">
        <v>120</v>
      </c>
      <c r="E136" s="30">
        <v>200</v>
      </c>
      <c r="F136" s="35">
        <v>46289</v>
      </c>
      <c r="G136" s="35">
        <v>46288</v>
      </c>
      <c r="H136" s="30">
        <v>200</v>
      </c>
      <c r="I136" s="36">
        <f>IF(tblLines[[#This Row],[Order line]]="","",tblLines[[#This Row],[Delivered date]]-tblLines[[#This Row],[Promised date]])</f>
        <v>-1</v>
      </c>
      <c r="J136" s="37" t="str">
        <f>IF(tblLines[[#This Row],[Order line]]="","",IF(OR(tblLines[[#This Row],[Promised date]]="",tblLines[[#This Row],[Delivered date]]=""),"",IF(AND(tblLines[[#This Row],[Days late]]&gt;=-EarlyDays,tblLines[[#This Row],[Days late]]&lt;=LateDays),"Yes","No")))</f>
        <v>Yes</v>
      </c>
      <c r="K136" s="37" t="str">
        <f>IF(tblLines[[#This Row],[Order line]]="","",IF(tblLines[[#This Row],[Qty delivered (units)]]="","",IF(AND(tblLines[[#This Row],[Qty delivered (units)]]&gt;=tblLines[[#This Row],[Qty ordered (units)]]*(1-UnderTol),tblLines[[#This Row],[Qty delivered (units)]]&lt;=tblLines[[#This Row],[Qty ordered (units)]]*(1+OverTol)),"Yes","No")))</f>
        <v>Yes</v>
      </c>
      <c r="L136" s="37" t="str">
        <f>IF(tblLines[[#This Row],[Order line]]="","",IF(OR(tblLines[[#This Row],[On time]]="",tblLines[[#This Row],[In full]]=""),"",IF(AND(tblLines[[#This Row],[On time]]="Yes",tblLines[[#This Row],[In full]]="Yes"),"Yes","No")))</f>
        <v>Yes</v>
      </c>
      <c r="M136" s="38">
        <f>IF(tblLines[[#This Row],[Order line]]="","",IF(tblLines[[#This Row],[OTIF]]="","",MIN(tblLines[[#This Row],[Qty delivered (units)]],tblLines[[#This Row],[Qty ordered (units)]])))</f>
        <v>200</v>
      </c>
      <c r="N136" s="28" t="s">
        <v>121</v>
      </c>
      <c r="O13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6" s="28" t="s">
        <v>121</v>
      </c>
    </row>
    <row r="137" spans="2:16">
      <c r="B137" s="28" t="s">
        <v>261</v>
      </c>
      <c r="C137" s="28" t="s">
        <v>82</v>
      </c>
      <c r="D137" s="28" t="s">
        <v>120</v>
      </c>
      <c r="E137" s="30">
        <v>100</v>
      </c>
      <c r="F137" s="35">
        <v>46289</v>
      </c>
      <c r="G137" s="35">
        <v>46289</v>
      </c>
      <c r="H137" s="30">
        <v>100</v>
      </c>
      <c r="I137" s="36">
        <f>IF(tblLines[[#This Row],[Order line]]="","",tblLines[[#This Row],[Delivered date]]-tblLines[[#This Row],[Promised date]])</f>
        <v>0</v>
      </c>
      <c r="J137" s="37" t="str">
        <f>IF(tblLines[[#This Row],[Order line]]="","",IF(OR(tblLines[[#This Row],[Promised date]]="",tblLines[[#This Row],[Delivered date]]=""),"",IF(AND(tblLines[[#This Row],[Days late]]&gt;=-EarlyDays,tblLines[[#This Row],[Days late]]&lt;=LateDays),"Yes","No")))</f>
        <v>Yes</v>
      </c>
      <c r="K137" s="37" t="str">
        <f>IF(tblLines[[#This Row],[Order line]]="","",IF(tblLines[[#This Row],[Qty delivered (units)]]="","",IF(AND(tblLines[[#This Row],[Qty delivered (units)]]&gt;=tblLines[[#This Row],[Qty ordered (units)]]*(1-UnderTol),tblLines[[#This Row],[Qty delivered (units)]]&lt;=tblLines[[#This Row],[Qty ordered (units)]]*(1+OverTol)),"Yes","No")))</f>
        <v>Yes</v>
      </c>
      <c r="L137" s="37" t="str">
        <f>IF(tblLines[[#This Row],[Order line]]="","",IF(OR(tblLines[[#This Row],[On time]]="",tblLines[[#This Row],[In full]]=""),"",IF(AND(tblLines[[#This Row],[On time]]="Yes",tblLines[[#This Row],[In full]]="Yes"),"Yes","No")))</f>
        <v>Yes</v>
      </c>
      <c r="M137" s="38">
        <f>IF(tblLines[[#This Row],[Order line]]="","",IF(tblLines[[#This Row],[OTIF]]="","",MIN(tblLines[[#This Row],[Qty delivered (units)]],tblLines[[#This Row],[Qty ordered (units)]])))</f>
        <v>100</v>
      </c>
      <c r="N137" s="28" t="s">
        <v>121</v>
      </c>
      <c r="O13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7" s="28" t="s">
        <v>121</v>
      </c>
    </row>
    <row r="138" spans="2:16">
      <c r="B138" s="28" t="s">
        <v>262</v>
      </c>
      <c r="C138" s="28" t="s">
        <v>80</v>
      </c>
      <c r="D138" s="28" t="s">
        <v>145</v>
      </c>
      <c r="E138" s="30">
        <v>240</v>
      </c>
      <c r="F138" s="35">
        <v>46290</v>
      </c>
      <c r="G138" s="35">
        <v>46288</v>
      </c>
      <c r="H138" s="30">
        <v>240</v>
      </c>
      <c r="I138" s="36">
        <f>IF(tblLines[[#This Row],[Order line]]="","",tblLines[[#This Row],[Delivered date]]-tblLines[[#This Row],[Promised date]])</f>
        <v>-2</v>
      </c>
      <c r="J138" s="37" t="str">
        <f>IF(tblLines[[#This Row],[Order line]]="","",IF(OR(tblLines[[#This Row],[Promised date]]="",tblLines[[#This Row],[Delivered date]]=""),"",IF(AND(tblLines[[#This Row],[Days late]]&gt;=-EarlyDays,tblLines[[#This Row],[Days late]]&lt;=LateDays),"Yes","No")))</f>
        <v>Yes</v>
      </c>
      <c r="K138" s="37" t="str">
        <f>IF(tblLines[[#This Row],[Order line]]="","",IF(tblLines[[#This Row],[Qty delivered (units)]]="","",IF(AND(tblLines[[#This Row],[Qty delivered (units)]]&gt;=tblLines[[#This Row],[Qty ordered (units)]]*(1-UnderTol),tblLines[[#This Row],[Qty delivered (units)]]&lt;=tblLines[[#This Row],[Qty ordered (units)]]*(1+OverTol)),"Yes","No")))</f>
        <v>Yes</v>
      </c>
      <c r="L138" s="37" t="str">
        <f>IF(tblLines[[#This Row],[Order line]]="","",IF(OR(tblLines[[#This Row],[On time]]="",tblLines[[#This Row],[In full]]=""),"",IF(AND(tblLines[[#This Row],[On time]]="Yes",tblLines[[#This Row],[In full]]="Yes"),"Yes","No")))</f>
        <v>Yes</v>
      </c>
      <c r="M138" s="38">
        <f>IF(tblLines[[#This Row],[Order line]]="","",IF(tblLines[[#This Row],[OTIF]]="","",MIN(tblLines[[#This Row],[Qty delivered (units)]],tblLines[[#This Row],[Qty ordered (units)]])))</f>
        <v>240</v>
      </c>
      <c r="N138" s="28" t="s">
        <v>121</v>
      </c>
      <c r="O13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8" s="28" t="s">
        <v>121</v>
      </c>
    </row>
    <row r="139" spans="2:16">
      <c r="B139" s="28" t="s">
        <v>263</v>
      </c>
      <c r="C139" s="28" t="s">
        <v>80</v>
      </c>
      <c r="D139" s="28" t="s">
        <v>130</v>
      </c>
      <c r="E139" s="30">
        <v>200</v>
      </c>
      <c r="F139" s="35">
        <v>46288</v>
      </c>
      <c r="G139" s="35">
        <v>46287</v>
      </c>
      <c r="H139" s="30">
        <v>200</v>
      </c>
      <c r="I139" s="36">
        <f>IF(tblLines[[#This Row],[Order line]]="","",tblLines[[#This Row],[Delivered date]]-tblLines[[#This Row],[Promised date]])</f>
        <v>-1</v>
      </c>
      <c r="J139" s="37" t="str">
        <f>IF(tblLines[[#This Row],[Order line]]="","",IF(OR(tblLines[[#This Row],[Promised date]]="",tblLines[[#This Row],[Delivered date]]=""),"",IF(AND(tblLines[[#This Row],[Days late]]&gt;=-EarlyDays,tblLines[[#This Row],[Days late]]&lt;=LateDays),"Yes","No")))</f>
        <v>Yes</v>
      </c>
      <c r="K139" s="37" t="str">
        <f>IF(tblLines[[#This Row],[Order line]]="","",IF(tblLines[[#This Row],[Qty delivered (units)]]="","",IF(AND(tblLines[[#This Row],[Qty delivered (units)]]&gt;=tblLines[[#This Row],[Qty ordered (units)]]*(1-UnderTol),tblLines[[#This Row],[Qty delivered (units)]]&lt;=tblLines[[#This Row],[Qty ordered (units)]]*(1+OverTol)),"Yes","No")))</f>
        <v>Yes</v>
      </c>
      <c r="L139" s="37" t="str">
        <f>IF(tblLines[[#This Row],[Order line]]="","",IF(OR(tblLines[[#This Row],[On time]]="",tblLines[[#This Row],[In full]]=""),"",IF(AND(tblLines[[#This Row],[On time]]="Yes",tblLines[[#This Row],[In full]]="Yes"),"Yes","No")))</f>
        <v>Yes</v>
      </c>
      <c r="M139" s="38">
        <f>IF(tblLines[[#This Row],[Order line]]="","",IF(tblLines[[#This Row],[OTIF]]="","",MIN(tblLines[[#This Row],[Qty delivered (units)]],tblLines[[#This Row],[Qty ordered (units)]])))</f>
        <v>200</v>
      </c>
      <c r="N139" s="28" t="s">
        <v>121</v>
      </c>
      <c r="O13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39" s="28" t="s">
        <v>121</v>
      </c>
    </row>
    <row r="140" spans="2:16">
      <c r="B140" s="28" t="s">
        <v>264</v>
      </c>
      <c r="C140" s="28" t="s">
        <v>78</v>
      </c>
      <c r="D140" s="28" t="s">
        <v>138</v>
      </c>
      <c r="E140" s="30">
        <v>200</v>
      </c>
      <c r="F140" s="35">
        <v>46290</v>
      </c>
      <c r="G140" s="35">
        <v>46288</v>
      </c>
      <c r="H140" s="30">
        <v>200</v>
      </c>
      <c r="I140" s="36">
        <f>IF(tblLines[[#This Row],[Order line]]="","",tblLines[[#This Row],[Delivered date]]-tblLines[[#This Row],[Promised date]])</f>
        <v>-2</v>
      </c>
      <c r="J140" s="37" t="str">
        <f>IF(tblLines[[#This Row],[Order line]]="","",IF(OR(tblLines[[#This Row],[Promised date]]="",tblLines[[#This Row],[Delivered date]]=""),"",IF(AND(tblLines[[#This Row],[Days late]]&gt;=-EarlyDays,tblLines[[#This Row],[Days late]]&lt;=LateDays),"Yes","No")))</f>
        <v>Yes</v>
      </c>
      <c r="K140" s="37" t="str">
        <f>IF(tblLines[[#This Row],[Order line]]="","",IF(tblLines[[#This Row],[Qty delivered (units)]]="","",IF(AND(tblLines[[#This Row],[Qty delivered (units)]]&gt;=tblLines[[#This Row],[Qty ordered (units)]]*(1-UnderTol),tblLines[[#This Row],[Qty delivered (units)]]&lt;=tblLines[[#This Row],[Qty ordered (units)]]*(1+OverTol)),"Yes","No")))</f>
        <v>Yes</v>
      </c>
      <c r="L140" s="37" t="str">
        <f>IF(tblLines[[#This Row],[Order line]]="","",IF(OR(tblLines[[#This Row],[On time]]="",tblLines[[#This Row],[In full]]=""),"",IF(AND(tblLines[[#This Row],[On time]]="Yes",tblLines[[#This Row],[In full]]="Yes"),"Yes","No")))</f>
        <v>Yes</v>
      </c>
      <c r="M140" s="38">
        <f>IF(tblLines[[#This Row],[Order line]]="","",IF(tblLines[[#This Row],[OTIF]]="","",MIN(tblLines[[#This Row],[Qty delivered (units)]],tblLines[[#This Row],[Qty ordered (units)]])))</f>
        <v>200</v>
      </c>
      <c r="N140" s="28" t="s">
        <v>121</v>
      </c>
      <c r="O140"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0" s="28" t="s">
        <v>121</v>
      </c>
    </row>
    <row r="141" spans="2:16">
      <c r="B141" s="28" t="s">
        <v>265</v>
      </c>
      <c r="C141" s="28" t="s">
        <v>84</v>
      </c>
      <c r="D141" s="28" t="s">
        <v>140</v>
      </c>
      <c r="E141" s="30">
        <v>150</v>
      </c>
      <c r="F141" s="35">
        <v>46290</v>
      </c>
      <c r="G141" s="35">
        <v>46289</v>
      </c>
      <c r="H141" s="30">
        <v>150</v>
      </c>
      <c r="I141" s="36">
        <f>IF(tblLines[[#This Row],[Order line]]="","",tblLines[[#This Row],[Delivered date]]-tblLines[[#This Row],[Promised date]])</f>
        <v>-1</v>
      </c>
      <c r="J141" s="37" t="str">
        <f>IF(tblLines[[#This Row],[Order line]]="","",IF(OR(tblLines[[#This Row],[Promised date]]="",tblLines[[#This Row],[Delivered date]]=""),"",IF(AND(tblLines[[#This Row],[Days late]]&gt;=-EarlyDays,tblLines[[#This Row],[Days late]]&lt;=LateDays),"Yes","No")))</f>
        <v>Yes</v>
      </c>
      <c r="K141" s="37" t="str">
        <f>IF(tblLines[[#This Row],[Order line]]="","",IF(tblLines[[#This Row],[Qty delivered (units)]]="","",IF(AND(tblLines[[#This Row],[Qty delivered (units)]]&gt;=tblLines[[#This Row],[Qty ordered (units)]]*(1-UnderTol),tblLines[[#This Row],[Qty delivered (units)]]&lt;=tblLines[[#This Row],[Qty ordered (units)]]*(1+OverTol)),"Yes","No")))</f>
        <v>Yes</v>
      </c>
      <c r="L141" s="37" t="str">
        <f>IF(tblLines[[#This Row],[Order line]]="","",IF(OR(tblLines[[#This Row],[On time]]="",tblLines[[#This Row],[In full]]=""),"",IF(AND(tblLines[[#This Row],[On time]]="Yes",tblLines[[#This Row],[In full]]="Yes"),"Yes","No")))</f>
        <v>Yes</v>
      </c>
      <c r="M141" s="38">
        <f>IF(tblLines[[#This Row],[Order line]]="","",IF(tblLines[[#This Row],[OTIF]]="","",MIN(tblLines[[#This Row],[Qty delivered (units)]],tblLines[[#This Row],[Qty ordered (units)]])))</f>
        <v>150</v>
      </c>
      <c r="N141" s="28" t="s">
        <v>121</v>
      </c>
      <c r="O141"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1" s="28" t="s">
        <v>121</v>
      </c>
    </row>
    <row r="142" spans="2:16">
      <c r="B142" s="28" t="s">
        <v>266</v>
      </c>
      <c r="C142" s="28" t="s">
        <v>82</v>
      </c>
      <c r="D142" s="28" t="s">
        <v>132</v>
      </c>
      <c r="E142" s="30">
        <v>500</v>
      </c>
      <c r="F142" s="35">
        <v>46290</v>
      </c>
      <c r="G142" s="35">
        <v>46290</v>
      </c>
      <c r="H142" s="30">
        <v>500</v>
      </c>
      <c r="I142" s="36">
        <f>IF(tblLines[[#This Row],[Order line]]="","",tblLines[[#This Row],[Delivered date]]-tblLines[[#This Row],[Promised date]])</f>
        <v>0</v>
      </c>
      <c r="J142" s="37" t="str">
        <f>IF(tblLines[[#This Row],[Order line]]="","",IF(OR(tblLines[[#This Row],[Promised date]]="",tblLines[[#This Row],[Delivered date]]=""),"",IF(AND(tblLines[[#This Row],[Days late]]&gt;=-EarlyDays,tblLines[[#This Row],[Days late]]&lt;=LateDays),"Yes","No")))</f>
        <v>Yes</v>
      </c>
      <c r="K142" s="37" t="str">
        <f>IF(tblLines[[#This Row],[Order line]]="","",IF(tblLines[[#This Row],[Qty delivered (units)]]="","",IF(AND(tblLines[[#This Row],[Qty delivered (units)]]&gt;=tblLines[[#This Row],[Qty ordered (units)]]*(1-UnderTol),tblLines[[#This Row],[Qty delivered (units)]]&lt;=tblLines[[#This Row],[Qty ordered (units)]]*(1+OverTol)),"Yes","No")))</f>
        <v>Yes</v>
      </c>
      <c r="L142" s="37" t="str">
        <f>IF(tblLines[[#This Row],[Order line]]="","",IF(OR(tblLines[[#This Row],[On time]]="",tblLines[[#This Row],[In full]]=""),"",IF(AND(tblLines[[#This Row],[On time]]="Yes",tblLines[[#This Row],[In full]]="Yes"),"Yes","No")))</f>
        <v>Yes</v>
      </c>
      <c r="M142" s="38">
        <f>IF(tblLines[[#This Row],[Order line]]="","",IF(tblLines[[#This Row],[OTIF]]="","",MIN(tblLines[[#This Row],[Qty delivered (units)]],tblLines[[#This Row],[Qty ordered (units)]])))</f>
        <v>500</v>
      </c>
      <c r="N142" s="28" t="s">
        <v>121</v>
      </c>
      <c r="O142"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2" s="28" t="s">
        <v>121</v>
      </c>
    </row>
    <row r="143" spans="2:16">
      <c r="B143" s="28" t="s">
        <v>267</v>
      </c>
      <c r="C143" s="28" t="s">
        <v>86</v>
      </c>
      <c r="D143" s="28" t="s">
        <v>126</v>
      </c>
      <c r="E143" s="30">
        <v>100</v>
      </c>
      <c r="F143" s="35">
        <v>46290</v>
      </c>
      <c r="G143" s="35">
        <v>46293</v>
      </c>
      <c r="H143" s="30">
        <v>100</v>
      </c>
      <c r="I143" s="36">
        <f>IF(tblLines[[#This Row],[Order line]]="","",tblLines[[#This Row],[Delivered date]]-tblLines[[#This Row],[Promised date]])</f>
        <v>3</v>
      </c>
      <c r="J143" s="37" t="str">
        <f>IF(tblLines[[#This Row],[Order line]]="","",IF(OR(tblLines[[#This Row],[Promised date]]="",tblLines[[#This Row],[Delivered date]]=""),"",IF(AND(tblLines[[#This Row],[Days late]]&gt;=-EarlyDays,tblLines[[#This Row],[Days late]]&lt;=LateDays),"Yes","No")))</f>
        <v>No</v>
      </c>
      <c r="K143" s="37" t="str">
        <f>IF(tblLines[[#This Row],[Order line]]="","",IF(tblLines[[#This Row],[Qty delivered (units)]]="","",IF(AND(tblLines[[#This Row],[Qty delivered (units)]]&gt;=tblLines[[#This Row],[Qty ordered (units)]]*(1-UnderTol),tblLines[[#This Row],[Qty delivered (units)]]&lt;=tblLines[[#This Row],[Qty ordered (units)]]*(1+OverTol)),"Yes","No")))</f>
        <v>Yes</v>
      </c>
      <c r="L143" s="37" t="str">
        <f>IF(tblLines[[#This Row],[Order line]]="","",IF(OR(tblLines[[#This Row],[On time]]="",tblLines[[#This Row],[In full]]=""),"",IF(AND(tblLines[[#This Row],[On time]]="Yes",tblLines[[#This Row],[In full]]="Yes"),"Yes","No")))</f>
        <v>No</v>
      </c>
      <c r="M143" s="38">
        <f>IF(tblLines[[#This Row],[Order line]]="","",IF(tblLines[[#This Row],[OTIF]]="","",MIN(tblLines[[#This Row],[Qty delivered (units)]],tblLines[[#This Row],[Qty ordered (units)]])))</f>
        <v>100</v>
      </c>
      <c r="N143" s="28" t="s">
        <v>97</v>
      </c>
      <c r="O143"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3" s="28" t="s">
        <v>121</v>
      </c>
    </row>
    <row r="144" spans="2:16">
      <c r="B144" s="28" t="s">
        <v>268</v>
      </c>
      <c r="C144" s="28" t="s">
        <v>88</v>
      </c>
      <c r="D144" s="28" t="s">
        <v>130</v>
      </c>
      <c r="E144" s="30">
        <v>400</v>
      </c>
      <c r="F144" s="35">
        <v>46290</v>
      </c>
      <c r="G144" s="35">
        <v>46290</v>
      </c>
      <c r="H144" s="30">
        <v>400</v>
      </c>
      <c r="I144" s="36">
        <f>IF(tblLines[[#This Row],[Order line]]="","",tblLines[[#This Row],[Delivered date]]-tblLines[[#This Row],[Promised date]])</f>
        <v>0</v>
      </c>
      <c r="J144" s="37" t="str">
        <f>IF(tblLines[[#This Row],[Order line]]="","",IF(OR(tblLines[[#This Row],[Promised date]]="",tblLines[[#This Row],[Delivered date]]=""),"",IF(AND(tblLines[[#This Row],[Days late]]&gt;=-EarlyDays,tblLines[[#This Row],[Days late]]&lt;=LateDays),"Yes","No")))</f>
        <v>Yes</v>
      </c>
      <c r="K144" s="37" t="str">
        <f>IF(tblLines[[#This Row],[Order line]]="","",IF(tblLines[[#This Row],[Qty delivered (units)]]="","",IF(AND(tblLines[[#This Row],[Qty delivered (units)]]&gt;=tblLines[[#This Row],[Qty ordered (units)]]*(1-UnderTol),tblLines[[#This Row],[Qty delivered (units)]]&lt;=tblLines[[#This Row],[Qty ordered (units)]]*(1+OverTol)),"Yes","No")))</f>
        <v>Yes</v>
      </c>
      <c r="L144" s="37" t="str">
        <f>IF(tblLines[[#This Row],[Order line]]="","",IF(OR(tblLines[[#This Row],[On time]]="",tblLines[[#This Row],[In full]]=""),"",IF(AND(tblLines[[#This Row],[On time]]="Yes",tblLines[[#This Row],[In full]]="Yes"),"Yes","No")))</f>
        <v>Yes</v>
      </c>
      <c r="M144" s="38">
        <f>IF(tblLines[[#This Row],[Order line]]="","",IF(tblLines[[#This Row],[OTIF]]="","",MIN(tblLines[[#This Row],[Qty delivered (units)]],tblLines[[#This Row],[Qty ordered (units)]])))</f>
        <v>400</v>
      </c>
      <c r="N144" s="28" t="s">
        <v>121</v>
      </c>
      <c r="O144"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4" s="28" t="s">
        <v>121</v>
      </c>
    </row>
    <row r="145" spans="2:16">
      <c r="B145" s="28" t="s">
        <v>269</v>
      </c>
      <c r="C145" s="28" t="s">
        <v>80</v>
      </c>
      <c r="D145" s="28" t="s">
        <v>138</v>
      </c>
      <c r="E145" s="30">
        <v>500</v>
      </c>
      <c r="F145" s="35">
        <v>46288</v>
      </c>
      <c r="G145" s="35">
        <v>46286</v>
      </c>
      <c r="H145" s="30">
        <v>495</v>
      </c>
      <c r="I145" s="36">
        <f>IF(tblLines[[#This Row],[Order line]]="","",tblLines[[#This Row],[Delivered date]]-tblLines[[#This Row],[Promised date]])</f>
        <v>-2</v>
      </c>
      <c r="J145" s="37" t="str">
        <f>IF(tblLines[[#This Row],[Order line]]="","",IF(OR(tblLines[[#This Row],[Promised date]]="",tblLines[[#This Row],[Delivered date]]=""),"",IF(AND(tblLines[[#This Row],[Days late]]&gt;=-EarlyDays,tblLines[[#This Row],[Days late]]&lt;=LateDays),"Yes","No")))</f>
        <v>Yes</v>
      </c>
      <c r="K145" s="37" t="str">
        <f>IF(tblLines[[#This Row],[Order line]]="","",IF(tblLines[[#This Row],[Qty delivered (units)]]="","",IF(AND(tblLines[[#This Row],[Qty delivered (units)]]&gt;=tblLines[[#This Row],[Qty ordered (units)]]*(1-UnderTol),tblLines[[#This Row],[Qty delivered (units)]]&lt;=tblLines[[#This Row],[Qty ordered (units)]]*(1+OverTol)),"Yes","No")))</f>
        <v>No</v>
      </c>
      <c r="L145" s="37" t="str">
        <f>IF(tblLines[[#This Row],[Order line]]="","",IF(OR(tblLines[[#This Row],[On time]]="",tblLines[[#This Row],[In full]]=""),"",IF(AND(tblLines[[#This Row],[On time]]="Yes",tblLines[[#This Row],[In full]]="Yes"),"Yes","No")))</f>
        <v>No</v>
      </c>
      <c r="M145" s="38">
        <f>IF(tblLines[[#This Row],[Order line]]="","",IF(tblLines[[#This Row],[OTIF]]="","",MIN(tblLines[[#This Row],[Qty delivered (units)]],tblLines[[#This Row],[Qty ordered (units)]])))</f>
        <v>495</v>
      </c>
      <c r="N145" s="28" t="s">
        <v>99</v>
      </c>
      <c r="O145"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5" s="28" t="s">
        <v>121</v>
      </c>
    </row>
    <row r="146" spans="2:16">
      <c r="B146" s="28" t="s">
        <v>270</v>
      </c>
      <c r="C146" s="28" t="s">
        <v>78</v>
      </c>
      <c r="D146" s="28" t="s">
        <v>140</v>
      </c>
      <c r="E146" s="30">
        <v>500</v>
      </c>
      <c r="F146" s="35">
        <v>46289</v>
      </c>
      <c r="G146" s="35">
        <v>46288</v>
      </c>
      <c r="H146" s="30">
        <v>500</v>
      </c>
      <c r="I146" s="36">
        <f>IF(tblLines[[#This Row],[Order line]]="","",tblLines[[#This Row],[Delivered date]]-tblLines[[#This Row],[Promised date]])</f>
        <v>-1</v>
      </c>
      <c r="J146" s="37" t="str">
        <f>IF(tblLines[[#This Row],[Order line]]="","",IF(OR(tblLines[[#This Row],[Promised date]]="",tblLines[[#This Row],[Delivered date]]=""),"",IF(AND(tblLines[[#This Row],[Days late]]&gt;=-EarlyDays,tblLines[[#This Row],[Days late]]&lt;=LateDays),"Yes","No")))</f>
        <v>Yes</v>
      </c>
      <c r="K146" s="37" t="str">
        <f>IF(tblLines[[#This Row],[Order line]]="","",IF(tblLines[[#This Row],[Qty delivered (units)]]="","",IF(AND(tblLines[[#This Row],[Qty delivered (units)]]&gt;=tblLines[[#This Row],[Qty ordered (units)]]*(1-UnderTol),tblLines[[#This Row],[Qty delivered (units)]]&lt;=tblLines[[#This Row],[Qty ordered (units)]]*(1+OverTol)),"Yes","No")))</f>
        <v>Yes</v>
      </c>
      <c r="L146" s="37" t="str">
        <f>IF(tblLines[[#This Row],[Order line]]="","",IF(OR(tblLines[[#This Row],[On time]]="",tblLines[[#This Row],[In full]]=""),"",IF(AND(tblLines[[#This Row],[On time]]="Yes",tblLines[[#This Row],[In full]]="Yes"),"Yes","No")))</f>
        <v>Yes</v>
      </c>
      <c r="M146" s="38">
        <f>IF(tblLines[[#This Row],[Order line]]="","",IF(tblLines[[#This Row],[OTIF]]="","",MIN(tblLines[[#This Row],[Qty delivered (units)]],tblLines[[#This Row],[Qty ordered (units)]])))</f>
        <v>500</v>
      </c>
      <c r="N146" s="28" t="s">
        <v>121</v>
      </c>
      <c r="O146"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6" s="28" t="s">
        <v>121</v>
      </c>
    </row>
    <row r="147" spans="2:16">
      <c r="B147" s="28" t="s">
        <v>271</v>
      </c>
      <c r="C147" s="28" t="s">
        <v>82</v>
      </c>
      <c r="D147" s="28" t="s">
        <v>145</v>
      </c>
      <c r="E147" s="30">
        <v>400</v>
      </c>
      <c r="F147" s="35">
        <v>46286</v>
      </c>
      <c r="G147" s="35">
        <v>46286</v>
      </c>
      <c r="H147" s="30">
        <v>400</v>
      </c>
      <c r="I147" s="36">
        <f>IF(tblLines[[#This Row],[Order line]]="","",tblLines[[#This Row],[Delivered date]]-tblLines[[#This Row],[Promised date]])</f>
        <v>0</v>
      </c>
      <c r="J147" s="37" t="str">
        <f>IF(tblLines[[#This Row],[Order line]]="","",IF(OR(tblLines[[#This Row],[Promised date]]="",tblLines[[#This Row],[Delivered date]]=""),"",IF(AND(tblLines[[#This Row],[Days late]]&gt;=-EarlyDays,tblLines[[#This Row],[Days late]]&lt;=LateDays),"Yes","No")))</f>
        <v>Yes</v>
      </c>
      <c r="K147" s="37" t="str">
        <f>IF(tblLines[[#This Row],[Order line]]="","",IF(tblLines[[#This Row],[Qty delivered (units)]]="","",IF(AND(tblLines[[#This Row],[Qty delivered (units)]]&gt;=tblLines[[#This Row],[Qty ordered (units)]]*(1-UnderTol),tblLines[[#This Row],[Qty delivered (units)]]&lt;=tblLines[[#This Row],[Qty ordered (units)]]*(1+OverTol)),"Yes","No")))</f>
        <v>Yes</v>
      </c>
      <c r="L147" s="37" t="str">
        <f>IF(tblLines[[#This Row],[Order line]]="","",IF(OR(tblLines[[#This Row],[On time]]="",tblLines[[#This Row],[In full]]=""),"",IF(AND(tblLines[[#This Row],[On time]]="Yes",tblLines[[#This Row],[In full]]="Yes"),"Yes","No")))</f>
        <v>Yes</v>
      </c>
      <c r="M147" s="38">
        <f>IF(tblLines[[#This Row],[Order line]]="","",IF(tblLines[[#This Row],[OTIF]]="","",MIN(tblLines[[#This Row],[Qty delivered (units)]],tblLines[[#This Row],[Qty ordered (units)]])))</f>
        <v>400</v>
      </c>
      <c r="N147" s="28" t="s">
        <v>121</v>
      </c>
      <c r="O147"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7" s="28" t="s">
        <v>121</v>
      </c>
    </row>
    <row r="148" spans="2:16">
      <c r="B148" s="28" t="s">
        <v>272</v>
      </c>
      <c r="C148" s="28" t="s">
        <v>78</v>
      </c>
      <c r="D148" s="28" t="s">
        <v>135</v>
      </c>
      <c r="E148" s="30">
        <v>200</v>
      </c>
      <c r="F148" s="35">
        <v>46290</v>
      </c>
      <c r="G148" s="35">
        <v>46290</v>
      </c>
      <c r="H148" s="30">
        <v>200</v>
      </c>
      <c r="I148" s="36">
        <f>IF(tblLines[[#This Row],[Order line]]="","",tblLines[[#This Row],[Delivered date]]-tblLines[[#This Row],[Promised date]])</f>
        <v>0</v>
      </c>
      <c r="J148" s="37" t="str">
        <f>IF(tblLines[[#This Row],[Order line]]="","",IF(OR(tblLines[[#This Row],[Promised date]]="",tblLines[[#This Row],[Delivered date]]=""),"",IF(AND(tblLines[[#This Row],[Days late]]&gt;=-EarlyDays,tblLines[[#This Row],[Days late]]&lt;=LateDays),"Yes","No")))</f>
        <v>Yes</v>
      </c>
      <c r="K148" s="37" t="str">
        <f>IF(tblLines[[#This Row],[Order line]]="","",IF(tblLines[[#This Row],[Qty delivered (units)]]="","",IF(AND(tblLines[[#This Row],[Qty delivered (units)]]&gt;=tblLines[[#This Row],[Qty ordered (units)]]*(1-UnderTol),tblLines[[#This Row],[Qty delivered (units)]]&lt;=tblLines[[#This Row],[Qty ordered (units)]]*(1+OverTol)),"Yes","No")))</f>
        <v>Yes</v>
      </c>
      <c r="L148" s="37" t="str">
        <f>IF(tblLines[[#This Row],[Order line]]="","",IF(OR(tblLines[[#This Row],[On time]]="",tblLines[[#This Row],[In full]]=""),"",IF(AND(tblLines[[#This Row],[On time]]="Yes",tblLines[[#This Row],[In full]]="Yes"),"Yes","No")))</f>
        <v>Yes</v>
      </c>
      <c r="M148" s="38">
        <f>IF(tblLines[[#This Row],[Order line]]="","",IF(tblLines[[#This Row],[OTIF]]="","",MIN(tblLines[[#This Row],[Qty delivered (units)]],tblLines[[#This Row],[Qty ordered (units)]])))</f>
        <v>200</v>
      </c>
      <c r="N148" s="28" t="s">
        <v>121</v>
      </c>
      <c r="O148"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8" s="28" t="s">
        <v>121</v>
      </c>
    </row>
    <row r="149" spans="2:16">
      <c r="B149" s="28" t="s">
        <v>273</v>
      </c>
      <c r="C149" s="28" t="s">
        <v>82</v>
      </c>
      <c r="D149" s="28" t="s">
        <v>145</v>
      </c>
      <c r="E149" s="30">
        <v>150</v>
      </c>
      <c r="F149" s="35">
        <v>46286</v>
      </c>
      <c r="G149" s="35">
        <v>46285</v>
      </c>
      <c r="H149" s="30">
        <v>150</v>
      </c>
      <c r="I149" s="36">
        <f>IF(tblLines[[#This Row],[Order line]]="","",tblLines[[#This Row],[Delivered date]]-tblLines[[#This Row],[Promised date]])</f>
        <v>-1</v>
      </c>
      <c r="J149" s="37" t="str">
        <f>IF(tblLines[[#This Row],[Order line]]="","",IF(OR(tblLines[[#This Row],[Promised date]]="",tblLines[[#This Row],[Delivered date]]=""),"",IF(AND(tblLines[[#This Row],[Days late]]&gt;=-EarlyDays,tblLines[[#This Row],[Days late]]&lt;=LateDays),"Yes","No")))</f>
        <v>Yes</v>
      </c>
      <c r="K149" s="37" t="str">
        <f>IF(tblLines[[#This Row],[Order line]]="","",IF(tblLines[[#This Row],[Qty delivered (units)]]="","",IF(AND(tblLines[[#This Row],[Qty delivered (units)]]&gt;=tblLines[[#This Row],[Qty ordered (units)]]*(1-UnderTol),tblLines[[#This Row],[Qty delivered (units)]]&lt;=tblLines[[#This Row],[Qty ordered (units)]]*(1+OverTol)),"Yes","No")))</f>
        <v>Yes</v>
      </c>
      <c r="L149" s="37" t="str">
        <f>IF(tblLines[[#This Row],[Order line]]="","",IF(OR(tblLines[[#This Row],[On time]]="",tblLines[[#This Row],[In full]]=""),"",IF(AND(tblLines[[#This Row],[On time]]="Yes",tblLines[[#This Row],[In full]]="Yes"),"Yes","No")))</f>
        <v>Yes</v>
      </c>
      <c r="M149" s="38">
        <f>IF(tblLines[[#This Row],[Order line]]="","",IF(tblLines[[#This Row],[OTIF]]="","",MIN(tblLines[[#This Row],[Qty delivered (units)]],tblLines[[#This Row],[Qty ordered (units)]])))</f>
        <v>150</v>
      </c>
      <c r="N149" s="28" t="s">
        <v>121</v>
      </c>
      <c r="O149" s="39" t="str">
        <f>IF(tblLines[[#This Row],[Order line]]="","",IF(tblLines[[#This Row],[Customer]]="","Missing customer",IF(tblLines[[#This Row],[Qty ordered (units)]]="","Missing qty ordered",IF(tblLines[[#This Row],[Promised date]]="","Missing promised date",IF(tblLines[[#This Row],[Delivered date]]="","Missing delivered date",IF(tblLines[[#This Row],[Qty delivered (units)]]="","Missing qty delivered",IF(AND(tblLines[[#This Row],[OTIF]]="No",tblLines[[#This Row],[Miss reason]]=""),"Reason missing for a miss",IF(COUNTIF(tblCustomers[Customer],tblLines[[#This Row],[Customer]])=0,"Customer not on Setup list",IF(AND(tblLines[[#This Row],[Miss reason]]&lt;&gt;"",COUNTIF(tblReasons[Reason],tblLines[[#This Row],[Miss reason]])=0),"Reason not on Setup list",IF(COUNTIF(tblLines[Order line],tblLines[[#This Row],[Order line]])&gt;1,"Order line listed twice","OK"))))))))))</f>
        <v>OK</v>
      </c>
      <c r="P149" s="28" t="s">
        <v>121</v>
      </c>
    </row>
  </sheetData>
  <mergeCells count="3">
    <mergeCell ref="A1:P1"/>
    <mergeCell ref="B2:O2"/>
    <mergeCell ref="B4:P4"/>
  </mergeCells>
  <conditionalFormatting sqref="J6:J64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6:K649">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L6:L649">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O6:O649">
    <cfRule type="expression" dxfId="3" priority="61">
      <formula>$O6="OK"</formula>
    </cfRule>
    <cfRule type="expression" dxfId="1" priority="62">
      <formula>AND($O6&lt;&gt;"",$O6&lt;&gt;"OK")</formula>
    </cfRule>
  </conditionalFormatting>
  <dataValidations count="9">
    <dataValidation type="textLength" allowBlank="1" showInputMessage="1" showErrorMessage="1" errorTitle="Check this entry" error="Text up to 40 characters." promptTitle="Order line" prompt="Text up to 40 characters." sqref="B6:B649">
      <formula1>0</formula1>
      <formula2>40</formula2>
    </dataValidation>
    <dataValidation type="list" allowBlank="1" showInputMessage="1" showErrorMessage="1" errorTitle="Check this entry" error="Pick from the list (edit the list on Setup: Customers)." promptTitle="Customer" prompt="Pick from the list (edit the list on Setup: Customers)." sqref="C6:C649">
      <formula1>Customers</formula1>
    </dataValidation>
    <dataValidation type="textLength" allowBlank="1" showInputMessage="1" showErrorMessage="1" errorTitle="Check this entry" error="Text up to 40 characters." promptTitle="Item" prompt="Text up to 40 characters." sqref="D6:D649">
      <formula1>0</formula1>
      <formula2>40</formula2>
    </dataValidation>
    <dataValidation type="decimal" allowBlank="1" showInputMessage="1" showErrorMessage="1" errorTitle="Check this entry" error="Enter a number of at least 0.001." promptTitle="Qty ordered (units)" prompt="Enter a number of at least 0.001." sqref="E6:E649">
      <formula1>0.001</formula1>
      <formula2>10000000000.0</formula2>
    </dataValidation>
    <dataValidation type="date" allowBlank="1" showInputMessage="1" showErrorMessage="1" errorTitle="Check this entry" error="Enter a date between 01 Jan 2000 and 31 Dec 2100." promptTitle="Promised date" prompt="The date you committed to (confirmed or customer-requested, the same rule every time). Enter a date between 01 Jan 2000 and 31 Dec 2100." sqref="F6:F649">
      <formula1>36526</formula1>
      <formula2>73415</formula2>
    </dataValidation>
    <dataValidation type="date" allowBlank="1" showInputMessage="1" showErrorMessage="1" errorTitle="Check this entry" error="Enter a date between 01 Jan 2000 and 31 Dec 2100." promptTitle="Delivered date" prompt="Date the customer received the goods (or your proof-of-delivery date). Enter a date between 01 Jan 2000 and 31 Dec 2100." sqref="G6:G649">
      <formula1>36526</formula1>
      <formula2>73415</formula2>
    </dataValidation>
    <dataValidation type="decimal" allowBlank="1" showInputMessage="1" showErrorMessage="1" errorTitle="Check this entry" error="Enter a number of at least 0." promptTitle="Qty delivered (units)" prompt="Units delivered against this line by the delivered date. Ship a balance later as a new line. Enter a number of at least 0." sqref="H6:H649">
      <formula1>0</formula1>
      <formula2>10000000000.0</formula2>
    </dataValidation>
    <dataValidation type="list" allowBlank="1" showInputMessage="1" showErrorMessage="1" errorTitle="Check this entry" error="Pick from the list (edit the list on Setup: Reasons)." promptTitle="Miss reason" prompt="Why the line was not OTIF. Required when OTIF is No. Pick from the list (edit the list on Setup: Reasons)." sqref="N6:N649">
      <formula1>Reasons</formula1>
    </dataValidation>
    <dataValidation type="textLength" allowBlank="1" showInputMessage="1" showErrorMessage="1" errorTitle="Check this entry" error="Text up to 255 characters." promptTitle="Notes" prompt="Text up to 255 characters." sqref="P6:P649">
      <formula1>0</formula1>
      <formula2>255</formula2>
    </dataValidation>
  </dataValidations>
  <hyperlinks>
    <hyperlink ref="P2" r:id="rId1" tooltip="Free manufacturing calculators and templates"/>
  </hyperlinks>
  <pageMargins left="0.4" right="0.4" top="0.7" bottom="0.65" header="0.3" footer="0.3"/>
  <pageSetup fitToHeight="0" orientation="landscape"/>
  <headerFooter>
    <oddHeader>&amp;L&amp;8MFG Calcs - OTIF Delivery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61"/>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40" t="str">
        <f>"Showing "&amp;(COUNTIFS(tblLines[OTIF],"Yes")+COUNTIFS(tblLines[OTIF],"No"))&amp;" delivered lines for "&amp;CompanyName&amp;". On time = "&amp;EarlyDays&amp;" days early to "&amp;LateDays&amp;" days late; weeks by promised date."</f>
        <v>Showing 144 delivered lines for Sahyadri Auto Components (example). On time = 2 days early to 0 days late; weeks by promised date.</v>
      </c>
      <c r="C4" s="40"/>
      <c r="D4" s="40"/>
      <c r="E4" s="40"/>
      <c r="F4" s="40"/>
      <c r="G4" s="40"/>
      <c r="H4" s="40"/>
      <c r="I4" s="40"/>
      <c r="J4" s="40"/>
      <c r="K4" s="40"/>
      <c r="L4" s="40"/>
    </row>
    <row r="6" spans="1:12" ht="18" customHeight="1" x14ac:dyDescent="0.25">
      <c r="B6" s="41" t="s">
        <v>113</v>
      </c>
      <c r="C6" s="41"/>
      <c r="D6" s="41" t="s">
        <v>274</v>
      </c>
      <c r="E6" s="41"/>
      <c r="F6" s="41"/>
      <c r="G6" s="41" t="s">
        <v>275</v>
      </c>
      <c r="H6" s="41"/>
      <c r="I6" s="41"/>
      <c r="J6" s="41" t="s">
        <v>276</v>
      </c>
      <c r="K6" s="41"/>
      <c r="L6" s="41"/>
    </row>
    <row r="7" spans="1:12" ht="21" customHeight="1" x14ac:dyDescent="0.25">
      <c r="B7" s="42">
        <f>IF((COUNTIFS(tblLines[OTIF],"Yes")+COUNTIFS(tblLines[OTIF],"No"))=0,"",(COUNTIFS(tblLines[OTIF],"Yes"))/(COUNTIFS(tblLines[OTIF],"Yes")+COUNTIFS(tblLines[OTIF],"No")))</f>
        <v>0.770833333333333</v>
      </c>
      <c r="C7" s="42"/>
      <c r="D7" s="42">
        <f>IF((COUNTIFS(tblLines[OTIF],"Yes")+COUNTIFS(tblLines[OTIF],"No"))=0,"",(COUNTIFS(tblLines[On time],"Yes"))/(COUNTIFS(tblLines[OTIF],"Yes")+COUNTIFS(tblLines[OTIF],"No")))</f>
        <v>0.895833333333333</v>
      </c>
      <c r="E7" s="42"/>
      <c r="F7" s="42"/>
      <c r="G7" s="42">
        <f>IF((COUNTIFS(tblLines[OTIF],"Yes")+COUNTIFS(tblLines[OTIF],"No"))=0,"",(COUNTIFS(tblLines[In full],"Yes"))/(COUNTIFS(tblLines[OTIF],"Yes")+COUNTIFS(tblLines[OTIF],"No")))</f>
        <v>0.875</v>
      </c>
      <c r="H7" s="42"/>
      <c r="I7" s="42"/>
      <c r="J7" s="42">
        <f>IF((SUMIFS(tblLines[Qty ordered (units)],tblLines[OTIF],"&lt;&gt;"))=0,"",(SUM(tblLines[Units filled]))/(SUMIFS(tblLines[Qty ordered (units)],tblLines[OTIF],"&lt;&gt;")))</f>
        <v>0.981669805398619</v>
      </c>
      <c r="K7" s="42"/>
      <c r="L7" s="42"/>
    </row>
    <row r="8" spans="1:12" ht="21" customHeight="1" x14ac:dyDescent="0.25">
      <c r="B8" s="42"/>
      <c r="C8" s="42"/>
      <c r="D8" s="42"/>
      <c r="E8" s="42"/>
      <c r="F8" s="42"/>
      <c r="G8" s="42"/>
      <c r="H8" s="42"/>
      <c r="I8" s="42"/>
      <c r="J8" s="42"/>
      <c r="K8" s="42"/>
      <c r="L8" s="42"/>
    </row>
    <row r="9" spans="1:12" x14ac:dyDescent="0.25">
      <c r="B9" s="43">
        <f>TargetOTIF</f>
        <v>0.95</v>
      </c>
      <c r="C9" s="43"/>
      <c r="D9" s="43">
        <f>TargetOT</f>
        <v>0.97</v>
      </c>
      <c r="E9" s="43"/>
      <c r="F9" s="43"/>
      <c r="G9" s="43">
        <f>TargetIF</f>
        <v>0.98</v>
      </c>
      <c r="H9" s="43"/>
      <c r="I9" s="43"/>
      <c r="J9" s="44" t="s">
        <v>277</v>
      </c>
      <c r="K9" s="44"/>
      <c r="L9" s="44"/>
    </row>
    <row r="10" spans="1:12" ht="18" customHeight="1" x14ac:dyDescent="0.25">
      <c r="B10" s="45" t="str">
        <f>IF(NOT(ISNUMBER(KpiOTIF)),"No data",IF(KpiOTIF&gt;=(TargetOTIF),"On target",IF(KpiOTIF&gt;=(TargetOTIF)*(1-0.05),"Near target","Below target")))</f>
        <v>Below target</v>
      </c>
      <c r="C10" s="45"/>
      <c r="D10" s="45" t="str">
        <f>IF(NOT(ISNUMBER(KpiOT)),"No data",IF(KpiOT&gt;=(TargetOT),"On target",IF(KpiOT&gt;=(TargetOT)*(1-0.05),"Near target","Below target")))</f>
        <v>Below target</v>
      </c>
      <c r="E10" s="45"/>
      <c r="F10" s="45"/>
      <c r="G10" s="45" t="str">
        <f>IF(NOT(ISNUMBER(KpiIF)),"No data",IF(KpiIF&gt;=(TargetIF),"On target",IF(KpiIF&gt;=(TargetIF)*(1-0.05),"Near target","Below target")))</f>
        <v>Below target</v>
      </c>
      <c r="H10" s="45"/>
      <c r="I10" s="45"/>
      <c r="J10" s="45"/>
      <c r="K10" s="45"/>
      <c r="L10" s="45"/>
    </row>
    <row r="28" spans="2:8" x14ac:dyDescent="0.25">
      <c r="B28" s="31" t="s">
        <v>278</v>
      </c>
      <c r="C28" s="31"/>
      <c r="D28" s="31"/>
      <c r="E28" s="31"/>
      <c r="F28" s="31"/>
      <c r="G28" s="31"/>
      <c r="H28" s="31"/>
    </row>
    <row r="29" spans="2:8" ht="32" customHeight="1" x14ac:dyDescent="0.25">
      <c r="B29" s="46" t="s">
        <v>279</v>
      </c>
      <c r="C29" s="32" t="s">
        <v>280</v>
      </c>
      <c r="D29" s="32" t="s">
        <v>111</v>
      </c>
      <c r="E29" s="32" t="s">
        <v>112</v>
      </c>
      <c r="F29" s="32" t="s">
        <v>113</v>
      </c>
      <c r="G29" s="32" t="s">
        <v>67</v>
      </c>
      <c r="H29" s="32" t="s">
        <v>281</v>
      </c>
    </row>
    <row r="30" spans="2:8" x14ac:dyDescent="0.25">
      <c r="B30" s="47">
        <f>IF($B$31="","",IF($B$31-1&lt;MIN(tblLines[Promised date]),"",$B$31-7))</f>
        <v>46237</v>
      </c>
      <c r="C30" s="38">
        <f>IF($B$30="","",COUNTIFS(tblLines[Promised date],"&gt;="&amp;$B$30,tblLines[Promised date],"&lt;"&amp;$B$30+7,tblLines[OTIF],"Yes")+COUNTIFS(tblLines[Promised date],"&gt;="&amp;$B$30,tblLines[Promised date],"&lt;"&amp;$B$30+7,tblLines[OTIF],"No"))</f>
        <v>18</v>
      </c>
      <c r="D30" s="48">
        <f>IF($B$30="","",IF(($C$30)=0,"",(COUNTIFS(tblLines[Promised date],"&gt;="&amp;$B$30,tblLines[Promised date],"&lt;"&amp;$B$30+7,tblLines[On time],"Yes"))/($C$30)))</f>
        <v>0.777777777777778</v>
      </c>
      <c r="E30" s="48">
        <f>IF($B$30="","",IF(($C$30)=0,"",(COUNTIFS(tblLines[Promised date],"&gt;="&amp;$B$30,tblLines[Promised date],"&lt;"&amp;$B$30+7,tblLines[In full],"Yes"))/($C$30)))</f>
        <v>1</v>
      </c>
      <c r="F30" s="48">
        <f>IF($B$30="","",IF(($C$30)=0,"",(COUNTIFS(tblLines[Promised date],"&gt;="&amp;$B$30,tblLines[Promised date],"&lt;"&amp;$B$30+7,tblLines[OTIF],"Yes"))/($C$30)))</f>
        <v>0.777777777777778</v>
      </c>
      <c r="G30" s="49">
        <f>TargetOTIF</f>
        <v>0.95</v>
      </c>
      <c r="H30" s="38">
        <f>IF($B$30="","",COUNTIFS(tblLines[Promised date],"&gt;="&amp;$B$30,tblLines[Promised date],"&lt;"&amp;$B$30+7,tblLines[OTIF],"No"))</f>
        <v>4</v>
      </c>
    </row>
    <row r="31" spans="2:8" x14ac:dyDescent="0.25">
      <c r="B31" s="47">
        <f>IF($B$32="","",IF($B$32-1&lt;MIN(tblLines[Promised date]),"",$B$32-7))</f>
        <v>46244</v>
      </c>
      <c r="C31" s="38">
        <f>IF($B$31="","",COUNTIFS(tblLines[Promised date],"&gt;="&amp;$B$31,tblLines[Promised date],"&lt;"&amp;$B$31+7,tblLines[OTIF],"Yes")+COUNTIFS(tblLines[Promised date],"&gt;="&amp;$B$31,tblLines[Promised date],"&lt;"&amp;$B$31+7,tblLines[OTIF],"No"))</f>
        <v>18</v>
      </c>
      <c r="D31" s="48">
        <f>IF($B$31="","",IF(($C$31)=0,"",(COUNTIFS(tblLines[Promised date],"&gt;="&amp;$B$31,tblLines[Promised date],"&lt;"&amp;$B$31+7,tblLines[On time],"Yes"))/($C$31)))</f>
        <v>0.888888888888889</v>
      </c>
      <c r="E31" s="48">
        <f>IF($B$31="","",IF(($C$31)=0,"",(COUNTIFS(tblLines[Promised date],"&gt;="&amp;$B$31,tblLines[Promised date],"&lt;"&amp;$B$31+7,tblLines[In full],"Yes"))/($C$31)))</f>
        <v>0.944444444444444</v>
      </c>
      <c r="F31" s="48">
        <f>IF($B$31="","",IF(($C$31)=0,"",(COUNTIFS(tblLines[Promised date],"&gt;="&amp;$B$31,tblLines[Promised date],"&lt;"&amp;$B$31+7,tblLines[OTIF],"Yes"))/($C$31)))</f>
        <v>0.833333333333333</v>
      </c>
      <c r="G31" s="49">
        <f>TargetOTIF</f>
        <v>0.95</v>
      </c>
      <c r="H31" s="38">
        <f>IF($B$31="","",COUNTIFS(tblLines[Promised date],"&gt;="&amp;$B$31,tblLines[Promised date],"&lt;"&amp;$B$31+7,tblLines[OTIF],"No"))</f>
        <v>3</v>
      </c>
    </row>
    <row r="32" spans="2:8" x14ac:dyDescent="0.25">
      <c r="B32" s="47">
        <f>IF($B$33="","",IF($B$33-1&lt;MIN(tblLines[Promised date]),"",$B$33-7))</f>
        <v>46251</v>
      </c>
      <c r="C32" s="38">
        <f>IF($B$32="","",COUNTIFS(tblLines[Promised date],"&gt;="&amp;$B$32,tblLines[Promised date],"&lt;"&amp;$B$32+7,tblLines[OTIF],"Yes")+COUNTIFS(tblLines[Promised date],"&gt;="&amp;$B$32,tblLines[Promised date],"&lt;"&amp;$B$32+7,tblLines[OTIF],"No"))</f>
        <v>18</v>
      </c>
      <c r="D32" s="48">
        <f>IF($B$32="","",IF(($C$32)=0,"",(COUNTIFS(tblLines[Promised date],"&gt;="&amp;$B$32,tblLines[Promised date],"&lt;"&amp;$B$32+7,tblLines[On time],"Yes"))/($C$32)))</f>
        <v>0.888888888888889</v>
      </c>
      <c r="E32" s="48">
        <f>IF($B$32="","",IF(($C$32)=0,"",(COUNTIFS(tblLines[Promised date],"&gt;="&amp;$B$32,tblLines[Promised date],"&lt;"&amp;$B$32+7,tblLines[In full],"Yes"))/($C$32)))</f>
        <v>0.722222222222222</v>
      </c>
      <c r="F32" s="48">
        <f>IF($B$32="","",IF(($C$32)=0,"",(COUNTIFS(tblLines[Promised date],"&gt;="&amp;$B$32,tblLines[Promised date],"&lt;"&amp;$B$32+7,tblLines[OTIF],"Yes"))/($C$32)))</f>
        <v>0.611111111111111</v>
      </c>
      <c r="G32" s="49">
        <f>TargetOTIF</f>
        <v>0.95</v>
      </c>
      <c r="H32" s="38">
        <f>IF($B$32="","",COUNTIFS(tblLines[Promised date],"&gt;="&amp;$B$32,tblLines[Promised date],"&lt;"&amp;$B$32+7,tblLines[OTIF],"No"))</f>
        <v>7</v>
      </c>
    </row>
    <row r="33" spans="2:9" x14ac:dyDescent="0.25">
      <c r="B33" s="47">
        <f>IF($B$34="","",IF($B$34-1&lt;MIN(tblLines[Promised date]),"",$B$34-7))</f>
        <v>46258</v>
      </c>
      <c r="C33" s="38">
        <f>IF($B$33="","",COUNTIFS(tblLines[Promised date],"&gt;="&amp;$B$33,tblLines[Promised date],"&lt;"&amp;$B$33+7,tblLines[OTIF],"Yes")+COUNTIFS(tblLines[Promised date],"&gt;="&amp;$B$33,tblLines[Promised date],"&lt;"&amp;$B$33+7,tblLines[OTIF],"No"))</f>
        <v>18</v>
      </c>
      <c r="D33" s="48">
        <f>IF($B$33="","",IF(($C$33)=0,"",(COUNTIFS(tblLines[Promised date],"&gt;="&amp;$B$33,tblLines[Promised date],"&lt;"&amp;$B$33+7,tblLines[On time],"Yes"))/($C$33)))</f>
        <v>0.944444444444444</v>
      </c>
      <c r="E33" s="48">
        <f>IF($B$33="","",IF(($C$33)=0,"",(COUNTIFS(tblLines[Promised date],"&gt;="&amp;$B$33,tblLines[Promised date],"&lt;"&amp;$B$33+7,tblLines[In full],"Yes"))/($C$33)))</f>
        <v>0.666666666666667</v>
      </c>
      <c r="F33" s="48">
        <f>IF($B$33="","",IF(($C$33)=0,"",(COUNTIFS(tblLines[Promised date],"&gt;="&amp;$B$33,tblLines[Promised date],"&lt;"&amp;$B$33+7,tblLines[OTIF],"Yes"))/($C$33)))</f>
        <v>0.611111111111111</v>
      </c>
      <c r="G33" s="49">
        <f>TargetOTIF</f>
        <v>0.95</v>
      </c>
      <c r="H33" s="38">
        <f>IF($B$33="","",COUNTIFS(tblLines[Promised date],"&gt;="&amp;$B$33,tblLines[Promised date],"&lt;"&amp;$B$33+7,tblLines[OTIF],"No"))</f>
        <v>7</v>
      </c>
    </row>
    <row r="34" spans="2:9" x14ac:dyDescent="0.25">
      <c r="B34" s="47">
        <f>IF($B$35="","",IF($B$35-1&lt;MIN(tblLines[Promised date]),"",$B$35-7))</f>
        <v>46265</v>
      </c>
      <c r="C34" s="38">
        <f>IF($B$34="","",COUNTIFS(tblLines[Promised date],"&gt;="&amp;$B$34,tblLines[Promised date],"&lt;"&amp;$B$34+7,tblLines[OTIF],"Yes")+COUNTIFS(tblLines[Promised date],"&gt;="&amp;$B$34,tblLines[Promised date],"&lt;"&amp;$B$34+7,tblLines[OTIF],"No"))</f>
        <v>18</v>
      </c>
      <c r="D34" s="48">
        <f>IF($B$34="","",IF(($C$34)=0,"",(COUNTIFS(tblLines[Promised date],"&gt;="&amp;$B$34,tblLines[Promised date],"&lt;"&amp;$B$34+7,tblLines[On time],"Yes"))/($C$34)))</f>
        <v>0.888888888888889</v>
      </c>
      <c r="E34" s="48">
        <f>IF($B$34="","",IF(($C$34)=0,"",(COUNTIFS(tblLines[Promised date],"&gt;="&amp;$B$34,tblLines[Promised date],"&lt;"&amp;$B$34+7,tblLines[In full],"Yes"))/($C$34)))</f>
        <v>0.777777777777778</v>
      </c>
      <c r="F34" s="48">
        <f>IF($B$34="","",IF(($C$34)=0,"",(COUNTIFS(tblLines[Promised date],"&gt;="&amp;$B$34,tblLines[Promised date],"&lt;"&amp;$B$34+7,tblLines[OTIF],"Yes"))/($C$34)))</f>
        <v>0.666666666666667</v>
      </c>
      <c r="G34" s="49">
        <f>TargetOTIF</f>
        <v>0.95</v>
      </c>
      <c r="H34" s="38">
        <f>IF($B$34="","",COUNTIFS(tblLines[Promised date],"&gt;="&amp;$B$34,tblLines[Promised date],"&lt;"&amp;$B$34+7,tblLines[OTIF],"No"))</f>
        <v>6</v>
      </c>
    </row>
    <row r="35" spans="2:9" x14ac:dyDescent="0.25">
      <c r="B35" s="47">
        <f>IF($B$36="","",IF($B$36-1&lt;MIN(tblLines[Promised date]),"",$B$36-7))</f>
        <v>46272</v>
      </c>
      <c r="C35" s="38">
        <f>IF($B$35="","",COUNTIFS(tblLines[Promised date],"&gt;="&amp;$B$35,tblLines[Promised date],"&lt;"&amp;$B$35+7,tblLines[OTIF],"Yes")+COUNTIFS(tblLines[Promised date],"&gt;="&amp;$B$35,tblLines[Promised date],"&lt;"&amp;$B$35+7,tblLines[OTIF],"No"))</f>
        <v>18</v>
      </c>
      <c r="D35" s="48">
        <f>IF($B$35="","",IF(($C$35)=0,"",(COUNTIFS(tblLines[Promised date],"&gt;="&amp;$B$35,tblLines[Promised date],"&lt;"&amp;$B$35+7,tblLines[On time],"Yes"))/($C$35)))</f>
        <v>0.944444444444444</v>
      </c>
      <c r="E35" s="48">
        <f>IF($B$35="","",IF(($C$35)=0,"",(COUNTIFS(tblLines[Promised date],"&gt;="&amp;$B$35,tblLines[Promised date],"&lt;"&amp;$B$35+7,tblLines[In full],"Yes"))/($C$35)))</f>
        <v>1</v>
      </c>
      <c r="F35" s="48">
        <f>IF($B$35="","",IF(($C$35)=0,"",(COUNTIFS(tblLines[Promised date],"&gt;="&amp;$B$35,tblLines[Promised date],"&lt;"&amp;$B$35+7,tblLines[OTIF],"Yes"))/($C$35)))</f>
        <v>0.944444444444444</v>
      </c>
      <c r="G35" s="49">
        <f>TargetOTIF</f>
        <v>0.95</v>
      </c>
      <c r="H35" s="38">
        <f>IF($B$35="","",COUNTIFS(tblLines[Promised date],"&gt;="&amp;$B$35,tblLines[Promised date],"&lt;"&amp;$B$35+7,tblLines[OTIF],"No"))</f>
        <v>1</v>
      </c>
    </row>
    <row r="36" spans="2:9" x14ac:dyDescent="0.25">
      <c r="B36" s="47">
        <f>IF($B$37="","",IF($B$37-1&lt;MIN(tblLines[Promised date]),"",$B$37-7))</f>
        <v>46279</v>
      </c>
      <c r="C36" s="38">
        <f>IF($B$36="","",COUNTIFS(tblLines[Promised date],"&gt;="&amp;$B$36,tblLines[Promised date],"&lt;"&amp;$B$36+7,tblLines[OTIF],"Yes")+COUNTIFS(tblLines[Promised date],"&gt;="&amp;$B$36,tblLines[Promised date],"&lt;"&amp;$B$36+7,tblLines[OTIF],"No"))</f>
        <v>18</v>
      </c>
      <c r="D36" s="48">
        <f>IF($B$36="","",IF(($C$36)=0,"",(COUNTIFS(tblLines[Promised date],"&gt;="&amp;$B$36,tblLines[Promised date],"&lt;"&amp;$B$36+7,tblLines[On time],"Yes"))/($C$36)))</f>
        <v>0.888888888888889</v>
      </c>
      <c r="E36" s="48">
        <f>IF($B$36="","",IF(($C$36)=0,"",(COUNTIFS(tblLines[Promised date],"&gt;="&amp;$B$36,tblLines[Promised date],"&lt;"&amp;$B$36+7,tblLines[In full],"Yes"))/($C$36)))</f>
        <v>1</v>
      </c>
      <c r="F36" s="48">
        <f>IF($B$36="","",IF(($C$36)=0,"",(COUNTIFS(tblLines[Promised date],"&gt;="&amp;$B$36,tblLines[Promised date],"&lt;"&amp;$B$36+7,tblLines[OTIF],"Yes"))/($C$36)))</f>
        <v>0.888888888888889</v>
      </c>
      <c r="G36" s="49">
        <f>TargetOTIF</f>
        <v>0.95</v>
      </c>
      <c r="H36" s="38">
        <f>IF($B$36="","",COUNTIFS(tblLines[Promised date],"&gt;="&amp;$B$36,tblLines[Promised date],"&lt;"&amp;$B$36+7,tblLines[OTIF],"No"))</f>
        <v>2</v>
      </c>
    </row>
    <row r="37" spans="2:9" x14ac:dyDescent="0.25">
      <c r="B37" s="47">
        <f>IF(COUNT(tblLines[Promised date])=0,"",MAX(tblLines[Promised date])-WEEKDAY(MAX(tblLines[Promised date]),2)+1)</f>
        <v>46286</v>
      </c>
      <c r="C37" s="38">
        <f>IF($B$37="","",COUNTIFS(tblLines[Promised date],"&gt;="&amp;$B$37,tblLines[Promised date],"&lt;"&amp;$B$37+7,tblLines[OTIF],"Yes")+COUNTIFS(tblLines[Promised date],"&gt;="&amp;$B$37,tblLines[Promised date],"&lt;"&amp;$B$37+7,tblLines[OTIF],"No"))</f>
        <v>18</v>
      </c>
      <c r="D37" s="48">
        <f>IF($B$37="","",IF(($C$37)=0,"",(COUNTIFS(tblLines[Promised date],"&gt;="&amp;$B$37,tblLines[Promised date],"&lt;"&amp;$B$37+7,tblLines[On time],"Yes"))/($C$37)))</f>
        <v>0.944444444444444</v>
      </c>
      <c r="E37" s="48">
        <f>IF($B$37="","",IF(($C$37)=0,"",(COUNTIFS(tblLines[Promised date],"&gt;="&amp;$B$37,tblLines[Promised date],"&lt;"&amp;$B$37+7,tblLines[In full],"Yes"))/($C$37)))</f>
        <v>0.888888888888889</v>
      </c>
      <c r="F37" s="48">
        <f>IF($B$37="","",IF(($C$37)=0,"",(COUNTIFS(tblLines[Promised date],"&gt;="&amp;$B$37,tblLines[Promised date],"&lt;"&amp;$B$37+7,tblLines[OTIF],"Yes"))/($C$37)))</f>
        <v>0.833333333333333</v>
      </c>
      <c r="G37" s="49">
        <f>TargetOTIF</f>
        <v>0.95</v>
      </c>
      <c r="H37" s="38">
        <f>IF($B$37="","",COUNTIFS(tblLines[Promised date],"&gt;="&amp;$B$37,tblLines[Promised date],"&lt;"&amp;$B$37+7,tblLines[OTIF],"No"))</f>
        <v>3</v>
      </c>
    </row>
    <row r="39" spans="2:9" x14ac:dyDescent="0.25">
      <c r="B39" s="31" t="s">
        <v>282</v>
      </c>
      <c r="C39" s="31"/>
      <c r="D39" s="31"/>
      <c r="E39" s="31"/>
      <c r="F39" s="31"/>
      <c r="G39" s="31"/>
      <c r="H39" s="31"/>
      <c r="I39" s="31"/>
    </row>
    <row r="40" spans="2:9" ht="32" customHeight="1" x14ac:dyDescent="0.25">
      <c r="B40" s="46" t="s">
        <v>60</v>
      </c>
      <c r="C40" s="32" t="s">
        <v>280</v>
      </c>
      <c r="D40" s="32" t="s">
        <v>111</v>
      </c>
      <c r="E40" s="32" t="s">
        <v>112</v>
      </c>
      <c r="F40" s="32" t="s">
        <v>113</v>
      </c>
      <c r="G40" s="32" t="s">
        <v>283</v>
      </c>
      <c r="H40" s="32"/>
      <c r="I40" s="32" t="s">
        <v>284</v>
      </c>
    </row>
    <row r="41" spans="2:9" x14ac:dyDescent="0.25">
      <c r="B41" s="50" t="str">
        <f>IFERROR(INDEX(tblCustomers[Customer],1)&amp;"","")</f>
        <v>Deccan Tractors (example)</v>
      </c>
      <c r="C41" s="38">
        <f>IF($B$41="","",COUNTIFS(tblLines[Customer],$B$41,tblLines[OTIF],"Yes")+COUNTIFS(tblLines[Customer],$B$41,tblLines[OTIF],"No"))</f>
        <v>29</v>
      </c>
      <c r="D41" s="48">
        <f>IF($B$41="","",IF(($C$41)=0,"",(COUNTIFS(tblLines[Customer],$B$41,tblLines[On time],"Yes"))/($C$41)))</f>
        <v>0.96551724137931</v>
      </c>
      <c r="E41" s="48">
        <f>IF($B$41="","",IF(($C$41)=0,"",(COUNTIFS(tblLines[Customer],$B$41,tblLines[In full],"Yes"))/($C$41)))</f>
        <v>0.758620689655172</v>
      </c>
      <c r="F41" s="48">
        <f>IF($B$41="","",IF(($C$41)=0,"",(COUNTIFS(tblLines[Customer],$B$41,tblLines[OTIF],"Yes"))/($C$41)))</f>
        <v>0.724137931034483</v>
      </c>
      <c r="G41" s="37" t="str">
        <f>IF($B$41="","",IF(NOT(ISNUMBER($F$41)),"",IF($F$41&gt;=TargetOTIF,"On target",IF($F$41&gt;=TargetOTIF*0.95,"Near target","Below target"))))</f>
        <v>Below target</v>
      </c>
      <c r="H41" s="37"/>
      <c r="I41" s="48">
        <f>IF($B$41="","",IF((SUMIFS(tblLines[Qty ordered (units)],tblLines[Customer],$B$41,tblLines[OTIF],"&lt;&gt;"))=0,"",(SUMIFS(tblLines[Units filled],tblLines[Customer],$B$41))/(SUMIFS(tblLines[Qty ordered (units)],tblLines[Customer],$B$41,tblLines[OTIF],"&lt;&gt;"))))</f>
        <v>0.966258741258741</v>
      </c>
    </row>
    <row r="42" spans="2:9" x14ac:dyDescent="0.25">
      <c r="B42" s="50" t="str">
        <f>IFERROR(INDEX(tblCustomers[Customer],2)&amp;"","")</f>
        <v>Konkan Motors (example)</v>
      </c>
      <c r="C42" s="38">
        <f>IF($B$42="","",COUNTIFS(tblLines[Customer],$B$42,tblLines[OTIF],"Yes")+COUNTIFS(tblLines[Customer],$B$42,tblLines[OTIF],"No"))</f>
        <v>42</v>
      </c>
      <c r="D42" s="48">
        <f>IF($B$42="","",IF(($C$42)=0,"",(COUNTIFS(tblLines[Customer],$B$42,tblLines[On time],"Yes"))/($C$42)))</f>
        <v>0.928571428571429</v>
      </c>
      <c r="E42" s="48">
        <f>IF($B$42="","",IF(($C$42)=0,"",(COUNTIFS(tblLines[Customer],$B$42,tblLines[In full],"Yes"))/($C$42)))</f>
        <v>0.857142857142857</v>
      </c>
      <c r="F42" s="48">
        <f>IF($B$42="","",IF(($C$42)=0,"",(COUNTIFS(tblLines[Customer],$B$42,tblLines[OTIF],"Yes"))/($C$42)))</f>
        <v>0.785714285714286</v>
      </c>
      <c r="G42" s="37" t="str">
        <f>IF($B$42="","",IF(NOT(ISNUMBER($F$42)),"",IF($F$42&gt;=TargetOTIF,"On target",IF($F$42&gt;=TargetOTIF*0.95,"Near target","Below target"))))</f>
        <v>Below target</v>
      </c>
      <c r="H42" s="37"/>
      <c r="I42" s="48">
        <f>IF($B$42="","",IF((SUMIFS(tblLines[Qty ordered (units)],tblLines[Customer],$B$42,tblLines[OTIF],"&lt;&gt;"))=0,"",(SUMIFS(tblLines[Units filled],tblLines[Customer],$B$42))/(SUMIFS(tblLines[Qty ordered (units)],tblLines[Customer],$B$42,tblLines[OTIF],"&lt;&gt;"))))</f>
        <v>0.974035453597497</v>
      </c>
    </row>
    <row r="43" spans="2:9" x14ac:dyDescent="0.25">
      <c r="B43" s="50" t="str">
        <f>IFERROR(INDEX(tblCustomers[Customer],3)&amp;"","")</f>
        <v>Meridian Pumps (example)</v>
      </c>
      <c r="C43" s="38">
        <f>IF($B$43="","",COUNTIFS(tblLines[Customer],$B$43,tblLines[OTIF],"Yes")+COUNTIFS(tblLines[Customer],$B$43,tblLines[OTIF],"No"))</f>
        <v>26</v>
      </c>
      <c r="D43" s="48">
        <f>IF($B$43="","",IF(($C$43)=0,"",(COUNTIFS(tblLines[Customer],$B$43,tblLines[On time],"Yes"))/($C$43)))</f>
        <v>0.884615384615385</v>
      </c>
      <c r="E43" s="48">
        <f>IF($B$43="","",IF(($C$43)=0,"",(COUNTIFS(tblLines[Customer],$B$43,tblLines[In full],"Yes"))/($C$43)))</f>
        <v>0.923076923076923</v>
      </c>
      <c r="F43" s="48">
        <f>IF($B$43="","",IF(($C$43)=0,"",(COUNTIFS(tblLines[Customer],$B$43,tblLines[OTIF],"Yes"))/($C$43)))</f>
        <v>0.807692307692308</v>
      </c>
      <c r="G43" s="37" t="str">
        <f>IF($B$43="","",IF(NOT(ISNUMBER($F$43)),"",IF($F$43&gt;=TargetOTIF,"On target",IF($F$43&gt;=TargetOTIF*0.95,"Near target","Below target"))))</f>
        <v>Below target</v>
      </c>
      <c r="H43" s="37"/>
      <c r="I43" s="48">
        <f>IF($B$43="","",IF((SUMIFS(tblLines[Qty ordered (units)],tblLines[Customer],$B$43,tblLines[OTIF],"&lt;&gt;"))=0,"",(SUMIFS(tblLines[Units filled],tblLines[Customer],$B$43))/(SUMIFS(tblLines[Qty ordered (units)],tblLines[Customer],$B$43,tblLines[OTIF],"&lt;&gt;"))))</f>
        <v>0.996850393700787</v>
      </c>
    </row>
    <row r="44" spans="2:9" x14ac:dyDescent="0.25">
      <c r="B44" s="50" t="str">
        <f>IFERROR(INDEX(tblCustomers[Customer],4)&amp;"","")</f>
        <v>Indus Agri Equipment (example)</v>
      </c>
      <c r="C44" s="38">
        <f>IF($B$44="","",COUNTIFS(tblLines[Customer],$B$44,tblLines[OTIF],"Yes")+COUNTIFS(tblLines[Customer],$B$44,tblLines[OTIF],"No"))</f>
        <v>19</v>
      </c>
      <c r="D44" s="48">
        <f>IF($B$44="","",IF(($C$44)=0,"",(COUNTIFS(tblLines[Customer],$B$44,tblLines[On time],"Yes"))/($C$44)))</f>
        <v>0.947368421052632</v>
      </c>
      <c r="E44" s="48">
        <f>IF($B$44="","",IF(($C$44)=0,"",(COUNTIFS(tblLines[Customer],$B$44,tblLines[In full],"Yes"))/($C$44)))</f>
        <v>0.947368421052632</v>
      </c>
      <c r="F44" s="48">
        <f>IF($B$44="","",IF(($C$44)=0,"",(COUNTIFS(tblLines[Customer],$B$44,tblLines[OTIF],"Yes"))/($C$44)))</f>
        <v>0.894736842105263</v>
      </c>
      <c r="G44" s="37" t="str">
        <f>IF($B$44="","",IF(NOT(ISNUMBER($F$44)),"",IF($F$44&gt;=TargetOTIF,"On target",IF($F$44&gt;=TargetOTIF*0.95,"Near target","Below target"))))</f>
        <v>Below target</v>
      </c>
      <c r="H44" s="37"/>
      <c r="I44" s="48">
        <f>IF($B$44="","",IF((SUMIFS(tblLines[Qty ordered (units)],tblLines[Customer],$B$44,tblLines[OTIF],"&lt;&gt;"))=0,"",(SUMIFS(tblLines[Units filled],tblLines[Customer],$B$44))/(SUMIFS(tblLines[Qty ordered (units)],tblLines[Customer],$B$44,tblLines[OTIF],"&lt;&gt;"))))</f>
        <v>0.986559139784946</v>
      </c>
    </row>
    <row r="45" spans="2:9" x14ac:dyDescent="0.25">
      <c r="B45" s="50" t="str">
        <f>IFERROR(INDEX(tblCustomers[Customer],5)&amp;"","")</f>
        <v>Northstar Rail (example)</v>
      </c>
      <c r="C45" s="38">
        <f>IF($B$45="","",COUNTIFS(tblLines[Customer],$B$45,tblLines[OTIF],"Yes")+COUNTIFS(tblLines[Customer],$B$45,tblLines[OTIF],"No"))</f>
        <v>17</v>
      </c>
      <c r="D45" s="48">
        <f>IF($B$45="","",IF(($C$45)=0,"",(COUNTIFS(tblLines[Customer],$B$45,tblLines[On time],"Yes"))/($C$45)))</f>
        <v>0.647058823529412</v>
      </c>
      <c r="E45" s="48">
        <f>IF($B$45="","",IF(($C$45)=0,"",(COUNTIFS(tblLines[Customer],$B$45,tblLines[In full],"Yes"))/($C$45)))</f>
        <v>0.941176470588235</v>
      </c>
      <c r="F45" s="48">
        <f>IF($B$45="","",IF(($C$45)=0,"",(COUNTIFS(tblLines[Customer],$B$45,tblLines[OTIF],"Yes"))/($C$45)))</f>
        <v>0.588235294117647</v>
      </c>
      <c r="G45" s="37" t="str">
        <f>IF($B$45="","",IF(NOT(ISNUMBER($F$45)),"",IF($F$45&gt;=TargetOTIF,"On target",IF($F$45&gt;=TargetOTIF*0.95,"Near target","Below target"))))</f>
        <v>Below target</v>
      </c>
      <c r="H45" s="37"/>
      <c r="I45" s="48">
        <f>IF($B$45="","",IF((SUMIFS(tblLines[Qty ordered (units)],tblLines[Customer],$B$45,tblLines[OTIF],"&lt;&gt;"))=0,"",(SUMIFS(tblLines[Units filled],tblLines[Customer],$B$45))/(SUMIFS(tblLines[Qty ordered (units)],tblLines[Customer],$B$45,tblLines[OTIF],"&lt;&gt;"))))</f>
        <v>0.98740157480315</v>
      </c>
    </row>
    <row r="46" spans="2:9" x14ac:dyDescent="0.25">
      <c r="B46" s="50" t="str">
        <f>IFERROR(INDEX(tblCustomers[Customer],6)&amp;"","")</f>
        <v>Coastal Gensets (example)</v>
      </c>
      <c r="C46" s="38">
        <f>IF($B$46="","",COUNTIFS(tblLines[Customer],$B$46,tblLines[OTIF],"Yes")+COUNTIFS(tblLines[Customer],$B$46,tblLines[OTIF],"No"))</f>
        <v>11</v>
      </c>
      <c r="D46" s="48">
        <f>IF($B$46="","",IF(($C$46)=0,"",(COUNTIFS(tblLines[Customer],$B$46,tblLines[On time],"Yes"))/($C$46)))</f>
        <v>0.909090909090909</v>
      </c>
      <c r="E46" s="48">
        <f>IF($B$46="","",IF(($C$46)=0,"",(COUNTIFS(tblLines[Customer],$B$46,tblLines[In full],"Yes"))/($C$46)))</f>
        <v>0.909090909090909</v>
      </c>
      <c r="F46" s="48">
        <f>IF($B$46="","",IF(($C$46)=0,"",(COUNTIFS(tblLines[Customer],$B$46,tblLines[OTIF],"Yes"))/($C$46)))</f>
        <v>0.818181818181818</v>
      </c>
      <c r="G46" s="37" t="str">
        <f>IF($B$46="","",IF(NOT(ISNUMBER($F$46)),"",IF($F$46&gt;=TargetOTIF,"On target",IF($F$46&gt;=TargetOTIF*0.95,"Near target","Below target"))))</f>
        <v>Below target</v>
      </c>
      <c r="H46" s="37"/>
      <c r="I46" s="48">
        <f>IF($B$46="","",IF((SUMIFS(tblLines[Qty ordered (units)],tblLines[Customer],$B$46,tblLines[OTIF],"&lt;&gt;"))=0,"",(SUMIFS(tblLines[Units filled],tblLines[Customer],$B$46))/(SUMIFS(tblLines[Qty ordered (units)],tblLines[Customer],$B$46,tblLines[OTIF],"&lt;&gt;"))))</f>
        <v>0.991011235955056</v>
      </c>
    </row>
    <row r="48" spans="2:9" x14ac:dyDescent="0.25">
      <c r="B48" s="31" t="s">
        <v>285</v>
      </c>
      <c r="C48" s="31"/>
      <c r="D48" s="31"/>
      <c r="E48" s="31"/>
      <c r="F48" s="31"/>
      <c r="G48" s="31"/>
    </row>
    <row r="49" spans="2:43" ht="20" customHeight="1" x14ac:dyDescent="0.25">
      <c r="B49" s="32" t="s">
        <v>286</v>
      </c>
      <c r="C49" s="46" t="s">
        <v>62</v>
      </c>
      <c r="D49" s="46"/>
      <c r="E49" s="32" t="s">
        <v>281</v>
      </c>
      <c r="F49" s="32" t="s">
        <v>287</v>
      </c>
      <c r="G49" s="32" t="s">
        <v>288</v>
      </c>
      <c r="AO49" s="7" t="s">
        <v>289</v>
      </c>
      <c r="AP49" s="7" t="s">
        <v>290</v>
      </c>
      <c r="AQ49" s="7" t="s">
        <v>291</v>
      </c>
    </row>
    <row r="50" spans="2:43" x14ac:dyDescent="0.25">
      <c r="B50" s="51"/>
      <c r="C50" s="51"/>
      <c r="D50" s="51"/>
      <c r="E50" s="51" t="s">
        <v>292</v>
      </c>
      <c r="F50" s="51" t="s">
        <v>293</v>
      </c>
      <c r="G50" s="51" t="s">
        <v>293</v>
      </c>
    </row>
    <row r="51" spans="2:43" x14ac:dyDescent="0.25">
      <c r="B51" s="52">
        <v>1</v>
      </c>
      <c r="C51" s="53" t="str">
        <f>IF(INDEX($AP$51:$AP$57,MATCH(1,$AQ$51:$AQ$57,0))&lt;0,"",INDEX($AO$51:$AO$57,MATCH(1,$AQ$51:$AQ$57,0)))</f>
        <v>Material shortage</v>
      </c>
      <c r="D51" s="53"/>
      <c r="E51" s="38">
        <f>IF($C$51="","",INDEX($AP$51:$AP$57,MATCH(1,$AQ$51:$AQ$57,0)))</f>
        <v>13</v>
      </c>
      <c r="F51" s="48">
        <f>IF(OR($C$51="",$E$58=0),"",$E$51/$E$58)</f>
        <v>0.393939393939394</v>
      </c>
      <c r="G51" s="48">
        <f>IF(OR($C$51="",$E$58=0),"",SUM($E$51:$E$51)/$E$58)</f>
        <v>0.393939393939394</v>
      </c>
      <c r="AO51" s="11" t="str">
        <f>IFERROR(INDEX(tblReasons[Reason],1)&amp;"","")</f>
        <v>Material shortage</v>
      </c>
      <c r="AP51" s="54">
        <f>IF($AO$51="",-1,COUNTIFS(tblLines[Miss reason],$AO$51,tblLines[OTIF],"No"))</f>
        <v>13</v>
      </c>
      <c r="AQ51" s="54">
        <f>COUNTIF($AP$51:$AP$57,"&gt;"&amp;$AP$51)+COUNTIF($AP$51:$AP$51,$AP$51)</f>
        <v>1</v>
      </c>
    </row>
    <row r="52" spans="2:43" x14ac:dyDescent="0.25">
      <c r="B52" s="52">
        <v>2</v>
      </c>
      <c r="C52" s="53" t="str">
        <f>IF(INDEX($AP$51:$AP$57,MATCH(2,$AQ$51:$AQ$57,0))&lt;0,"",INDEX($AO$51:$AO$57,MATCH(2,$AQ$51:$AQ$57,0)))</f>
        <v>Short picked</v>
      </c>
      <c r="D52" s="53"/>
      <c r="E52" s="38">
        <f>IF($C$52="","",INDEX($AP$51:$AP$57,MATCH(2,$AQ$51:$AQ$57,0)))</f>
        <v>5</v>
      </c>
      <c r="F52" s="48">
        <f>IF(OR($C$52="",$E$58=0),"",$E$52/$E$58)</f>
        <v>0.151515151515152</v>
      </c>
      <c r="G52" s="48">
        <f>IF(OR($C$52="",$E$58=0),"",SUM($E$51:$E$52)/$E$58)</f>
        <v>0.545454545454545</v>
      </c>
      <c r="AO52" s="11" t="str">
        <f>IFERROR(INDEX(tblReasons[Reason],2)&amp;"","")</f>
        <v>Production delay</v>
      </c>
      <c r="AP52" s="54">
        <f>IF($AO$52="",-1,COUNTIFS(tblLines[Miss reason],$AO$52,tblLines[OTIF],"No"))</f>
        <v>1</v>
      </c>
      <c r="AQ52" s="54">
        <f>COUNTIF($AP$51:$AP$57,"&gt;"&amp;$AP$52)+COUNTIF($AP$51:$AP$52,$AP$52)</f>
        <v>6</v>
      </c>
    </row>
    <row r="53" spans="2:43" x14ac:dyDescent="0.25">
      <c r="B53" s="52">
        <v>3</v>
      </c>
      <c r="C53" s="53" t="str">
        <f>IF(INDEX($AP$51:$AP$57,MATCH(3,$AQ$51:$AQ$57,0))&lt;0,"",INDEX($AO$51:$AO$57,MATCH(3,$AQ$51:$AQ$57,0)))</f>
        <v>Shipped too early</v>
      </c>
      <c r="D53" s="53"/>
      <c r="E53" s="38">
        <f>IF($C$53="","",INDEX($AP$51:$AP$57,MATCH(3,$AQ$51:$AQ$57,0)))</f>
        <v>5</v>
      </c>
      <c r="F53" s="48">
        <f>IF(OR($C$53="",$E$58=0),"",$E$53/$E$58)</f>
        <v>0.151515151515152</v>
      </c>
      <c r="G53" s="48">
        <f>IF(OR($C$53="",$E$58=0),"",SUM($E$51:$E$53)/$E$58)</f>
        <v>0.696969696969697</v>
      </c>
      <c r="AO53" s="11" t="str">
        <f>IFERROR(INDEX(tblReasons[Reason],3)&amp;"","")</f>
        <v>Quality hold</v>
      </c>
      <c r="AP53" s="54">
        <f>IF($AO$53="",-1,COUNTIFS(tblLines[Miss reason],$AO$53,tblLines[OTIF],"No"))</f>
        <v>1</v>
      </c>
      <c r="AQ53" s="54">
        <f>COUNTIF($AP$51:$AP$57,"&gt;"&amp;$AP$53)+COUNTIF($AP$51:$AP$53,$AP$53)</f>
        <v>7</v>
      </c>
    </row>
    <row r="54" spans="2:43" x14ac:dyDescent="0.25">
      <c r="B54" s="52">
        <v>4</v>
      </c>
      <c r="C54" s="53" t="str">
        <f>IF(INDEX($AP$51:$AP$57,MATCH(4,$AQ$51:$AQ$57,0))&lt;0,"",INDEX($AO$51:$AO$57,MATCH(4,$AQ$51:$AQ$57,0)))</f>
        <v>Documentation error</v>
      </c>
      <c r="D54" s="53"/>
      <c r="E54" s="38">
        <f>IF($C$54="","",INDEX($AP$51:$AP$57,MATCH(4,$AQ$51:$AQ$57,0)))</f>
        <v>5</v>
      </c>
      <c r="F54" s="48">
        <f>IF(OR($C$54="",$E$58=0),"",$E$54/$E$58)</f>
        <v>0.151515151515152</v>
      </c>
      <c r="G54" s="48">
        <f>IF(OR($C$54="",$E$58=0),"",SUM($E$51:$E$54)/$E$58)</f>
        <v>0.848484848484849</v>
      </c>
      <c r="AO54" s="11" t="str">
        <f>IFERROR(INDEX(tblReasons[Reason],4)&amp;"","")</f>
        <v>Transport delay</v>
      </c>
      <c r="AP54" s="54">
        <f>IF($AO$54="",-1,COUNTIFS(tblLines[Miss reason],$AO$54,tblLines[OTIF],"No"))</f>
        <v>3</v>
      </c>
      <c r="AQ54" s="54">
        <f>COUNTIF($AP$51:$AP$57,"&gt;"&amp;$AP$54)+COUNTIF($AP$51:$AP$54,$AP$54)</f>
        <v>5</v>
      </c>
    </row>
    <row r="55" spans="2:43" x14ac:dyDescent="0.25">
      <c r="B55" s="52">
        <v>5</v>
      </c>
      <c r="C55" s="53" t="str">
        <f>IF(INDEX($AP$51:$AP$57,MATCH(5,$AQ$51:$AQ$57,0))&lt;0,"",INDEX($AO$51:$AO$57,MATCH(5,$AQ$51:$AQ$57,0)))</f>
        <v>Transport delay</v>
      </c>
      <c r="D55" s="53"/>
      <c r="E55" s="38">
        <f>IF($C$55="","",INDEX($AP$51:$AP$57,MATCH(5,$AQ$51:$AQ$57,0)))</f>
        <v>3</v>
      </c>
      <c r="F55" s="48">
        <f>IF(OR($C$55="",$E$58=0),"",$E$55/$E$58)</f>
        <v>0.0909090909090909</v>
      </c>
      <c r="G55" s="48">
        <f>IF(OR($C$55="",$E$58=0),"",SUM($E$51:$E$55)/$E$58)</f>
        <v>0.939393939393939</v>
      </c>
      <c r="AO55" s="11" t="str">
        <f>IFERROR(INDEX(tblReasons[Reason],5)&amp;"","")</f>
        <v>Short picked</v>
      </c>
      <c r="AP55" s="54">
        <f>IF($AO$55="",-1,COUNTIFS(tblLines[Miss reason],$AO$55,tblLines[OTIF],"No"))</f>
        <v>5</v>
      </c>
      <c r="AQ55" s="54">
        <f>COUNTIF($AP$51:$AP$57,"&gt;"&amp;$AP$55)+COUNTIF($AP$51:$AP$55,$AP$55)</f>
        <v>2</v>
      </c>
    </row>
    <row r="56" spans="2:43" x14ac:dyDescent="0.25">
      <c r="B56" s="52">
        <v>6</v>
      </c>
      <c r="C56" s="53" t="str">
        <f>IF(INDEX($AP$51:$AP$57,MATCH(6,$AQ$51:$AQ$57,0))&lt;0,"",INDEX($AO$51:$AO$57,MATCH(6,$AQ$51:$AQ$57,0)))</f>
        <v>Production delay</v>
      </c>
      <c r="D56" s="53"/>
      <c r="E56" s="38">
        <f>IF($C$56="","",INDEX($AP$51:$AP$57,MATCH(6,$AQ$51:$AQ$57,0)))</f>
        <v>1</v>
      </c>
      <c r="F56" s="48">
        <f>IF(OR($C$56="",$E$58=0),"",$E$56/$E$58)</f>
        <v>0.0303030303030303</v>
      </c>
      <c r="G56" s="48">
        <f>IF(OR($C$56="",$E$58=0),"",SUM($E$51:$E$56)/$E$58)</f>
        <v>0.96969696969697</v>
      </c>
      <c r="AO56" s="11" t="str">
        <f>IFERROR(INDEX(tblReasons[Reason],6)&amp;"","")</f>
        <v>Shipped too early</v>
      </c>
      <c r="AP56" s="54">
        <f>IF($AO$56="",-1,COUNTIFS(tblLines[Miss reason],$AO$56,tblLines[OTIF],"No"))</f>
        <v>5</v>
      </c>
      <c r="AQ56" s="54">
        <f>COUNTIF($AP$51:$AP$57,"&gt;"&amp;$AP$56)+COUNTIF($AP$51:$AP$56,$AP$56)</f>
        <v>3</v>
      </c>
    </row>
    <row r="57" spans="2:43" x14ac:dyDescent="0.25">
      <c r="B57" s="52">
        <v>7</v>
      </c>
      <c r="C57" s="53" t="str">
        <f>IF(INDEX($AP$51:$AP$57,MATCH(7,$AQ$51:$AQ$57,0))&lt;0,"",INDEX($AO$51:$AO$57,MATCH(7,$AQ$51:$AQ$57,0)))</f>
        <v>Quality hold</v>
      </c>
      <c r="D57" s="53"/>
      <c r="E57" s="38">
        <f>IF($C$57="","",INDEX($AP$51:$AP$57,MATCH(7,$AQ$51:$AQ$57,0)))</f>
        <v>1</v>
      </c>
      <c r="F57" s="48">
        <f>IF(OR($C$57="",$E$58=0),"",$E$57/$E$58)</f>
        <v>0.0303030303030303</v>
      </c>
      <c r="G57" s="48">
        <f>IF(OR($C$57="",$E$58=0),"",SUM($E$51:$E$57)/$E$58)</f>
        <v>1</v>
      </c>
      <c r="AO57" s="11" t="str">
        <f>IFERROR(INDEX(tblReasons[Reason],7)&amp;"","")</f>
        <v>Documentation error</v>
      </c>
      <c r="AP57" s="54">
        <f>IF($AO$57="",-1,COUNTIFS(tblLines[Miss reason],$AO$57,tblLines[OTIF],"No"))</f>
        <v>5</v>
      </c>
      <c r="AQ57" s="54">
        <f>COUNTIF($AP$51:$AP$57,"&gt;"&amp;$AP$57)+COUNTIF($AP$51:$AP$57,$AP$57)</f>
        <v>4</v>
      </c>
    </row>
    <row r="58" spans="2:43" x14ac:dyDescent="0.25">
      <c r="B58" s="55"/>
      <c r="C58" s="55" t="s">
        <v>294</v>
      </c>
      <c r="D58" s="55"/>
      <c r="E58" s="56">
        <f>SUMIF($AP$51:$AP$57,"&gt;0")</f>
        <v>33</v>
      </c>
      <c r="F58" s="55"/>
      <c r="G58" s="55"/>
    </row>
    <row r="59" spans="2:43" ht="8" customHeight="1" x14ac:dyDescent="0.25"/>
    <row r="60" spans="2:43" x14ac:dyDescent="0.25">
      <c r="B60" s="21" t="s">
        <v>295</v>
      </c>
      <c r="C60" s="21"/>
      <c r="D60" s="21"/>
      <c r="E60" s="21"/>
      <c r="F60" s="21"/>
      <c r="G60" s="21"/>
      <c r="H60" s="21"/>
      <c r="I60" s="21"/>
      <c r="J60" s="21"/>
      <c r="K60" s="21"/>
      <c r="L60" s="21"/>
    </row>
    <row r="61" spans="2:43" x14ac:dyDescent="0.25">
      <c r="B61" s="57">
        <f>IF(OR(COUNTA(tblCustomers[Customer])&gt;6,COUNTA(tblReasons[Reason])&gt;7),"Setup lists are longer than the Dashboard blocks: some customers or reasons are not shown.","")</f>
        <v/>
      </c>
      <c r="C61" s="57"/>
      <c r="D61" s="57"/>
      <c r="E61" s="57"/>
      <c r="F61" s="57"/>
      <c r="G61" s="57"/>
      <c r="H61" s="57"/>
      <c r="I61" s="57"/>
      <c r="J61" s="57"/>
      <c r="K61" s="57"/>
      <c r="L61" s="57"/>
    </row>
  </sheetData>
  <sheetProtection sheet="1" formatColumns="0" formatRows="0"/>
  <mergeCells count="42">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8:H28"/>
    <mergeCell ref="B39:I39"/>
    <mergeCell ref="G40:H40"/>
    <mergeCell ref="G41:H41"/>
    <mergeCell ref="G42:H42"/>
    <mergeCell ref="G43:H43"/>
    <mergeCell ref="G44:H44"/>
    <mergeCell ref="G45:H45"/>
    <mergeCell ref="G46:H46"/>
    <mergeCell ref="B48:G48"/>
    <mergeCell ref="C49:D49"/>
    <mergeCell ref="C50:D50"/>
    <mergeCell ref="C51:D51"/>
    <mergeCell ref="C52:D52"/>
    <mergeCell ref="C53:D53"/>
    <mergeCell ref="C54:D54"/>
    <mergeCell ref="C55:D55"/>
    <mergeCell ref="C56:D56"/>
    <mergeCell ref="C57:D57"/>
    <mergeCell ref="C58:D58"/>
    <mergeCell ref="B60:L60"/>
    <mergeCell ref="B61:L61"/>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30:D37">
    <cfRule type="expression" dxfId="3" priority="61" stopIfTrue="1">
      <formula>AND(ISNUMBER(D30),D30&gt;=(TargetOT))</formula>
    </cfRule>
    <cfRule type="expression" dxfId="4" priority="62" stopIfTrue="1">
      <formula>AND(ISNUMBER(D30),D30&gt;=(TargetOT)*(1-0.05))</formula>
    </cfRule>
    <cfRule type="expression" dxfId="5" priority="63">
      <formula>ISNUMBER(D30)</formula>
    </cfRule>
  </conditionalFormatting>
  <conditionalFormatting sqref="D41:D46">
    <cfRule type="expression" dxfId="3" priority="70" stopIfTrue="1">
      <formula>AND(ISNUMBER(D41),D41&gt;=(TargetOT))</formula>
    </cfRule>
    <cfRule type="expression" dxfId="4" priority="71" stopIfTrue="1">
      <formula>AND(ISNUMBER(D41),D41&gt;=(TargetOT)*(1-0.05))</formula>
    </cfRule>
    <cfRule type="expression" dxfId="5" priority="72">
      <formula>ISNUMBER(D41)</formula>
    </cfRule>
  </conditionalFormatting>
  <conditionalFormatting sqref="E30:E37">
    <cfRule type="expression" dxfId="3" priority="64" stopIfTrue="1">
      <formula>AND(ISNUMBER(E30),E30&gt;=(TargetIF))</formula>
    </cfRule>
    <cfRule type="expression" dxfId="4" priority="65" stopIfTrue="1">
      <formula>AND(ISNUMBER(E30),E30&gt;=(TargetIF)*(1-0.05))</formula>
    </cfRule>
    <cfRule type="expression" dxfId="5" priority="66">
      <formula>ISNUMBER(E30)</formula>
    </cfRule>
  </conditionalFormatting>
  <conditionalFormatting sqref="E41:E46">
    <cfRule type="expression" dxfId="3" priority="73" stopIfTrue="1">
      <formula>AND(ISNUMBER(E41),E41&gt;=(TargetIF))</formula>
    </cfRule>
    <cfRule type="expression" dxfId="4" priority="74" stopIfTrue="1">
      <formula>AND(ISNUMBER(E41),E41&gt;=(TargetIF)*(1-0.05))</formula>
    </cfRule>
    <cfRule type="expression" dxfId="5" priority="75">
      <formula>ISNUMBER(E41)</formula>
    </cfRule>
  </conditionalFormatting>
  <conditionalFormatting sqref="E51:E57">
    <cfRule type="dataBar" priority="99">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F30:F37">
    <cfRule type="expression" dxfId="3" priority="67" stopIfTrue="1">
      <formula>AND(ISNUMBER(F30),F30&gt;=(TargetOTIF))</formula>
    </cfRule>
    <cfRule type="expression" dxfId="4" priority="68" stopIfTrue="1">
      <formula>AND(ISNUMBER(F30),F30&gt;=(TargetOTIF)*(1-0.05))</formula>
    </cfRule>
    <cfRule type="expression" dxfId="5" priority="69">
      <formula>ISNUMBER(F30)</formula>
    </cfRule>
  </conditionalFormatting>
  <conditionalFormatting sqref="F41:F46">
    <cfRule type="expression" dxfId="3" priority="76" stopIfTrue="1">
      <formula>AND(ISNUMBER(F41),F41&gt;=(TargetOTIF))</formula>
    </cfRule>
    <cfRule type="expression" dxfId="4" priority="77" stopIfTrue="1">
      <formula>AND(ISNUMBER(F41),F41&gt;=(TargetOTIF)*(1-0.05))</formula>
    </cfRule>
    <cfRule type="expression" dxfId="5" priority="78">
      <formula>ISNUMBER(F41)</formula>
    </cfRule>
  </conditionalFormatting>
  <conditionalFormatting sqref="G10">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G41:G46">
    <cfRule type="cellIs" dxfId="0" priority="79" operator="equal">
      <formula>"On target"</formula>
    </cfRule>
    <cfRule type="cellIs" dxfId="0" priority="80" operator="equal">
      <formula>"PASS"</formula>
    </cfRule>
    <cfRule type="cellIs" dxfId="0" priority="81" operator="equal">
      <formula>"OK"</formula>
    </cfRule>
    <cfRule type="cellIs" dxfId="0" priority="82" operator="equal">
      <formula>"Within limits"</formula>
    </cfRule>
    <cfRule type="cellIs" dxfId="0" priority="83" operator="equal">
      <formula>"Under capacity"</formula>
    </cfRule>
    <cfRule type="cellIs" dxfId="0" priority="84" operator="equal">
      <formula>"Complete"</formula>
    </cfRule>
    <cfRule type="cellIs" dxfId="0" priority="85" operator="equal">
      <formula>"Yes"</formula>
    </cfRule>
    <cfRule type="cellIs" dxfId="1" priority="86" operator="equal">
      <formula>"Near target"</formula>
    </cfRule>
    <cfRule type="cellIs" dxfId="1" priority="87" operator="equal">
      <formula>"Check"</formula>
    </cfRule>
    <cfRule type="cellIs" dxfId="1" priority="88" operator="equal">
      <formula>"Due soon"</formula>
    </cfRule>
    <cfRule type="cellIs" dxfId="1" priority="89" operator="equal">
      <formula>"Near capacity"</formula>
    </cfRule>
    <cfRule type="cellIs" dxfId="1" priority="90" operator="equal">
      <formula>"In progress"</formula>
    </cfRule>
    <cfRule type="cellIs" dxfId="1" priority="91" operator="equal">
      <formula>"Partial"</formula>
    </cfRule>
    <cfRule type="cellIs" dxfId="2" priority="92" operator="equal">
      <formula>"Below target"</formula>
    </cfRule>
    <cfRule type="cellIs" dxfId="2" priority="93" operator="equal">
      <formula>"Above target"</formula>
    </cfRule>
    <cfRule type="cellIs" dxfId="2" priority="94" operator="equal">
      <formula>"FAIL"</formula>
    </cfRule>
    <cfRule type="cellIs" dxfId="2" priority="95" operator="equal">
      <formula>"Over capacity"</formula>
    </cfRule>
    <cfRule type="cellIs" dxfId="2" priority="96" operator="equal">
      <formula>"Overdue"</formula>
    </cfRule>
    <cfRule type="cellIs" dxfId="2" priority="97" operator="equal">
      <formula>"Out of limits"</formula>
    </cfRule>
    <cfRule type="cellIs" dxfId="2" priority="98"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OTIF Delivery Tracker&amp;R&amp;8&amp;A</oddHeader>
    <oddFooter>&amp;L&amp;8mfgcalcs.com - free manufacturing templates&amp;R&amp;8Page &amp;P of &amp;N</oddFooter>
  </headerFooter>
  <rowBreaks count="2" manualBreakCount="2">
    <brk id="27" max="16383" man="1"/>
    <brk id="47"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E51:E57</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296</v>
      </c>
      <c r="C4" s="8"/>
      <c r="D4" s="8"/>
    </row>
    <row r="5" spans="1:4" ht="5" customHeight="1"/>
    <row r="6" spans="1:4" ht="55.8" customHeight="1">
      <c r="B6" s="10" t="s">
        <v>297</v>
      </c>
      <c r="C6" s="10"/>
      <c r="D6" s="10"/>
    </row>
    <row r="8" spans="1:4" ht="21" customHeight="1">
      <c r="B8" s="8" t="s">
        <v>298</v>
      </c>
      <c r="C8" s="8"/>
      <c r="D8" s="8"/>
    </row>
    <row r="9" spans="1:4" ht="5" customHeight="1"/>
    <row r="10" spans="1:4" ht="20" customHeight="1">
      <c r="B10" s="46" t="s">
        <v>299</v>
      </c>
      <c r="C10" s="46" t="s">
        <v>300</v>
      </c>
      <c r="D10" s="32" t="s">
        <v>301</v>
      </c>
    </row>
    <row r="11" spans="1:4" ht="17.2" customHeight="1">
      <c r="B11" s="58" t="s">
        <v>110</v>
      </c>
      <c r="C11" s="59" t="s">
        <v>302</v>
      </c>
      <c r="D11" s="60" t="s">
        <v>71</v>
      </c>
    </row>
    <row r="12" spans="1:4" ht="17.2" customHeight="1">
      <c r="B12" s="58" t="s">
        <v>111</v>
      </c>
      <c r="C12" s="59" t="s">
        <v>303</v>
      </c>
      <c r="D12" s="60" t="s">
        <v>304</v>
      </c>
    </row>
    <row r="13" spans="1:4" ht="30.4" customHeight="1">
      <c r="B13" s="58" t="s">
        <v>112</v>
      </c>
      <c r="C13" s="59" t="s">
        <v>305</v>
      </c>
      <c r="D13" s="60" t="s">
        <v>304</v>
      </c>
    </row>
    <row r="14" spans="1:4" ht="17.2" customHeight="1">
      <c r="B14" s="58" t="s">
        <v>113</v>
      </c>
      <c r="C14" s="59" t="s">
        <v>306</v>
      </c>
      <c r="D14" s="60" t="s">
        <v>304</v>
      </c>
    </row>
    <row r="15" spans="1:4" ht="17.2" customHeight="1">
      <c r="B15" s="58" t="s">
        <v>114</v>
      </c>
      <c r="C15" s="59" t="s">
        <v>307</v>
      </c>
      <c r="D15" s="60" t="s">
        <v>308</v>
      </c>
    </row>
    <row r="16" spans="1:4" ht="30.4" customHeight="1">
      <c r="B16" s="58" t="s">
        <v>309</v>
      </c>
      <c r="C16" s="59" t="s">
        <v>310</v>
      </c>
      <c r="D16" s="60" t="s">
        <v>293</v>
      </c>
    </row>
    <row r="17" spans="2:4" ht="17.2" customHeight="1">
      <c r="B17" s="58" t="s">
        <v>284</v>
      </c>
      <c r="C17" s="59" t="s">
        <v>311</v>
      </c>
      <c r="D17" s="60" t="s">
        <v>293</v>
      </c>
    </row>
    <row r="18" spans="2:4" ht="30.4" customHeight="1">
      <c r="B18" s="58" t="s">
        <v>312</v>
      </c>
      <c r="C18" s="59" t="s">
        <v>313</v>
      </c>
      <c r="D18" s="60" t="s">
        <v>292</v>
      </c>
    </row>
    <row r="19" spans="2:4" ht="30.4" customHeight="1">
      <c r="B19" s="58" t="s">
        <v>314</v>
      </c>
      <c r="C19" s="59" t="s">
        <v>315</v>
      </c>
      <c r="D19" s="60" t="s">
        <v>316</v>
      </c>
    </row>
    <row r="21" spans="2:4" ht="21" customHeight="1">
      <c r="B21" s="8" t="s">
        <v>317</v>
      </c>
      <c r="C21" s="8"/>
      <c r="D21" s="8"/>
    </row>
    <row r="22" spans="2:4" ht="5" customHeight="1"/>
    <row r="23" spans="2:4" ht="29.4" customHeight="1">
      <c r="B23" s="26" t="s">
        <v>53</v>
      </c>
      <c r="C23" s="10" t="s">
        <v>318</v>
      </c>
      <c r="D23" s="10"/>
    </row>
    <row r="24" spans="2:4" ht="29.4" customHeight="1">
      <c r="B24" s="26" t="s">
        <v>53</v>
      </c>
      <c r="C24" s="10" t="s">
        <v>319</v>
      </c>
      <c r="D24" s="10"/>
    </row>
    <row r="25" spans="2:4" ht="16.2" customHeight="1">
      <c r="B25" s="26" t="s">
        <v>53</v>
      </c>
      <c r="C25" s="10" t="s">
        <v>320</v>
      </c>
      <c r="D25" s="10"/>
    </row>
    <row r="26" spans="2:4" ht="29.4" customHeight="1">
      <c r="B26" s="26" t="s">
        <v>53</v>
      </c>
      <c r="C26" s="10" t="s">
        <v>321</v>
      </c>
      <c r="D26" s="10"/>
    </row>
    <row r="28" spans="2:4" ht="21" customHeight="1">
      <c r="B28" s="8" t="s">
        <v>322</v>
      </c>
      <c r="C28" s="8"/>
      <c r="D28" s="8"/>
    </row>
    <row r="29" spans="2:4" ht="5" customHeight="1"/>
    <row r="30" spans="2:4" ht="29.4" customHeight="1">
      <c r="B30" s="26" t="s">
        <v>53</v>
      </c>
      <c r="C30" s="10" t="s">
        <v>323</v>
      </c>
      <c r="D30" s="10"/>
    </row>
    <row r="31" spans="2:4" ht="16.2" customHeight="1">
      <c r="B31" s="26" t="s">
        <v>53</v>
      </c>
      <c r="C31" s="10" t="s">
        <v>324</v>
      </c>
      <c r="D31" s="10"/>
    </row>
    <row r="32" spans="2:4" ht="29.4" customHeight="1">
      <c r="B32" s="26" t="s">
        <v>53</v>
      </c>
      <c r="C32" s="10" t="s">
        <v>325</v>
      </c>
      <c r="D32" s="10"/>
    </row>
    <row r="34" spans="2:4" ht="21" customHeight="1">
      <c r="B34" s="8" t="s">
        <v>326</v>
      </c>
      <c r="C34" s="8"/>
      <c r="D34" s="8"/>
    </row>
    <row r="35" spans="2:4" ht="5" customHeight="1"/>
    <row r="36" spans="2:4" ht="55.8" customHeight="1">
      <c r="B36" s="10" t="s">
        <v>327</v>
      </c>
      <c r="C36" s="10"/>
      <c r="D36" s="10"/>
    </row>
    <row r="37" spans="2:4">
      <c r="B37" s="24" t="s">
        <v>328</v>
      </c>
      <c r="C37" s="24"/>
      <c r="D37" s="24"/>
    </row>
    <row r="39" spans="2:4" ht="21" customHeight="1">
      <c r="B39" s="8" t="s">
        <v>40</v>
      </c>
      <c r="C39" s="8"/>
      <c r="D39" s="8"/>
    </row>
    <row r="40" spans="2:4" ht="5" customHeight="1"/>
    <row r="41" spans="2:4" ht="42.6" customHeight="1">
      <c r="B41" s="10" t="s">
        <v>329</v>
      </c>
      <c r="C41" s="10"/>
      <c r="D41" s="10"/>
    </row>
    <row r="43" spans="2:4" ht="21" customHeight="1">
      <c r="B43" s="8" t="s">
        <v>330</v>
      </c>
      <c r="C43" s="8"/>
      <c r="D43" s="8"/>
    </row>
    <row r="44" spans="2:4" ht="5" customHeight="1"/>
    <row r="45" spans="2:4" ht="16.2" customHeight="1">
      <c r="B45" s="26" t="s">
        <v>53</v>
      </c>
      <c r="C45" s="10" t="s">
        <v>331</v>
      </c>
      <c r="D45" s="10"/>
    </row>
    <row r="46" spans="2:4" ht="29.4" customHeight="1">
      <c r="B46" s="26" t="s">
        <v>53</v>
      </c>
      <c r="C46" s="10" t="s">
        <v>332</v>
      </c>
      <c r="D46" s="10"/>
    </row>
    <row r="47" spans="2:4" ht="29.4" customHeight="1">
      <c r="B47" s="26" t="s">
        <v>53</v>
      </c>
      <c r="C47" s="10" t="s">
        <v>333</v>
      </c>
      <c r="D47" s="10"/>
    </row>
    <row r="48" spans="2:4">
      <c r="B48" s="21" t="s">
        <v>334</v>
      </c>
      <c r="C48" s="21"/>
      <c r="D48" s="21"/>
    </row>
    <row r="50" spans="2:4" ht="21" customHeight="1">
      <c r="B50" s="8" t="s">
        <v>335</v>
      </c>
      <c r="C50" s="8"/>
      <c r="D50" s="8"/>
    </row>
    <row r="51" spans="2:4" ht="5" customHeight="1"/>
    <row r="52" spans="2:4">
      <c r="B52" s="46" t="s">
        <v>48</v>
      </c>
      <c r="C52" s="46" t="s">
        <v>336</v>
      </c>
      <c r="D52" s="32" t="s">
        <v>337</v>
      </c>
    </row>
    <row r="53" spans="2:4" ht="16.2" customHeight="1">
      <c r="B53" s="61" t="s">
        <v>338</v>
      </c>
      <c r="C53" s="62" t="s">
        <v>339</v>
      </c>
      <c r="D53" s="63" t="s">
        <v>340</v>
      </c>
    </row>
    <row r="55" spans="2:4">
      <c r="B55" s="21" t="s">
        <v>59</v>
      </c>
      <c r="C55" s="21"/>
      <c r="D55" s="21"/>
    </row>
  </sheetData>
  <sheetProtection sheet="1" formatColumns="0" formatRows="0"/>
  <mergeCells count="26">
    <mergeCell ref="A1:D1"/>
    <mergeCell ref="B2:C2"/>
    <mergeCell ref="B4:D4"/>
    <mergeCell ref="B6:D6"/>
    <mergeCell ref="B8:D8"/>
    <mergeCell ref="B21:D21"/>
    <mergeCell ref="C23:D23"/>
    <mergeCell ref="C24:D24"/>
    <mergeCell ref="C25:D25"/>
    <mergeCell ref="C26:D26"/>
    <mergeCell ref="B28:D28"/>
    <mergeCell ref="C30:D30"/>
    <mergeCell ref="C31:D31"/>
    <mergeCell ref="C32:D32"/>
    <mergeCell ref="B34:D34"/>
    <mergeCell ref="B36:D36"/>
    <mergeCell ref="B37:D37"/>
    <mergeCell ref="B39:D39"/>
    <mergeCell ref="B41:D41"/>
    <mergeCell ref="B43:D43"/>
    <mergeCell ref="C45:D45"/>
    <mergeCell ref="C46:D46"/>
    <mergeCell ref="C47:D47"/>
    <mergeCell ref="B48:D48"/>
    <mergeCell ref="B50:D50"/>
    <mergeCell ref="B55:D55"/>
  </mergeCells>
  <hyperlinks>
    <hyperlink ref="D2" r:id="rId1" tooltip="Free manufacturing calculators and templates"/>
    <hyperlink ref="B37" r:id="rId2"/>
  </hyperlinks>
  <printOptions horizontalCentered="1"/>
  <pageMargins left="0.4" right="0.4" top="0.7" bottom="0.65" header="0.3" footer="0.3"/>
  <pageSetup fitToHeight="0" orientation="portrait"/>
  <headerFooter>
    <oddHeader>&amp;L&amp;8MFG Calcs - OTIF Delivery Tracker&amp;R&amp;8&amp;A</oddHeader>
    <oddFooter>&amp;L&amp;8mfgcalcs.com - free manufacturing templates&amp;R&amp;8Page &amp;P of &amp;N</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P78"/>
  <sheetViews>
    <sheetView showGridLines="0" workbookViewId="0"/>
  </sheetViews>
  <sheetFormatPr defaultRowHeight="15"/>
  <cols>
    <col min="1" max="1" width="2.7109375" customWidth="1"/>
    <col min="2" max="19" width="12.7109375" customWidth="1"/>
  </cols>
  <sheetData>
    <row r="1" spans="1:16" ht="30" customHeight="1">
      <c r="A1" s="1" t="s">
        <v>0</v>
      </c>
      <c r="B1" s="1"/>
      <c r="C1" s="1"/>
      <c r="D1" s="1"/>
      <c r="E1" s="1"/>
      <c r="F1" s="1"/>
      <c r="G1" s="1"/>
      <c r="H1" s="1"/>
      <c r="I1" s="1"/>
      <c r="J1" s="1"/>
      <c r="K1" s="1"/>
      <c r="L1" s="1"/>
      <c r="M1" s="1"/>
      <c r="N1" s="1"/>
      <c r="O1" s="1"/>
      <c r="P1" s="1"/>
    </row>
    <row r="2" spans="1:16" ht="21" customHeight="1">
      <c r="B2" s="2" t="s">
        <v>26</v>
      </c>
      <c r="C2" s="2"/>
      <c r="D2" s="2"/>
      <c r="E2" s="2"/>
      <c r="F2" s="2"/>
      <c r="G2" s="2"/>
      <c r="H2" s="2"/>
      <c r="I2" s="2"/>
      <c r="J2" s="2"/>
      <c r="K2" s="2"/>
      <c r="L2" s="2"/>
      <c r="M2" s="2"/>
      <c r="N2" s="2"/>
      <c r="O2" s="2"/>
      <c r="P2" s="3" t="s">
        <v>2</v>
      </c>
    </row>
    <row r="3" spans="1:16" ht="6" customHeight="1"/>
    <row r="4" spans="1:16" ht="30" customHeight="1">
      <c r="B4" s="64" t="s">
        <v>341</v>
      </c>
      <c r="C4" s="64"/>
      <c r="D4" s="22" t="str">
        <f>IF(COUNTIF($K$11:$K$27,"PASS")=17,"PASS","FAIL")</f>
        <v>PASS</v>
      </c>
      <c r="E4" s="22"/>
      <c r="F4" s="23" t="str">
        <f>COUNTIF($K$11:$K$27,"PASS")&amp;" of 17 checks pass"</f>
        <v>17 of 17 checks pass</v>
      </c>
      <c r="G4" s="23"/>
      <c r="H4" s="23"/>
      <c r="I4" s="23"/>
      <c r="J4" s="23"/>
    </row>
    <row r="6" spans="1:16" ht="29.4" customHeight="1">
      <c r="B6" s="10" t="s">
        <v>342</v>
      </c>
      <c r="C6" s="10"/>
      <c r="D6" s="10"/>
      <c r="E6" s="10"/>
      <c r="F6" s="10"/>
      <c r="G6" s="10"/>
      <c r="H6" s="10"/>
      <c r="I6" s="10"/>
      <c r="J6" s="10"/>
      <c r="K6" s="10"/>
      <c r="L6" s="10"/>
    </row>
    <row r="8" spans="1:16" ht="21" customHeight="1">
      <c r="B8" s="8" t="s">
        <v>343</v>
      </c>
      <c r="C8" s="8"/>
      <c r="D8" s="8"/>
      <c r="E8" s="8"/>
      <c r="F8" s="8"/>
      <c r="G8" s="8"/>
      <c r="H8" s="8"/>
      <c r="I8" s="8"/>
      <c r="J8" s="8"/>
      <c r="K8" s="8"/>
      <c r="L8" s="8"/>
    </row>
    <row r="9" spans="1:16" ht="5" customHeight="1"/>
    <row r="10" spans="1:16" ht="30" customHeight="1">
      <c r="B10" s="32" t="s">
        <v>344</v>
      </c>
      <c r="C10" s="46" t="s">
        <v>116</v>
      </c>
      <c r="D10" s="46"/>
      <c r="E10" s="46"/>
      <c r="F10" s="46"/>
      <c r="G10" s="32" t="s">
        <v>345</v>
      </c>
      <c r="H10" s="32" t="s">
        <v>346</v>
      </c>
      <c r="I10" s="32" t="s">
        <v>347</v>
      </c>
      <c r="J10" s="32" t="s">
        <v>348</v>
      </c>
      <c r="K10" s="32" t="s">
        <v>349</v>
      </c>
    </row>
    <row r="11" spans="1:16" ht="16.2" customHeight="1">
      <c r="B11" s="52">
        <v>1</v>
      </c>
      <c r="C11" s="62" t="s">
        <v>350</v>
      </c>
      <c r="D11" s="62"/>
      <c r="E11" s="62"/>
      <c r="F11" s="62"/>
      <c r="G11" s="61" t="s">
        <v>351</v>
      </c>
      <c r="H11" s="53" t="str">
        <f>$L$53</f>
        <v>Yes</v>
      </c>
      <c r="I11" s="53"/>
      <c r="J11" s="63" t="s">
        <v>352</v>
      </c>
      <c r="K11" s="37" t="str">
        <f>IF($H$11&amp;""=$G$11&amp;"","PASS","FAIL")</f>
        <v>PASS</v>
      </c>
    </row>
    <row r="12" spans="1:16" ht="16.2" customHeight="1">
      <c r="B12" s="52">
        <v>2</v>
      </c>
      <c r="C12" s="62" t="s">
        <v>353</v>
      </c>
      <c r="D12" s="62"/>
      <c r="E12" s="62"/>
      <c r="F12" s="62"/>
      <c r="G12" s="61" t="s">
        <v>351</v>
      </c>
      <c r="H12" s="53" t="str">
        <f>$J$54</f>
        <v>Yes</v>
      </c>
      <c r="I12" s="53"/>
      <c r="J12" s="63" t="s">
        <v>352</v>
      </c>
      <c r="K12" s="37" t="str">
        <f>IF($H$12&amp;""=$G$12&amp;"","PASS","FAIL")</f>
        <v>PASS</v>
      </c>
    </row>
    <row r="13" spans="1:16" ht="16.2" customHeight="1">
      <c r="B13" s="52">
        <v>3</v>
      </c>
      <c r="C13" s="62" t="s">
        <v>354</v>
      </c>
      <c r="D13" s="62"/>
      <c r="E13" s="62"/>
      <c r="F13" s="62"/>
      <c r="G13" s="61" t="s">
        <v>355</v>
      </c>
      <c r="H13" s="53" t="str">
        <f>$J$55</f>
        <v>No</v>
      </c>
      <c r="I13" s="53"/>
      <c r="J13" s="63" t="s">
        <v>352</v>
      </c>
      <c r="K13" s="37" t="str">
        <f>IF($H$13&amp;""=$G$13&amp;"","PASS","FAIL")</f>
        <v>PASS</v>
      </c>
    </row>
    <row r="14" spans="1:16" ht="16.2" customHeight="1">
      <c r="B14" s="52">
        <v>4</v>
      </c>
      <c r="C14" s="62" t="s">
        <v>356</v>
      </c>
      <c r="D14" s="62"/>
      <c r="E14" s="62"/>
      <c r="F14" s="62"/>
      <c r="G14" s="65">
        <v>-3</v>
      </c>
      <c r="H14" s="38">
        <f>$I$55</f>
        <v>-3</v>
      </c>
      <c r="I14" s="66">
        <f>IF(AND(ISNUMBER($G$14),ISNUMBER($H$14)),ABS($H$14-$G$14),"")</f>
        <v>0</v>
      </c>
      <c r="J14" s="67">
        <v>1E-09</v>
      </c>
      <c r="K14" s="37" t="str">
        <f>IF(AND(ISNUMBER($G$14),ISNUMBER($H$14)),IF(ABS($H$14-$G$14)&lt;=$J$14,"PASS","FAIL"),"FAIL")</f>
        <v>PASS</v>
      </c>
    </row>
    <row r="15" spans="1:16" ht="16.2" customHeight="1">
      <c r="B15" s="52">
        <v>5</v>
      </c>
      <c r="C15" s="62" t="s">
        <v>357</v>
      </c>
      <c r="D15" s="62"/>
      <c r="E15" s="62"/>
      <c r="F15" s="62"/>
      <c r="G15" s="61" t="s">
        <v>355</v>
      </c>
      <c r="H15" s="53" t="str">
        <f>$J$56</f>
        <v>No</v>
      </c>
      <c r="I15" s="53"/>
      <c r="J15" s="63" t="s">
        <v>352</v>
      </c>
      <c r="K15" s="37" t="str">
        <f>IF($H$15&amp;""=$G$15&amp;"","PASS","FAIL")</f>
        <v>PASS</v>
      </c>
    </row>
    <row r="16" spans="1:16" ht="16.2" customHeight="1">
      <c r="B16" s="52">
        <v>6</v>
      </c>
      <c r="C16" s="62" t="s">
        <v>358</v>
      </c>
      <c r="D16" s="62"/>
      <c r="E16" s="62"/>
      <c r="F16" s="62"/>
      <c r="G16" s="61" t="s">
        <v>351</v>
      </c>
      <c r="H16" s="53" t="str">
        <f>$K$56</f>
        <v>Yes</v>
      </c>
      <c r="I16" s="53"/>
      <c r="J16" s="63" t="s">
        <v>352</v>
      </c>
      <c r="K16" s="37" t="str">
        <f>IF($H$16&amp;""=$G$16&amp;"","PASS","FAIL")</f>
        <v>PASS</v>
      </c>
    </row>
    <row r="17" spans="2:12" ht="16.2" customHeight="1">
      <c r="B17" s="52">
        <v>7</v>
      </c>
      <c r="C17" s="62" t="s">
        <v>359</v>
      </c>
      <c r="D17" s="62"/>
      <c r="E17" s="62"/>
      <c r="F17" s="62"/>
      <c r="G17" s="65">
        <v>100</v>
      </c>
      <c r="H17" s="38">
        <f>$M$56</f>
        <v>100</v>
      </c>
      <c r="I17" s="66">
        <f>IF(AND(ISNUMBER($G$17),ISNUMBER($H$17)),ABS($H$17-$G$17),"")</f>
        <v>0</v>
      </c>
      <c r="J17" s="67">
        <v>1E-09</v>
      </c>
      <c r="K17" s="37" t="str">
        <f>IF(AND(ISNUMBER($G$17),ISNUMBER($H$17)),IF(ABS($H$17-$G$17)&lt;=$J$17,"PASS","FAIL"),"FAIL")</f>
        <v>PASS</v>
      </c>
    </row>
    <row r="18" spans="2:12" ht="16.2" customHeight="1">
      <c r="B18" s="52">
        <v>8</v>
      </c>
      <c r="C18" s="62" t="s">
        <v>360</v>
      </c>
      <c r="D18" s="62"/>
      <c r="E18" s="62"/>
      <c r="F18" s="62"/>
      <c r="G18" s="61" t="s">
        <v>355</v>
      </c>
      <c r="H18" s="53" t="str">
        <f>$K$57</f>
        <v>No</v>
      </c>
      <c r="I18" s="53"/>
      <c r="J18" s="63" t="s">
        <v>352</v>
      </c>
      <c r="K18" s="37" t="str">
        <f>IF($H$18&amp;""=$G$18&amp;"","PASS","FAIL")</f>
        <v>PASS</v>
      </c>
    </row>
    <row r="19" spans="2:12" ht="16.2" customHeight="1">
      <c r="B19" s="52">
        <v>9</v>
      </c>
      <c r="C19" s="62" t="s">
        <v>361</v>
      </c>
      <c r="D19" s="62"/>
      <c r="E19" s="62"/>
      <c r="F19" s="62"/>
      <c r="G19" s="61" t="s">
        <v>355</v>
      </c>
      <c r="H19" s="53" t="str">
        <f>$L$57</f>
        <v>No</v>
      </c>
      <c r="I19" s="53"/>
      <c r="J19" s="63" t="s">
        <v>352</v>
      </c>
      <c r="K19" s="37" t="str">
        <f>IF($H$19&amp;""=$G$19&amp;"","PASS","FAIL")</f>
        <v>PASS</v>
      </c>
    </row>
    <row r="20" spans="2:12" ht="16.2" customHeight="1">
      <c r="B20" s="52">
        <v>10</v>
      </c>
      <c r="C20" s="62" t="s">
        <v>362</v>
      </c>
      <c r="D20" s="62"/>
      <c r="E20" s="62"/>
      <c r="F20" s="62"/>
      <c r="G20" s="61" t="s">
        <v>363</v>
      </c>
      <c r="H20" s="53" t="str">
        <f>$O$58</f>
        <v>Reason missing for a miss</v>
      </c>
      <c r="I20" s="53"/>
      <c r="J20" s="63" t="s">
        <v>352</v>
      </c>
      <c r="K20" s="37" t="str">
        <f>IF($H$20&amp;""=$G$20&amp;"","PASS","FAIL")</f>
        <v>PASS</v>
      </c>
    </row>
    <row r="21" spans="2:12" ht="16.2" customHeight="1">
      <c r="B21" s="52">
        <v>11</v>
      </c>
      <c r="C21" s="62" t="s">
        <v>364</v>
      </c>
      <c r="D21" s="62"/>
      <c r="E21" s="62"/>
      <c r="F21" s="62"/>
      <c r="G21" s="68">
        <v>0.3333333333333333</v>
      </c>
      <c r="H21" s="69">
        <f>IF((COUNTIFS(tblVerifyLines[OTIF],"Yes")+COUNTIFS(tblVerifyLines[OTIF],"No"))=0,"",(COUNTIFS(tblVerifyLines[OTIF],"Yes"))/(COUNTIFS(tblVerifyLines[OTIF],"Yes")+COUNTIFS(tblVerifyLines[OTIF],"No")))</f>
        <v>0.333333333333333</v>
      </c>
      <c r="I21" s="66">
        <f>IF(AND(ISNUMBER($G$21),ISNUMBER($H$21)),ABS($H$21-$G$21),"")</f>
        <v>0</v>
      </c>
      <c r="J21" s="67">
        <v>1E-09</v>
      </c>
      <c r="K21" s="37" t="str">
        <f>IF(AND(ISNUMBER($G$21),ISNUMBER($H$21)),IF(ABS($H$21-$G$21)&lt;=$J$21,"PASS","FAIL"),"FAIL")</f>
        <v>PASS</v>
      </c>
    </row>
    <row r="22" spans="2:12" ht="16.2" customHeight="1">
      <c r="B22" s="52">
        <v>12</v>
      </c>
      <c r="C22" s="62" t="s">
        <v>365</v>
      </c>
      <c r="D22" s="62"/>
      <c r="E22" s="62"/>
      <c r="F22" s="62"/>
      <c r="G22" s="68">
        <v>0.5</v>
      </c>
      <c r="H22" s="69">
        <f>IF((COUNTIFS(tblVerifyLines[OTIF],"Yes")+COUNTIFS(tblVerifyLines[OTIF],"No"))=0,"",(COUNTIFS(tblVerifyLines[On time],"Yes"))/(COUNTIFS(tblVerifyLines[OTIF],"Yes")+COUNTIFS(tblVerifyLines[OTIF],"No")))</f>
        <v>0.5</v>
      </c>
      <c r="I22" s="66">
        <f>IF(AND(ISNUMBER($G$22),ISNUMBER($H$22)),ABS($H$22-$G$22),"")</f>
        <v>0</v>
      </c>
      <c r="J22" s="67">
        <v>1E-09</v>
      </c>
      <c r="K22" s="37" t="str">
        <f>IF(AND(ISNUMBER($G$22),ISNUMBER($H$22)),IF(ABS($H$22-$G$22)&lt;=$J$22,"PASS","FAIL"),"FAIL")</f>
        <v>PASS</v>
      </c>
    </row>
    <row r="23" spans="2:12" ht="16.2" customHeight="1">
      <c r="B23" s="52">
        <v>13</v>
      </c>
      <c r="C23" s="62" t="s">
        <v>366</v>
      </c>
      <c r="D23" s="62"/>
      <c r="E23" s="62"/>
      <c r="F23" s="62"/>
      <c r="G23" s="68">
        <v>0.8333333333333334</v>
      </c>
      <c r="H23" s="69">
        <f>IF((COUNTIFS(tblVerifyLines[OTIF],"Yes")+COUNTIFS(tblVerifyLines[OTIF],"No"))=0,"",(COUNTIFS(tblVerifyLines[In full],"Yes"))/(COUNTIFS(tblVerifyLines[OTIF],"Yes")+COUNTIFS(tblVerifyLines[OTIF],"No")))</f>
        <v>0.833333333333333</v>
      </c>
      <c r="I23" s="66">
        <f>IF(AND(ISNUMBER($G$23),ISNUMBER($H$23)),ABS($H$23-$G$23),"")</f>
        <v>0</v>
      </c>
      <c r="J23" s="67">
        <v>1E-09</v>
      </c>
      <c r="K23" s="37" t="str">
        <f>IF(AND(ISNUMBER($G$23),ISNUMBER($H$23)),IF(ABS($H$23-$G$23)&lt;=$J$23,"PASS","FAIL"),"FAIL")</f>
        <v>PASS</v>
      </c>
    </row>
    <row r="24" spans="2:12" ht="16.2" customHeight="1">
      <c r="B24" s="52">
        <v>14</v>
      </c>
      <c r="C24" s="62" t="s">
        <v>367</v>
      </c>
      <c r="D24" s="62"/>
      <c r="E24" s="62"/>
      <c r="F24" s="62"/>
      <c r="G24" s="68">
        <v>0.9983333333333333</v>
      </c>
      <c r="H24" s="69">
        <f>IF((SUMIFS(tblVerifyLines[Qty ordered (units)],tblVerifyLines[OTIF],"&lt;&gt;"))=0,"",(SUM(tblVerifyLines[Units filled]))/(SUMIFS(tblVerifyLines[Qty ordered (units)],tblVerifyLines[OTIF],"&lt;&gt;")))</f>
        <v>0.998333333333333</v>
      </c>
      <c r="I24" s="66">
        <f>IF(AND(ISNUMBER($G$24),ISNUMBER($H$24)),ABS($H$24-$G$24),"")</f>
        <v>0</v>
      </c>
      <c r="J24" s="67">
        <v>1E-09</v>
      </c>
      <c r="K24" s="37" t="str">
        <f>IF(AND(ISNUMBER($G$24),ISNUMBER($H$24)),IF(ABS($H$24-$G$24)&lt;=$J$24,"PASS","FAIL"),"FAIL")</f>
        <v>PASS</v>
      </c>
    </row>
    <row r="25" spans="2:12" ht="16.2" customHeight="1">
      <c r="B25" s="52">
        <v>15</v>
      </c>
      <c r="C25" s="62" t="s">
        <v>368</v>
      </c>
      <c r="D25" s="62"/>
      <c r="E25" s="62"/>
      <c r="F25" s="62"/>
      <c r="G25" s="49">
        <v>0</v>
      </c>
      <c r="H25" s="48">
        <f>$F$69</f>
        <v>0</v>
      </c>
      <c r="I25" s="66">
        <f>IF(AND(ISNUMBER($G$25),ISNUMBER($H$25)),ABS($H$25-$G$25),"")</f>
        <v>0</v>
      </c>
      <c r="J25" s="67">
        <v>1E-09</v>
      </c>
      <c r="K25" s="37" t="str">
        <f>IF(AND(ISNUMBER($G$25),ISNUMBER($H$25)),IF(ABS($H$25-$G$25)&lt;=$J$25,"PASS","FAIL"),"FAIL")</f>
        <v>PASS</v>
      </c>
    </row>
    <row r="26" spans="2:12" ht="16.2" customHeight="1">
      <c r="B26" s="52">
        <v>16</v>
      </c>
      <c r="C26" s="62" t="s">
        <v>369</v>
      </c>
      <c r="D26" s="62"/>
      <c r="E26" s="62"/>
      <c r="F26" s="62"/>
      <c r="G26" s="49">
        <v>0.5</v>
      </c>
      <c r="H26" s="48">
        <f>$D$68</f>
        <v>0.5</v>
      </c>
      <c r="I26" s="66">
        <f>IF(AND(ISNUMBER($G$26),ISNUMBER($H$26)),ABS($H$26-$G$26),"")</f>
        <v>0</v>
      </c>
      <c r="J26" s="67">
        <v>1E-09</v>
      </c>
      <c r="K26" s="37" t="str">
        <f>IF(AND(ISNUMBER($G$26),ISNUMBER($H$26)),IF(ABS($H$26-$G$26)&lt;=$J$26,"PASS","FAIL"),"FAIL")</f>
        <v>PASS</v>
      </c>
    </row>
    <row r="27" spans="2:12" ht="16.2" customHeight="1">
      <c r="B27" s="52">
        <v>17</v>
      </c>
      <c r="C27" s="62" t="s">
        <v>370</v>
      </c>
      <c r="D27" s="62"/>
      <c r="E27" s="62"/>
      <c r="F27" s="62"/>
      <c r="G27" s="49">
        <v>0.6666666666666666</v>
      </c>
      <c r="H27" s="48">
        <f>$E$74</f>
        <v>0.666666666666667</v>
      </c>
      <c r="I27" s="66">
        <f>IF(AND(ISNUMBER($G$27),ISNUMBER($H$27)),ABS($H$27-$G$27),"")</f>
        <v>0</v>
      </c>
      <c r="J27" s="67">
        <v>1E-09</v>
      </c>
      <c r="K27" s="37" t="str">
        <f>IF(AND(ISNUMBER($G$27),ISNUMBER($H$27)),IF(ABS($H$27-$G$27)&lt;=$J$27,"PASS","FAIL"),"FAIL")</f>
        <v>PASS</v>
      </c>
    </row>
    <row r="29" spans="2:12" ht="21" customHeight="1">
      <c r="B29" s="8" t="s">
        <v>371</v>
      </c>
      <c r="C29" s="8"/>
      <c r="D29" s="8"/>
      <c r="E29" s="8"/>
      <c r="F29" s="8"/>
      <c r="G29" s="8"/>
      <c r="H29" s="8"/>
      <c r="I29" s="8"/>
      <c r="J29" s="8"/>
      <c r="K29" s="8"/>
      <c r="L29" s="8"/>
    </row>
    <row r="30" spans="2:12" ht="5" customHeight="1"/>
    <row r="31" spans="2:12">
      <c r="B31" s="21" t="s">
        <v>372</v>
      </c>
      <c r="C31" s="21"/>
      <c r="D31" s="21"/>
      <c r="E31" s="21"/>
      <c r="F31" s="21"/>
      <c r="G31" s="21"/>
      <c r="H31" s="21"/>
      <c r="I31" s="21"/>
      <c r="J31" s="21"/>
      <c r="K31" s="21"/>
      <c r="L31" s="21"/>
    </row>
    <row r="32" spans="2:12">
      <c r="B32" s="31" t="s">
        <v>373</v>
      </c>
      <c r="C32" s="31"/>
      <c r="D32" s="31"/>
      <c r="E32" s="31"/>
      <c r="F32" s="31"/>
    </row>
    <row r="33" spans="2:12">
      <c r="B33" s="27" t="s">
        <v>70</v>
      </c>
      <c r="C33" s="27"/>
      <c r="D33" s="27"/>
      <c r="E33" s="65">
        <v>2</v>
      </c>
      <c r="F33" s="7"/>
    </row>
    <row r="34" spans="2:12">
      <c r="B34" s="27" t="s">
        <v>72</v>
      </c>
      <c r="C34" s="27"/>
      <c r="D34" s="27"/>
      <c r="E34" s="65">
        <v>0</v>
      </c>
      <c r="F34" s="7"/>
    </row>
    <row r="35" spans="2:12">
      <c r="B35" s="27" t="s">
        <v>73</v>
      </c>
      <c r="C35" s="27"/>
      <c r="D35" s="27"/>
      <c r="E35" s="49">
        <v>0</v>
      </c>
      <c r="F35" s="7"/>
    </row>
    <row r="36" spans="2:12">
      <c r="B36" s="27" t="s">
        <v>74</v>
      </c>
      <c r="C36" s="27"/>
      <c r="D36" s="27"/>
      <c r="E36" s="49">
        <v>0.05</v>
      </c>
      <c r="F36" s="7"/>
    </row>
    <row r="37" spans="2:12">
      <c r="B37" s="27" t="s">
        <v>67</v>
      </c>
      <c r="C37" s="27"/>
      <c r="D37" s="27"/>
      <c r="E37" s="49">
        <v>0.95</v>
      </c>
      <c r="F37" s="7"/>
    </row>
    <row r="38" spans="2:12">
      <c r="B38" s="27" t="s">
        <v>68</v>
      </c>
      <c r="C38" s="27"/>
      <c r="D38" s="27"/>
      <c r="E38" s="49">
        <v>0.97</v>
      </c>
      <c r="F38" s="7"/>
    </row>
    <row r="39" spans="2:12">
      <c r="B39" s="27" t="s">
        <v>69</v>
      </c>
      <c r="C39" s="27"/>
      <c r="D39" s="27"/>
      <c r="E39" s="49">
        <v>0.98</v>
      </c>
      <c r="F39" s="7"/>
    </row>
    <row r="41" spans="2:12">
      <c r="B41" s="31" t="s">
        <v>374</v>
      </c>
      <c r="C41" s="31"/>
      <c r="D41" s="31"/>
      <c r="E41" s="31"/>
      <c r="F41" s="31"/>
      <c r="G41" s="31"/>
      <c r="H41" s="31"/>
      <c r="I41" s="31"/>
      <c r="J41" s="31"/>
      <c r="K41" s="31"/>
      <c r="L41" s="31"/>
    </row>
    <row r="42" spans="2:12" ht="20" customHeight="1">
      <c r="B42" s="32" t="s">
        <v>60</v>
      </c>
      <c r="C42" s="32" t="s">
        <v>61</v>
      </c>
    </row>
    <row r="43" spans="2:12">
      <c r="B43" s="61" t="s">
        <v>375</v>
      </c>
      <c r="C43" s="61" t="s">
        <v>376</v>
      </c>
    </row>
    <row r="44" spans="2:12">
      <c r="B44" s="61" t="s">
        <v>377</v>
      </c>
      <c r="C44" s="61" t="s">
        <v>376</v>
      </c>
    </row>
    <row r="46" spans="2:12">
      <c r="B46" s="31" t="s">
        <v>378</v>
      </c>
      <c r="C46" s="31"/>
      <c r="D46" s="31"/>
      <c r="E46" s="31"/>
      <c r="F46" s="31"/>
      <c r="G46" s="31"/>
      <c r="H46" s="31"/>
      <c r="I46" s="31"/>
      <c r="J46" s="31"/>
      <c r="K46" s="31"/>
      <c r="L46" s="31"/>
    </row>
    <row r="47" spans="2:12" ht="20" customHeight="1">
      <c r="B47" s="32" t="s">
        <v>62</v>
      </c>
      <c r="C47" s="32" t="s">
        <v>63</v>
      </c>
    </row>
    <row r="48" spans="2:12">
      <c r="B48" s="61" t="s">
        <v>93</v>
      </c>
      <c r="C48" s="61" t="s">
        <v>376</v>
      </c>
    </row>
    <row r="49" spans="2:16">
      <c r="B49" s="61" t="s">
        <v>91</v>
      </c>
      <c r="C49" s="61" t="s">
        <v>376</v>
      </c>
    </row>
    <row r="51" spans="2:16">
      <c r="B51" s="31" t="s">
        <v>379</v>
      </c>
      <c r="C51" s="31"/>
      <c r="D51" s="31"/>
      <c r="E51" s="31"/>
      <c r="F51" s="31"/>
      <c r="G51" s="31"/>
      <c r="H51" s="31"/>
      <c r="I51" s="31"/>
      <c r="J51" s="31"/>
      <c r="K51" s="31"/>
      <c r="L51" s="31"/>
    </row>
    <row r="52" spans="2:16" ht="45.5" customHeight="1">
      <c r="B52" s="32" t="s">
        <v>104</v>
      </c>
      <c r="C52" s="32" t="s">
        <v>60</v>
      </c>
      <c r="D52" s="32" t="s">
        <v>105</v>
      </c>
      <c r="E52" s="32" t="s">
        <v>106</v>
      </c>
      <c r="F52" s="32" t="s">
        <v>107</v>
      </c>
      <c r="G52" s="32" t="s">
        <v>108</v>
      </c>
      <c r="H52" s="32" t="s">
        <v>109</v>
      </c>
      <c r="I52" s="32" t="s">
        <v>110</v>
      </c>
      <c r="J52" s="32" t="s">
        <v>111</v>
      </c>
      <c r="K52" s="32" t="s">
        <v>112</v>
      </c>
      <c r="L52" s="32" t="s">
        <v>113</v>
      </c>
      <c r="M52" s="32" t="s">
        <v>114</v>
      </c>
      <c r="N52" s="32" t="s">
        <v>115</v>
      </c>
      <c r="O52" s="32" t="s">
        <v>116</v>
      </c>
      <c r="P52" s="32" t="s">
        <v>117</v>
      </c>
    </row>
    <row r="53" spans="2:16">
      <c r="B53" s="61" t="s">
        <v>380</v>
      </c>
      <c r="C53" s="61" t="s">
        <v>375</v>
      </c>
      <c r="D53" s="61" t="s">
        <v>381</v>
      </c>
      <c r="E53" s="65">
        <v>100</v>
      </c>
      <c r="F53" s="70">
        <v>46083</v>
      </c>
      <c r="G53" s="70">
        <v>46083</v>
      </c>
      <c r="H53" s="65">
        <v>100</v>
      </c>
      <c r="I53" s="36">
        <f>IF(tblVerifyLines[[#This Row],[Order line]]="","",tblVerifyLines[[#This Row],[Delivered date]]-tblVerifyLines[[#This Row],[Promised date]])</f>
        <v>0</v>
      </c>
      <c r="J53" s="37" t="str">
        <f>IF(tblVerifyLines[[#This Row],[Order line]]="","",IF(OR(tblVerifyLines[[#This Row],[Promised date]]="",tblVerifyLines[[#This Row],[Delivered date]]=""),"",IF(AND(tblVerifyLines[[#This Row],[Days late]]&gt;=-$E$33,tblVerifyLines[[#This Row],[Days late]]&lt;=$E$34),"Yes","No")))</f>
        <v>Yes</v>
      </c>
      <c r="K53" s="37" t="str">
        <f>IF(tblVerifyLines[[#This Row],[Order line]]="","",IF(tblVerifyLines[[#This Row],[Qty delivered (units)]]="","",IF(AND(tblVerifyLines[[#This Row],[Qty delivered (units)]]&gt;=tblVerifyLines[[#This Row],[Qty ordered (units)]]*(1-$E$35),tblVerifyLines[[#This Row],[Qty delivered (units)]]&lt;=tblVerifyLines[[#This Row],[Qty ordered (units)]]*(1+$E$36)),"Yes","No")))</f>
        <v>Yes</v>
      </c>
      <c r="L53" s="37" t="str">
        <f>IF(tblVerifyLines[[#This Row],[Order line]]="","",IF(OR(tblVerifyLines[[#This Row],[On time]]="",tblVerifyLines[[#This Row],[In full]]=""),"",IF(AND(tblVerifyLines[[#This Row],[On time]]="Yes",tblVerifyLines[[#This Row],[In full]]="Yes"),"Yes","No")))</f>
        <v>Yes</v>
      </c>
      <c r="M53" s="38">
        <f>IF(tblVerifyLines[[#This Row],[Order line]]="","",IF(tblVerifyLines[[#This Row],[OTIF]]="","",MIN(tblVerifyLines[[#This Row],[Qty delivered (units)]],tblVerifyLines[[#This Row],[Qty ordered (units)]])))</f>
        <v>100</v>
      </c>
      <c r="N53" s="61" t="s">
        <v>121</v>
      </c>
      <c r="O53" s="39" t="str">
        <f>IF(tblVerifyLines[[#This Row],[Order line]]="","",IF(tblVerifyLines[[#This Row],[Customer]]="","Missing customer",IF(tblVerifyLines[[#This Row],[Qty ordered (units)]]="","Missing qty ordered",IF(tblVerifyLines[[#This Row],[Promised date]]="","Missing promised date",IF(tblVerifyLines[[#This Row],[Delivered date]]="","Missing delivered date",IF(tblVerifyLines[[#This Row],[Qty delivered (units)]]="","Missing qty delivered",IF(AND(tblVerifyLines[[#This Row],[OTIF]]="No",tblVerifyLines[[#This Row],[Miss reason]]=""),"Reason missing for a miss",IF(COUNTIF(tblVerifyCustomers[Customer],tblVerifyLines[[#This Row],[Customer]])=0,"Customer not on Setup list",IF(AND(tblVerifyLines[[#This Row],[Miss reason]]&lt;&gt;"",COUNTIF(tblVerifyReasons[Reason],tblVerifyLines[[#This Row],[Miss reason]])=0),"Reason not on Setup list",IF(COUNTIF(tblVerifyLines[Order line],tblVerifyLines[[#This Row],[Order line]])&gt;1,"Order line listed twice","OK"))))))))))</f>
        <v>OK</v>
      </c>
      <c r="P53" s="61" t="s">
        <v>121</v>
      </c>
    </row>
    <row r="54" spans="2:16">
      <c r="B54" s="61" t="s">
        <v>382</v>
      </c>
      <c r="C54" s="61" t="s">
        <v>375</v>
      </c>
      <c r="D54" s="61" t="s">
        <v>381</v>
      </c>
      <c r="E54" s="65">
        <v>100</v>
      </c>
      <c r="F54" s="70">
        <v>46083</v>
      </c>
      <c r="G54" s="70">
        <v>46081</v>
      </c>
      <c r="H54" s="65">
        <v>100</v>
      </c>
      <c r="I54" s="36">
        <f>IF(tblVerifyLines[[#This Row],[Order line]]="","",tblVerifyLines[[#This Row],[Delivered date]]-tblVerifyLines[[#This Row],[Promised date]])</f>
        <v>-2</v>
      </c>
      <c r="J54" s="37" t="str">
        <f>IF(tblVerifyLines[[#This Row],[Order line]]="","",IF(OR(tblVerifyLines[[#This Row],[Promised date]]="",tblVerifyLines[[#This Row],[Delivered date]]=""),"",IF(AND(tblVerifyLines[[#This Row],[Days late]]&gt;=-$E$33,tblVerifyLines[[#This Row],[Days late]]&lt;=$E$34),"Yes","No")))</f>
        <v>Yes</v>
      </c>
      <c r="K54" s="37" t="str">
        <f>IF(tblVerifyLines[[#This Row],[Order line]]="","",IF(tblVerifyLines[[#This Row],[Qty delivered (units)]]="","",IF(AND(tblVerifyLines[[#This Row],[Qty delivered (units)]]&gt;=tblVerifyLines[[#This Row],[Qty ordered (units)]]*(1-$E$35),tblVerifyLines[[#This Row],[Qty delivered (units)]]&lt;=tblVerifyLines[[#This Row],[Qty ordered (units)]]*(1+$E$36)),"Yes","No")))</f>
        <v>Yes</v>
      </c>
      <c r="L54" s="37" t="str">
        <f>IF(tblVerifyLines[[#This Row],[Order line]]="","",IF(OR(tblVerifyLines[[#This Row],[On time]]="",tblVerifyLines[[#This Row],[In full]]=""),"",IF(AND(tblVerifyLines[[#This Row],[On time]]="Yes",tblVerifyLines[[#This Row],[In full]]="Yes"),"Yes","No")))</f>
        <v>Yes</v>
      </c>
      <c r="M54" s="38">
        <f>IF(tblVerifyLines[[#This Row],[Order line]]="","",IF(tblVerifyLines[[#This Row],[OTIF]]="","",MIN(tblVerifyLines[[#This Row],[Qty delivered (units)]],tblVerifyLines[[#This Row],[Qty ordered (units)]])))</f>
        <v>100</v>
      </c>
      <c r="N54" s="61" t="s">
        <v>121</v>
      </c>
      <c r="O54" s="39" t="str">
        <f>IF(tblVerifyLines[[#This Row],[Order line]]="","",IF(tblVerifyLines[[#This Row],[Customer]]="","Missing customer",IF(tblVerifyLines[[#This Row],[Qty ordered (units)]]="","Missing qty ordered",IF(tblVerifyLines[[#This Row],[Promised date]]="","Missing promised date",IF(tblVerifyLines[[#This Row],[Delivered date]]="","Missing delivered date",IF(tblVerifyLines[[#This Row],[Qty delivered (units)]]="","Missing qty delivered",IF(AND(tblVerifyLines[[#This Row],[OTIF]]="No",tblVerifyLines[[#This Row],[Miss reason]]=""),"Reason missing for a miss",IF(COUNTIF(tblVerifyCustomers[Customer],tblVerifyLines[[#This Row],[Customer]])=0,"Customer not on Setup list",IF(AND(tblVerifyLines[[#This Row],[Miss reason]]&lt;&gt;"",COUNTIF(tblVerifyReasons[Reason],tblVerifyLines[[#This Row],[Miss reason]])=0),"Reason not on Setup list",IF(COUNTIF(tblVerifyLines[Order line],tblVerifyLines[[#This Row],[Order line]])&gt;1,"Order line listed twice","OK"))))))))))</f>
        <v>OK</v>
      </c>
      <c r="P54" s="61" t="s">
        <v>121</v>
      </c>
    </row>
    <row r="55" spans="2:16">
      <c r="B55" s="61" t="s">
        <v>383</v>
      </c>
      <c r="C55" s="61" t="s">
        <v>375</v>
      </c>
      <c r="D55" s="61" t="s">
        <v>381</v>
      </c>
      <c r="E55" s="65">
        <v>100</v>
      </c>
      <c r="F55" s="70">
        <v>46083</v>
      </c>
      <c r="G55" s="70">
        <v>46080</v>
      </c>
      <c r="H55" s="65">
        <v>100</v>
      </c>
      <c r="I55" s="36">
        <f>IF(tblVerifyLines[[#This Row],[Order line]]="","",tblVerifyLines[[#This Row],[Delivered date]]-tblVerifyLines[[#This Row],[Promised date]])</f>
        <v>-3</v>
      </c>
      <c r="J55" s="37" t="str">
        <f>IF(tblVerifyLines[[#This Row],[Order line]]="","",IF(OR(tblVerifyLines[[#This Row],[Promised date]]="",tblVerifyLines[[#This Row],[Delivered date]]=""),"",IF(AND(tblVerifyLines[[#This Row],[Days late]]&gt;=-$E$33,tblVerifyLines[[#This Row],[Days late]]&lt;=$E$34),"Yes","No")))</f>
        <v>No</v>
      </c>
      <c r="K55" s="37" t="str">
        <f>IF(tblVerifyLines[[#This Row],[Order line]]="","",IF(tblVerifyLines[[#This Row],[Qty delivered (units)]]="","",IF(AND(tblVerifyLines[[#This Row],[Qty delivered (units)]]&gt;=tblVerifyLines[[#This Row],[Qty ordered (units)]]*(1-$E$35),tblVerifyLines[[#This Row],[Qty delivered (units)]]&lt;=tblVerifyLines[[#This Row],[Qty ordered (units)]]*(1+$E$36)),"Yes","No")))</f>
        <v>Yes</v>
      </c>
      <c r="L55" s="37" t="str">
        <f>IF(tblVerifyLines[[#This Row],[Order line]]="","",IF(OR(tblVerifyLines[[#This Row],[On time]]="",tblVerifyLines[[#This Row],[In full]]=""),"",IF(AND(tblVerifyLines[[#This Row],[On time]]="Yes",tblVerifyLines[[#This Row],[In full]]="Yes"),"Yes","No")))</f>
        <v>No</v>
      </c>
      <c r="M55" s="38">
        <f>IF(tblVerifyLines[[#This Row],[Order line]]="","",IF(tblVerifyLines[[#This Row],[OTIF]]="","",MIN(tblVerifyLines[[#This Row],[Qty delivered (units)]],tblVerifyLines[[#This Row],[Qty ordered (units)]])))</f>
        <v>100</v>
      </c>
      <c r="N55" s="61" t="s">
        <v>93</v>
      </c>
      <c r="O55" s="39" t="str">
        <f>IF(tblVerifyLines[[#This Row],[Order line]]="","",IF(tblVerifyLines[[#This Row],[Customer]]="","Missing customer",IF(tblVerifyLines[[#This Row],[Qty ordered (units)]]="","Missing qty ordered",IF(tblVerifyLines[[#This Row],[Promised date]]="","Missing promised date",IF(tblVerifyLines[[#This Row],[Delivered date]]="","Missing delivered date",IF(tblVerifyLines[[#This Row],[Qty delivered (units)]]="","Missing qty delivered",IF(AND(tblVerifyLines[[#This Row],[OTIF]]="No",tblVerifyLines[[#This Row],[Miss reason]]=""),"Reason missing for a miss",IF(COUNTIF(tblVerifyCustomers[Customer],tblVerifyLines[[#This Row],[Customer]])=0,"Customer not on Setup list",IF(AND(tblVerifyLines[[#This Row],[Miss reason]]&lt;&gt;"",COUNTIF(tblVerifyReasons[Reason],tblVerifyLines[[#This Row],[Miss reason]])=0),"Reason not on Setup list",IF(COUNTIF(tblVerifyLines[Order line],tblVerifyLines[[#This Row],[Order line]])&gt;1,"Order line listed twice","OK"))))))))))</f>
        <v>OK</v>
      </c>
      <c r="P55" s="61" t="s">
        <v>121</v>
      </c>
    </row>
    <row r="56" spans="2:16">
      <c r="B56" s="61" t="s">
        <v>384</v>
      </c>
      <c r="C56" s="61" t="s">
        <v>377</v>
      </c>
      <c r="D56" s="61" t="s">
        <v>381</v>
      </c>
      <c r="E56" s="65">
        <v>100</v>
      </c>
      <c r="F56" s="70">
        <v>46083</v>
      </c>
      <c r="G56" s="70">
        <v>46084</v>
      </c>
      <c r="H56" s="65">
        <v>105</v>
      </c>
      <c r="I56" s="36">
        <f>IF(tblVerifyLines[[#This Row],[Order line]]="","",tblVerifyLines[[#This Row],[Delivered date]]-tblVerifyLines[[#This Row],[Promised date]])</f>
        <v>1</v>
      </c>
      <c r="J56" s="37" t="str">
        <f>IF(tblVerifyLines[[#This Row],[Order line]]="","",IF(OR(tblVerifyLines[[#This Row],[Promised date]]="",tblVerifyLines[[#This Row],[Delivered date]]=""),"",IF(AND(tblVerifyLines[[#This Row],[Days late]]&gt;=-$E$33,tblVerifyLines[[#This Row],[Days late]]&lt;=$E$34),"Yes","No")))</f>
        <v>No</v>
      </c>
      <c r="K56" s="37" t="str">
        <f>IF(tblVerifyLines[[#This Row],[Order line]]="","",IF(tblVerifyLines[[#This Row],[Qty delivered (units)]]="","",IF(AND(tblVerifyLines[[#This Row],[Qty delivered (units)]]&gt;=tblVerifyLines[[#This Row],[Qty ordered (units)]]*(1-$E$35),tblVerifyLines[[#This Row],[Qty delivered (units)]]&lt;=tblVerifyLines[[#This Row],[Qty ordered (units)]]*(1+$E$36)),"Yes","No")))</f>
        <v>Yes</v>
      </c>
      <c r="L56" s="37" t="str">
        <f>IF(tblVerifyLines[[#This Row],[Order line]]="","",IF(OR(tblVerifyLines[[#This Row],[On time]]="",tblVerifyLines[[#This Row],[In full]]=""),"",IF(AND(tblVerifyLines[[#This Row],[On time]]="Yes",tblVerifyLines[[#This Row],[In full]]="Yes"),"Yes","No")))</f>
        <v>No</v>
      </c>
      <c r="M56" s="38">
        <f>IF(tblVerifyLines[[#This Row],[Order line]]="","",IF(tblVerifyLines[[#This Row],[OTIF]]="","",MIN(tblVerifyLines[[#This Row],[Qty delivered (units)]],tblVerifyLines[[#This Row],[Qty ordered (units)]])))</f>
        <v>100</v>
      </c>
      <c r="N56" s="61" t="s">
        <v>93</v>
      </c>
      <c r="O56" s="39" t="str">
        <f>IF(tblVerifyLines[[#This Row],[Order line]]="","",IF(tblVerifyLines[[#This Row],[Customer]]="","Missing customer",IF(tblVerifyLines[[#This Row],[Qty ordered (units)]]="","Missing qty ordered",IF(tblVerifyLines[[#This Row],[Promised date]]="","Missing promised date",IF(tblVerifyLines[[#This Row],[Delivered date]]="","Missing delivered date",IF(tblVerifyLines[[#This Row],[Qty delivered (units)]]="","Missing qty delivered",IF(AND(tblVerifyLines[[#This Row],[OTIF]]="No",tblVerifyLines[[#This Row],[Miss reason]]=""),"Reason missing for a miss",IF(COUNTIF(tblVerifyCustomers[Customer],tblVerifyLines[[#This Row],[Customer]])=0,"Customer not on Setup list",IF(AND(tblVerifyLines[[#This Row],[Miss reason]]&lt;&gt;"",COUNTIF(tblVerifyReasons[Reason],tblVerifyLines[[#This Row],[Miss reason]])=0),"Reason not on Setup list",IF(COUNTIF(tblVerifyLines[Order line],tblVerifyLines[[#This Row],[Order line]])&gt;1,"Order line listed twice","OK"))))))))))</f>
        <v>OK</v>
      </c>
      <c r="P56" s="61" t="s">
        <v>121</v>
      </c>
    </row>
    <row r="57" spans="2:16">
      <c r="B57" s="61" t="s">
        <v>385</v>
      </c>
      <c r="C57" s="61" t="s">
        <v>377</v>
      </c>
      <c r="D57" s="61" t="s">
        <v>381</v>
      </c>
      <c r="E57" s="65">
        <v>100</v>
      </c>
      <c r="F57" s="70">
        <v>46090</v>
      </c>
      <c r="G57" s="70">
        <v>46090</v>
      </c>
      <c r="H57" s="65">
        <v>99</v>
      </c>
      <c r="I57" s="36">
        <f>IF(tblVerifyLines[[#This Row],[Order line]]="","",tblVerifyLines[[#This Row],[Delivered date]]-tblVerifyLines[[#This Row],[Promised date]])</f>
        <v>0</v>
      </c>
      <c r="J57" s="37" t="str">
        <f>IF(tblVerifyLines[[#This Row],[Order line]]="","",IF(OR(tblVerifyLines[[#This Row],[Promised date]]="",tblVerifyLines[[#This Row],[Delivered date]]=""),"",IF(AND(tblVerifyLines[[#This Row],[Days late]]&gt;=-$E$33,tblVerifyLines[[#This Row],[Days late]]&lt;=$E$34),"Yes","No")))</f>
        <v>Yes</v>
      </c>
      <c r="K57" s="37" t="str">
        <f>IF(tblVerifyLines[[#This Row],[Order line]]="","",IF(tblVerifyLines[[#This Row],[Qty delivered (units)]]="","",IF(AND(tblVerifyLines[[#This Row],[Qty delivered (units)]]&gt;=tblVerifyLines[[#This Row],[Qty ordered (units)]]*(1-$E$35),tblVerifyLines[[#This Row],[Qty delivered (units)]]&lt;=tblVerifyLines[[#This Row],[Qty ordered (units)]]*(1+$E$36)),"Yes","No")))</f>
        <v>No</v>
      </c>
      <c r="L57" s="37" t="str">
        <f>IF(tblVerifyLines[[#This Row],[Order line]]="","",IF(OR(tblVerifyLines[[#This Row],[On time]]="",tblVerifyLines[[#This Row],[In full]]=""),"",IF(AND(tblVerifyLines[[#This Row],[On time]]="Yes",tblVerifyLines[[#This Row],[In full]]="Yes"),"Yes","No")))</f>
        <v>No</v>
      </c>
      <c r="M57" s="38">
        <f>IF(tblVerifyLines[[#This Row],[Order line]]="","",IF(tblVerifyLines[[#This Row],[OTIF]]="","",MIN(tblVerifyLines[[#This Row],[Qty delivered (units)]],tblVerifyLines[[#This Row],[Qty ordered (units)]])))</f>
        <v>99</v>
      </c>
      <c r="N57" s="61" t="s">
        <v>91</v>
      </c>
      <c r="O57" s="39" t="str">
        <f>IF(tblVerifyLines[[#This Row],[Order line]]="","",IF(tblVerifyLines[[#This Row],[Customer]]="","Missing customer",IF(tblVerifyLines[[#This Row],[Qty ordered (units)]]="","Missing qty ordered",IF(tblVerifyLines[[#This Row],[Promised date]]="","Missing promised date",IF(tblVerifyLines[[#This Row],[Delivered date]]="","Missing delivered date",IF(tblVerifyLines[[#This Row],[Qty delivered (units)]]="","Missing qty delivered",IF(AND(tblVerifyLines[[#This Row],[OTIF]]="No",tblVerifyLines[[#This Row],[Miss reason]]=""),"Reason missing for a miss",IF(COUNTIF(tblVerifyCustomers[Customer],tblVerifyLines[[#This Row],[Customer]])=0,"Customer not on Setup list",IF(AND(tblVerifyLines[[#This Row],[Miss reason]]&lt;&gt;"",COUNTIF(tblVerifyReasons[Reason],tblVerifyLines[[#This Row],[Miss reason]])=0),"Reason not on Setup list",IF(COUNTIF(tblVerifyLines[Order line],tblVerifyLines[[#This Row],[Order line]])&gt;1,"Order line listed twice","OK"))))))))))</f>
        <v>OK</v>
      </c>
      <c r="P57" s="61" t="s">
        <v>121</v>
      </c>
    </row>
    <row r="58" spans="2:16">
      <c r="B58" s="61" t="s">
        <v>386</v>
      </c>
      <c r="C58" s="61" t="s">
        <v>377</v>
      </c>
      <c r="D58" s="61" t="s">
        <v>381</v>
      </c>
      <c r="E58" s="65">
        <v>100</v>
      </c>
      <c r="F58" s="70">
        <v>46091</v>
      </c>
      <c r="G58" s="70">
        <v>46093</v>
      </c>
      <c r="H58" s="65">
        <v>100</v>
      </c>
      <c r="I58" s="36">
        <f>IF(tblVerifyLines[[#This Row],[Order line]]="","",tblVerifyLines[[#This Row],[Delivered date]]-tblVerifyLines[[#This Row],[Promised date]])</f>
        <v>2</v>
      </c>
      <c r="J58" s="37" t="str">
        <f>IF(tblVerifyLines[[#This Row],[Order line]]="","",IF(OR(tblVerifyLines[[#This Row],[Promised date]]="",tblVerifyLines[[#This Row],[Delivered date]]=""),"",IF(AND(tblVerifyLines[[#This Row],[Days late]]&gt;=-$E$33,tblVerifyLines[[#This Row],[Days late]]&lt;=$E$34),"Yes","No")))</f>
        <v>No</v>
      </c>
      <c r="K58" s="37" t="str">
        <f>IF(tblVerifyLines[[#This Row],[Order line]]="","",IF(tblVerifyLines[[#This Row],[Qty delivered (units)]]="","",IF(AND(tblVerifyLines[[#This Row],[Qty delivered (units)]]&gt;=tblVerifyLines[[#This Row],[Qty ordered (units)]]*(1-$E$35),tblVerifyLines[[#This Row],[Qty delivered (units)]]&lt;=tblVerifyLines[[#This Row],[Qty ordered (units)]]*(1+$E$36)),"Yes","No")))</f>
        <v>Yes</v>
      </c>
      <c r="L58" s="37" t="str">
        <f>IF(tblVerifyLines[[#This Row],[Order line]]="","",IF(OR(tblVerifyLines[[#This Row],[On time]]="",tblVerifyLines[[#This Row],[In full]]=""),"",IF(AND(tblVerifyLines[[#This Row],[On time]]="Yes",tblVerifyLines[[#This Row],[In full]]="Yes"),"Yes","No")))</f>
        <v>No</v>
      </c>
      <c r="M58" s="38">
        <f>IF(tblVerifyLines[[#This Row],[Order line]]="","",IF(tblVerifyLines[[#This Row],[OTIF]]="","",MIN(tblVerifyLines[[#This Row],[Qty delivered (units)]],tblVerifyLines[[#This Row],[Qty ordered (units)]])))</f>
        <v>100</v>
      </c>
      <c r="N58" s="61" t="s">
        <v>121</v>
      </c>
      <c r="O58" s="39" t="str">
        <f>IF(tblVerifyLines[[#This Row],[Order line]]="","",IF(tblVerifyLines[[#This Row],[Customer]]="","Missing customer",IF(tblVerifyLines[[#This Row],[Qty ordered (units)]]="","Missing qty ordered",IF(tblVerifyLines[[#This Row],[Promised date]]="","Missing promised date",IF(tblVerifyLines[[#This Row],[Delivered date]]="","Missing delivered date",IF(tblVerifyLines[[#This Row],[Qty delivered (units)]]="","Missing qty delivered",IF(AND(tblVerifyLines[[#This Row],[OTIF]]="No",tblVerifyLines[[#This Row],[Miss reason]]=""),"Reason missing for a miss",IF(COUNTIF(tblVerifyCustomers[Customer],tblVerifyLines[[#This Row],[Customer]])=0,"Customer not on Setup list",IF(AND(tblVerifyLines[[#This Row],[Miss reason]]&lt;&gt;"",COUNTIF(tblVerifyReasons[Reason],tblVerifyLines[[#This Row],[Miss reason]])=0),"Reason not on Setup list",IF(COUNTIF(tblVerifyLines[Order line],tblVerifyLines[[#This Row],[Order line]])&gt;1,"Order line listed twice","OK"))))))))))</f>
        <v>Reason missing for a miss</v>
      </c>
      <c r="P58" s="61" t="s">
        <v>121</v>
      </c>
    </row>
    <row r="60" spans="2:16">
      <c r="B60" s="31" t="s">
        <v>387</v>
      </c>
      <c r="C60" s="31"/>
      <c r="D60" s="31"/>
      <c r="E60" s="31"/>
      <c r="F60" s="31"/>
      <c r="G60" s="31"/>
      <c r="H60" s="31"/>
      <c r="I60" s="31"/>
      <c r="J60" s="31"/>
      <c r="K60" s="31"/>
      <c r="L60" s="31"/>
    </row>
    <row r="61" spans="2:16" ht="20" customHeight="1">
      <c r="B61" s="46" t="s">
        <v>279</v>
      </c>
      <c r="C61" s="32" t="s">
        <v>280</v>
      </c>
      <c r="D61" s="32" t="s">
        <v>111</v>
      </c>
      <c r="E61" s="32" t="s">
        <v>112</v>
      </c>
      <c r="F61" s="32" t="s">
        <v>113</v>
      </c>
      <c r="G61" s="32" t="s">
        <v>67</v>
      </c>
      <c r="H61" s="32" t="s">
        <v>281</v>
      </c>
    </row>
    <row r="62" spans="2:16">
      <c r="B62" s="47">
        <f>IF($B$63="","",IF($B$63-1&lt;MIN(tblVerifyLines[Promised date]),"",$B$63-7))</f>
        <v/>
      </c>
      <c r="C62" s="38">
        <f>IF($B$62="","",COUNTIFS(tblVerifyLines[Promised date],"&gt;="&amp;$B$62,tblVerifyLines[Promised date],"&lt;"&amp;$B$62+7,tblVerifyLines[OTIF],"Yes")+COUNTIFS(tblVerifyLines[Promised date],"&gt;="&amp;$B$62,tblVerifyLines[Promised date],"&lt;"&amp;$B$62+7,tblVerifyLines[OTIF],"No"))</f>
        <v/>
      </c>
      <c r="D62" s="48">
        <f>IF($B$62="","",IF(($C$62)=0,"",(COUNTIFS(tblVerifyLines[Promised date],"&gt;="&amp;$B$62,tblVerifyLines[Promised date],"&lt;"&amp;$B$62+7,tblVerifyLines[On time],"Yes"))/($C$62)))</f>
        <v/>
      </c>
      <c r="E62" s="48">
        <f>IF($B$62="","",IF(($C$62)=0,"",(COUNTIFS(tblVerifyLines[Promised date],"&gt;="&amp;$B$62,tblVerifyLines[Promised date],"&lt;"&amp;$B$62+7,tblVerifyLines[In full],"Yes"))/($C$62)))</f>
        <v/>
      </c>
      <c r="F62" s="48">
        <f>IF($B$62="","",IF(($C$62)=0,"",(COUNTIFS(tblVerifyLines[Promised date],"&gt;="&amp;$B$62,tblVerifyLines[Promised date],"&lt;"&amp;$B$62+7,tblVerifyLines[OTIF],"Yes"))/($C$62)))</f>
        <v/>
      </c>
      <c r="G62" s="49">
        <f>$E$37</f>
        <v>0.95</v>
      </c>
      <c r="H62" s="38">
        <f>IF($B$62="","",COUNTIFS(tblVerifyLines[Promised date],"&gt;="&amp;$B$62,tblVerifyLines[Promised date],"&lt;"&amp;$B$62+7,tblVerifyLines[OTIF],"No"))</f>
        <v/>
      </c>
    </row>
    <row r="63" spans="2:16">
      <c r="B63" s="47">
        <f>IF($B$64="","",IF($B$64-1&lt;MIN(tblVerifyLines[Promised date]),"",$B$64-7))</f>
        <v/>
      </c>
      <c r="C63" s="38">
        <f>IF($B$63="","",COUNTIFS(tblVerifyLines[Promised date],"&gt;="&amp;$B$63,tblVerifyLines[Promised date],"&lt;"&amp;$B$63+7,tblVerifyLines[OTIF],"Yes")+COUNTIFS(tblVerifyLines[Promised date],"&gt;="&amp;$B$63,tblVerifyLines[Promised date],"&lt;"&amp;$B$63+7,tblVerifyLines[OTIF],"No"))</f>
        <v/>
      </c>
      <c r="D63" s="48">
        <f>IF($B$63="","",IF(($C$63)=0,"",(COUNTIFS(tblVerifyLines[Promised date],"&gt;="&amp;$B$63,tblVerifyLines[Promised date],"&lt;"&amp;$B$63+7,tblVerifyLines[On time],"Yes"))/($C$63)))</f>
        <v/>
      </c>
      <c r="E63" s="48">
        <f>IF($B$63="","",IF(($C$63)=0,"",(COUNTIFS(tblVerifyLines[Promised date],"&gt;="&amp;$B$63,tblVerifyLines[Promised date],"&lt;"&amp;$B$63+7,tblVerifyLines[In full],"Yes"))/($C$63)))</f>
        <v/>
      </c>
      <c r="F63" s="48">
        <f>IF($B$63="","",IF(($C$63)=0,"",(COUNTIFS(tblVerifyLines[Promised date],"&gt;="&amp;$B$63,tblVerifyLines[Promised date],"&lt;"&amp;$B$63+7,tblVerifyLines[OTIF],"Yes"))/($C$63)))</f>
        <v/>
      </c>
      <c r="G63" s="49">
        <f>$E$37</f>
        <v>0.95</v>
      </c>
      <c r="H63" s="38">
        <f>IF($B$63="","",COUNTIFS(tblVerifyLines[Promised date],"&gt;="&amp;$B$63,tblVerifyLines[Promised date],"&lt;"&amp;$B$63+7,tblVerifyLines[OTIF],"No"))</f>
        <v/>
      </c>
    </row>
    <row r="64" spans="2:16">
      <c r="B64" s="47">
        <f>IF($B$65="","",IF($B$65-1&lt;MIN(tblVerifyLines[Promised date]),"",$B$65-7))</f>
        <v/>
      </c>
      <c r="C64" s="38">
        <f>IF($B$64="","",COUNTIFS(tblVerifyLines[Promised date],"&gt;="&amp;$B$64,tblVerifyLines[Promised date],"&lt;"&amp;$B$64+7,tblVerifyLines[OTIF],"Yes")+COUNTIFS(tblVerifyLines[Promised date],"&gt;="&amp;$B$64,tblVerifyLines[Promised date],"&lt;"&amp;$B$64+7,tblVerifyLines[OTIF],"No"))</f>
        <v/>
      </c>
      <c r="D64" s="48">
        <f>IF($B$64="","",IF(($C$64)=0,"",(COUNTIFS(tblVerifyLines[Promised date],"&gt;="&amp;$B$64,tblVerifyLines[Promised date],"&lt;"&amp;$B$64+7,tblVerifyLines[On time],"Yes"))/($C$64)))</f>
        <v/>
      </c>
      <c r="E64" s="48">
        <f>IF($B$64="","",IF(($C$64)=0,"",(COUNTIFS(tblVerifyLines[Promised date],"&gt;="&amp;$B$64,tblVerifyLines[Promised date],"&lt;"&amp;$B$64+7,tblVerifyLines[In full],"Yes"))/($C$64)))</f>
        <v/>
      </c>
      <c r="F64" s="48">
        <f>IF($B$64="","",IF(($C$64)=0,"",(COUNTIFS(tblVerifyLines[Promised date],"&gt;="&amp;$B$64,tblVerifyLines[Promised date],"&lt;"&amp;$B$64+7,tblVerifyLines[OTIF],"Yes"))/($C$64)))</f>
        <v/>
      </c>
      <c r="G64" s="49">
        <f>$E$37</f>
        <v>0.95</v>
      </c>
      <c r="H64" s="38">
        <f>IF($B$64="","",COUNTIFS(tblVerifyLines[Promised date],"&gt;="&amp;$B$64,tblVerifyLines[Promised date],"&lt;"&amp;$B$64+7,tblVerifyLines[OTIF],"No"))</f>
        <v/>
      </c>
    </row>
    <row r="65" spans="2:12">
      <c r="B65" s="47">
        <f>IF($B$66="","",IF($B$66-1&lt;MIN(tblVerifyLines[Promised date]),"",$B$66-7))</f>
        <v/>
      </c>
      <c r="C65" s="38">
        <f>IF($B$65="","",COUNTIFS(tblVerifyLines[Promised date],"&gt;="&amp;$B$65,tblVerifyLines[Promised date],"&lt;"&amp;$B$65+7,tblVerifyLines[OTIF],"Yes")+COUNTIFS(tblVerifyLines[Promised date],"&gt;="&amp;$B$65,tblVerifyLines[Promised date],"&lt;"&amp;$B$65+7,tblVerifyLines[OTIF],"No"))</f>
        <v/>
      </c>
      <c r="D65" s="48">
        <f>IF($B$65="","",IF(($C$65)=0,"",(COUNTIFS(tblVerifyLines[Promised date],"&gt;="&amp;$B$65,tblVerifyLines[Promised date],"&lt;"&amp;$B$65+7,tblVerifyLines[On time],"Yes"))/($C$65)))</f>
        <v/>
      </c>
      <c r="E65" s="48">
        <f>IF($B$65="","",IF(($C$65)=0,"",(COUNTIFS(tblVerifyLines[Promised date],"&gt;="&amp;$B$65,tblVerifyLines[Promised date],"&lt;"&amp;$B$65+7,tblVerifyLines[In full],"Yes"))/($C$65)))</f>
        <v/>
      </c>
      <c r="F65" s="48">
        <f>IF($B$65="","",IF(($C$65)=0,"",(COUNTIFS(tblVerifyLines[Promised date],"&gt;="&amp;$B$65,tblVerifyLines[Promised date],"&lt;"&amp;$B$65+7,tblVerifyLines[OTIF],"Yes"))/($C$65)))</f>
        <v/>
      </c>
      <c r="G65" s="49">
        <f>$E$37</f>
        <v>0.95</v>
      </c>
      <c r="H65" s="38">
        <f>IF($B$65="","",COUNTIFS(tblVerifyLines[Promised date],"&gt;="&amp;$B$65,tblVerifyLines[Promised date],"&lt;"&amp;$B$65+7,tblVerifyLines[OTIF],"No"))</f>
        <v/>
      </c>
    </row>
    <row r="66" spans="2:12">
      <c r="B66" s="47">
        <f>IF($B$67="","",IF($B$67-1&lt;MIN(tblVerifyLines[Promised date]),"",$B$67-7))</f>
        <v/>
      </c>
      <c r="C66" s="38">
        <f>IF($B$66="","",COUNTIFS(tblVerifyLines[Promised date],"&gt;="&amp;$B$66,tblVerifyLines[Promised date],"&lt;"&amp;$B$66+7,tblVerifyLines[OTIF],"Yes")+COUNTIFS(tblVerifyLines[Promised date],"&gt;="&amp;$B$66,tblVerifyLines[Promised date],"&lt;"&amp;$B$66+7,tblVerifyLines[OTIF],"No"))</f>
        <v/>
      </c>
      <c r="D66" s="48">
        <f>IF($B$66="","",IF(($C$66)=0,"",(COUNTIFS(tblVerifyLines[Promised date],"&gt;="&amp;$B$66,tblVerifyLines[Promised date],"&lt;"&amp;$B$66+7,tblVerifyLines[On time],"Yes"))/($C$66)))</f>
        <v/>
      </c>
      <c r="E66" s="48">
        <f>IF($B$66="","",IF(($C$66)=0,"",(COUNTIFS(tblVerifyLines[Promised date],"&gt;="&amp;$B$66,tblVerifyLines[Promised date],"&lt;"&amp;$B$66+7,tblVerifyLines[In full],"Yes"))/($C$66)))</f>
        <v/>
      </c>
      <c r="F66" s="48">
        <f>IF($B$66="","",IF(($C$66)=0,"",(COUNTIFS(tblVerifyLines[Promised date],"&gt;="&amp;$B$66,tblVerifyLines[Promised date],"&lt;"&amp;$B$66+7,tblVerifyLines[OTIF],"Yes"))/($C$66)))</f>
        <v/>
      </c>
      <c r="G66" s="49">
        <f>$E$37</f>
        <v>0.95</v>
      </c>
      <c r="H66" s="38">
        <f>IF($B$66="","",COUNTIFS(tblVerifyLines[Promised date],"&gt;="&amp;$B$66,tblVerifyLines[Promised date],"&lt;"&amp;$B$66+7,tblVerifyLines[OTIF],"No"))</f>
        <v/>
      </c>
    </row>
    <row r="67" spans="2:12">
      <c r="B67" s="47">
        <f>IF($B$68="","",IF($B$68-1&lt;MIN(tblVerifyLines[Promised date]),"",$B$68-7))</f>
        <v/>
      </c>
      <c r="C67" s="38">
        <f>IF($B$67="","",COUNTIFS(tblVerifyLines[Promised date],"&gt;="&amp;$B$67,tblVerifyLines[Promised date],"&lt;"&amp;$B$67+7,tblVerifyLines[OTIF],"Yes")+COUNTIFS(tblVerifyLines[Promised date],"&gt;="&amp;$B$67,tblVerifyLines[Promised date],"&lt;"&amp;$B$67+7,tblVerifyLines[OTIF],"No"))</f>
        <v/>
      </c>
      <c r="D67" s="48">
        <f>IF($B$67="","",IF(($C$67)=0,"",(COUNTIFS(tblVerifyLines[Promised date],"&gt;="&amp;$B$67,tblVerifyLines[Promised date],"&lt;"&amp;$B$67+7,tblVerifyLines[On time],"Yes"))/($C$67)))</f>
        <v/>
      </c>
      <c r="E67" s="48">
        <f>IF($B$67="","",IF(($C$67)=0,"",(COUNTIFS(tblVerifyLines[Promised date],"&gt;="&amp;$B$67,tblVerifyLines[Promised date],"&lt;"&amp;$B$67+7,tblVerifyLines[In full],"Yes"))/($C$67)))</f>
        <v/>
      </c>
      <c r="F67" s="48">
        <f>IF($B$67="","",IF(($C$67)=0,"",(COUNTIFS(tblVerifyLines[Promised date],"&gt;="&amp;$B$67,tblVerifyLines[Promised date],"&lt;"&amp;$B$67+7,tblVerifyLines[OTIF],"Yes"))/($C$67)))</f>
        <v/>
      </c>
      <c r="G67" s="49">
        <f>$E$37</f>
        <v>0.95</v>
      </c>
      <c r="H67" s="38">
        <f>IF($B$67="","",COUNTIFS(tblVerifyLines[Promised date],"&gt;="&amp;$B$67,tblVerifyLines[Promised date],"&lt;"&amp;$B$67+7,tblVerifyLines[OTIF],"No"))</f>
        <v/>
      </c>
    </row>
    <row r="68" spans="2:12">
      <c r="B68" s="47">
        <f>IF($B$69="","",IF($B$69-1&lt;MIN(tblVerifyLines[Promised date]),"",$B$69-7))</f>
        <v>46083</v>
      </c>
      <c r="C68" s="38">
        <f>IF($B$68="","",COUNTIFS(tblVerifyLines[Promised date],"&gt;="&amp;$B$68,tblVerifyLines[Promised date],"&lt;"&amp;$B$68+7,tblVerifyLines[OTIF],"Yes")+COUNTIFS(tblVerifyLines[Promised date],"&gt;="&amp;$B$68,tblVerifyLines[Promised date],"&lt;"&amp;$B$68+7,tblVerifyLines[OTIF],"No"))</f>
        <v>4</v>
      </c>
      <c r="D68" s="48">
        <f>IF($B$68="","",IF(($C$68)=0,"",(COUNTIFS(tblVerifyLines[Promised date],"&gt;="&amp;$B$68,tblVerifyLines[Promised date],"&lt;"&amp;$B$68+7,tblVerifyLines[On time],"Yes"))/($C$68)))</f>
        <v>0.5</v>
      </c>
      <c r="E68" s="48">
        <f>IF($B$68="","",IF(($C$68)=0,"",(COUNTIFS(tblVerifyLines[Promised date],"&gt;="&amp;$B$68,tblVerifyLines[Promised date],"&lt;"&amp;$B$68+7,tblVerifyLines[In full],"Yes"))/($C$68)))</f>
        <v>1</v>
      </c>
      <c r="F68" s="48">
        <f>IF($B$68="","",IF(($C$68)=0,"",(COUNTIFS(tblVerifyLines[Promised date],"&gt;="&amp;$B$68,tblVerifyLines[Promised date],"&lt;"&amp;$B$68+7,tblVerifyLines[OTIF],"Yes"))/($C$68)))</f>
        <v>0.5</v>
      </c>
      <c r="G68" s="49">
        <f>$E$37</f>
        <v>0.95</v>
      </c>
      <c r="H68" s="38">
        <f>IF($B$68="","",COUNTIFS(tblVerifyLines[Promised date],"&gt;="&amp;$B$68,tblVerifyLines[Promised date],"&lt;"&amp;$B$68+7,tblVerifyLines[OTIF],"No"))</f>
        <v>2</v>
      </c>
    </row>
    <row r="69" spans="2:12">
      <c r="B69" s="47">
        <f>IF(COUNT(tblVerifyLines[Promised date])=0,"",MAX(tblVerifyLines[Promised date])-WEEKDAY(MAX(tblVerifyLines[Promised date]),2)+1)</f>
        <v>46090</v>
      </c>
      <c r="C69" s="38">
        <f>IF($B$69="","",COUNTIFS(tblVerifyLines[Promised date],"&gt;="&amp;$B$69,tblVerifyLines[Promised date],"&lt;"&amp;$B$69+7,tblVerifyLines[OTIF],"Yes")+COUNTIFS(tblVerifyLines[Promised date],"&gt;="&amp;$B$69,tblVerifyLines[Promised date],"&lt;"&amp;$B$69+7,tblVerifyLines[OTIF],"No"))</f>
        <v>2</v>
      </c>
      <c r="D69" s="48">
        <f>IF($B$69="","",IF(($C$69)=0,"",(COUNTIFS(tblVerifyLines[Promised date],"&gt;="&amp;$B$69,tblVerifyLines[Promised date],"&lt;"&amp;$B$69+7,tblVerifyLines[On time],"Yes"))/($C$69)))</f>
        <v>0.5</v>
      </c>
      <c r="E69" s="48">
        <f>IF($B$69="","",IF(($C$69)=0,"",(COUNTIFS(tblVerifyLines[Promised date],"&gt;="&amp;$B$69,tblVerifyLines[Promised date],"&lt;"&amp;$B$69+7,tblVerifyLines[In full],"Yes"))/($C$69)))</f>
        <v>0.5</v>
      </c>
      <c r="F69" s="48">
        <f>IF($B$69="","",IF(($C$69)=0,"",(COUNTIFS(tblVerifyLines[Promised date],"&gt;="&amp;$B$69,tblVerifyLines[Promised date],"&lt;"&amp;$B$69+7,tblVerifyLines[OTIF],"Yes"))/($C$69)))</f>
        <v>0</v>
      </c>
      <c r="G69" s="49">
        <f>$E$37</f>
        <v>0.95</v>
      </c>
      <c r="H69" s="38">
        <f>IF($B$69="","",COUNTIFS(tblVerifyLines[Promised date],"&gt;="&amp;$B$69,tblVerifyLines[Promised date],"&lt;"&amp;$B$69+7,tblVerifyLines[OTIF],"No"))</f>
        <v>2</v>
      </c>
    </row>
    <row r="71" spans="2:12">
      <c r="B71" s="31" t="s">
        <v>388</v>
      </c>
      <c r="C71" s="31"/>
      <c r="D71" s="31"/>
      <c r="E71" s="31"/>
      <c r="F71" s="31"/>
      <c r="G71" s="31"/>
      <c r="H71" s="31"/>
      <c r="I71" s="31"/>
      <c r="J71" s="31"/>
      <c r="K71" s="31"/>
      <c r="L71" s="31"/>
    </row>
    <row r="72" spans="2:12" ht="32" customHeight="1">
      <c r="B72" s="46" t="s">
        <v>60</v>
      </c>
      <c r="C72" s="32" t="s">
        <v>280</v>
      </c>
      <c r="D72" s="32" t="s">
        <v>111</v>
      </c>
      <c r="E72" s="32" t="s">
        <v>112</v>
      </c>
      <c r="F72" s="32" t="s">
        <v>113</v>
      </c>
      <c r="G72" s="32" t="s">
        <v>283</v>
      </c>
      <c r="H72" s="32"/>
      <c r="I72" s="32" t="s">
        <v>284</v>
      </c>
    </row>
    <row r="73" spans="2:12">
      <c r="B73" s="50" t="str">
        <f>IFERROR(INDEX(tblVerifyCustomers[Customer],1)&amp;"","")</f>
        <v>Cust A</v>
      </c>
      <c r="C73" s="38">
        <f>IF($B$73="","",COUNTIFS(tblVerifyLines[Customer],$B$73,tblVerifyLines[OTIF],"Yes")+COUNTIFS(tblVerifyLines[Customer],$B$73,tblVerifyLines[OTIF],"No"))</f>
        <v>3</v>
      </c>
      <c r="D73" s="48">
        <f>IF($B$73="","",IF(($C$73)=0,"",(COUNTIFS(tblVerifyLines[Customer],$B$73,tblVerifyLines[On time],"Yes"))/($C$73)))</f>
        <v>0.666666666666667</v>
      </c>
      <c r="E73" s="48">
        <f>IF($B$73="","",IF(($C$73)=0,"",(COUNTIFS(tblVerifyLines[Customer],$B$73,tblVerifyLines[In full],"Yes"))/($C$73)))</f>
        <v>1</v>
      </c>
      <c r="F73" s="48">
        <f>IF($B$73="","",IF(($C$73)=0,"",(COUNTIFS(tblVerifyLines[Customer],$B$73,tblVerifyLines[OTIF],"Yes"))/($C$73)))</f>
        <v>0.666666666666667</v>
      </c>
      <c r="G73" s="37" t="str">
        <f>IF($B$73="","",IF(NOT(ISNUMBER($F$73)),"",IF($F$73&gt;=$E$37,"On target",IF($F$73&gt;=$E$37*0.95,"Near target","Below target"))))</f>
        <v>Below target</v>
      </c>
      <c r="H73" s="37"/>
      <c r="I73" s="48">
        <f>IF($B$73="","",IF((SUMIFS(tblVerifyLines[Qty ordered (units)],tblVerifyLines[Customer],$B$73,tblVerifyLines[OTIF],"&lt;&gt;"))=0,"",(SUMIFS(tblVerifyLines[Units filled],tblVerifyLines[Customer],$B$73))/(SUMIFS(tblVerifyLines[Qty ordered (units)],tblVerifyLines[Customer],$B$73,tblVerifyLines[OTIF],"&lt;&gt;"))))</f>
        <v>1</v>
      </c>
    </row>
    <row r="74" spans="2:12">
      <c r="B74" s="50" t="str">
        <f>IFERROR(INDEX(tblVerifyCustomers[Customer],2)&amp;"","")</f>
        <v>Cust B</v>
      </c>
      <c r="C74" s="38">
        <f>IF($B$74="","",COUNTIFS(tblVerifyLines[Customer],$B$74,tblVerifyLines[OTIF],"Yes")+COUNTIFS(tblVerifyLines[Customer],$B$74,tblVerifyLines[OTIF],"No"))</f>
        <v>3</v>
      </c>
      <c r="D74" s="48">
        <f>IF($B$74="","",IF(($C$74)=0,"",(COUNTIFS(tblVerifyLines[Customer],$B$74,tblVerifyLines[On time],"Yes"))/($C$74)))</f>
        <v>0.333333333333333</v>
      </c>
      <c r="E74" s="48">
        <f>IF($B$74="","",IF(($C$74)=0,"",(COUNTIFS(tblVerifyLines[Customer],$B$74,tblVerifyLines[In full],"Yes"))/($C$74)))</f>
        <v>0.666666666666667</v>
      </c>
      <c r="F74" s="48">
        <f>IF($B$74="","",IF(($C$74)=0,"",(COUNTIFS(tblVerifyLines[Customer],$B$74,tblVerifyLines[OTIF],"Yes"))/($C$74)))</f>
        <v>0</v>
      </c>
      <c r="G74" s="37" t="str">
        <f>IF($B$74="","",IF(NOT(ISNUMBER($F$74)),"",IF($F$74&gt;=$E$37,"On target",IF($F$74&gt;=$E$37*0.95,"Near target","Below target"))))</f>
        <v>Below target</v>
      </c>
      <c r="H74" s="37"/>
      <c r="I74" s="48">
        <f>IF($B$74="","",IF((SUMIFS(tblVerifyLines[Qty ordered (units)],tblVerifyLines[Customer],$B$74,tblVerifyLines[OTIF],"&lt;&gt;"))=0,"",(SUMIFS(tblVerifyLines[Units filled],tblVerifyLines[Customer],$B$74))/(SUMIFS(tblVerifyLines[Qty ordered (units)],tblVerifyLines[Customer],$B$74,tblVerifyLines[OTIF],"&lt;&gt;"))))</f>
        <v>0.996666666666667</v>
      </c>
    </row>
    <row r="75" spans="2:12">
      <c r="B75" s="50">
        <f>IFERROR(INDEX(tblVerifyCustomers[Customer],3)&amp;"","")</f>
        <v/>
      </c>
      <c r="C75" s="38">
        <f>IF($B$75="","",COUNTIFS(tblVerifyLines[Customer],$B$75,tblVerifyLines[OTIF],"Yes")+COUNTIFS(tblVerifyLines[Customer],$B$75,tblVerifyLines[OTIF],"No"))</f>
        <v/>
      </c>
      <c r="D75" s="48">
        <f>IF($B$75="","",IF(($C$75)=0,"",(COUNTIFS(tblVerifyLines[Customer],$B$75,tblVerifyLines[On time],"Yes"))/($C$75)))</f>
        <v/>
      </c>
      <c r="E75" s="48">
        <f>IF($B$75="","",IF(($C$75)=0,"",(COUNTIFS(tblVerifyLines[Customer],$B$75,tblVerifyLines[In full],"Yes"))/($C$75)))</f>
        <v/>
      </c>
      <c r="F75" s="48">
        <f>IF($B$75="","",IF(($C$75)=0,"",(COUNTIFS(tblVerifyLines[Customer],$B$75,tblVerifyLines[OTIF],"Yes"))/($C$75)))</f>
        <v/>
      </c>
      <c r="G75" s="37">
        <f>IF($B$75="","",IF(NOT(ISNUMBER($F$75)),"",IF($F$75&gt;=$E$37,"On target",IF($F$75&gt;=$E$37*0.95,"Near target","Below target"))))</f>
        <v/>
      </c>
      <c r="H75" s="37"/>
      <c r="I75" s="48">
        <f>IF($B$75="","",IF((SUMIFS(tblVerifyLines[Qty ordered (units)],tblVerifyLines[Customer],$B$75,tblVerifyLines[OTIF],"&lt;&gt;"))=0,"",(SUMIFS(tblVerifyLines[Units filled],tblVerifyLines[Customer],$B$75))/(SUMIFS(tblVerifyLines[Qty ordered (units)],tblVerifyLines[Customer],$B$75,tblVerifyLines[OTIF],"&lt;&gt;"))))</f>
        <v/>
      </c>
    </row>
    <row r="76" spans="2:12">
      <c r="B76" s="50">
        <f>IFERROR(INDEX(tblVerifyCustomers[Customer],4)&amp;"","")</f>
        <v/>
      </c>
      <c r="C76" s="38">
        <f>IF($B$76="","",COUNTIFS(tblVerifyLines[Customer],$B$76,tblVerifyLines[OTIF],"Yes")+COUNTIFS(tblVerifyLines[Customer],$B$76,tblVerifyLines[OTIF],"No"))</f>
        <v/>
      </c>
      <c r="D76" s="48">
        <f>IF($B$76="","",IF(($C$76)=0,"",(COUNTIFS(tblVerifyLines[Customer],$B$76,tblVerifyLines[On time],"Yes"))/($C$76)))</f>
        <v/>
      </c>
      <c r="E76" s="48">
        <f>IF($B$76="","",IF(($C$76)=0,"",(COUNTIFS(tblVerifyLines[Customer],$B$76,tblVerifyLines[In full],"Yes"))/($C$76)))</f>
        <v/>
      </c>
      <c r="F76" s="48">
        <f>IF($B$76="","",IF(($C$76)=0,"",(COUNTIFS(tblVerifyLines[Customer],$B$76,tblVerifyLines[OTIF],"Yes"))/($C$76)))</f>
        <v/>
      </c>
      <c r="G76" s="37">
        <f>IF($B$76="","",IF(NOT(ISNUMBER($F$76)),"",IF($F$76&gt;=$E$37,"On target",IF($F$76&gt;=$E$37*0.95,"Near target","Below target"))))</f>
        <v/>
      </c>
      <c r="H76" s="37"/>
      <c r="I76" s="48">
        <f>IF($B$76="","",IF((SUMIFS(tblVerifyLines[Qty ordered (units)],tblVerifyLines[Customer],$B$76,tblVerifyLines[OTIF],"&lt;&gt;"))=0,"",(SUMIFS(tblVerifyLines[Units filled],tblVerifyLines[Customer],$B$76))/(SUMIFS(tblVerifyLines[Qty ordered (units)],tblVerifyLines[Customer],$B$76,tblVerifyLines[OTIF],"&lt;&gt;"))))</f>
        <v/>
      </c>
    </row>
    <row r="77" spans="2:12">
      <c r="B77" s="50">
        <f>IFERROR(INDEX(tblVerifyCustomers[Customer],5)&amp;"","")</f>
        <v/>
      </c>
      <c r="C77" s="38">
        <f>IF($B$77="","",COUNTIFS(tblVerifyLines[Customer],$B$77,tblVerifyLines[OTIF],"Yes")+COUNTIFS(tblVerifyLines[Customer],$B$77,tblVerifyLines[OTIF],"No"))</f>
        <v/>
      </c>
      <c r="D77" s="48">
        <f>IF($B$77="","",IF(($C$77)=0,"",(COUNTIFS(tblVerifyLines[Customer],$B$77,tblVerifyLines[On time],"Yes"))/($C$77)))</f>
        <v/>
      </c>
      <c r="E77" s="48">
        <f>IF($B$77="","",IF(($C$77)=0,"",(COUNTIFS(tblVerifyLines[Customer],$B$77,tblVerifyLines[In full],"Yes"))/($C$77)))</f>
        <v/>
      </c>
      <c r="F77" s="48">
        <f>IF($B$77="","",IF(($C$77)=0,"",(COUNTIFS(tblVerifyLines[Customer],$B$77,tblVerifyLines[OTIF],"Yes"))/($C$77)))</f>
        <v/>
      </c>
      <c r="G77" s="37">
        <f>IF($B$77="","",IF(NOT(ISNUMBER($F$77)),"",IF($F$77&gt;=$E$37,"On target",IF($F$77&gt;=$E$37*0.95,"Near target","Below target"))))</f>
        <v/>
      </c>
      <c r="H77" s="37"/>
      <c r="I77" s="48">
        <f>IF($B$77="","",IF((SUMIFS(tblVerifyLines[Qty ordered (units)],tblVerifyLines[Customer],$B$77,tblVerifyLines[OTIF],"&lt;&gt;"))=0,"",(SUMIFS(tblVerifyLines[Units filled],tblVerifyLines[Customer],$B$77))/(SUMIFS(tblVerifyLines[Qty ordered (units)],tblVerifyLines[Customer],$B$77,tblVerifyLines[OTIF],"&lt;&gt;"))))</f>
        <v/>
      </c>
    </row>
    <row r="78" spans="2:12">
      <c r="B78" s="50">
        <f>IFERROR(INDEX(tblVerifyCustomers[Customer],6)&amp;"","")</f>
        <v/>
      </c>
      <c r="C78" s="38">
        <f>IF($B$78="","",COUNTIFS(tblVerifyLines[Customer],$B$78,tblVerifyLines[OTIF],"Yes")+COUNTIFS(tblVerifyLines[Customer],$B$78,tblVerifyLines[OTIF],"No"))</f>
        <v/>
      </c>
      <c r="D78" s="48">
        <f>IF($B$78="","",IF(($C$78)=0,"",(COUNTIFS(tblVerifyLines[Customer],$B$78,tblVerifyLines[On time],"Yes"))/($C$78)))</f>
        <v/>
      </c>
      <c r="E78" s="48">
        <f>IF($B$78="","",IF(($C$78)=0,"",(COUNTIFS(tblVerifyLines[Customer],$B$78,tblVerifyLines[In full],"Yes"))/($C$78)))</f>
        <v/>
      </c>
      <c r="F78" s="48">
        <f>IF($B$78="","",IF(($C$78)=0,"",(COUNTIFS(tblVerifyLines[Customer],$B$78,tblVerifyLines[OTIF],"Yes"))/($C$78)))</f>
        <v/>
      </c>
      <c r="G78" s="37">
        <f>IF($B$78="","",IF(NOT(ISNUMBER($F$78)),"",IF($F$78&gt;=$E$37,"On target",IF($F$78&gt;=$E$37*0.95,"Near target","Below target"))))</f>
        <v/>
      </c>
      <c r="H78" s="37"/>
      <c r="I78" s="48">
        <f>IF($B$78="","",IF((SUMIFS(tblVerifyLines[Qty ordered (units)],tblVerifyLines[Customer],$B$78,tblVerifyLines[OTIF],"&lt;&gt;"))=0,"",(SUMIFS(tblVerifyLines[Units filled],tblVerifyLines[Customer],$B$78))/(SUMIFS(tblVerifyLines[Qty ordered (units)],tblVerifyLines[Customer],$B$78,tblVerifyLines[OTIF],"&lt;&gt;"))))</f>
        <v/>
      </c>
    </row>
  </sheetData>
  <sheetProtection sheet="1" formatColumns="0" formatRows="0"/>
  <mergeCells count="47">
    <mergeCell ref="A1:P1"/>
    <mergeCell ref="B2:O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B29:L29"/>
    <mergeCell ref="B31:L31"/>
    <mergeCell ref="B32:F32"/>
    <mergeCell ref="B33:D33"/>
    <mergeCell ref="B34:D34"/>
    <mergeCell ref="B35:D35"/>
    <mergeCell ref="B36:D36"/>
    <mergeCell ref="B37:D37"/>
    <mergeCell ref="B38:D38"/>
    <mergeCell ref="B39:D39"/>
    <mergeCell ref="B41:L41"/>
    <mergeCell ref="B46:L46"/>
    <mergeCell ref="B51:L51"/>
    <mergeCell ref="B60:L60"/>
    <mergeCell ref="B71:L71"/>
    <mergeCell ref="G72:H72"/>
    <mergeCell ref="G73:H73"/>
    <mergeCell ref="G74:H74"/>
    <mergeCell ref="G75:H75"/>
    <mergeCell ref="G76:H76"/>
    <mergeCell ref="G77:H77"/>
    <mergeCell ref="G78:H78"/>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62:D69">
    <cfRule type="expression" dxfId="3" priority="43" stopIfTrue="1">
      <formula>AND(ISNUMBER(D62),D62&gt;=($E$38))</formula>
    </cfRule>
    <cfRule type="expression" dxfId="4" priority="44" stopIfTrue="1">
      <formula>AND(ISNUMBER(D62),D62&gt;=($E$38)*(1-0.05))</formula>
    </cfRule>
    <cfRule type="expression" dxfId="5" priority="45">
      <formula>ISNUMBER(D62)</formula>
    </cfRule>
  </conditionalFormatting>
  <conditionalFormatting sqref="D73:D78">
    <cfRule type="expression" dxfId="3" priority="52" stopIfTrue="1">
      <formula>AND(ISNUMBER(D73),D73&gt;=($E$38))</formula>
    </cfRule>
    <cfRule type="expression" dxfId="4" priority="53" stopIfTrue="1">
      <formula>AND(ISNUMBER(D73),D73&gt;=($E$38)*(1-0.05))</formula>
    </cfRule>
    <cfRule type="expression" dxfId="5" priority="54">
      <formula>ISNUMBER(D73)</formula>
    </cfRule>
  </conditionalFormatting>
  <conditionalFormatting sqref="E62:E69">
    <cfRule type="expression" dxfId="3" priority="46" stopIfTrue="1">
      <formula>AND(ISNUMBER(E62),E62&gt;=($E$39))</formula>
    </cfRule>
    <cfRule type="expression" dxfId="4" priority="47" stopIfTrue="1">
      <formula>AND(ISNUMBER(E62),E62&gt;=($E$39)*(1-0.05))</formula>
    </cfRule>
    <cfRule type="expression" dxfId="5" priority="48">
      <formula>ISNUMBER(E62)</formula>
    </cfRule>
  </conditionalFormatting>
  <conditionalFormatting sqref="E73:E78">
    <cfRule type="expression" dxfId="3" priority="55" stopIfTrue="1">
      <formula>AND(ISNUMBER(E73),E73&gt;=($E$39))</formula>
    </cfRule>
    <cfRule type="expression" dxfId="4" priority="56" stopIfTrue="1">
      <formula>AND(ISNUMBER(E73),E73&gt;=($E$39)*(1-0.05))</formula>
    </cfRule>
    <cfRule type="expression" dxfId="5" priority="57">
      <formula>ISNUMBER(E73)</formula>
    </cfRule>
  </conditionalFormatting>
  <conditionalFormatting sqref="F62:F69">
    <cfRule type="expression" dxfId="3" priority="49" stopIfTrue="1">
      <formula>AND(ISNUMBER(F62),F62&gt;=($E$37))</formula>
    </cfRule>
    <cfRule type="expression" dxfId="4" priority="50" stopIfTrue="1">
      <formula>AND(ISNUMBER(F62),F62&gt;=($E$37)*(1-0.05))</formula>
    </cfRule>
    <cfRule type="expression" dxfId="5" priority="51">
      <formula>ISNUMBER(F62)</formula>
    </cfRule>
  </conditionalFormatting>
  <conditionalFormatting sqref="F73:F78">
    <cfRule type="expression" dxfId="3" priority="58" stopIfTrue="1">
      <formula>AND(ISNUMBER(F73),F73&gt;=($E$37))</formula>
    </cfRule>
    <cfRule type="expression" dxfId="4" priority="59" stopIfTrue="1">
      <formula>AND(ISNUMBER(F73),F73&gt;=($E$37)*(1-0.05))</formula>
    </cfRule>
    <cfRule type="expression" dxfId="5" priority="60">
      <formula>ISNUMBER(F73)</formula>
    </cfRule>
  </conditionalFormatting>
  <conditionalFormatting sqref="G73:G78">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K11:K2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53:O58">
    <cfRule type="expression" dxfId="3" priority="41">
      <formula>$O53="OK"</formula>
    </cfRule>
    <cfRule type="expression" dxfId="1" priority="42">
      <formula>AND($O53&lt;&gt;"",$O53&lt;&gt;"OK")</formula>
    </cfRule>
  </conditionalFormatting>
  <hyperlinks>
    <hyperlink ref="P2" r:id="rId1" tooltip="Free manufacturing calculators and templates"/>
  </hyperlinks>
  <printOptions horizontalCentered="1"/>
  <pageMargins left="0.4" right="0.4" top="0.7" bottom="0.65" header="0.3" footer="0.3"/>
  <pageSetup fitToHeight="0" orientation="landscape"/>
  <headerFooter>
    <oddHeader>&amp;L&amp;8MFG Calcs - OTIF Delivery Tracker&amp;R&amp;8&amp;A</oddHeader>
    <oddFooter>&amp;L&amp;8mfgcalcs.com - free manufacturing templates&amp;R&amp;8Page &amp;P of &amp;N</oddFooter>
  </headerFooter>
  <rowBreaks count="1" manualBreakCount="1">
    <brk id="39"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Start Here</vt:lpstr>
      <vt:lpstr>Setup</vt:lpstr>
      <vt:lpstr>Delivery Log</vt:lpstr>
      <vt:lpstr>Dashboard</vt:lpstr>
      <vt:lpstr>Method</vt:lpstr>
      <vt:lpstr>Verify</vt:lpstr>
      <vt:lpstr>CompanyName</vt:lpstr>
      <vt:lpstr>EarlyDays</vt:lpstr>
      <vt:lpstr>KpiFill</vt:lpstr>
      <vt:lpstr>KpiIF</vt:lpstr>
      <vt:lpstr>KpiOT</vt:lpstr>
      <vt:lpstr>KpiOTIF</vt:lpstr>
      <vt:lpstr>LateDays</vt:lpstr>
      <vt:lpstr>OverTol</vt:lpstr>
      <vt:lpstr>Dashboard!Print_Area</vt:lpstr>
      <vt:lpstr>'Delivery Log'!Print_Area</vt:lpstr>
      <vt:lpstr>Method!Print_Area</vt:lpstr>
      <vt:lpstr>Setup!Print_Area</vt:lpstr>
      <vt:lpstr>'Start Here'!Print_Area</vt:lpstr>
      <vt:lpstr>Verify!Print_Area</vt:lpstr>
      <vt:lpstr>'Delivery Log'!Print_Titles</vt:lpstr>
      <vt:lpstr>Method!Print_Titles</vt:lpstr>
      <vt:lpstr>SelfCheck</vt:lpstr>
      <vt:lpstr>SelfCheckSummary</vt:lpstr>
      <vt:lpstr>TargetIF</vt:lpstr>
      <vt:lpstr>TargetOT</vt:lpstr>
      <vt:lpstr>TargetOTIF</vt:lpstr>
      <vt:lpstr>UnderTol</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OTIF Delivery Tracker - free Excel template from MFG Calcs</dc:title>
  <dc:subject>Log every delivered order line against its promise and see on-time, in-full and OTIF performance by week and customer, with the reason behind every miss.</dc:subject>
  <dc:creator>MFG Calcs</dc:creator>
  <cp:keywords>OTIF, on time in full, on-time delivery, delivery performance, fill rate, customer service level, OTD</cp:keywords>
  <dc:description>https://www.mfgcalcs.com/templates/otif-delivery-tracker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otif-delivery-tracker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https://www.mfgcalcs.com/templates/otif-delivery-tracker</vt:lpwstr>
  </property>
  <property fmtid="{D5CDD505-2E9C-101B-9397-08002B2CF9AE}" pid="7" name="Template sheet roles">
    <vt:lpwstr>Start Here=start;Setup=setup;Delivery Log=work;Dashboard=dashboard;Method=method;Verify=verify</vt:lpwstr>
  </property>
</Properties>
</file>