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Overtime Log" sheetId="3" r:id="rId3"/>
    <sheet name="OT Request" sheetId="4" r:id="rId4"/>
    <sheet name="Dashboard" sheetId="5" r:id="rId5"/>
    <sheet name="Method" sheetId="6" r:id="rId6"/>
    <sheet name="Verify" sheetId="7" r:id="rId7"/>
  </sheets>
  <definedNames>
    <definedName name="Burden">Setup!$C$11</definedName>
    <definedName name="Currency">Setup!$C$7</definedName>
    <definedName name="DashDept">Dashboard!$C$4</definedName>
    <definedName name="DashFrom">Dashboard!$G$4</definedName>
    <definedName name="DashTo">Dashboard!$K$4</definedName>
    <definedName name="Departments">tblDepartments[Department]</definedName>
    <definedName name="Employees">tblEmployees[Employee]</definedName>
    <definedName name="FFrom">IF(DashFrom="",0,DashFrom)</definedName>
    <definedName name="FTo">IF(DashTo="",2958465,DashTo)</definedName>
    <definedName name="KpiCost">Dashboard!$G$8</definedName>
    <definedName name="KpiOT">Dashboard!$B$8</definedName>
    <definedName name="KpiOut">Dashboard!$J$8</definedName>
    <definedName name="KpiPeople">Dashboard!$J$30</definedName>
    <definedName name="KpiPrem">Dashboard!$B$30</definedName>
    <definedName name="KpiShare">Dashboard!$D$8</definedName>
    <definedName name="KpiTopReason">Dashboard!$G$30</definedName>
    <definedName name="KpiUsed">Dashboard!$D$30</definedName>
    <definedName name="OTLimit">Setup!$C$12</definedName>
    <definedName name="PlantName">Setup!$C$6</definedName>
    <definedName name="_xlnm.Print_Area" localSheetId="4">Dashboard!$A$1:$L$89</definedName>
    <definedName name="_xlnm.Print_Area" localSheetId="5">Method!$A$1:$D$57</definedName>
    <definedName name="_xlnm.Print_Area" localSheetId="3">'OT Request'!$A$1:$E$25</definedName>
    <definedName name="_xlnm.Print_Area" localSheetId="2">'Overtime Log'!$A$1:$S$134</definedName>
    <definedName name="_xlnm.Print_Area" localSheetId="1">Setup!$A$1:$E$57</definedName>
    <definedName name="_xlnm.Print_Area" localSheetId="0">'Start Here'!$A$1:$F$57</definedName>
    <definedName name="_xlnm.Print_Area" localSheetId="6">Verify!$A$1:$S$77</definedName>
    <definedName name="_xlnm.Print_Titles" localSheetId="5">Method!$1:$2</definedName>
    <definedName name="_xlnm.Print_Titles" localSheetId="2">'Overtime Log'!$1:$6</definedName>
    <definedName name="Rate1">Setup!$C$9</definedName>
    <definedName name="Rate2">Setup!$C$10</definedName>
    <definedName name="Reasons">tblReasons[Reason]</definedName>
    <definedName name="ReqAllow">'OT Request'!$C$9</definedName>
    <definedName name="ReqBand">'OT Request'!$C$12</definedName>
    <definedName name="ReqBase">'OT Request'!$C$16</definedName>
    <definedName name="ReqCost">'OT Request'!$C$21</definedName>
    <definedName name="ReqCrew">'OT Request'!$C$10</definedName>
    <definedName name="ReqDept">'OT Request'!$C$6</definedName>
    <definedName name="ReqLimit">'OT Request'!$C$23</definedName>
    <definedName name="ReqLine">'OT Request'!$C$17</definedName>
    <definedName name="ReqMin">'OT Request'!$C$18</definedName>
    <definedName name="ReqMult">'OT Request'!$C$20</definedName>
    <definedName name="ReqPerHour">'OT Request'!$C$8</definedName>
    <definedName name="ReqPerson">'OT Request'!$C$19</definedName>
    <definedName name="ReqPremium">'OT Request'!$C$22</definedName>
    <definedName name="ReqRate">'OT Request'!$C$11</definedName>
    <definedName name="ReqUnits">'OT Request'!$C$7</definedName>
    <definedName name="SelfCheck">Verify!$D$4</definedName>
    <definedName name="SelfCheckSummary">Verify!$F$4</definedName>
    <definedName name="StdWeek">Setup!$C$8</definedName>
    <definedName name="TargetShare">Setup!$C$14</definedName>
    <definedName name="TotalLimit">Setup!$C$13</definedName>
  </definedNames>
  <calcPr calcId="124519" fullCalcOnLoad="1"/>
</workbook>
</file>

<file path=xl/sharedStrings.xml><?xml version="1.0" encoding="utf-8"?>
<sst xmlns="http://schemas.openxmlformats.org/spreadsheetml/2006/main" count="1032" uniqueCount="319">
  <si>
    <t>Overtime Tracker</t>
  </si>
  <si>
    <t>Read this first: what the workbook does and how to use it.</t>
  </si>
  <si>
    <t>mfgcalcs.com</t>
  </si>
  <si>
    <t>Log each person's weekly overtime and see hours, cost and reasons by department against budget, who is over your limits, and what a new request will cost.</t>
  </si>
  <si>
    <t>For: Plant and production managers, shift supervisors, HR and payroll coordinators, and the finance partners who approve overtime.</t>
  </si>
  <si>
    <t>Version 1.0.0  ·  updated 15 October 2026</t>
  </si>
  <si>
    <t>Quick start</t>
  </si>
  <si>
    <t>1.</t>
  </si>
  <si>
    <t>On Setup, type your currency, overtime rates, on-costs and limits, then replace the example departments (weekly budgets), employees (base rates) and reasons.</t>
  </si>
  <si>
    <t>2.</t>
  </si>
  <si>
    <t>On Overtime Log, add one row per person per week: regular hours, overtime hours at each rate and the main reason.</t>
  </si>
  <si>
    <t>3.</t>
  </si>
  <si>
    <t>Read the Limits and Check columns: they name anyone over a limit and any data problem in words.</t>
  </si>
  <si>
    <t>4.</t>
  </si>
  <si>
    <t>Open the Dashboard and filter it by department or weeks.</t>
  </si>
  <si>
    <t>5.</t>
  </si>
  <si>
    <t>Before you approve more overtime, size it on OT Request: units behind, line rate and crew give hours and cost.</t>
  </si>
  <si>
    <t>What is in this workbook</t>
  </si>
  <si>
    <t>Start Here</t>
  </si>
  <si>
    <t>Setup</t>
  </si>
  <si>
    <t>Currency, overtime rates, on-costs and limits, and the department, employee and reason lists.</t>
  </si>
  <si>
    <t>Overtime Log</t>
  </si>
  <si>
    <t>One row per person per week: regular hours, overtime hours at each rate and the main reason.</t>
  </si>
  <si>
    <t>OT Request</t>
  </si>
  <si>
    <t>Size an overtime request before you approve it: line hours, person-hours and cost.</t>
  </si>
  <si>
    <t>Dashboard</t>
  </si>
  <si>
    <t>Overtime hours, share and cost against budget and limits, for the department and weeks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</si>
  <si>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</si>
  <si>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</si>
  <si>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</si>
  <si>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</si>
  <si>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</si>
  <si>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</si>
  <si>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</si>
  <si>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</si>
  <si>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</si>
  <si>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</si>
  <si>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</si>
  <si>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</si>
  <si>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</si>
  <si>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</si>
  <si>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</si>
  <si>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</si>
  <si>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</si>
  <si>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</si>
  <si>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</si>
  <si>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</si>
  <si>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Required Line Overtime Calculator on mfgcalcs.com</t>
  </si>
  <si>
    <t>Latest version</t>
  </si>
  <si>
    <t>mfgcalcs.com/templates/overtime-tracker</t>
  </si>
  <si>
    <t>More free templates</t>
  </si>
  <si>
    <t>mfgcalcs.com/templates</t>
  </si>
  <si>
    <t>Version</t>
  </si>
  <si>
    <t>1.0.0 (updated 15 October 2026)</t>
  </si>
  <si>
    <t>About the example data</t>
  </si>
  <si>
    <t>Every number already in this workbook is example data for Northbank Foods, a fictional business invented for this template, so the dashboard and charts show something meaningful on day one. It covers 16 people in five departments over eight weeks (3 August to 25 September 2026, with Labour Day on 7 September), generated from a fixed seed; names, pay rates and budgets are invented.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</si>
  <si>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</si>
  <si>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</si>
  <si>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</si>
  <si>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</si>
  <si>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</si>
  <si>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</si>
  <si>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</si>
  <si>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</si>
  <si>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Department</t>
  </si>
  <si>
    <t>Weekly OT budget (h)</t>
  </si>
  <si>
    <t>Notes</t>
  </si>
  <si>
    <t>Employee</t>
  </si>
  <si>
    <t>Base rate</t>
  </si>
  <si>
    <t>Reason</t>
  </si>
  <si>
    <t>Plant, pay rules and limits</t>
  </si>
  <si>
    <t>Plant or site</t>
  </si>
  <si>
    <t>Northbank Foods (example)</t>
  </si>
  <si>
    <t>Currency label</t>
  </si>
  <si>
    <t>CAD</t>
  </si>
  <si>
    <t>Straight-time hours in a normal week</t>
  </si>
  <si>
    <t>h per week</t>
  </si>
  <si>
    <t>Overtime rate 1</t>
  </si>
  <si>
    <t>x base rate</t>
  </si>
  <si>
    <t>Overtime rate 2</t>
  </si>
  <si>
    <t>Pay-linked on-costs</t>
  </si>
  <si>
    <t>Overtime limit per person</t>
  </si>
  <si>
    <t>Total hours limit per person</t>
  </si>
  <si>
    <t>Overtime share ceiling</t>
  </si>
  <si>
    <t>Rates, limits and the ceiling are yours to set from your law, agreements and policy; nothing here is legal advice. Examples of rules people set here: time and a half after a weekly threshold, double time on rest days, a cap on weekly hours. Near the ceiling means within 5% above it.</t>
  </si>
  <si>
    <t>Lists that feed the dropdowns</t>
  </si>
  <si>
    <t>Edit, add or remove rows; every dropdown reads these lists. Keep names unique and rename with care: log rows that use an old name stop matching, and their Check column says so. Base rates are example figures.</t>
  </si>
  <si>
    <t>Departments and weekly overtime budgets</t>
  </si>
  <si>
    <t>Processing</t>
  </si>
  <si>
    <t>Mixing, cooking and filling</t>
  </si>
  <si>
    <t>Packaging</t>
  </si>
  <si>
    <t>Case packing and palletising</t>
  </si>
  <si>
    <t>Sanitation</t>
  </si>
  <si>
    <t>Daily and weekly cleans</t>
  </si>
  <si>
    <t>Maintenance</t>
  </si>
  <si>
    <t>Mechanical and electrical</t>
  </si>
  <si>
    <t>Warehouse</t>
  </si>
  <si>
    <t>Receiving and shipping</t>
  </si>
  <si>
    <t>Employees</t>
  </si>
  <si>
    <t>A. Kowalski</t>
  </si>
  <si>
    <t>M. Tremblay</t>
  </si>
  <si>
    <t>S. Nguyen</t>
  </si>
  <si>
    <t>R. Patel</t>
  </si>
  <si>
    <t>J. Okafor</t>
  </si>
  <si>
    <t>L. Moreau</t>
  </si>
  <si>
    <t>D. Singh</t>
  </si>
  <si>
    <t>K. Lee</t>
  </si>
  <si>
    <t>E. Martin</t>
  </si>
  <si>
    <t>T. Roy</t>
  </si>
  <si>
    <t>P. Haddad</t>
  </si>
  <si>
    <t>G. Ferreira</t>
  </si>
  <si>
    <t>H. Campbell</t>
  </si>
  <si>
    <t>B. Leblanc</t>
  </si>
  <si>
    <t>C. Wong</t>
  </si>
  <si>
    <t>N. Bouchard</t>
  </si>
  <si>
    <t>Overtime reasons</t>
  </si>
  <si>
    <t>Backlog recovery</t>
  </si>
  <si>
    <t>Late orders</t>
  </si>
  <si>
    <t>Customer rush order</t>
  </si>
  <si>
    <t>Above the plan</t>
  </si>
  <si>
    <t>Absence cover</t>
  </si>
  <si>
    <t>Sickness or leave</t>
  </si>
  <si>
    <t>Vacancy cover</t>
  </si>
  <si>
    <t>Unfilled position</t>
  </si>
  <si>
    <t>Breakdown recovery</t>
  </si>
  <si>
    <t>After a breakdown</t>
  </si>
  <si>
    <t>Planned maintenance</t>
  </si>
  <si>
    <t>Planned ahead</t>
  </si>
  <si>
    <t>Training</t>
  </si>
  <si>
    <t>Outside hours</t>
  </si>
  <si>
    <t>Week starting</t>
  </si>
  <si>
    <t>Regular hours (h)</t>
  </si>
  <si>
    <t>OT at rate 1 (h)</t>
  </si>
  <si>
    <t>OT at rate 2 (h)</t>
  </si>
  <si>
    <t>Approved by</t>
  </si>
  <si>
    <t>Overtime hours (h)</t>
  </si>
  <si>
    <t>Total hours (h)</t>
  </si>
  <si>
    <t>OT share</t>
  </si>
  <si>
    <t>OT cost (est.)</t>
  </si>
  <si>
    <t>OT premium (est.)</t>
  </si>
  <si>
    <t>Limits</t>
  </si>
  <si>
    <t>View date</t>
  </si>
  <si>
    <t>Check</t>
  </si>
  <si>
    <t>Example data for Northbank Foods (fictional people and pay). Replace it with your own: select the example rows, right-click, Delete &gt; Table Rows. One row per person per week, including weeks with no overtime (they count in the overtime share).</t>
  </si>
  <si>
    <t/>
  </si>
  <si>
    <t>F. Dubois</t>
  </si>
  <si>
    <t>Y. Ali</t>
  </si>
  <si>
    <t>Covering T. Roy's leave</t>
  </si>
  <si>
    <t>On leave (paid leave is not hours worked)</t>
  </si>
  <si>
    <t>W. Grant</t>
  </si>
  <si>
    <t>Filler gearbox failure</t>
  </si>
  <si>
    <t>Worked Labour Day (rate 2)</t>
  </si>
  <si>
    <t>Shutdown weekend (rate 2)</t>
  </si>
  <si>
    <t>The request</t>
  </si>
  <si>
    <t>Good units to recover</t>
  </si>
  <si>
    <t>units</t>
  </si>
  <si>
    <t>Demonstrated good output</t>
  </si>
  <si>
    <t>units per line-hour</t>
  </si>
  <si>
    <t>Setup and delay allowance</t>
  </si>
  <si>
    <t>Crew on the line</t>
  </si>
  <si>
    <t>people</t>
  </si>
  <si>
    <t>Average base rate of the crew</t>
  </si>
  <si>
    <t>Overtime rate band</t>
  </si>
  <si>
    <t>Rate 1</t>
  </si>
  <si>
    <t>What it takes</t>
  </si>
  <si>
    <t>Run time at the demonstrated rate</t>
  </si>
  <si>
    <t>line-hours</t>
  </si>
  <si>
    <t>Overtime line-hours needed</t>
  </si>
  <si>
    <t>Overtime line-minutes needed</t>
  </si>
  <si>
    <t>line-minutes</t>
  </si>
  <si>
    <t>Overtime person-hours</t>
  </si>
  <si>
    <t>person-hours</t>
  </si>
  <si>
    <t>Multiplier</t>
  </si>
  <si>
    <t>Estimated overtime cost</t>
  </si>
  <si>
    <t>of which premium over straight time</t>
  </si>
  <si>
    <t>Each person against the weekly overtime limit</t>
  </si>
  <si>
    <t>Each person on the crew works the line-hours, so the limit check compares line-hours with the weekly overtime limit on Setup. It does not know the overtime they already worked this week: check the Overtime Log before you approve. The cost is an estimate at the crew's average base rate.</t>
  </si>
  <si>
    <t>From week</t>
  </si>
  <si>
    <t>To week</t>
  </si>
  <si>
    <t>OVERTIME HOURS</t>
  </si>
  <si>
    <t>OVERTIME SHARE OF HOURS</t>
  </si>
  <si>
    <t>PERSON-WEEKS OUT OF LIMITS</t>
  </si>
  <si>
    <t>Hours x base rate x rate x (1 + on-costs)</t>
  </si>
  <si>
    <t>OVERTIME BUDGET USED</t>
  </si>
  <si>
    <t>BIGGEST OVERTIME REASON</t>
  </si>
  <si>
    <t>PEOPLE WITH OVERTIME</t>
  </si>
  <si>
    <t>The part of the cost above base rate</t>
  </si>
  <si>
    <t>Overtime hours / budget for the weeks in view</t>
  </si>
  <si>
    <t>Ranked by hours, see the Pareto</t>
  </si>
  <si>
    <t>Of the people on the Setup list</t>
  </si>
  <si>
    <t>Weekly summary (last 8 weeks in view, oldest first)</t>
  </si>
  <si>
    <t>Week starting (Mon)</t>
  </si>
  <si>
    <t>Regular (h)</t>
  </si>
  <si>
    <t>Overtime (h)</t>
  </si>
  <si>
    <t>Budget (h)</t>
  </si>
  <si>
    <t>Out of limits</t>
  </si>
  <si>
    <t>Against budget</t>
  </si>
  <si>
    <t>By department (budget = weekly budget x weeks in view)</t>
  </si>
  <si>
    <t>Budget used</t>
  </si>
  <si>
    <t>Premium (est.)</t>
  </si>
  <si>
    <t>Overtime hours by reason (Pareto)</t>
  </si>
  <si>
    <t>Rank</t>
  </si>
  <si>
    <t>Overtime</t>
  </si>
  <si>
    <t>Share</t>
  </si>
  <si>
    <t>Cumulative</t>
  </si>
  <si>
    <t>Helper: Reason (list order)</t>
  </si>
  <si>
    <t>Helper: value (-1 = unused slot)</t>
  </si>
  <si>
    <t>Helper: rank, ties by list order</t>
  </si>
  <si>
    <t>h</t>
  </si>
  <si>
    <t>%</t>
  </si>
  <si>
    <t>Total</t>
  </si>
  <si>
    <t>By person (fatigue and fairness)</t>
  </si>
  <si>
    <t>Weeks with OT</t>
  </si>
  <si>
    <t>OT per week worked (h)</t>
  </si>
  <si>
    <t>Weeks out of limits</t>
  </si>
  <si>
    <t>The Dashboard shows the 5 departments, 7 reasons and 16 employees of the Setup lists. If you add more, extend the By department, Pareto and By person blocks (see Method) or they will not appear here.</t>
  </si>
  <si>
    <t>What this workbook calculates</t>
  </si>
  <si>
    <t>Overtime is tracked per person per week: the hours your payroll paid at straight time and at each overtime rate. From them the workbook forms overtime hours, the overtime share of hours worked, the estimated cost and the premium over straight time, and whether the person stayed inside your weekly limits. The Dashboard sums any department and range of weeks and compares overtime with the department budgets. The OT Request sheet sizes a request before it is approved, from the units to recover and the rate the line has shown it can hold.</t>
  </si>
  <si>
    <t>Calculations</t>
  </si>
  <si>
    <t>Quantity</t>
  </si>
  <si>
    <t>How it is calculated</t>
  </si>
  <si>
    <t>Units</t>
  </si>
  <si>
    <t>Overtime hours</t>
  </si>
  <si>
    <t>OT at rate 1 + OT at rate 2, as typed per person-week.</t>
  </si>
  <si>
    <t>Total hours</t>
  </si>
  <si>
    <t>Regular hours + overtime hours: hours worked, not paid leave.</t>
  </si>
  <si>
    <t>Overtime share</t>
  </si>
  <si>
    <t>Overtime hours / total hours. Over several rows: sum of overtime / sum of total hours.</t>
  </si>
  <si>
    <t>Overtime cost (est.)</t>
  </si>
  <si>
    <t>(Rate 1 hours x rate 1 + rate 2 hours x rate 2) x base rate x (1 + pay-linked on-costs). The base rate comes from the Employees list.</t>
  </si>
  <si>
    <t>currency</t>
  </si>
  <si>
    <t>(Rate 1 hours x (rate 1 - 1) + rate 2 hours x (rate 2 - 1)) x base rate x (1 + on-costs): the cost above straight time.</t>
  </si>
  <si>
    <t>Out of limits when overtime hours &gt; the weekly overtime limit, or total hours &gt; the total-hours limit (Setup).</t>
  </si>
  <si>
    <t>-</t>
  </si>
  <si>
    <t>Budget in view</t>
  </si>
  <si>
    <t>Weeks from the first to the last week in view x the sum of the weekly budgets of the departments in the filter.</t>
  </si>
  <si>
    <t>Status against budget or ceiling</t>
  </si>
  <si>
    <t>On target at or below; Near target up to 5% above; Above target beyond.</t>
  </si>
  <si>
    <t>OT Request line-hours</t>
  </si>
  <si>
    <t>Good units to recover / demonstrated good output per line-hour x (1 + allowance).</t>
  </si>
  <si>
    <t>line-h</t>
  </si>
  <si>
    <t>OT Request person-hours and cost</t>
  </si>
  <si>
    <t>Line-hours x crew; cost = person-hours x average base rate x the chosen rate x (1 + on-costs).</t>
  </si>
  <si>
    <t>h, currency</t>
  </si>
  <si>
    <t>Dashboard roll-ups</t>
  </si>
  <si>
    <t>SUMIFS and COUNTIFS over the log for rows whose View date is filled in (inside the department and week filters). The Pareto ranks reasons with COUNTIF; its helper columns AO:AQ on the Dashboard are hidden.</t>
  </si>
  <si>
    <t>Assumptions</t>
  </si>
  <si>
    <t>Each row is one person-week, typed the way payroll classified the hours; the workbook does not decide what counts as overtime under your rules.</t>
  </si>
  <si>
    <t>Overtime hours are paid at one of two multipliers of the person's base rate, and on-costs rise in proportion to pay.</t>
  </si>
  <si>
    <t>Every person has a row every week they are employed, so the weeks in view are contiguous and the overtime share has the right denominator.</t>
  </si>
  <si>
    <t>The OT Request assumes the whole crew works every line-hour at the demonstrated rate.</t>
  </si>
  <si>
    <t>Limitations</t>
  </si>
  <si>
    <t>Shift premiums, call-out minimums, meal allowances and banked time are not modelled; add them to the base rate or track them separately.</t>
  </si>
  <si>
    <t>Limits are checked per week; rolling averages over longer reference periods (used by some working-time rules) are not.</t>
  </si>
  <si>
    <t>The cost is an estimate from base rates and an on-cost percentage, not a payroll figure.</t>
  </si>
  <si>
    <t>The Dashboard has fixed blocks for 5 departments, 7 reasons and 16 people; longer lists need the blocks extended (a warning appears on the Dashboard).</t>
  </si>
  <si>
    <t>Agreement with the live calculator</t>
  </si>
  <si>
    <t>The OT Request sheet reproduces the live Required Line Overtime calculator: line-hours = excess good units / good units per line-minute / 60 x (1 + setup and delay allowance). Here the rate is typed per line-hour, which is the per-minute rate x 60 exactly. The per-row cost reproduces the live Overtime Cost calculator: cost per overtime hour = base rate x multiplier x (1 + pay-linked burden), premium = base rate x (multiplier - 1) x (1 + burden) per hour. The template's reference implementation is checked against both engines on every build, for each calculator's own example and for this workbook's example request.</t>
  </si>
  <si>
    <t>Open the Required Line Overtime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</si>
  <si>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</si>
  <si>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</si>
  <si>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Your employment law, collective agreement or policy for overtime thresholds, multipliers and hour limits (for example the US Fair Labor Standards Act, Canadian provincial employment standards, India's Factories Act, the EU Working Time Directive).</t>
  </si>
  <si>
    <t>MFG Calcs Required Line Overtime calculator (overtime-dependency) and Overtime Cost calculator (overtime-cost): the OT Request and the cost formulas.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</si>
  <si>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</si>
  <si>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</si>
  <si>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</si>
  <si>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</si>
  <si>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</si>
  <si>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</si>
  <si>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</si>
  <si>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</si>
  <si>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</si>
  <si>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</si>
  <si>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</si>
  <si>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</si>
  <si>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</si>
  <si>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</si>
  <si>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</si>
  <si>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</si>
  <si>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one operator): overtime cost</t>
  </si>
  <si>
    <t>Row 1: premium</t>
  </si>
  <si>
    <t>Row 1: overtime share</t>
  </si>
  <si>
    <t>Row 2 (both rates): overtime cost</t>
  </si>
  <si>
    <t>Row 2: premium</t>
  </si>
  <si>
    <t>Row 2: limits (12 h overtime is not above a 12 h limit)</t>
  </si>
  <si>
    <t>Within limits</t>
  </si>
  <si>
    <t>exact</t>
  </si>
  <si>
    <t>Row 3: 14 h overtime is out of limits</t>
  </si>
  <si>
    <t>Row 4: no overtime, share</t>
  </si>
  <si>
    <t>Row 5: Check flags a week not starting on Monday</t>
  </si>
  <si>
    <t>Week does not start on a Monday</t>
  </si>
  <si>
    <t>All rows: overtime hours (Dashboard formula)</t>
  </si>
  <si>
    <t>All rows: overtime share (Dashboard formula)</t>
  </si>
  <si>
    <t>All rows: overtime cost (Dashboard formula)</t>
  </si>
  <si>
    <t>All rows: person-weeks out of limits</t>
  </si>
  <si>
    <t>All rows: budget for the weeks in view</t>
  </si>
  <si>
    <t>Request: line-hours (calculator: Required Line Overtime)</t>
  </si>
  <si>
    <t>Request: line-minutes</t>
  </si>
  <si>
    <t>Request: person-hours (crew of 8)</t>
  </si>
  <si>
    <t>Request: estimated cost at rate 1</t>
  </si>
  <si>
    <t>Request: limit check</t>
  </si>
  <si>
    <t>Fixed test inputs</t>
  </si>
  <si>
    <t>White cells are fixed test inputs; blue cells are the workbook's formulas evaluated on them.</t>
  </si>
  <si>
    <t>Parameters</t>
  </si>
  <si>
    <t>Filter: from (0 = no limit)</t>
  </si>
  <si>
    <t>Filter: to (2958465 = no limit)</t>
  </si>
  <si>
    <t>Filter: department (blank = all)</t>
  </si>
  <si>
    <t>Pay-linked on-costs (the calculator's example)</t>
  </si>
  <si>
    <t>Test table: Departments</t>
  </si>
  <si>
    <t>D1</t>
  </si>
  <si>
    <t>D2</t>
  </si>
  <si>
    <t>Test table: OT</t>
  </si>
  <si>
    <t>P1</t>
  </si>
  <si>
    <t>R1</t>
  </si>
  <si>
    <t>P2</t>
  </si>
  <si>
    <t>P3</t>
  </si>
  <si>
    <t>R2</t>
  </si>
  <si>
    <t>Test request: the Required Line Overtime calculator's example (120 units at 12 a minute, 10%)</t>
  </si>
  <si>
    <t>Test request: results</t>
  </si>
</sst>
</file>

<file path=xl/styles.xml><?xml version="1.0" encoding="utf-8"?>
<styleSheet xmlns="http://schemas.openxmlformats.org/spreadsheetml/2006/main">
  <numFmts count="12">
    <numFmt numFmtId="164" formatCode="#,##0.0"/>
    <numFmt numFmtId="165" formatCode="0.00&quot;x&quot;"/>
    <numFmt numFmtId="166" formatCode="0.0%"/>
    <numFmt numFmtId="167" formatCode="#,##0.00"/>
    <numFmt numFmtId="168" formatCode="d mmm yyyy"/>
    <numFmt numFmtId="169" formatCode="#,##0"/>
    <numFmt numFmtId="170" formatCode="&quot;Budget &quot;#,##0.0"/>
    <numFmt numFmtId="171" formatCode="&quot;Ceiling &quot;0.0%"/>
    <numFmt numFmtId="172" formatCode="&quot;Limit &quot;#,##0"/>
    <numFmt numFmtId="173" formatCode="0%"/>
    <numFmt numFmtId="174" formatCode="0.0E+00"/>
    <numFmt numFmtId="175" formatCode="0.0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i/>
      <sz val="9"/>
      <color rgb="FF6B7280"/>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0" borderId="0" xfId="0" applyFont="1" applyAlignment="1">
      <alignment horizontal="center" vertical="center"/>
    </xf>
    <xf numFmtId="167" fontId="10" fillId="3" borderId="2" xfId="0" applyNumberFormat="1" applyFont="1" applyFill="1" applyBorder="1" applyAlignment="1" applyProtection="1">
      <alignment vertical="center"/>
      <protection locked="0"/>
    </xf>
    <xf numFmtId="0" fontId="20"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8" fontId="10" fillId="4" borderId="3" xfId="0" applyNumberFormat="1" applyFont="1" applyFill="1" applyBorder="1" applyAlignment="1">
      <alignment vertical="center"/>
    </xf>
    <xf numFmtId="0" fontId="21" fillId="4" borderId="3" xfId="0" applyFont="1" applyFill="1" applyBorder="1" applyAlignment="1">
      <alignment vertical="center"/>
    </xf>
    <xf numFmtId="169" fontId="10" fillId="3" borderId="2" xfId="0" applyNumberFormat="1" applyFont="1" applyFill="1" applyBorder="1" applyAlignment="1" applyProtection="1">
      <alignment vertical="center"/>
      <protection locked="0"/>
    </xf>
    <xf numFmtId="167" fontId="9"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8" fontId="10" fillId="3" borderId="2" xfId="0" applyNumberFormat="1" applyFont="1" applyFill="1" applyBorder="1" applyAlignment="1" applyProtection="1">
      <alignment horizontal="left" vertical="center"/>
      <protection locked="0"/>
    </xf>
    <xf numFmtId="0" fontId="19"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172"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73"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168" fontId="9" fillId="0" borderId="9" xfId="0" applyNumberFormat="1" applyFont="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173" fontId="10" fillId="4" borderId="3" xfId="0" applyNumberFormat="1" applyFont="1" applyFill="1" applyBorder="1" applyAlignment="1">
      <alignment vertical="center"/>
    </xf>
    <xf numFmtId="169" fontId="9" fillId="0" borderId="9" xfId="0" applyNumberFormat="1" applyFont="1" applyBorder="1" applyAlignment="1">
      <alignment horizontal="center" vertical="center"/>
    </xf>
    <xf numFmtId="164" fontId="10" fillId="0" borderId="0" xfId="0" applyNumberFormat="1" applyFont="1" applyAlignment="1">
      <alignment vertical="center"/>
    </xf>
    <xf numFmtId="169" fontId="10" fillId="0" borderId="0" xfId="0" applyNumberFormat="1" applyFont="1" applyAlignment="1">
      <alignment vertical="center"/>
    </xf>
    <xf numFmtId="0" fontId="9" fillId="4" borderId="10" xfId="0" applyFont="1" applyFill="1" applyBorder="1" applyAlignment="1">
      <alignment vertical="center"/>
    </xf>
    <xf numFmtId="164"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10" fillId="0" borderId="9" xfId="0" applyNumberFormat="1" applyFont="1" applyBorder="1" applyAlignment="1">
      <alignment vertical="center"/>
    </xf>
    <xf numFmtId="174" fontId="10" fillId="4" borderId="3" xfId="0" applyNumberFormat="1" applyFont="1" applyFill="1" applyBorder="1" applyAlignment="1">
      <alignment vertical="center"/>
    </xf>
    <xf numFmtId="174" fontId="10" fillId="0" borderId="9" xfId="0" applyNumberFormat="1" applyFont="1" applyBorder="1" applyAlignment="1">
      <alignment vertical="center"/>
    </xf>
    <xf numFmtId="166" fontId="10" fillId="0" borderId="9" xfId="0" applyNumberFormat="1" applyFont="1" applyBorder="1" applyAlignment="1">
      <alignment vertical="center"/>
    </xf>
    <xf numFmtId="169" fontId="10" fillId="0" borderId="9" xfId="0" applyNumberFormat="1" applyFont="1" applyBorder="1" applyAlignment="1">
      <alignment vertical="center"/>
    </xf>
    <xf numFmtId="175" fontId="10" fillId="0" borderId="9" xfId="0" applyNumberFormat="1" applyFont="1" applyBorder="1" applyAlignment="1">
      <alignment vertical="center"/>
    </xf>
    <xf numFmtId="175" fontId="10" fillId="4" borderId="3" xfId="0" applyNumberFormat="1" applyFont="1" applyFill="1" applyBorder="1" applyAlignment="1">
      <alignment vertical="center"/>
    </xf>
    <xf numFmtId="165"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Overtime hours by week against budget</a:t>
            </a:r>
          </a:p>
        </c:rich>
      </c:tx>
      <c:layout/>
    </c:title>
    <c:plotArea>
      <c:layout/>
      <c:barChart>
        <c:barDir val="col"/>
        <c:grouping val="clustered"/>
        <c:ser>
          <c:idx val="0"/>
          <c:order val="0"/>
          <c:tx>
            <c:v>Overtime hours</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Dashboard!$B$38:$B$45</c:f>
              <c:numCache>
                <c:formatCode>General</c:formatCode>
                <c:ptCount val="8"/>
                <c:pt idx="0">
                  <c:v>46237</c:v>
                </c:pt>
                <c:pt idx="1">
                  <c:v>46244</c:v>
                </c:pt>
                <c:pt idx="2">
                  <c:v>46251</c:v>
                </c:pt>
                <c:pt idx="3">
                  <c:v>46258</c:v>
                </c:pt>
                <c:pt idx="4">
                  <c:v>46265</c:v>
                </c:pt>
                <c:pt idx="5">
                  <c:v>46272</c:v>
                </c:pt>
                <c:pt idx="6">
                  <c:v>46279</c:v>
                </c:pt>
                <c:pt idx="7">
                  <c:v>46286</c:v>
                </c:pt>
              </c:numCache>
            </c:numRef>
          </c:cat>
          <c:val>
            <c:numRef>
              <c:f>Dashboard!$D$38:$D$45</c:f>
              <c:numCache>
                <c:formatCode>General</c:formatCode>
                <c:ptCount val="8"/>
                <c:pt idx="0">
                  <c:v>11</c:v>
                </c:pt>
                <c:pt idx="1">
                  <c:v>40</c:v>
                </c:pt>
                <c:pt idx="2">
                  <c:v>56</c:v>
                </c:pt>
                <c:pt idx="3">
                  <c:v>42.5</c:v>
                </c:pt>
                <c:pt idx="4">
                  <c:v>71.5</c:v>
                </c:pt>
                <c:pt idx="5">
                  <c:v>105</c:v>
                </c:pt>
                <c:pt idx="6">
                  <c:v>12</c:v>
                </c:pt>
                <c:pt idx="7">
                  <c:v>51.5</c:v>
                </c:pt>
              </c:numCache>
            </c:numRef>
          </c:val>
        </c:ser>
        <c:gapWidth val="60"/>
        <c:overlap val="-10"/>
        <c:axId val="50010001"/>
        <c:axId val="50010002"/>
      </c:barChart>
      <c:lineChart>
        <c:grouping val="standard"/>
        <c:ser>
          <c:idx val="1"/>
          <c:order val="1"/>
          <c:tx>
            <c:v>Budget</c:v>
          </c:tx>
          <c:spPr>
            <a:ln w="19050">
              <a:solidFill>
                <a:srgbClr val="4A5361"/>
              </a:solidFill>
              <a:prstDash val="dash"/>
            </a:ln>
          </c:spPr>
          <c:marker>
            <c:symbol val="none"/>
          </c:marker>
          <c:cat>
            <c:numRef>
              <c:f>Dashboard!$B$38:$B$45</c:f>
              <c:numCache>
                <c:formatCode>General</c:formatCode>
                <c:ptCount val="8"/>
                <c:pt idx="0">
                  <c:v>46237</c:v>
                </c:pt>
                <c:pt idx="1">
                  <c:v>46244</c:v>
                </c:pt>
                <c:pt idx="2">
                  <c:v>46251</c:v>
                </c:pt>
                <c:pt idx="3">
                  <c:v>46258</c:v>
                </c:pt>
                <c:pt idx="4">
                  <c:v>46265</c:v>
                </c:pt>
                <c:pt idx="5">
                  <c:v>46272</c:v>
                </c:pt>
                <c:pt idx="6">
                  <c:v>46279</c:v>
                </c:pt>
                <c:pt idx="7">
                  <c:v>46286</c:v>
                </c:pt>
              </c:numCache>
            </c:numRef>
          </c:cat>
          <c:val>
            <c:numRef>
              <c:f>Dashboard!$G$38:$G$45</c:f>
              <c:numCache>
                <c:formatCode>General</c:formatCode>
                <c:ptCount val="8"/>
                <c:pt idx="0">
                  <c:v>100</c:v>
                </c:pt>
                <c:pt idx="1">
                  <c:v>100</c:v>
                </c:pt>
                <c:pt idx="2">
                  <c:v>100</c:v>
                </c:pt>
                <c:pt idx="3">
                  <c:v>100</c:v>
                </c:pt>
                <c:pt idx="4">
                  <c:v>100</c:v>
                </c:pt>
                <c:pt idx="5">
                  <c:v>100</c:v>
                </c:pt>
                <c:pt idx="6">
                  <c:v>100</c:v>
                </c:pt>
                <c:pt idx="7">
                  <c:v>100</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Overtime by reason</a:t>
            </a:r>
          </a:p>
        </c:rich>
      </c:tx>
      <c:layout/>
    </c:title>
    <c:plotArea>
      <c:layout/>
      <c:barChart>
        <c:barDir val="col"/>
        <c:grouping val="clustered"/>
        <c:ser>
          <c:idx val="0"/>
          <c:order val="0"/>
          <c:tx>
            <c:v>Overtime hours</c:v>
          </c:tx>
          <c:spPr>
            <a:solidFill>
              <a:srgbClr val="3B64D8"/>
            </a:solidFill>
            <a:ln w="9525">
              <a:solidFill>
                <a:srgbClr val="FFFFFF"/>
              </a:solidFill>
            </a:ln>
          </c:spPr>
          <c:cat>
            <c:strRef>
              <c:f>Dashboard!$C$59:$C$65</c:f>
              <c:strCache>
                <c:ptCount val="7"/>
                <c:pt idx="0">
                  <c:v>Customer rush order</c:v>
                </c:pt>
                <c:pt idx="1">
                  <c:v>Backlog recovery</c:v>
                </c:pt>
                <c:pt idx="2">
                  <c:v>Absence cover</c:v>
                </c:pt>
                <c:pt idx="3">
                  <c:v>Breakdown recovery</c:v>
                </c:pt>
                <c:pt idx="4">
                  <c:v>Planned maintenance</c:v>
                </c:pt>
                <c:pt idx="5">
                  <c:v>Vacancy cover</c:v>
                </c:pt>
                <c:pt idx="6">
                  <c:v>Training</c:v>
                </c:pt>
              </c:strCache>
            </c:strRef>
          </c:cat>
          <c:val>
            <c:numRef>
              <c:f>Dashboard!$E$59:$E$65</c:f>
              <c:numCache>
                <c:formatCode>General</c:formatCode>
                <c:ptCount val="7"/>
                <c:pt idx="0">
                  <c:v>133.5</c:v>
                </c:pt>
                <c:pt idx="1">
                  <c:v>117</c:v>
                </c:pt>
                <c:pt idx="2">
                  <c:v>58</c:v>
                </c:pt>
                <c:pt idx="3">
                  <c:v>51</c:v>
                </c:pt>
                <c:pt idx="4">
                  <c:v>30</c:v>
                </c:pt>
                <c:pt idx="5">
                  <c:v>0</c:v>
                </c:pt>
                <c:pt idx="6">
                  <c:v>0</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Dashboard!$C$59:$C$65</c:f>
              <c:strCache>
                <c:ptCount val="7"/>
                <c:pt idx="0">
                  <c:v>Customer rush order</c:v>
                </c:pt>
                <c:pt idx="1">
                  <c:v>Backlog recovery</c:v>
                </c:pt>
                <c:pt idx="2">
                  <c:v>Absence cover</c:v>
                </c:pt>
                <c:pt idx="3">
                  <c:v>Breakdown recovery</c:v>
                </c:pt>
                <c:pt idx="4">
                  <c:v>Planned maintenance</c:v>
                </c:pt>
                <c:pt idx="5">
                  <c:v>Vacancy cover</c:v>
                </c:pt>
                <c:pt idx="6">
                  <c:v>Training</c:v>
                </c:pt>
              </c:strCache>
            </c:strRef>
          </c:cat>
          <c:val>
            <c:numRef>
              <c:f>Dashboard!$G$59:$G$65</c:f>
              <c:numCache>
                <c:formatCode>General</c:formatCode>
                <c:ptCount val="7"/>
                <c:pt idx="0">
                  <c:v>0.342747111681643</c:v>
                </c:pt>
                <c:pt idx="1">
                  <c:v>0.643132220795892</c:v>
                </c:pt>
                <c:pt idx="2">
                  <c:v>0.79204107830552</c:v>
                </c:pt>
                <c:pt idx="3">
                  <c:v>0.922978177150193</c:v>
                </c:pt>
                <c:pt idx="4">
                  <c:v>1</c:v>
                </c:pt>
                <c:pt idx="5">
                  <c:v>1</c:v>
                </c:pt>
                <c:pt idx="6">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overtime hours for each of the last eight weeks in view, with the weekly overtime bud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Pareto chart of overtime hours by reason,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Departments" displayName="tblDepartments" ref="B22:D27" totalsRowShown="0">
  <autoFilter ref="B22:D27"/>
  <tableColumns count="3">
    <tableColumn id="1" name="Department"/>
    <tableColumn id="2" name="Weekly OT budget (h)"/>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Employees" displayName="tblEmployees" ref="B31:D47" totalsRowShown="0">
  <autoFilter ref="B31:D47"/>
  <tableColumns count="3">
    <tableColumn id="1" name="Employee"/>
    <tableColumn id="2" name="Base rate"/>
    <tableColumn id="3" name="Department"/>
  </tableColumns>
  <tableStyleInfo name="TableStyleLight1" showFirstColumn="0" showLastColumn="0" showRowStripes="0" showColumnStripes="0"/>
</table>
</file>

<file path=xl/tables/table3.xml><?xml version="1.0" encoding="utf-8"?>
<table xmlns="http://schemas.openxmlformats.org/spreadsheetml/2006/main" id="3" name="tblReasons" displayName="tblReasons" ref="B50:C57" totalsRowShown="0">
  <autoFilter ref="B50:C57"/>
  <tableColumns count="2">
    <tableColumn id="1" name="Reason"/>
    <tableColumn id="2" name="Notes"/>
  </tableColumns>
  <tableStyleInfo name="TableStyleLight1" showFirstColumn="0" showLastColumn="0" showRowStripes="0" showColumnStripes="0"/>
</table>
</file>

<file path=xl/tables/table4.xml><?xml version="1.0" encoding="utf-8"?>
<table xmlns="http://schemas.openxmlformats.org/spreadsheetml/2006/main" id="4" name="tblOT" displayName="tblOT" ref="B6:S134" totalsRowShown="0">
  <autoFilter ref="B6:S134"/>
  <tableColumns count="18">
    <tableColumn id="1" name="Week starting"/>
    <tableColumn id="2" name="Employee"/>
    <tableColumn id="3" name="Regular hours (h)"/>
    <tableColumn id="4" name="OT at rate 1 (h)"/>
    <tableColumn id="5" name="OT at rate 2 (h)"/>
    <tableColumn id="6" name="Reason"/>
    <tableColumn id="7" name="Approved by"/>
    <tableColumn id="8" name="Department">
      <calculatedColumnFormula>IF(tblOT[[#This Row],[Week starting]]="","",IFERROR(INDEX(tblEmployees[Department],MATCH(tblOT[[#This Row],[Employee]],tblEmployees[Employee],0)),""))</calculatedColumnFormula>
    </tableColumn>
    <tableColumn id="9" name="Base rate">
      <calculatedColumnFormula>IF(tblOT[[#This Row],[Week starting]]="","",IFERROR(INDEX(tblEmployees[Base rate],MATCH(tblOT[[#This Row],[Employee]],tblEmployees[Employee],0)),""))</calculatedColumnFormula>
    </tableColumn>
    <tableColumn id="10" name="Overtime hours (h)">
      <calculatedColumnFormula>IF(tblOT[[#This Row],[Week starting]]="","",tblOT[[#This Row],[OT at rate 1 (h)]]+tblOT[[#This Row],[OT at rate 2 (h)]])</calculatedColumnFormula>
    </tableColumn>
    <tableColumn id="11" name="Total hours (h)">
      <calculatedColumnFormula>IF(tblOT[[#This Row],[Week starting]]="","",tblOT[[#This Row],[Regular hours (h)]]+tblOT[[#This Row],[Overtime hours (h)]])</calculatedColumnFormula>
    </tableColumn>
    <tableColumn id="12" name="OT share">
      <calculatedColumnFormula>IF(tblOT[[#This Row],[Week starting]]="","",IF(tblOT[[#This Row],[Total hours (h)]]&gt;0,tblOT[[#This Row],[Overtime hours (h)]]/tblOT[[#This Row],[Total hours (h)]],""))</calculatedColumnFormula>
    </tableColumn>
    <tableColumn id="13" name="OT cost (est.)">
      <calculatedColumnFormula>IF(tblOT[[#This Row],[Week starting]]="","",IF(tblOT[[#This Row],[Base rate]]="","",(tblOT[[#This Row],[OT at rate 1 (h)]]*Rate1+tblOT[[#This Row],[OT at rate 2 (h)]]*Rate2)*tblOT[[#This Row],[Base rate]]*(1+Burden)))</calculatedColumnFormula>
    </tableColumn>
    <tableColumn id="14" name="OT premium (est.)">
      <calculatedColumnFormula>IF(tblOT[[#This Row],[Week starting]]="","",IF(tblOT[[#This Row],[Base rate]]="","",(tblOT[[#This Row],[OT at rate 1 (h)]]*(Rate1-1)+tblOT[[#This Row],[OT at rate 2 (h)]]*(Rate2-1))*tblOT[[#This Row],[Base rate]]*(1+Burden)))</calculatedColumnFormula>
    </tableColumn>
    <tableColumn id="15" name="Limits">
      <calculatedColumnFormula>IF(tblOT[[#This Row],[Week starting]]="","",IF(OR(tblOT[[#This Row],[Overtime hours (h)]]&gt;OTLimit,tblOT[[#This Row],[Total hours (h)]]&gt;TotalLimit),"Out of limits","Within limits"))</calculatedColumnFormula>
    </tableColumn>
    <tableColumn id="16" name="View date">
      <calculatedColumnFormula>IF(tblOT[[#This Row],[Week starting]]="","",IF(AND(tblOT[[#This Row],[Week starting]]&gt;=FFrom,tblOT[[#This Row],[Week starting]]&lt;=FTo,OR(DashDept="",tblOT[[#This Row],[Department]]=DashDept)),tblOT[[#This Row],[Week starting]],""))</calculatedColumnFormula>
    </tableColumn>
    <tableColumn id="17" name="Check">
      <calculatedColumnFormula>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calculatedColumnFormula>
    </tableColumn>
    <tableColumn id="18" name="Notes"/>
  </tableColumns>
  <tableStyleInfo name="TableStyleLight1" showFirstColumn="0" showLastColumn="0" showRowStripes="0" showColumnStripes="0"/>
</table>
</file>

<file path=xl/tables/table5.xml><?xml version="1.0" encoding="utf-8"?>
<table xmlns="http://schemas.openxmlformats.org/spreadsheetml/2006/main" id="5" name="tblVerifyDepartments" displayName="tblVerifyDepartments" ref="B47:D49" totalsRowShown="0">
  <tableColumns count="3">
    <tableColumn id="1" name="Department"/>
    <tableColumn id="2" name="Weekly OT budget (h)"/>
    <tableColumn id="3" name="Notes"/>
  </tableColumns>
  <tableStyleInfo name="TableStyleLight1" showFirstColumn="0" showLastColumn="0" showRowStripes="0" showColumnStripes="0"/>
</table>
</file>

<file path=xl/tables/table6.xml><?xml version="1.0" encoding="utf-8"?>
<table xmlns="http://schemas.openxmlformats.org/spreadsheetml/2006/main" id="6" name="tblVerifyOT" displayName="tblVerifyOT" ref="B53:S58" totalsRowShown="0">
  <tableColumns count="18">
    <tableColumn id="1" name="Week starting"/>
    <tableColumn id="2" name="Employee"/>
    <tableColumn id="3" name="Regular hours (h)"/>
    <tableColumn id="4" name="OT at rate 1 (h)"/>
    <tableColumn id="5" name="OT at rate 2 (h)"/>
    <tableColumn id="6" name="Reason"/>
    <tableColumn id="7" name="Approved by"/>
    <tableColumn id="8" name="Department"/>
    <tableColumn id="9" name="Base rate"/>
    <tableColumn id="10" name="Overtime hours (h)">
      <calculatedColumnFormula>IF(tblVerifyOT[[#This Row],[Week starting]]="","",tblVerifyOT[[#This Row],[OT at rate 1 (h)]]+tblVerifyOT[[#This Row],[OT at rate 2 (h)]])</calculatedColumnFormula>
    </tableColumn>
    <tableColumn id="11" name="Total hours (h)">
      <calculatedColumnFormula>IF(tblVerifyOT[[#This Row],[Week starting]]="","",tblVerifyOT[[#This Row],[Regular hours (h)]]+tblVerifyOT[[#This Row],[Overtime hours (h)]])</calculatedColumnFormula>
    </tableColumn>
    <tableColumn id="12" name="OT share">
      <calculatedColumnFormula>IF(tblVerifyOT[[#This Row],[Week starting]]="","",IF(tblVerifyOT[[#This Row],[Total hours (h)]]&gt;0,tblVerifyOT[[#This Row],[Overtime hours (h)]]/tblVerifyOT[[#This Row],[Total hours (h)]],""))</calculatedColumnFormula>
    </tableColumn>
    <tableColumn id="13" name="OT cost (est.)">
      <calculatedColumnFormula>IF(tblVerifyOT[[#This Row],[Week starting]]="","",IF(tblVerifyOT[[#This Row],[Base rate]]="","",(tblVerifyOT[[#This Row],[OT at rate 1 (h)]]*$E$39+tblVerifyOT[[#This Row],[OT at rate 2 (h)]]*$E$40)*tblVerifyOT[[#This Row],[Base rate]]*(1+$E$41)))</calculatedColumnFormula>
    </tableColumn>
    <tableColumn id="14" name="OT premium (est.)">
      <calculatedColumnFormula>IF(tblVerifyOT[[#This Row],[Week starting]]="","",IF(tblVerifyOT[[#This Row],[Base rate]]="","",(tblVerifyOT[[#This Row],[OT at rate 1 (h)]]*($E$39-1)+tblVerifyOT[[#This Row],[OT at rate 2 (h)]]*($E$40-1))*tblVerifyOT[[#This Row],[Base rate]]*(1+$E$41)))</calculatedColumnFormula>
    </tableColumn>
    <tableColumn id="15" name="Limits">
      <calculatedColumnFormula>IF(tblVerifyOT[[#This Row],[Week starting]]="","",IF(OR(tblVerifyOT[[#This Row],[Overtime hours (h)]]&gt;$E$42,tblVerifyOT[[#This Row],[Total hours (h)]]&gt;$E$43),"Out of limits","Within limits"))</calculatedColumnFormula>
    </tableColumn>
    <tableColumn id="16" name="View date">
      <calculatedColumnFormula>IF(tblVerifyOT[[#This Row],[Week starting]]="","",IF(AND(tblVerifyOT[[#This Row],[Week starting]]&gt;=$E$35,tblVerifyOT[[#This Row],[Week starting]]&lt;=$E$36,OR($E$37="",tblVerifyOT[[#This Row],[Department]]=$E$37)),tblVerifyOT[[#This Row],[Week starting]],""))</calculatedColumnFormula>
    </tableColumn>
    <tableColumn id="17" name="Check">
      <calculatedColumnFormula>IF(tblVerifyOT[[#This Row],[Week starting]]="","",IF(tblVerifyOT[[#This Row],[Employee]]="","Missing employee",IF(tblVerifyOT[[#This Row],[Regular hours (h)]]="","Missing regular hours",IF(tblVerifyOT[[#This Row],[Department]]="","Employee not on Setup list",IF(WEEKDAY(tblVerifyOT[[#This Row],[Week starting]],2)&lt;&gt;1,"Week does not start on a Monday",IF(tblVerifyOT[[#This Row],[Regular hours (h)]]&gt;$E$38,"Regular hours above the normal week",IF(AND(tblVerifyOT[[#This Row],[Overtime hours (h)]]&gt;0,tblVerifyOT[[#This Row],[Reason]]=""),"Overtime with no reason",IF(COUNTIFS(tblVerifyOT[Week starting],tblVerifyOT[[#This Row],[Week starting]],tblVerifyOT[Employee],tblVerifyOT[[#This Row],[Employee]])&gt;1,"Duplicate person-week","OK"))))))))</calculatedColumnFormula>
    </tableColumn>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vertime-tracker" TargetMode="External"/><Relationship Id="rId2" Type="http://schemas.openxmlformats.org/officeDocument/2006/relationships/hyperlink" Target="https://www.mfgcalcs.com/calculators/workforce-labor-standards-skills-planning/overtime-dependency?utm_source=mfgcalcs-template&amp;utm_medium=xlsx&amp;utm_campaign=overtime-tracker" TargetMode="External"/><Relationship Id="rId3" Type="http://schemas.openxmlformats.org/officeDocument/2006/relationships/hyperlink" Target="https://www.mfgcalcs.com/templates/overtime-tracker?utm_source=mfgcalcs-template&amp;utm_medium=xlsx&amp;utm_campaign=overtime-tracker" TargetMode="External"/><Relationship Id="rId4" Type="http://schemas.openxmlformats.org/officeDocument/2006/relationships/hyperlink" Target="https://www.mfgcalcs.com/templates?utm_source=mfgcalcs-template&amp;utm_medium=xlsx&amp;utm_campaign=overtime-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vertime-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vertime-tracker"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vertime-tracke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vertime-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vertime-tracker" TargetMode="External"/><Relationship Id="rId2" Type="http://schemas.openxmlformats.org/officeDocument/2006/relationships/hyperlink" Target="https://www.mfgcalcs.com/calculators/workforce-labor-standards-skills-planning/overtime-dependency?utm_source=mfgcalcs-template&amp;utm_medium=xlsx&amp;utm_campaign=overtime-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vertime-tracker" TargetMode="External"/><Relationship Id="rId2" Type="http://schemas.openxmlformats.org/officeDocument/2006/relationships/table" Target="../tables/table5.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19 of 19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Overtime Log'!A1" tooltip="Go to Overtime Log" display="Overtime Log"/>
    <hyperlink ref="C23" location="'OT Request'!A1" tooltip="Go to OT Request" display="OT Request"/>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Overtime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57"/>
  <sheetViews>
    <sheetView showGridLines="0" workbookViewId="0"/>
  </sheetViews>
  <sheetFormatPr defaultRowHeight="15"/>
  <cols>
    <col min="1" max="1" width="2.7109375" customWidth="1"/>
    <col min="2" max="2" width="30.7109375" customWidth="1"/>
    <col min="3" max="3" width="18.7109375" customWidth="1"/>
    <col min="4" max="4" width="40.7109375" customWidth="1"/>
    <col min="5" max="5" width="12.7109375" customWidth="1"/>
  </cols>
  <sheetData>
    <row r="1" spans="1:5" ht="30" customHeight="1">
      <c r="A1" s="1" t="s">
        <v>0</v>
      </c>
      <c r="B1" s="1"/>
      <c r="C1" s="1"/>
      <c r="D1" s="1"/>
      <c r="E1" s="1"/>
    </row>
    <row r="2" spans="1:5" ht="21" customHeight="1">
      <c r="B2" s="2" t="s">
        <v>20</v>
      </c>
      <c r="C2" s="2"/>
      <c r="D2" s="2"/>
      <c r="E2" s="3" t="s">
        <v>2</v>
      </c>
    </row>
    <row r="3" spans="1:5" ht="6" customHeight="1"/>
    <row r="4" spans="1:5" ht="21" customHeight="1">
      <c r="B4" s="8" t="s">
        <v>70</v>
      </c>
      <c r="C4" s="8"/>
      <c r="D4" s="8"/>
      <c r="E4" s="8"/>
    </row>
    <row r="5" spans="1:5" ht="5" customHeight="1"/>
    <row r="6" spans="1:5">
      <c r="B6" s="27" t="s">
        <v>71</v>
      </c>
      <c r="C6" s="28" t="s">
        <v>72</v>
      </c>
      <c r="D6" s="28"/>
    </row>
    <row r="7" spans="1:5">
      <c r="B7" s="27" t="s">
        <v>73</v>
      </c>
      <c r="C7" s="28" t="s">
        <v>74</v>
      </c>
      <c r="D7" s="28"/>
    </row>
    <row r="8" spans="1:5">
      <c r="B8" s="27" t="s">
        <v>75</v>
      </c>
      <c r="C8" s="29">
        <v>40</v>
      </c>
      <c r="D8" s="7" t="s">
        <v>76</v>
      </c>
    </row>
    <row r="9" spans="1:5">
      <c r="B9" s="27" t="s">
        <v>77</v>
      </c>
      <c r="C9" s="30">
        <v>1.5</v>
      </c>
      <c r="D9" s="7" t="s">
        <v>78</v>
      </c>
    </row>
    <row r="10" spans="1:5">
      <c r="B10" s="27" t="s">
        <v>79</v>
      </c>
      <c r="C10" s="30">
        <v>2</v>
      </c>
      <c r="D10" s="7" t="s">
        <v>78</v>
      </c>
    </row>
    <row r="11" spans="1:5">
      <c r="B11" s="27" t="s">
        <v>80</v>
      </c>
      <c r="C11" s="31">
        <v>0.12</v>
      </c>
      <c r="D11" s="7"/>
    </row>
    <row r="12" spans="1:5">
      <c r="B12" s="27" t="s">
        <v>81</v>
      </c>
      <c r="C12" s="29">
        <v>12</v>
      </c>
      <c r="D12" s="7" t="s">
        <v>76</v>
      </c>
    </row>
    <row r="13" spans="1:5">
      <c r="B13" s="27" t="s">
        <v>82</v>
      </c>
      <c r="C13" s="29">
        <v>60</v>
      </c>
      <c r="D13" s="7" t="s">
        <v>76</v>
      </c>
    </row>
    <row r="14" spans="1:5">
      <c r="B14" s="27" t="s">
        <v>83</v>
      </c>
      <c r="C14" s="31">
        <v>0.08</v>
      </c>
      <c r="D14" s="7"/>
    </row>
    <row r="16" spans="1:5" ht="48.6" customHeight="1">
      <c r="B16" s="25" t="s">
        <v>84</v>
      </c>
      <c r="C16" s="25"/>
      <c r="D16" s="25"/>
      <c r="E16" s="25"/>
    </row>
    <row r="18" spans="2:5" ht="21" customHeight="1">
      <c r="B18" s="8" t="s">
        <v>85</v>
      </c>
      <c r="C18" s="8"/>
      <c r="D18" s="8"/>
      <c r="E18" s="8"/>
    </row>
    <row r="19" spans="2:5" ht="5" customHeight="1"/>
    <row r="20" spans="2:5" ht="26.76" customHeight="1">
      <c r="B20" s="21" t="s">
        <v>86</v>
      </c>
      <c r="C20" s="21"/>
      <c r="D20" s="21"/>
      <c r="E20" s="21"/>
    </row>
    <row r="21" spans="2:5">
      <c r="B21" s="32" t="s">
        <v>87</v>
      </c>
      <c r="C21" s="32"/>
      <c r="D21" s="32"/>
    </row>
    <row r="22" spans="2:5" ht="32" customHeight="1">
      <c r="B22" s="33" t="s">
        <v>64</v>
      </c>
      <c r="C22" s="33" t="s">
        <v>65</v>
      </c>
      <c r="D22" s="33" t="s">
        <v>66</v>
      </c>
    </row>
    <row r="23" spans="2:5">
      <c r="B23" s="28" t="s">
        <v>88</v>
      </c>
      <c r="C23" s="29">
        <v>30</v>
      </c>
      <c r="D23" s="28" t="s">
        <v>89</v>
      </c>
    </row>
    <row r="24" spans="2:5">
      <c r="B24" s="28" t="s">
        <v>90</v>
      </c>
      <c r="C24" s="29">
        <v>30</v>
      </c>
      <c r="D24" s="28" t="s">
        <v>91</v>
      </c>
    </row>
    <row r="25" spans="2:5">
      <c r="B25" s="28" t="s">
        <v>92</v>
      </c>
      <c r="C25" s="29">
        <v>12</v>
      </c>
      <c r="D25" s="28" t="s">
        <v>93</v>
      </c>
    </row>
    <row r="26" spans="2:5">
      <c r="B26" s="28" t="s">
        <v>94</v>
      </c>
      <c r="C26" s="29">
        <v>18</v>
      </c>
      <c r="D26" s="28" t="s">
        <v>95</v>
      </c>
    </row>
    <row r="27" spans="2:5">
      <c r="B27" s="28" t="s">
        <v>96</v>
      </c>
      <c r="C27" s="29">
        <v>10</v>
      </c>
      <c r="D27" s="28" t="s">
        <v>97</v>
      </c>
    </row>
    <row r="29" spans="2:5">
      <c r="B29" s="32" t="s">
        <v>98</v>
      </c>
      <c r="C29" s="32"/>
      <c r="D29" s="32"/>
    </row>
    <row r="30" spans="2:5" ht="14" customHeight="1">
      <c r="B30" s="34"/>
      <c r="C30" s="34" t="str">
        <f>Currency&amp;"/h"</f>
        <v>CAD/h</v>
      </c>
      <c r="D30" s="34"/>
    </row>
    <row r="31" spans="2:5" ht="20" customHeight="1">
      <c r="B31" s="33" t="s">
        <v>67</v>
      </c>
      <c r="C31" s="33" t="s">
        <v>68</v>
      </c>
      <c r="D31" s="33" t="s">
        <v>64</v>
      </c>
    </row>
    <row r="32" spans="2:5">
      <c r="B32" s="28" t="s">
        <v>99</v>
      </c>
      <c r="C32" s="35">
        <v>27.5</v>
      </c>
      <c r="D32" s="28" t="s">
        <v>88</v>
      </c>
    </row>
    <row r="33" spans="2:4">
      <c r="B33" s="28" t="s">
        <v>100</v>
      </c>
      <c r="C33" s="35">
        <v>28.25</v>
      </c>
      <c r="D33" s="28" t="s">
        <v>88</v>
      </c>
    </row>
    <row r="34" spans="2:4">
      <c r="B34" s="28" t="s">
        <v>101</v>
      </c>
      <c r="C34" s="35">
        <v>26.75</v>
      </c>
      <c r="D34" s="28" t="s">
        <v>88</v>
      </c>
    </row>
    <row r="35" spans="2:4">
      <c r="B35" s="28" t="s">
        <v>102</v>
      </c>
      <c r="C35" s="35">
        <v>27</v>
      </c>
      <c r="D35" s="28" t="s">
        <v>88</v>
      </c>
    </row>
    <row r="36" spans="2:4">
      <c r="B36" s="28" t="s">
        <v>103</v>
      </c>
      <c r="C36" s="35">
        <v>25.5</v>
      </c>
      <c r="D36" s="28" t="s">
        <v>90</v>
      </c>
    </row>
    <row r="37" spans="2:4">
      <c r="B37" s="28" t="s">
        <v>104</v>
      </c>
      <c r="C37" s="35">
        <v>24.75</v>
      </c>
      <c r="D37" s="28" t="s">
        <v>90</v>
      </c>
    </row>
    <row r="38" spans="2:4">
      <c r="B38" s="28" t="s">
        <v>105</v>
      </c>
      <c r="C38" s="35">
        <v>25</v>
      </c>
      <c r="D38" s="28" t="s">
        <v>90</v>
      </c>
    </row>
    <row r="39" spans="2:4">
      <c r="B39" s="28" t="s">
        <v>106</v>
      </c>
      <c r="C39" s="35">
        <v>24.5</v>
      </c>
      <c r="D39" s="28" t="s">
        <v>90</v>
      </c>
    </row>
    <row r="40" spans="2:4">
      <c r="B40" s="28" t="s">
        <v>107</v>
      </c>
      <c r="C40" s="35">
        <v>24</v>
      </c>
      <c r="D40" s="28" t="s">
        <v>92</v>
      </c>
    </row>
    <row r="41" spans="2:4">
      <c r="B41" s="28" t="s">
        <v>108</v>
      </c>
      <c r="C41" s="35">
        <v>23.75</v>
      </c>
      <c r="D41" s="28" t="s">
        <v>92</v>
      </c>
    </row>
    <row r="42" spans="2:4">
      <c r="B42" s="28" t="s">
        <v>109</v>
      </c>
      <c r="C42" s="35">
        <v>24.25</v>
      </c>
      <c r="D42" s="28" t="s">
        <v>92</v>
      </c>
    </row>
    <row r="43" spans="2:4">
      <c r="B43" s="28" t="s">
        <v>110</v>
      </c>
      <c r="C43" s="35">
        <v>38.5</v>
      </c>
      <c r="D43" s="28" t="s">
        <v>94</v>
      </c>
    </row>
    <row r="44" spans="2:4">
      <c r="B44" s="28" t="s">
        <v>111</v>
      </c>
      <c r="C44" s="35">
        <v>37</v>
      </c>
      <c r="D44" s="28" t="s">
        <v>94</v>
      </c>
    </row>
    <row r="45" spans="2:4">
      <c r="B45" s="28" t="s">
        <v>112</v>
      </c>
      <c r="C45" s="35">
        <v>36.25</v>
      </c>
      <c r="D45" s="28" t="s">
        <v>94</v>
      </c>
    </row>
    <row r="46" spans="2:4">
      <c r="B46" s="28" t="s">
        <v>113</v>
      </c>
      <c r="C46" s="35">
        <v>26</v>
      </c>
      <c r="D46" s="28" t="s">
        <v>96</v>
      </c>
    </row>
    <row r="47" spans="2:4">
      <c r="B47" s="28" t="s">
        <v>114</v>
      </c>
      <c r="C47" s="35">
        <v>25.75</v>
      </c>
      <c r="D47" s="28" t="s">
        <v>96</v>
      </c>
    </row>
    <row r="49" spans="2:3">
      <c r="B49" s="32" t="s">
        <v>115</v>
      </c>
      <c r="C49" s="32"/>
    </row>
    <row r="50" spans="2:3" ht="20" customHeight="1">
      <c r="B50" s="33" t="s">
        <v>69</v>
      </c>
      <c r="C50" s="33" t="s">
        <v>66</v>
      </c>
    </row>
    <row r="51" spans="2:3">
      <c r="B51" s="28" t="s">
        <v>116</v>
      </c>
      <c r="C51" s="28" t="s">
        <v>117</v>
      </c>
    </row>
    <row r="52" spans="2:3">
      <c r="B52" s="28" t="s">
        <v>118</v>
      </c>
      <c r="C52" s="28" t="s">
        <v>119</v>
      </c>
    </row>
    <row r="53" spans="2:3">
      <c r="B53" s="28" t="s">
        <v>120</v>
      </c>
      <c r="C53" s="28" t="s">
        <v>121</v>
      </c>
    </row>
    <row r="54" spans="2:3">
      <c r="B54" s="28" t="s">
        <v>122</v>
      </c>
      <c r="C54" s="28" t="s">
        <v>123</v>
      </c>
    </row>
    <row r="55" spans="2:3">
      <c r="B55" s="28" t="s">
        <v>124</v>
      </c>
      <c r="C55" s="28" t="s">
        <v>125</v>
      </c>
    </row>
    <row r="56" spans="2:3">
      <c r="B56" s="28" t="s">
        <v>126</v>
      </c>
      <c r="C56" s="28" t="s">
        <v>127</v>
      </c>
    </row>
    <row r="57" spans="2:3">
      <c r="B57" s="28" t="s">
        <v>128</v>
      </c>
      <c r="C57" s="28" t="s">
        <v>129</v>
      </c>
    </row>
  </sheetData>
  <mergeCells count="11">
    <mergeCell ref="A1:E1"/>
    <mergeCell ref="B2:D2"/>
    <mergeCell ref="B4:E4"/>
    <mergeCell ref="C6:D6"/>
    <mergeCell ref="C7:D7"/>
    <mergeCell ref="B16:E16"/>
    <mergeCell ref="B18:E18"/>
    <mergeCell ref="B20:E20"/>
    <mergeCell ref="B21:D21"/>
    <mergeCell ref="B29:D29"/>
    <mergeCell ref="B49:C49"/>
  </mergeCells>
  <dataValidations count="17">
    <dataValidation type="textLength" allowBlank="1" showInputMessage="1" showErrorMessage="1" errorTitle="Check this entry" error="Text up to 80 characters." promptTitle="Plant or sit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CAD, USD, GBP, INR, EUR. No exchange rate is applied. Text up to 12 characters." sqref="C7">
      <formula1>0</formula1>
      <formula2>12</formula2>
    </dataValidation>
    <dataValidation type="decimal" allowBlank="1" showInputMessage="1" showErrorMessage="1" errorTitle="Check this entry" error="Enter a number from 1 to 80." promptTitle="Straight-time hours in a norm..." prompt="Hours paid at the base rate in a normal week under your rules. Check flags rows with more regular hours than this. Enter a number from 1 to 80." sqref="C8">
      <formula1>1</formula1>
      <formula2>80</formula2>
    </dataValidation>
    <dataValidation type="decimal" allowBlank="1" showInputMessage="1" showErrorMessage="1" errorTitle="Check this entry" error="Enter a number from 1 to 5." promptTitle="Overtime rate 1" prompt="Multiplier for most overtime, e.g. 1.5 for time and a half. Use your own law, agreement or policy. Enter a number from 1 to 5." sqref="C9">
      <formula1>1</formula1>
      <formula2>5</formula2>
    </dataValidation>
    <dataValidation type="decimal" allowBlank="1" showInputMessage="1" showErrorMessage="1" errorTitle="Check this entry" error="Enter a number from 1 to 5." promptTitle="Overtime rate 2" prompt="Multiplier for premium overtime, e.g. 2.0 for double time on rest days or holidays, if your rules have it. Enter a number from 1 to 5." sqref="C10">
      <formula1>1</formula1>
      <formula2>5</formula2>
    </dataValidation>
    <dataValidation type="decimal" allowBlank="1" showInputMessage="1" showErrorMessage="1" errorTitle="Check this entry" error="Enter a percentage from 0% to 200% (type 85% or 0.85)." promptTitle="Pay-linked on-costs" prompt="Employer costs that rise with pay: payroll taxes, pension and vacation pay accrual. An example figure here; ask payroll for yours. Enter a percentage from 0% to 200% (type 85% or 0.85)." sqref="C11">
      <formula1>0</formula1>
      <formula2>2</formula2>
    </dataValidation>
    <dataValidation type="decimal" allowBlank="1" showInputMessage="1" showErrorMessage="1" errorTitle="Check this entry" error="Enter a number from 0 to 100." promptTitle="Overtime limit per person" prompt="Your policy or agreement limit on weekly overtime per person. Enter a number from 0 to 100." sqref="C12">
      <formula1>0</formula1>
      <formula2>100</formula2>
    </dataValidation>
    <dataValidation type="decimal" allowBlank="1" showInputMessage="1" showErrorMessage="1" errorTitle="Check this entry" error="Enter a number from 1 to 168." promptTitle="Total hours limit per person" prompt="Your limit on regular + overtime hours in a week (fatigue policy, law or agreement). Enter a number from 1 to 168." sqref="C13">
      <formula1>1</formula1>
      <formula2>168</formula2>
    </dataValidation>
    <dataValidation type="decimal" allowBlank="1" showInputMessage="1" showErrorMessage="1" errorTitle="Check this entry" error="Enter a percentage from 0% to 100% (type 85% or 0.85)." promptTitle="Overtime share ceiling" prompt="Your own ceiling for overtime as a share of all hours worked. Lower is better. Enter a percentage from 0% to 100% (type 85% or 0.85)." sqref="C14">
      <formula1>0</formula1>
      <formula2>1</formula2>
    </dataValidation>
    <dataValidation type="textLength" allowBlank="1" showInputMessage="1" showErrorMessage="1" errorTitle="Check this entry" error="Text up to 40 characters." promptTitle="Department" prompt="Text up to 40 characters." sqref="B23:B127">
      <formula1>0</formula1>
      <formula2>40</formula2>
    </dataValidation>
    <dataValidation type="decimal" allowBlank="1" showInputMessage="1" showErrorMessage="1" errorTitle="Check this entry" error="Enter a number from 0 to 100,000." promptTitle="Weekly OT budget (h)" prompt="Overtime hours the department may use in a normal week. The Dashboard multiplies it by the weeks in view. Enter a number from 0 to 100,000." sqref="C23:C127">
      <formula1>0</formula1>
      <formula2>100000</formula2>
    </dataValidation>
    <dataValidation type="textLength" allowBlank="1" showInputMessage="1" showErrorMessage="1" errorTitle="Check this entry" error="Text up to 120 characters." promptTitle="Notes" prompt="Text up to 120 characters." sqref="D23:D127">
      <formula1>0</formula1>
      <formula2>120</formula2>
    </dataValidation>
    <dataValidation type="textLength" allowBlank="1" showInputMessage="1" showErrorMessage="1" errorTitle="Check this entry" error="Text up to 60 characters." promptTitle="Employee" prompt="Text up to 60 characters." sqref="B32:B147">
      <formula1>0</formula1>
      <formula2>60</formula2>
    </dataValidation>
    <dataValidation type="decimal" allowBlank="1" showInputMessage="1" showErrorMessage="1" errorTitle="Check this entry" error="Enter a number from 0 to 10,000." promptTitle="Base rate" prompt="Straight-time hourly rate (or your department's average rate). Enter a number from 0 to 10,000." sqref="C32:C147">
      <formula1>0</formula1>
      <formula2>10000</formula2>
    </dataValidation>
    <dataValidation type="list" allowBlank="1" showInputMessage="1" showErrorMessage="1" errorTitle="Check this entry" error="Pick from the list (edit the list on Setup: Departments)." promptTitle="Department" prompt="Pick from the list (edit the list on Setup: Departments)." sqref="D32:D147">
      <formula1>Departments</formula1>
    </dataValidation>
    <dataValidation type="textLength" allowBlank="1" showInputMessage="1" showErrorMessage="1" errorTitle="Check this entry" error="Text up to 60 characters." promptTitle="Reason" prompt="Text up to 60 characters." sqref="B51:B157">
      <formula1>0</formula1>
      <formula2>60</formula2>
    </dataValidation>
    <dataValidation type="textLength" allowBlank="1" showInputMessage="1" showErrorMessage="1" errorTitle="Check this entry" error="Text up to 120 characters." promptTitle="Notes" prompt="Text up to 120 characters." sqref="C51:C157">
      <formula1>0</formula1>
      <formula2>120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Overtime Tracker&amp;R&amp;8&amp;A</oddHeader>
    <oddFooter>&amp;L&amp;8mfgcalcs.com - free manufacturing templates&amp;R&amp;8Page &amp;P of &amp;N</oddFooter>
  </headerFooter>
  <rowBreaks count="1" manualBreakCount="1">
    <brk id="28"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S134"/>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12.28515625" customWidth="1"/>
    <col min="3" max="3" width="13.7109375" customWidth="1"/>
    <col min="4" max="4" width="9.28515625" customWidth="1"/>
    <col min="5" max="6" width="8.7109375" customWidth="1"/>
    <col min="7" max="7" width="17.7109375" customWidth="1"/>
    <col min="8" max="8" width="10.7109375" customWidth="1"/>
    <col min="9" max="9" width="12.28515625" customWidth="1"/>
    <col min="10" max="10" width="9.28515625" customWidth="1"/>
    <col min="11" max="11" width="9.7109375" customWidth="1"/>
    <col min="12" max="12" width="9.28515625" customWidth="1"/>
    <col min="13" max="13" width="8.7109375" customWidth="1"/>
    <col min="14" max="15" width="10.7109375" customWidth="1"/>
    <col min="16" max="16" width="11.7109375" customWidth="1"/>
    <col min="17" max="17" width="12.28515625" customWidth="1"/>
    <col min="18" max="18" width="24.7109375" customWidth="1"/>
    <col min="19" max="19" width="26.7109375" customWidth="1"/>
  </cols>
  <sheetData>
    <row r="1" spans="1:19" ht="30" customHeight="1" x14ac:dyDescent="0.25">
      <c r="A1" s="1" t="s">
        <v>0</v>
      </c>
      <c r="B1" s="1"/>
      <c r="C1" s="1"/>
      <c r="D1" s="1"/>
      <c r="E1" s="1"/>
      <c r="F1" s="1"/>
      <c r="G1" s="1"/>
      <c r="H1" s="1"/>
      <c r="I1" s="1"/>
      <c r="J1" s="1"/>
      <c r="K1" s="1"/>
      <c r="L1" s="1"/>
      <c r="M1" s="1"/>
      <c r="N1" s="1"/>
      <c r="O1" s="1"/>
      <c r="P1" s="1"/>
      <c r="Q1" s="1"/>
      <c r="R1" s="1"/>
      <c r="S1" s="1"/>
    </row>
    <row r="2" spans="1:19" ht="21" customHeight="1" x14ac:dyDescent="0.25">
      <c r="B2" s="2" t="s">
        <v>22</v>
      </c>
      <c r="C2" s="2"/>
      <c r="D2" s="2"/>
      <c r="E2" s="2"/>
      <c r="F2" s="2"/>
      <c r="G2" s="2"/>
      <c r="H2" s="2"/>
      <c r="I2" s="2"/>
      <c r="J2" s="2"/>
      <c r="K2" s="2"/>
      <c r="L2" s="2"/>
      <c r="M2" s="2"/>
      <c r="N2" s="2"/>
      <c r="O2" s="2"/>
      <c r="P2" s="2"/>
      <c r="Q2" s="2"/>
      <c r="R2" s="2"/>
      <c r="S2" s="3" t="s">
        <v>2</v>
      </c>
    </row>
    <row r="3" spans="1:19" ht="6" customHeight="1" x14ac:dyDescent="0.25"/>
    <row r="4" spans="1:19" ht="29.76" customHeight="1" x14ac:dyDescent="0.25">
      <c r="B4" s="36" t="s">
        <v>143</v>
      </c>
      <c r="C4" s="36"/>
      <c r="D4" s="36"/>
      <c r="E4" s="36"/>
      <c r="F4" s="36"/>
      <c r="G4" s="36"/>
      <c r="H4" s="36"/>
      <c r="I4" s="36"/>
      <c r="J4" s="36"/>
      <c r="K4" s="36"/>
      <c r="L4" s="36"/>
      <c r="M4" s="36"/>
      <c r="N4" s="36"/>
      <c r="O4" s="36"/>
      <c r="P4" s="36"/>
      <c r="Q4" s="36"/>
      <c r="R4" s="36"/>
      <c r="S4" s="36"/>
    </row>
    <row r="5" spans="1:19" ht="14" customHeight="1" x14ac:dyDescent="0.25">
      <c r="B5" s="34"/>
      <c r="C5" s="34"/>
      <c r="D5" s="34"/>
      <c r="E5" s="34"/>
      <c r="F5" s="34"/>
      <c r="G5" s="34"/>
      <c r="H5" s="34"/>
      <c r="I5" s="34"/>
      <c r="J5" s="34" t="str">
        <f>Currency&amp;"/h"</f>
        <v>CAD/h</v>
      </c>
      <c r="K5" s="34"/>
      <c r="L5" s="34"/>
      <c r="M5" s="34"/>
      <c r="N5" s="34" t="str">
        <f>Currency</f>
        <v>CAD</v>
      </c>
      <c r="O5" s="34" t="str">
        <f>Currency</f>
        <v>CAD</v>
      </c>
      <c r="P5" s="34"/>
      <c r="Q5" s="34"/>
      <c r="R5" s="34"/>
      <c r="S5" s="34"/>
    </row>
    <row r="6" spans="1:19" ht="32" customHeight="1" x14ac:dyDescent="0.25">
      <c r="B6" s="33" t="s">
        <v>130</v>
      </c>
      <c r="C6" s="33" t="s">
        <v>67</v>
      </c>
      <c r="D6" s="33" t="s">
        <v>131</v>
      </c>
      <c r="E6" s="33" t="s">
        <v>132</v>
      </c>
      <c r="F6" s="33" t="s">
        <v>133</v>
      </c>
      <c r="G6" s="33" t="s">
        <v>69</v>
      </c>
      <c r="H6" s="33" t="s">
        <v>134</v>
      </c>
      <c r="I6" s="33" t="s">
        <v>64</v>
      </c>
      <c r="J6" s="33" t="s">
        <v>68</v>
      </c>
      <c r="K6" s="33" t="s">
        <v>135</v>
      </c>
      <c r="L6" s="33" t="s">
        <v>136</v>
      </c>
      <c r="M6" s="33" t="s">
        <v>137</v>
      </c>
      <c r="N6" s="33" t="s">
        <v>138</v>
      </c>
      <c r="O6" s="33" t="s">
        <v>139</v>
      </c>
      <c r="P6" s="33" t="s">
        <v>140</v>
      </c>
      <c r="Q6" s="33" t="s">
        <v>141</v>
      </c>
      <c r="R6" s="33" t="s">
        <v>142</v>
      </c>
      <c r="S6" s="33" t="s">
        <v>66</v>
      </c>
    </row>
    <row r="7" spans="1:19" x14ac:dyDescent="0.25">
      <c r="B7" s="37">
        <v>46237</v>
      </c>
      <c r="C7" s="28" t="s">
        <v>99</v>
      </c>
      <c r="D7" s="29">
        <v>40</v>
      </c>
      <c r="E7" s="29">
        <v>0</v>
      </c>
      <c r="F7" s="29">
        <v>0</v>
      </c>
      <c r="G7" s="28" t="s">
        <v>144</v>
      </c>
      <c r="H7" s="28" t="s">
        <v>144</v>
      </c>
      <c r="I7" s="38" t="str">
        <f>IF(tblOT[[#This Row],[Week starting]]="","",IFERROR(INDEX(tblEmployees[Department],MATCH(tblOT[[#This Row],[Employee]],tblEmployees[Employee],0)),""))</f>
        <v>Processing</v>
      </c>
      <c r="J7" s="39">
        <f>IF(tblOT[[#This Row],[Week starting]]="","",IFERROR(INDEX(tblEmployees[Base rate],MATCH(tblOT[[#This Row],[Employee]],tblEmployees[Employee],0)),""))</f>
        <v>27.5</v>
      </c>
      <c r="K7" s="40">
        <f>IF(tblOT[[#This Row],[Week starting]]="","",tblOT[[#This Row],[OT at rate 1 (h)]]+tblOT[[#This Row],[OT at rate 2 (h)]])</f>
        <v>0</v>
      </c>
      <c r="L7" s="40">
        <f>IF(tblOT[[#This Row],[Week starting]]="","",tblOT[[#This Row],[Regular hours (h)]]+tblOT[[#This Row],[Overtime hours (h)]])</f>
        <v>40</v>
      </c>
      <c r="M7" s="41">
        <f>IF(tblOT[[#This Row],[Week starting]]="","",IF(tblOT[[#This Row],[Total hours (h)]]&gt;0,tblOT[[#This Row],[Overtime hours (h)]]/tblOT[[#This Row],[Total hours (h)]],""))</f>
        <v>0</v>
      </c>
      <c r="N7" s="39">
        <f>IF(tblOT[[#This Row],[Week starting]]="","",IF(tblOT[[#This Row],[Base rate]]="","",(tblOT[[#This Row],[OT at rate 1 (h)]]*Rate1+tblOT[[#This Row],[OT at rate 2 (h)]]*Rate2)*tblOT[[#This Row],[Base rate]]*(1+Burden)))</f>
        <v>0</v>
      </c>
      <c r="O7" s="39">
        <f>IF(tblOT[[#This Row],[Week starting]]="","",IF(tblOT[[#This Row],[Base rate]]="","",(tblOT[[#This Row],[OT at rate 1 (h)]]*(Rate1-1)+tblOT[[#This Row],[OT at rate 2 (h)]]*(Rate2-1))*tblOT[[#This Row],[Base rate]]*(1+Burden)))</f>
        <v>0</v>
      </c>
      <c r="P7" s="42" t="str">
        <f>IF(tblOT[[#This Row],[Week starting]]="","",IF(OR(tblOT[[#This Row],[Overtime hours (h)]]&gt;OTLimit,tblOT[[#This Row],[Total hours (h)]]&gt;TotalLimit),"Out of limits","Within limits"))</f>
        <v>Within limits</v>
      </c>
      <c r="Q7" s="43">
        <f>IF(tblOT[[#This Row],[Week starting]]="","",IF(AND(tblOT[[#This Row],[Week starting]]&gt;=FFrom,tblOT[[#This Row],[Week starting]]&lt;=FTo,OR(DashDept="",tblOT[[#This Row],[Department]]=DashDept)),tblOT[[#This Row],[Week starting]],""))</f>
        <v>46237</v>
      </c>
      <c r="R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 s="28" t="s">
        <v>144</v>
      </c>
    </row>
    <row r="8" spans="1:19" x14ac:dyDescent="0.25">
      <c r="B8" s="37">
        <v>46237</v>
      </c>
      <c r="C8" s="28" t="s">
        <v>100</v>
      </c>
      <c r="D8" s="29">
        <v>40</v>
      </c>
      <c r="E8" s="29">
        <v>5</v>
      </c>
      <c r="F8" s="29">
        <v>0</v>
      </c>
      <c r="G8" s="28" t="s">
        <v>116</v>
      </c>
      <c r="H8" s="28" t="s">
        <v>145</v>
      </c>
      <c r="I8" s="38" t="str">
        <f>IF(tblOT[[#This Row],[Week starting]]="","",IFERROR(INDEX(tblEmployees[Department],MATCH(tblOT[[#This Row],[Employee]],tblEmployees[Employee],0)),""))</f>
        <v>Processing</v>
      </c>
      <c r="J8" s="39">
        <f>IF(tblOT[[#This Row],[Week starting]]="","",IFERROR(INDEX(tblEmployees[Base rate],MATCH(tblOT[[#This Row],[Employee]],tblEmployees[Employee],0)),""))</f>
        <v>28.25</v>
      </c>
      <c r="K8" s="40">
        <f>IF(tblOT[[#This Row],[Week starting]]="","",tblOT[[#This Row],[OT at rate 1 (h)]]+tblOT[[#This Row],[OT at rate 2 (h)]])</f>
        <v>5</v>
      </c>
      <c r="L8" s="40">
        <f>IF(tblOT[[#This Row],[Week starting]]="","",tblOT[[#This Row],[Regular hours (h)]]+tblOT[[#This Row],[Overtime hours (h)]])</f>
        <v>45</v>
      </c>
      <c r="M8" s="41">
        <f>IF(tblOT[[#This Row],[Week starting]]="","",IF(tblOT[[#This Row],[Total hours (h)]]&gt;0,tblOT[[#This Row],[Overtime hours (h)]]/tblOT[[#This Row],[Total hours (h)]],""))</f>
        <v>0.111111111111111</v>
      </c>
      <c r="N8" s="39">
        <f>IF(tblOT[[#This Row],[Week starting]]="","",IF(tblOT[[#This Row],[Base rate]]="","",(tblOT[[#This Row],[OT at rate 1 (h)]]*Rate1+tblOT[[#This Row],[OT at rate 2 (h)]]*Rate2)*tblOT[[#This Row],[Base rate]]*(1+Burden)))</f>
        <v>237.3</v>
      </c>
      <c r="O8" s="39">
        <f>IF(tblOT[[#This Row],[Week starting]]="","",IF(tblOT[[#This Row],[Base rate]]="","",(tblOT[[#This Row],[OT at rate 1 (h)]]*(Rate1-1)+tblOT[[#This Row],[OT at rate 2 (h)]]*(Rate2-1))*tblOT[[#This Row],[Base rate]]*(1+Burden)))</f>
        <v>79.1</v>
      </c>
      <c r="P8" s="42" t="str">
        <f>IF(tblOT[[#This Row],[Week starting]]="","",IF(OR(tblOT[[#This Row],[Overtime hours (h)]]&gt;OTLimit,tblOT[[#This Row],[Total hours (h)]]&gt;TotalLimit),"Out of limits","Within limits"))</f>
        <v>Within limits</v>
      </c>
      <c r="Q8" s="43">
        <f>IF(tblOT[[#This Row],[Week starting]]="","",IF(AND(tblOT[[#This Row],[Week starting]]&gt;=FFrom,tblOT[[#This Row],[Week starting]]&lt;=FTo,OR(DashDept="",tblOT[[#This Row],[Department]]=DashDept)),tblOT[[#This Row],[Week starting]],""))</f>
        <v>46237</v>
      </c>
      <c r="R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 s="28" t="s">
        <v>144</v>
      </c>
    </row>
    <row r="9" spans="1:19" x14ac:dyDescent="0.25">
      <c r="B9" s="37">
        <v>46237</v>
      </c>
      <c r="C9" s="28" t="s">
        <v>101</v>
      </c>
      <c r="D9" s="29">
        <v>40</v>
      </c>
      <c r="E9" s="29">
        <v>3.5</v>
      </c>
      <c r="F9" s="29">
        <v>0</v>
      </c>
      <c r="G9" s="28" t="s">
        <v>116</v>
      </c>
      <c r="H9" s="28" t="s">
        <v>145</v>
      </c>
      <c r="I9" s="38" t="str">
        <f>IF(tblOT[[#This Row],[Week starting]]="","",IFERROR(INDEX(tblEmployees[Department],MATCH(tblOT[[#This Row],[Employee]],tblEmployees[Employee],0)),""))</f>
        <v>Processing</v>
      </c>
      <c r="J9" s="39">
        <f>IF(tblOT[[#This Row],[Week starting]]="","",IFERROR(INDEX(tblEmployees[Base rate],MATCH(tblOT[[#This Row],[Employee]],tblEmployees[Employee],0)),""))</f>
        <v>26.75</v>
      </c>
      <c r="K9" s="40">
        <f>IF(tblOT[[#This Row],[Week starting]]="","",tblOT[[#This Row],[OT at rate 1 (h)]]+tblOT[[#This Row],[OT at rate 2 (h)]])</f>
        <v>3.5</v>
      </c>
      <c r="L9" s="40">
        <f>IF(tblOT[[#This Row],[Week starting]]="","",tblOT[[#This Row],[Regular hours (h)]]+tblOT[[#This Row],[Overtime hours (h)]])</f>
        <v>43.5</v>
      </c>
      <c r="M9" s="41">
        <f>IF(tblOT[[#This Row],[Week starting]]="","",IF(tblOT[[#This Row],[Total hours (h)]]&gt;0,tblOT[[#This Row],[Overtime hours (h)]]/tblOT[[#This Row],[Total hours (h)]],""))</f>
        <v>0.0804597701149425</v>
      </c>
      <c r="N9" s="39">
        <f>IF(tblOT[[#This Row],[Week starting]]="","",IF(tblOT[[#This Row],[Base rate]]="","",(tblOT[[#This Row],[OT at rate 1 (h)]]*Rate1+tblOT[[#This Row],[OT at rate 2 (h)]]*Rate2)*tblOT[[#This Row],[Base rate]]*(1+Burden)))</f>
        <v>157.29</v>
      </c>
      <c r="O9" s="39">
        <f>IF(tblOT[[#This Row],[Week starting]]="","",IF(tblOT[[#This Row],[Base rate]]="","",(tblOT[[#This Row],[OT at rate 1 (h)]]*(Rate1-1)+tblOT[[#This Row],[OT at rate 2 (h)]]*(Rate2-1))*tblOT[[#This Row],[Base rate]]*(1+Burden)))</f>
        <v>52.43</v>
      </c>
      <c r="P9" s="42" t="str">
        <f>IF(tblOT[[#This Row],[Week starting]]="","",IF(OR(tblOT[[#This Row],[Overtime hours (h)]]&gt;OTLimit,tblOT[[#This Row],[Total hours (h)]]&gt;TotalLimit),"Out of limits","Within limits"))</f>
        <v>Within limits</v>
      </c>
      <c r="Q9" s="43">
        <f>IF(tblOT[[#This Row],[Week starting]]="","",IF(AND(tblOT[[#This Row],[Week starting]]&gt;=FFrom,tblOT[[#This Row],[Week starting]]&lt;=FTo,OR(DashDept="",tblOT[[#This Row],[Department]]=DashDept)),tblOT[[#This Row],[Week starting]],""))</f>
        <v>46237</v>
      </c>
      <c r="R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 s="28" t="s">
        <v>144</v>
      </c>
    </row>
    <row r="10" spans="1:19" x14ac:dyDescent="0.25">
      <c r="B10" s="37">
        <v>46237</v>
      </c>
      <c r="C10" s="28" t="s">
        <v>102</v>
      </c>
      <c r="D10" s="29">
        <v>40</v>
      </c>
      <c r="E10" s="29">
        <v>0</v>
      </c>
      <c r="F10" s="29">
        <v>0</v>
      </c>
      <c r="G10" s="28" t="s">
        <v>144</v>
      </c>
      <c r="H10" s="28" t="s">
        <v>144</v>
      </c>
      <c r="I10" s="38" t="str">
        <f>IF(tblOT[[#This Row],[Week starting]]="","",IFERROR(INDEX(tblEmployees[Department],MATCH(tblOT[[#This Row],[Employee]],tblEmployees[Employee],0)),""))</f>
        <v>Processing</v>
      </c>
      <c r="J10" s="39">
        <f>IF(tblOT[[#This Row],[Week starting]]="","",IFERROR(INDEX(tblEmployees[Base rate],MATCH(tblOT[[#This Row],[Employee]],tblEmployees[Employee],0)),""))</f>
        <v>27</v>
      </c>
      <c r="K10" s="40">
        <f>IF(tblOT[[#This Row],[Week starting]]="","",tblOT[[#This Row],[OT at rate 1 (h)]]+tblOT[[#This Row],[OT at rate 2 (h)]])</f>
        <v>0</v>
      </c>
      <c r="L10" s="40">
        <f>IF(tblOT[[#This Row],[Week starting]]="","",tblOT[[#This Row],[Regular hours (h)]]+tblOT[[#This Row],[Overtime hours (h)]])</f>
        <v>40</v>
      </c>
      <c r="M10" s="41">
        <f>IF(tblOT[[#This Row],[Week starting]]="","",IF(tblOT[[#This Row],[Total hours (h)]]&gt;0,tblOT[[#This Row],[Overtime hours (h)]]/tblOT[[#This Row],[Total hours (h)]],""))</f>
        <v>0</v>
      </c>
      <c r="N10" s="39">
        <f>IF(tblOT[[#This Row],[Week starting]]="","",IF(tblOT[[#This Row],[Base rate]]="","",(tblOT[[#This Row],[OT at rate 1 (h)]]*Rate1+tblOT[[#This Row],[OT at rate 2 (h)]]*Rate2)*tblOT[[#This Row],[Base rate]]*(1+Burden)))</f>
        <v>0</v>
      </c>
      <c r="O10" s="39">
        <f>IF(tblOT[[#This Row],[Week starting]]="","",IF(tblOT[[#This Row],[Base rate]]="","",(tblOT[[#This Row],[OT at rate 1 (h)]]*(Rate1-1)+tblOT[[#This Row],[OT at rate 2 (h)]]*(Rate2-1))*tblOT[[#This Row],[Base rate]]*(1+Burden)))</f>
        <v>0</v>
      </c>
      <c r="P10" s="42" t="str">
        <f>IF(tblOT[[#This Row],[Week starting]]="","",IF(OR(tblOT[[#This Row],[Overtime hours (h)]]&gt;OTLimit,tblOT[[#This Row],[Total hours (h)]]&gt;TotalLimit),"Out of limits","Within limits"))</f>
        <v>Within limits</v>
      </c>
      <c r="Q10" s="43">
        <f>IF(tblOT[[#This Row],[Week starting]]="","",IF(AND(tblOT[[#This Row],[Week starting]]&gt;=FFrom,tblOT[[#This Row],[Week starting]]&lt;=FTo,OR(DashDept="",tblOT[[#This Row],[Department]]=DashDept)),tblOT[[#This Row],[Week starting]],""))</f>
        <v>46237</v>
      </c>
      <c r="R1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 s="28" t="s">
        <v>144</v>
      </c>
    </row>
    <row r="11" spans="1:19" x14ac:dyDescent="0.25">
      <c r="B11" s="37">
        <v>46237</v>
      </c>
      <c r="C11" s="28" t="s">
        <v>103</v>
      </c>
      <c r="D11" s="29">
        <v>40</v>
      </c>
      <c r="E11" s="29">
        <v>0</v>
      </c>
      <c r="F11" s="29">
        <v>0</v>
      </c>
      <c r="G11" s="28" t="s">
        <v>144</v>
      </c>
      <c r="H11" s="28" t="s">
        <v>144</v>
      </c>
      <c r="I11" s="38" t="str">
        <f>IF(tblOT[[#This Row],[Week starting]]="","",IFERROR(INDEX(tblEmployees[Department],MATCH(tblOT[[#This Row],[Employee]],tblEmployees[Employee],0)),""))</f>
        <v>Packaging</v>
      </c>
      <c r="J11" s="39">
        <f>IF(tblOT[[#This Row],[Week starting]]="","",IFERROR(INDEX(tblEmployees[Base rate],MATCH(tblOT[[#This Row],[Employee]],tblEmployees[Employee],0)),""))</f>
        <v>25.5</v>
      </c>
      <c r="K11" s="40">
        <f>IF(tblOT[[#This Row],[Week starting]]="","",tblOT[[#This Row],[OT at rate 1 (h)]]+tblOT[[#This Row],[OT at rate 2 (h)]])</f>
        <v>0</v>
      </c>
      <c r="L11" s="40">
        <f>IF(tblOT[[#This Row],[Week starting]]="","",tblOT[[#This Row],[Regular hours (h)]]+tblOT[[#This Row],[Overtime hours (h)]])</f>
        <v>40</v>
      </c>
      <c r="M11" s="41">
        <f>IF(tblOT[[#This Row],[Week starting]]="","",IF(tblOT[[#This Row],[Total hours (h)]]&gt;0,tblOT[[#This Row],[Overtime hours (h)]]/tblOT[[#This Row],[Total hours (h)]],""))</f>
        <v>0</v>
      </c>
      <c r="N11" s="39">
        <f>IF(tblOT[[#This Row],[Week starting]]="","",IF(tblOT[[#This Row],[Base rate]]="","",(tblOT[[#This Row],[OT at rate 1 (h)]]*Rate1+tblOT[[#This Row],[OT at rate 2 (h)]]*Rate2)*tblOT[[#This Row],[Base rate]]*(1+Burden)))</f>
        <v>0</v>
      </c>
      <c r="O11" s="39">
        <f>IF(tblOT[[#This Row],[Week starting]]="","",IF(tblOT[[#This Row],[Base rate]]="","",(tblOT[[#This Row],[OT at rate 1 (h)]]*(Rate1-1)+tblOT[[#This Row],[OT at rate 2 (h)]]*(Rate2-1))*tblOT[[#This Row],[Base rate]]*(1+Burden)))</f>
        <v>0</v>
      </c>
      <c r="P11" s="42" t="str">
        <f>IF(tblOT[[#This Row],[Week starting]]="","",IF(OR(tblOT[[#This Row],[Overtime hours (h)]]&gt;OTLimit,tblOT[[#This Row],[Total hours (h)]]&gt;TotalLimit),"Out of limits","Within limits"))</f>
        <v>Within limits</v>
      </c>
      <c r="Q11" s="43">
        <f>IF(tblOT[[#This Row],[Week starting]]="","",IF(AND(tblOT[[#This Row],[Week starting]]&gt;=FFrom,tblOT[[#This Row],[Week starting]]&lt;=FTo,OR(DashDept="",tblOT[[#This Row],[Department]]=DashDept)),tblOT[[#This Row],[Week starting]],""))</f>
        <v>46237</v>
      </c>
      <c r="R1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 s="28" t="s">
        <v>144</v>
      </c>
    </row>
    <row r="12" spans="1:19" x14ac:dyDescent="0.25">
      <c r="B12" s="37">
        <v>46237</v>
      </c>
      <c r="C12" s="28" t="s">
        <v>104</v>
      </c>
      <c r="D12" s="29">
        <v>40</v>
      </c>
      <c r="E12" s="29">
        <v>0</v>
      </c>
      <c r="F12" s="29">
        <v>0</v>
      </c>
      <c r="G12" s="28" t="s">
        <v>144</v>
      </c>
      <c r="H12" s="28" t="s">
        <v>144</v>
      </c>
      <c r="I12" s="38" t="str">
        <f>IF(tblOT[[#This Row],[Week starting]]="","",IFERROR(INDEX(tblEmployees[Department],MATCH(tblOT[[#This Row],[Employee]],tblEmployees[Employee],0)),""))</f>
        <v>Packaging</v>
      </c>
      <c r="J12" s="39">
        <f>IF(tblOT[[#This Row],[Week starting]]="","",IFERROR(INDEX(tblEmployees[Base rate],MATCH(tblOT[[#This Row],[Employee]],tblEmployees[Employee],0)),""))</f>
        <v>24.75</v>
      </c>
      <c r="K12" s="40">
        <f>IF(tblOT[[#This Row],[Week starting]]="","",tblOT[[#This Row],[OT at rate 1 (h)]]+tblOT[[#This Row],[OT at rate 2 (h)]])</f>
        <v>0</v>
      </c>
      <c r="L12" s="40">
        <f>IF(tblOT[[#This Row],[Week starting]]="","",tblOT[[#This Row],[Regular hours (h)]]+tblOT[[#This Row],[Overtime hours (h)]])</f>
        <v>40</v>
      </c>
      <c r="M12" s="41">
        <f>IF(tblOT[[#This Row],[Week starting]]="","",IF(tblOT[[#This Row],[Total hours (h)]]&gt;0,tblOT[[#This Row],[Overtime hours (h)]]/tblOT[[#This Row],[Total hours (h)]],""))</f>
        <v>0</v>
      </c>
      <c r="N12" s="39">
        <f>IF(tblOT[[#This Row],[Week starting]]="","",IF(tblOT[[#This Row],[Base rate]]="","",(tblOT[[#This Row],[OT at rate 1 (h)]]*Rate1+tblOT[[#This Row],[OT at rate 2 (h)]]*Rate2)*tblOT[[#This Row],[Base rate]]*(1+Burden)))</f>
        <v>0</v>
      </c>
      <c r="O12" s="39">
        <f>IF(tblOT[[#This Row],[Week starting]]="","",IF(tblOT[[#This Row],[Base rate]]="","",(tblOT[[#This Row],[OT at rate 1 (h)]]*(Rate1-1)+tblOT[[#This Row],[OT at rate 2 (h)]]*(Rate2-1))*tblOT[[#This Row],[Base rate]]*(1+Burden)))</f>
        <v>0</v>
      </c>
      <c r="P12" s="42" t="str">
        <f>IF(tblOT[[#This Row],[Week starting]]="","",IF(OR(tblOT[[#This Row],[Overtime hours (h)]]&gt;OTLimit,tblOT[[#This Row],[Total hours (h)]]&gt;TotalLimit),"Out of limits","Within limits"))</f>
        <v>Within limits</v>
      </c>
      <c r="Q12" s="43">
        <f>IF(tblOT[[#This Row],[Week starting]]="","",IF(AND(tblOT[[#This Row],[Week starting]]&gt;=FFrom,tblOT[[#This Row],[Week starting]]&lt;=FTo,OR(DashDept="",tblOT[[#This Row],[Department]]=DashDept)),tblOT[[#This Row],[Week starting]],""))</f>
        <v>46237</v>
      </c>
      <c r="R1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 s="28" t="s">
        <v>144</v>
      </c>
    </row>
    <row r="13" spans="1:19" x14ac:dyDescent="0.25">
      <c r="B13" s="37">
        <v>46237</v>
      </c>
      <c r="C13" s="28" t="s">
        <v>105</v>
      </c>
      <c r="D13" s="29">
        <v>40</v>
      </c>
      <c r="E13" s="29">
        <v>0</v>
      </c>
      <c r="F13" s="29">
        <v>0</v>
      </c>
      <c r="G13" s="28" t="s">
        <v>144</v>
      </c>
      <c r="H13" s="28" t="s">
        <v>144</v>
      </c>
      <c r="I13" s="38" t="str">
        <f>IF(tblOT[[#This Row],[Week starting]]="","",IFERROR(INDEX(tblEmployees[Department],MATCH(tblOT[[#This Row],[Employee]],tblEmployees[Employee],0)),""))</f>
        <v>Packaging</v>
      </c>
      <c r="J13" s="39">
        <f>IF(tblOT[[#This Row],[Week starting]]="","",IFERROR(INDEX(tblEmployees[Base rate],MATCH(tblOT[[#This Row],[Employee]],tblEmployees[Employee],0)),""))</f>
        <v>25</v>
      </c>
      <c r="K13" s="40">
        <f>IF(tblOT[[#This Row],[Week starting]]="","",tblOT[[#This Row],[OT at rate 1 (h)]]+tblOT[[#This Row],[OT at rate 2 (h)]])</f>
        <v>0</v>
      </c>
      <c r="L13" s="40">
        <f>IF(tblOT[[#This Row],[Week starting]]="","",tblOT[[#This Row],[Regular hours (h)]]+tblOT[[#This Row],[Overtime hours (h)]])</f>
        <v>40</v>
      </c>
      <c r="M13" s="41">
        <f>IF(tblOT[[#This Row],[Week starting]]="","",IF(tblOT[[#This Row],[Total hours (h)]]&gt;0,tblOT[[#This Row],[Overtime hours (h)]]/tblOT[[#This Row],[Total hours (h)]],""))</f>
        <v>0</v>
      </c>
      <c r="N13" s="39">
        <f>IF(tblOT[[#This Row],[Week starting]]="","",IF(tblOT[[#This Row],[Base rate]]="","",(tblOT[[#This Row],[OT at rate 1 (h)]]*Rate1+tblOT[[#This Row],[OT at rate 2 (h)]]*Rate2)*tblOT[[#This Row],[Base rate]]*(1+Burden)))</f>
        <v>0</v>
      </c>
      <c r="O13" s="39">
        <f>IF(tblOT[[#This Row],[Week starting]]="","",IF(tblOT[[#This Row],[Base rate]]="","",(tblOT[[#This Row],[OT at rate 1 (h)]]*(Rate1-1)+tblOT[[#This Row],[OT at rate 2 (h)]]*(Rate2-1))*tblOT[[#This Row],[Base rate]]*(1+Burden)))</f>
        <v>0</v>
      </c>
      <c r="P13" s="42" t="str">
        <f>IF(tblOT[[#This Row],[Week starting]]="","",IF(OR(tblOT[[#This Row],[Overtime hours (h)]]&gt;OTLimit,tblOT[[#This Row],[Total hours (h)]]&gt;TotalLimit),"Out of limits","Within limits"))</f>
        <v>Within limits</v>
      </c>
      <c r="Q13" s="43">
        <f>IF(tblOT[[#This Row],[Week starting]]="","",IF(AND(tblOT[[#This Row],[Week starting]]&gt;=FFrom,tblOT[[#This Row],[Week starting]]&lt;=FTo,OR(DashDept="",tblOT[[#This Row],[Department]]=DashDept)),tblOT[[#This Row],[Week starting]],""))</f>
        <v>46237</v>
      </c>
      <c r="R1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3" s="28" t="s">
        <v>144</v>
      </c>
    </row>
    <row r="14" spans="1:19" x14ac:dyDescent="0.25">
      <c r="B14" s="37">
        <v>46237</v>
      </c>
      <c r="C14" s="28" t="s">
        <v>106</v>
      </c>
      <c r="D14" s="29">
        <v>40</v>
      </c>
      <c r="E14" s="29">
        <v>0</v>
      </c>
      <c r="F14" s="29">
        <v>0</v>
      </c>
      <c r="G14" s="28" t="s">
        <v>144</v>
      </c>
      <c r="H14" s="28" t="s">
        <v>144</v>
      </c>
      <c r="I14" s="38" t="str">
        <f>IF(tblOT[[#This Row],[Week starting]]="","",IFERROR(INDEX(tblEmployees[Department],MATCH(tblOT[[#This Row],[Employee]],tblEmployees[Employee],0)),""))</f>
        <v>Packaging</v>
      </c>
      <c r="J14" s="39">
        <f>IF(tblOT[[#This Row],[Week starting]]="","",IFERROR(INDEX(tblEmployees[Base rate],MATCH(tblOT[[#This Row],[Employee]],tblEmployees[Employee],0)),""))</f>
        <v>24.5</v>
      </c>
      <c r="K14" s="40">
        <f>IF(tblOT[[#This Row],[Week starting]]="","",tblOT[[#This Row],[OT at rate 1 (h)]]+tblOT[[#This Row],[OT at rate 2 (h)]])</f>
        <v>0</v>
      </c>
      <c r="L14" s="40">
        <f>IF(tblOT[[#This Row],[Week starting]]="","",tblOT[[#This Row],[Regular hours (h)]]+tblOT[[#This Row],[Overtime hours (h)]])</f>
        <v>40</v>
      </c>
      <c r="M14" s="41">
        <f>IF(tblOT[[#This Row],[Week starting]]="","",IF(tblOT[[#This Row],[Total hours (h)]]&gt;0,tblOT[[#This Row],[Overtime hours (h)]]/tblOT[[#This Row],[Total hours (h)]],""))</f>
        <v>0</v>
      </c>
      <c r="N14" s="39">
        <f>IF(tblOT[[#This Row],[Week starting]]="","",IF(tblOT[[#This Row],[Base rate]]="","",(tblOT[[#This Row],[OT at rate 1 (h)]]*Rate1+tblOT[[#This Row],[OT at rate 2 (h)]]*Rate2)*tblOT[[#This Row],[Base rate]]*(1+Burden)))</f>
        <v>0</v>
      </c>
      <c r="O14" s="39">
        <f>IF(tblOT[[#This Row],[Week starting]]="","",IF(tblOT[[#This Row],[Base rate]]="","",(tblOT[[#This Row],[OT at rate 1 (h)]]*(Rate1-1)+tblOT[[#This Row],[OT at rate 2 (h)]]*(Rate2-1))*tblOT[[#This Row],[Base rate]]*(1+Burden)))</f>
        <v>0</v>
      </c>
      <c r="P14" s="42" t="str">
        <f>IF(tblOT[[#This Row],[Week starting]]="","",IF(OR(tblOT[[#This Row],[Overtime hours (h)]]&gt;OTLimit,tblOT[[#This Row],[Total hours (h)]]&gt;TotalLimit),"Out of limits","Within limits"))</f>
        <v>Within limits</v>
      </c>
      <c r="Q14" s="43">
        <f>IF(tblOT[[#This Row],[Week starting]]="","",IF(AND(tblOT[[#This Row],[Week starting]]&gt;=FFrom,tblOT[[#This Row],[Week starting]]&lt;=FTo,OR(DashDept="",tblOT[[#This Row],[Department]]=DashDept)),tblOT[[#This Row],[Week starting]],""))</f>
        <v>46237</v>
      </c>
      <c r="R1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4" s="28" t="s">
        <v>144</v>
      </c>
    </row>
    <row r="15" spans="1:19" x14ac:dyDescent="0.25">
      <c r="B15" s="37">
        <v>46237</v>
      </c>
      <c r="C15" s="28" t="s">
        <v>107</v>
      </c>
      <c r="D15" s="29">
        <v>40</v>
      </c>
      <c r="E15" s="29">
        <v>2.5</v>
      </c>
      <c r="F15" s="29">
        <v>0</v>
      </c>
      <c r="G15" s="28" t="s">
        <v>120</v>
      </c>
      <c r="H15" s="28" t="s">
        <v>146</v>
      </c>
      <c r="I15" s="38" t="str">
        <f>IF(tblOT[[#This Row],[Week starting]]="","",IFERROR(INDEX(tblEmployees[Department],MATCH(tblOT[[#This Row],[Employee]],tblEmployees[Employee],0)),""))</f>
        <v>Sanitation</v>
      </c>
      <c r="J15" s="39">
        <f>IF(tblOT[[#This Row],[Week starting]]="","",IFERROR(INDEX(tblEmployees[Base rate],MATCH(tblOT[[#This Row],[Employee]],tblEmployees[Employee],0)),""))</f>
        <v>24</v>
      </c>
      <c r="K15" s="40">
        <f>IF(tblOT[[#This Row],[Week starting]]="","",tblOT[[#This Row],[OT at rate 1 (h)]]+tblOT[[#This Row],[OT at rate 2 (h)]])</f>
        <v>2.5</v>
      </c>
      <c r="L15" s="40">
        <f>IF(tblOT[[#This Row],[Week starting]]="","",tblOT[[#This Row],[Regular hours (h)]]+tblOT[[#This Row],[Overtime hours (h)]])</f>
        <v>42.5</v>
      </c>
      <c r="M15" s="41">
        <f>IF(tblOT[[#This Row],[Week starting]]="","",IF(tblOT[[#This Row],[Total hours (h)]]&gt;0,tblOT[[#This Row],[Overtime hours (h)]]/tblOT[[#This Row],[Total hours (h)]],""))</f>
        <v>0.0588235294117647</v>
      </c>
      <c r="N15" s="39">
        <f>IF(tblOT[[#This Row],[Week starting]]="","",IF(tblOT[[#This Row],[Base rate]]="","",(tblOT[[#This Row],[OT at rate 1 (h)]]*Rate1+tblOT[[#This Row],[OT at rate 2 (h)]]*Rate2)*tblOT[[#This Row],[Base rate]]*(1+Burden)))</f>
        <v>100.8</v>
      </c>
      <c r="O15" s="39">
        <f>IF(tblOT[[#This Row],[Week starting]]="","",IF(tblOT[[#This Row],[Base rate]]="","",(tblOT[[#This Row],[OT at rate 1 (h)]]*(Rate1-1)+tblOT[[#This Row],[OT at rate 2 (h)]]*(Rate2-1))*tblOT[[#This Row],[Base rate]]*(1+Burden)))</f>
        <v>33.6</v>
      </c>
      <c r="P15" s="42" t="str">
        <f>IF(tblOT[[#This Row],[Week starting]]="","",IF(OR(tblOT[[#This Row],[Overtime hours (h)]]&gt;OTLimit,tblOT[[#This Row],[Total hours (h)]]&gt;TotalLimit),"Out of limits","Within limits"))</f>
        <v>Within limits</v>
      </c>
      <c r="Q15" s="43">
        <f>IF(tblOT[[#This Row],[Week starting]]="","",IF(AND(tblOT[[#This Row],[Week starting]]&gt;=FFrom,tblOT[[#This Row],[Week starting]]&lt;=FTo,OR(DashDept="",tblOT[[#This Row],[Department]]=DashDept)),tblOT[[#This Row],[Week starting]],""))</f>
        <v>46237</v>
      </c>
      <c r="R1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5" s="28" t="s">
        <v>144</v>
      </c>
    </row>
    <row r="16" spans="1:19" x14ac:dyDescent="0.25">
      <c r="B16" s="37">
        <v>46237</v>
      </c>
      <c r="C16" s="28" t="s">
        <v>108</v>
      </c>
      <c r="D16" s="29">
        <v>40</v>
      </c>
      <c r="E16" s="29">
        <v>0</v>
      </c>
      <c r="F16" s="29">
        <v>0</v>
      </c>
      <c r="G16" s="28" t="s">
        <v>144</v>
      </c>
      <c r="H16" s="28" t="s">
        <v>144</v>
      </c>
      <c r="I16" s="38" t="str">
        <f>IF(tblOT[[#This Row],[Week starting]]="","",IFERROR(INDEX(tblEmployees[Department],MATCH(tblOT[[#This Row],[Employee]],tblEmployees[Employee],0)),""))</f>
        <v>Sanitation</v>
      </c>
      <c r="J16" s="39">
        <f>IF(tblOT[[#This Row],[Week starting]]="","",IFERROR(INDEX(tblEmployees[Base rate],MATCH(tblOT[[#This Row],[Employee]],tblEmployees[Employee],0)),""))</f>
        <v>23.75</v>
      </c>
      <c r="K16" s="40">
        <f>IF(tblOT[[#This Row],[Week starting]]="","",tblOT[[#This Row],[OT at rate 1 (h)]]+tblOT[[#This Row],[OT at rate 2 (h)]])</f>
        <v>0</v>
      </c>
      <c r="L16" s="40">
        <f>IF(tblOT[[#This Row],[Week starting]]="","",tblOT[[#This Row],[Regular hours (h)]]+tblOT[[#This Row],[Overtime hours (h)]])</f>
        <v>40</v>
      </c>
      <c r="M16" s="41">
        <f>IF(tblOT[[#This Row],[Week starting]]="","",IF(tblOT[[#This Row],[Total hours (h)]]&gt;0,tblOT[[#This Row],[Overtime hours (h)]]/tblOT[[#This Row],[Total hours (h)]],""))</f>
        <v>0</v>
      </c>
      <c r="N16" s="39">
        <f>IF(tblOT[[#This Row],[Week starting]]="","",IF(tblOT[[#This Row],[Base rate]]="","",(tblOT[[#This Row],[OT at rate 1 (h)]]*Rate1+tblOT[[#This Row],[OT at rate 2 (h)]]*Rate2)*tblOT[[#This Row],[Base rate]]*(1+Burden)))</f>
        <v>0</v>
      </c>
      <c r="O16" s="39">
        <f>IF(tblOT[[#This Row],[Week starting]]="","",IF(tblOT[[#This Row],[Base rate]]="","",(tblOT[[#This Row],[OT at rate 1 (h)]]*(Rate1-1)+tblOT[[#This Row],[OT at rate 2 (h)]]*(Rate2-1))*tblOT[[#This Row],[Base rate]]*(1+Burden)))</f>
        <v>0</v>
      </c>
      <c r="P16" s="42" t="str">
        <f>IF(tblOT[[#This Row],[Week starting]]="","",IF(OR(tblOT[[#This Row],[Overtime hours (h)]]&gt;OTLimit,tblOT[[#This Row],[Total hours (h)]]&gt;TotalLimit),"Out of limits","Within limits"))</f>
        <v>Within limits</v>
      </c>
      <c r="Q16" s="43">
        <f>IF(tblOT[[#This Row],[Week starting]]="","",IF(AND(tblOT[[#This Row],[Week starting]]&gt;=FFrom,tblOT[[#This Row],[Week starting]]&lt;=FTo,OR(DashDept="",tblOT[[#This Row],[Department]]=DashDept)),tblOT[[#This Row],[Week starting]],""))</f>
        <v>46237</v>
      </c>
      <c r="R1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6" s="28" t="s">
        <v>144</v>
      </c>
    </row>
    <row r="17" spans="2:19" x14ac:dyDescent="0.25">
      <c r="B17" s="37">
        <v>46237</v>
      </c>
      <c r="C17" s="28" t="s">
        <v>109</v>
      </c>
      <c r="D17" s="29">
        <v>40</v>
      </c>
      <c r="E17" s="29">
        <v>0</v>
      </c>
      <c r="F17" s="29">
        <v>0</v>
      </c>
      <c r="G17" s="28" t="s">
        <v>144</v>
      </c>
      <c r="H17" s="28" t="s">
        <v>144</v>
      </c>
      <c r="I17" s="38" t="str">
        <f>IF(tblOT[[#This Row],[Week starting]]="","",IFERROR(INDEX(tblEmployees[Department],MATCH(tblOT[[#This Row],[Employee]],tblEmployees[Employee],0)),""))</f>
        <v>Sanitation</v>
      </c>
      <c r="J17" s="39">
        <f>IF(tblOT[[#This Row],[Week starting]]="","",IFERROR(INDEX(tblEmployees[Base rate],MATCH(tblOT[[#This Row],[Employee]],tblEmployees[Employee],0)),""))</f>
        <v>24.25</v>
      </c>
      <c r="K17" s="40">
        <f>IF(tblOT[[#This Row],[Week starting]]="","",tblOT[[#This Row],[OT at rate 1 (h)]]+tblOT[[#This Row],[OT at rate 2 (h)]])</f>
        <v>0</v>
      </c>
      <c r="L17" s="40">
        <f>IF(tblOT[[#This Row],[Week starting]]="","",tblOT[[#This Row],[Regular hours (h)]]+tblOT[[#This Row],[Overtime hours (h)]])</f>
        <v>40</v>
      </c>
      <c r="M17" s="41">
        <f>IF(tblOT[[#This Row],[Week starting]]="","",IF(tblOT[[#This Row],[Total hours (h)]]&gt;0,tblOT[[#This Row],[Overtime hours (h)]]/tblOT[[#This Row],[Total hours (h)]],""))</f>
        <v>0</v>
      </c>
      <c r="N17" s="39">
        <f>IF(tblOT[[#This Row],[Week starting]]="","",IF(tblOT[[#This Row],[Base rate]]="","",(tblOT[[#This Row],[OT at rate 1 (h)]]*Rate1+tblOT[[#This Row],[OT at rate 2 (h)]]*Rate2)*tblOT[[#This Row],[Base rate]]*(1+Burden)))</f>
        <v>0</v>
      </c>
      <c r="O17" s="39">
        <f>IF(tblOT[[#This Row],[Week starting]]="","",IF(tblOT[[#This Row],[Base rate]]="","",(tblOT[[#This Row],[OT at rate 1 (h)]]*(Rate1-1)+tblOT[[#This Row],[OT at rate 2 (h)]]*(Rate2-1))*tblOT[[#This Row],[Base rate]]*(1+Burden)))</f>
        <v>0</v>
      </c>
      <c r="P17" s="42" t="str">
        <f>IF(tblOT[[#This Row],[Week starting]]="","",IF(OR(tblOT[[#This Row],[Overtime hours (h)]]&gt;OTLimit,tblOT[[#This Row],[Total hours (h)]]&gt;TotalLimit),"Out of limits","Within limits"))</f>
        <v>Within limits</v>
      </c>
      <c r="Q17" s="43">
        <f>IF(tblOT[[#This Row],[Week starting]]="","",IF(AND(tblOT[[#This Row],[Week starting]]&gt;=FFrom,tblOT[[#This Row],[Week starting]]&lt;=FTo,OR(DashDept="",tblOT[[#This Row],[Department]]=DashDept)),tblOT[[#This Row],[Week starting]],""))</f>
        <v>46237</v>
      </c>
      <c r="R1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7" s="28" t="s">
        <v>144</v>
      </c>
    </row>
    <row r="18" spans="2:19" x14ac:dyDescent="0.25">
      <c r="B18" s="37">
        <v>46237</v>
      </c>
      <c r="C18" s="28" t="s">
        <v>110</v>
      </c>
      <c r="D18" s="29">
        <v>40</v>
      </c>
      <c r="E18" s="29">
        <v>0</v>
      </c>
      <c r="F18" s="29">
        <v>0</v>
      </c>
      <c r="G18" s="28" t="s">
        <v>144</v>
      </c>
      <c r="H18" s="28" t="s">
        <v>144</v>
      </c>
      <c r="I18" s="38" t="str">
        <f>IF(tblOT[[#This Row],[Week starting]]="","",IFERROR(INDEX(tblEmployees[Department],MATCH(tblOT[[#This Row],[Employee]],tblEmployees[Employee],0)),""))</f>
        <v>Maintenance</v>
      </c>
      <c r="J18" s="39">
        <f>IF(tblOT[[#This Row],[Week starting]]="","",IFERROR(INDEX(tblEmployees[Base rate],MATCH(tblOT[[#This Row],[Employee]],tblEmployees[Employee],0)),""))</f>
        <v>38.5</v>
      </c>
      <c r="K18" s="40">
        <f>IF(tblOT[[#This Row],[Week starting]]="","",tblOT[[#This Row],[OT at rate 1 (h)]]+tblOT[[#This Row],[OT at rate 2 (h)]])</f>
        <v>0</v>
      </c>
      <c r="L18" s="40">
        <f>IF(tblOT[[#This Row],[Week starting]]="","",tblOT[[#This Row],[Regular hours (h)]]+tblOT[[#This Row],[Overtime hours (h)]])</f>
        <v>40</v>
      </c>
      <c r="M18" s="41">
        <f>IF(tblOT[[#This Row],[Week starting]]="","",IF(tblOT[[#This Row],[Total hours (h)]]&gt;0,tblOT[[#This Row],[Overtime hours (h)]]/tblOT[[#This Row],[Total hours (h)]],""))</f>
        <v>0</v>
      </c>
      <c r="N18" s="39">
        <f>IF(tblOT[[#This Row],[Week starting]]="","",IF(tblOT[[#This Row],[Base rate]]="","",(tblOT[[#This Row],[OT at rate 1 (h)]]*Rate1+tblOT[[#This Row],[OT at rate 2 (h)]]*Rate2)*tblOT[[#This Row],[Base rate]]*(1+Burden)))</f>
        <v>0</v>
      </c>
      <c r="O18" s="39">
        <f>IF(tblOT[[#This Row],[Week starting]]="","",IF(tblOT[[#This Row],[Base rate]]="","",(tblOT[[#This Row],[OT at rate 1 (h)]]*(Rate1-1)+tblOT[[#This Row],[OT at rate 2 (h)]]*(Rate2-1))*tblOT[[#This Row],[Base rate]]*(1+Burden)))</f>
        <v>0</v>
      </c>
      <c r="P18" s="42" t="str">
        <f>IF(tblOT[[#This Row],[Week starting]]="","",IF(OR(tblOT[[#This Row],[Overtime hours (h)]]&gt;OTLimit,tblOT[[#This Row],[Total hours (h)]]&gt;TotalLimit),"Out of limits","Within limits"))</f>
        <v>Within limits</v>
      </c>
      <c r="Q18" s="43">
        <f>IF(tblOT[[#This Row],[Week starting]]="","",IF(AND(tblOT[[#This Row],[Week starting]]&gt;=FFrom,tblOT[[#This Row],[Week starting]]&lt;=FTo,OR(DashDept="",tblOT[[#This Row],[Department]]=DashDept)),tblOT[[#This Row],[Week starting]],""))</f>
        <v>46237</v>
      </c>
      <c r="R1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8" s="28" t="s">
        <v>144</v>
      </c>
    </row>
    <row r="19" spans="2:19" x14ac:dyDescent="0.25">
      <c r="B19" s="37">
        <v>46237</v>
      </c>
      <c r="C19" s="28" t="s">
        <v>111</v>
      </c>
      <c r="D19" s="29">
        <v>40</v>
      </c>
      <c r="E19" s="29">
        <v>0</v>
      </c>
      <c r="F19" s="29">
        <v>0</v>
      </c>
      <c r="G19" s="28" t="s">
        <v>144</v>
      </c>
      <c r="H19" s="28" t="s">
        <v>144</v>
      </c>
      <c r="I19" s="38" t="str">
        <f>IF(tblOT[[#This Row],[Week starting]]="","",IFERROR(INDEX(tblEmployees[Department],MATCH(tblOT[[#This Row],[Employee]],tblEmployees[Employee],0)),""))</f>
        <v>Maintenance</v>
      </c>
      <c r="J19" s="39">
        <f>IF(tblOT[[#This Row],[Week starting]]="","",IFERROR(INDEX(tblEmployees[Base rate],MATCH(tblOT[[#This Row],[Employee]],tblEmployees[Employee],0)),""))</f>
        <v>37</v>
      </c>
      <c r="K19" s="40">
        <f>IF(tblOT[[#This Row],[Week starting]]="","",tblOT[[#This Row],[OT at rate 1 (h)]]+tblOT[[#This Row],[OT at rate 2 (h)]])</f>
        <v>0</v>
      </c>
      <c r="L19" s="40">
        <f>IF(tblOT[[#This Row],[Week starting]]="","",tblOT[[#This Row],[Regular hours (h)]]+tblOT[[#This Row],[Overtime hours (h)]])</f>
        <v>40</v>
      </c>
      <c r="M19" s="41">
        <f>IF(tblOT[[#This Row],[Week starting]]="","",IF(tblOT[[#This Row],[Total hours (h)]]&gt;0,tblOT[[#This Row],[Overtime hours (h)]]/tblOT[[#This Row],[Total hours (h)]],""))</f>
        <v>0</v>
      </c>
      <c r="N19" s="39">
        <f>IF(tblOT[[#This Row],[Week starting]]="","",IF(tblOT[[#This Row],[Base rate]]="","",(tblOT[[#This Row],[OT at rate 1 (h)]]*Rate1+tblOT[[#This Row],[OT at rate 2 (h)]]*Rate2)*tblOT[[#This Row],[Base rate]]*(1+Burden)))</f>
        <v>0</v>
      </c>
      <c r="O19" s="39">
        <f>IF(tblOT[[#This Row],[Week starting]]="","",IF(tblOT[[#This Row],[Base rate]]="","",(tblOT[[#This Row],[OT at rate 1 (h)]]*(Rate1-1)+tblOT[[#This Row],[OT at rate 2 (h)]]*(Rate2-1))*tblOT[[#This Row],[Base rate]]*(1+Burden)))</f>
        <v>0</v>
      </c>
      <c r="P19" s="42" t="str">
        <f>IF(tblOT[[#This Row],[Week starting]]="","",IF(OR(tblOT[[#This Row],[Overtime hours (h)]]&gt;OTLimit,tblOT[[#This Row],[Total hours (h)]]&gt;TotalLimit),"Out of limits","Within limits"))</f>
        <v>Within limits</v>
      </c>
      <c r="Q19" s="43">
        <f>IF(tblOT[[#This Row],[Week starting]]="","",IF(AND(tblOT[[#This Row],[Week starting]]&gt;=FFrom,tblOT[[#This Row],[Week starting]]&lt;=FTo,OR(DashDept="",tblOT[[#This Row],[Department]]=DashDept)),tblOT[[#This Row],[Week starting]],""))</f>
        <v>46237</v>
      </c>
      <c r="R1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9" s="28" t="s">
        <v>144</v>
      </c>
    </row>
    <row r="20" spans="2:19" x14ac:dyDescent="0.25">
      <c r="B20" s="37">
        <v>46237</v>
      </c>
      <c r="C20" s="28" t="s">
        <v>112</v>
      </c>
      <c r="D20" s="29">
        <v>40</v>
      </c>
      <c r="E20" s="29">
        <v>0</v>
      </c>
      <c r="F20" s="29">
        <v>0</v>
      </c>
      <c r="G20" s="28" t="s">
        <v>144</v>
      </c>
      <c r="H20" s="28" t="s">
        <v>144</v>
      </c>
      <c r="I20" s="38" t="str">
        <f>IF(tblOT[[#This Row],[Week starting]]="","",IFERROR(INDEX(tblEmployees[Department],MATCH(tblOT[[#This Row],[Employee]],tblEmployees[Employee],0)),""))</f>
        <v>Maintenance</v>
      </c>
      <c r="J20" s="39">
        <f>IF(tblOT[[#This Row],[Week starting]]="","",IFERROR(INDEX(tblEmployees[Base rate],MATCH(tblOT[[#This Row],[Employee]],tblEmployees[Employee],0)),""))</f>
        <v>36.25</v>
      </c>
      <c r="K20" s="40">
        <f>IF(tblOT[[#This Row],[Week starting]]="","",tblOT[[#This Row],[OT at rate 1 (h)]]+tblOT[[#This Row],[OT at rate 2 (h)]])</f>
        <v>0</v>
      </c>
      <c r="L20" s="40">
        <f>IF(tblOT[[#This Row],[Week starting]]="","",tblOT[[#This Row],[Regular hours (h)]]+tblOT[[#This Row],[Overtime hours (h)]])</f>
        <v>40</v>
      </c>
      <c r="M20" s="41">
        <f>IF(tblOT[[#This Row],[Week starting]]="","",IF(tblOT[[#This Row],[Total hours (h)]]&gt;0,tblOT[[#This Row],[Overtime hours (h)]]/tblOT[[#This Row],[Total hours (h)]],""))</f>
        <v>0</v>
      </c>
      <c r="N20" s="39">
        <f>IF(tblOT[[#This Row],[Week starting]]="","",IF(tblOT[[#This Row],[Base rate]]="","",(tblOT[[#This Row],[OT at rate 1 (h)]]*Rate1+tblOT[[#This Row],[OT at rate 2 (h)]]*Rate2)*tblOT[[#This Row],[Base rate]]*(1+Burden)))</f>
        <v>0</v>
      </c>
      <c r="O20" s="39">
        <f>IF(tblOT[[#This Row],[Week starting]]="","",IF(tblOT[[#This Row],[Base rate]]="","",(tblOT[[#This Row],[OT at rate 1 (h)]]*(Rate1-1)+tblOT[[#This Row],[OT at rate 2 (h)]]*(Rate2-1))*tblOT[[#This Row],[Base rate]]*(1+Burden)))</f>
        <v>0</v>
      </c>
      <c r="P20" s="42" t="str">
        <f>IF(tblOT[[#This Row],[Week starting]]="","",IF(OR(tblOT[[#This Row],[Overtime hours (h)]]&gt;OTLimit,tblOT[[#This Row],[Total hours (h)]]&gt;TotalLimit),"Out of limits","Within limits"))</f>
        <v>Within limits</v>
      </c>
      <c r="Q20" s="43">
        <f>IF(tblOT[[#This Row],[Week starting]]="","",IF(AND(tblOT[[#This Row],[Week starting]]&gt;=FFrom,tblOT[[#This Row],[Week starting]]&lt;=FTo,OR(DashDept="",tblOT[[#This Row],[Department]]=DashDept)),tblOT[[#This Row],[Week starting]],""))</f>
        <v>46237</v>
      </c>
      <c r="R2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0" s="28" t="s">
        <v>144</v>
      </c>
    </row>
    <row r="21" spans="2:19" x14ac:dyDescent="0.25">
      <c r="B21" s="37">
        <v>46237</v>
      </c>
      <c r="C21" s="28" t="s">
        <v>113</v>
      </c>
      <c r="D21" s="29">
        <v>40</v>
      </c>
      <c r="E21" s="29">
        <v>0</v>
      </c>
      <c r="F21" s="29">
        <v>0</v>
      </c>
      <c r="G21" s="28" t="s">
        <v>144</v>
      </c>
      <c r="H21" s="28" t="s">
        <v>144</v>
      </c>
      <c r="I21" s="38" t="str">
        <f>IF(tblOT[[#This Row],[Week starting]]="","",IFERROR(INDEX(tblEmployees[Department],MATCH(tblOT[[#This Row],[Employee]],tblEmployees[Employee],0)),""))</f>
        <v>Warehouse</v>
      </c>
      <c r="J21" s="39">
        <f>IF(tblOT[[#This Row],[Week starting]]="","",IFERROR(INDEX(tblEmployees[Base rate],MATCH(tblOT[[#This Row],[Employee]],tblEmployees[Employee],0)),""))</f>
        <v>26</v>
      </c>
      <c r="K21" s="40">
        <f>IF(tblOT[[#This Row],[Week starting]]="","",tblOT[[#This Row],[OT at rate 1 (h)]]+tblOT[[#This Row],[OT at rate 2 (h)]])</f>
        <v>0</v>
      </c>
      <c r="L21" s="40">
        <f>IF(tblOT[[#This Row],[Week starting]]="","",tblOT[[#This Row],[Regular hours (h)]]+tblOT[[#This Row],[Overtime hours (h)]])</f>
        <v>40</v>
      </c>
      <c r="M21" s="41">
        <f>IF(tblOT[[#This Row],[Week starting]]="","",IF(tblOT[[#This Row],[Total hours (h)]]&gt;0,tblOT[[#This Row],[Overtime hours (h)]]/tblOT[[#This Row],[Total hours (h)]],""))</f>
        <v>0</v>
      </c>
      <c r="N21" s="39">
        <f>IF(tblOT[[#This Row],[Week starting]]="","",IF(tblOT[[#This Row],[Base rate]]="","",(tblOT[[#This Row],[OT at rate 1 (h)]]*Rate1+tblOT[[#This Row],[OT at rate 2 (h)]]*Rate2)*tblOT[[#This Row],[Base rate]]*(1+Burden)))</f>
        <v>0</v>
      </c>
      <c r="O21" s="39">
        <f>IF(tblOT[[#This Row],[Week starting]]="","",IF(tblOT[[#This Row],[Base rate]]="","",(tblOT[[#This Row],[OT at rate 1 (h)]]*(Rate1-1)+tblOT[[#This Row],[OT at rate 2 (h)]]*(Rate2-1))*tblOT[[#This Row],[Base rate]]*(1+Burden)))</f>
        <v>0</v>
      </c>
      <c r="P21" s="42" t="str">
        <f>IF(tblOT[[#This Row],[Week starting]]="","",IF(OR(tblOT[[#This Row],[Overtime hours (h)]]&gt;OTLimit,tblOT[[#This Row],[Total hours (h)]]&gt;TotalLimit),"Out of limits","Within limits"))</f>
        <v>Within limits</v>
      </c>
      <c r="Q21" s="43">
        <f>IF(tblOT[[#This Row],[Week starting]]="","",IF(AND(tblOT[[#This Row],[Week starting]]&gt;=FFrom,tblOT[[#This Row],[Week starting]]&lt;=FTo,OR(DashDept="",tblOT[[#This Row],[Department]]=DashDept)),tblOT[[#This Row],[Week starting]],""))</f>
        <v>46237</v>
      </c>
      <c r="R2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1" s="28" t="s">
        <v>144</v>
      </c>
    </row>
    <row r="22" spans="2:19" x14ac:dyDescent="0.25">
      <c r="B22" s="37">
        <v>46237</v>
      </c>
      <c r="C22" s="28" t="s">
        <v>114</v>
      </c>
      <c r="D22" s="29">
        <v>40</v>
      </c>
      <c r="E22" s="29">
        <v>0</v>
      </c>
      <c r="F22" s="29">
        <v>0</v>
      </c>
      <c r="G22" s="28" t="s">
        <v>144</v>
      </c>
      <c r="H22" s="28" t="s">
        <v>144</v>
      </c>
      <c r="I22" s="38" t="str">
        <f>IF(tblOT[[#This Row],[Week starting]]="","",IFERROR(INDEX(tblEmployees[Department],MATCH(tblOT[[#This Row],[Employee]],tblEmployees[Employee],0)),""))</f>
        <v>Warehouse</v>
      </c>
      <c r="J22" s="39">
        <f>IF(tblOT[[#This Row],[Week starting]]="","",IFERROR(INDEX(tblEmployees[Base rate],MATCH(tblOT[[#This Row],[Employee]],tblEmployees[Employee],0)),""))</f>
        <v>25.75</v>
      </c>
      <c r="K22" s="40">
        <f>IF(tblOT[[#This Row],[Week starting]]="","",tblOT[[#This Row],[OT at rate 1 (h)]]+tblOT[[#This Row],[OT at rate 2 (h)]])</f>
        <v>0</v>
      </c>
      <c r="L22" s="40">
        <f>IF(tblOT[[#This Row],[Week starting]]="","",tblOT[[#This Row],[Regular hours (h)]]+tblOT[[#This Row],[Overtime hours (h)]])</f>
        <v>40</v>
      </c>
      <c r="M22" s="41">
        <f>IF(tblOT[[#This Row],[Week starting]]="","",IF(tblOT[[#This Row],[Total hours (h)]]&gt;0,tblOT[[#This Row],[Overtime hours (h)]]/tblOT[[#This Row],[Total hours (h)]],""))</f>
        <v>0</v>
      </c>
      <c r="N22" s="39">
        <f>IF(tblOT[[#This Row],[Week starting]]="","",IF(tblOT[[#This Row],[Base rate]]="","",(tblOT[[#This Row],[OT at rate 1 (h)]]*Rate1+tblOT[[#This Row],[OT at rate 2 (h)]]*Rate2)*tblOT[[#This Row],[Base rate]]*(1+Burden)))</f>
        <v>0</v>
      </c>
      <c r="O22" s="39">
        <f>IF(tblOT[[#This Row],[Week starting]]="","",IF(tblOT[[#This Row],[Base rate]]="","",(tblOT[[#This Row],[OT at rate 1 (h)]]*(Rate1-1)+tblOT[[#This Row],[OT at rate 2 (h)]]*(Rate2-1))*tblOT[[#This Row],[Base rate]]*(1+Burden)))</f>
        <v>0</v>
      </c>
      <c r="P22" s="42" t="str">
        <f>IF(tblOT[[#This Row],[Week starting]]="","",IF(OR(tblOT[[#This Row],[Overtime hours (h)]]&gt;OTLimit,tblOT[[#This Row],[Total hours (h)]]&gt;TotalLimit),"Out of limits","Within limits"))</f>
        <v>Within limits</v>
      </c>
      <c r="Q22" s="43">
        <f>IF(tblOT[[#This Row],[Week starting]]="","",IF(AND(tblOT[[#This Row],[Week starting]]&gt;=FFrom,tblOT[[#This Row],[Week starting]]&lt;=FTo,OR(DashDept="",tblOT[[#This Row],[Department]]=DashDept)),tblOT[[#This Row],[Week starting]],""))</f>
        <v>46237</v>
      </c>
      <c r="R2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2" s="28" t="s">
        <v>144</v>
      </c>
    </row>
    <row r="23" spans="2:19" x14ac:dyDescent="0.25">
      <c r="B23" s="37">
        <v>46244</v>
      </c>
      <c r="C23" s="28" t="s">
        <v>99</v>
      </c>
      <c r="D23" s="29">
        <v>40</v>
      </c>
      <c r="E23" s="29">
        <v>0</v>
      </c>
      <c r="F23" s="29">
        <v>0</v>
      </c>
      <c r="G23" s="28" t="s">
        <v>144</v>
      </c>
      <c r="H23" s="28" t="s">
        <v>144</v>
      </c>
      <c r="I23" s="38" t="str">
        <f>IF(tblOT[[#This Row],[Week starting]]="","",IFERROR(INDEX(tblEmployees[Department],MATCH(tblOT[[#This Row],[Employee]],tblEmployees[Employee],0)),""))</f>
        <v>Processing</v>
      </c>
      <c r="J23" s="39">
        <f>IF(tblOT[[#This Row],[Week starting]]="","",IFERROR(INDEX(tblEmployees[Base rate],MATCH(tblOT[[#This Row],[Employee]],tblEmployees[Employee],0)),""))</f>
        <v>27.5</v>
      </c>
      <c r="K23" s="40">
        <f>IF(tblOT[[#This Row],[Week starting]]="","",tblOT[[#This Row],[OT at rate 1 (h)]]+tblOT[[#This Row],[OT at rate 2 (h)]])</f>
        <v>0</v>
      </c>
      <c r="L23" s="40">
        <f>IF(tblOT[[#This Row],[Week starting]]="","",tblOT[[#This Row],[Regular hours (h)]]+tblOT[[#This Row],[Overtime hours (h)]])</f>
        <v>40</v>
      </c>
      <c r="M23" s="41">
        <f>IF(tblOT[[#This Row],[Week starting]]="","",IF(tblOT[[#This Row],[Total hours (h)]]&gt;0,tblOT[[#This Row],[Overtime hours (h)]]/tblOT[[#This Row],[Total hours (h)]],""))</f>
        <v>0</v>
      </c>
      <c r="N23" s="39">
        <f>IF(tblOT[[#This Row],[Week starting]]="","",IF(tblOT[[#This Row],[Base rate]]="","",(tblOT[[#This Row],[OT at rate 1 (h)]]*Rate1+tblOT[[#This Row],[OT at rate 2 (h)]]*Rate2)*tblOT[[#This Row],[Base rate]]*(1+Burden)))</f>
        <v>0</v>
      </c>
      <c r="O23" s="39">
        <f>IF(tblOT[[#This Row],[Week starting]]="","",IF(tblOT[[#This Row],[Base rate]]="","",(tblOT[[#This Row],[OT at rate 1 (h)]]*(Rate1-1)+tblOT[[#This Row],[OT at rate 2 (h)]]*(Rate2-1))*tblOT[[#This Row],[Base rate]]*(1+Burden)))</f>
        <v>0</v>
      </c>
      <c r="P23" s="42" t="str">
        <f>IF(tblOT[[#This Row],[Week starting]]="","",IF(OR(tblOT[[#This Row],[Overtime hours (h)]]&gt;OTLimit,tblOT[[#This Row],[Total hours (h)]]&gt;TotalLimit),"Out of limits","Within limits"))</f>
        <v>Within limits</v>
      </c>
      <c r="Q23" s="43">
        <f>IF(tblOT[[#This Row],[Week starting]]="","",IF(AND(tblOT[[#This Row],[Week starting]]&gt;=FFrom,tblOT[[#This Row],[Week starting]]&lt;=FTo,OR(DashDept="",tblOT[[#This Row],[Department]]=DashDept)),tblOT[[#This Row],[Week starting]],""))</f>
        <v>46244</v>
      </c>
      <c r="R2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3" s="28" t="s">
        <v>144</v>
      </c>
    </row>
    <row r="24" spans="2:19" x14ac:dyDescent="0.25">
      <c r="B24" s="37">
        <v>46244</v>
      </c>
      <c r="C24" s="28" t="s">
        <v>100</v>
      </c>
      <c r="D24" s="29">
        <v>40</v>
      </c>
      <c r="E24" s="29">
        <v>4</v>
      </c>
      <c r="F24" s="29">
        <v>0</v>
      </c>
      <c r="G24" s="28" t="s">
        <v>116</v>
      </c>
      <c r="H24" s="28" t="s">
        <v>145</v>
      </c>
      <c r="I24" s="38" t="str">
        <f>IF(tblOT[[#This Row],[Week starting]]="","",IFERROR(INDEX(tblEmployees[Department],MATCH(tblOT[[#This Row],[Employee]],tblEmployees[Employee],0)),""))</f>
        <v>Processing</v>
      </c>
      <c r="J24" s="39">
        <f>IF(tblOT[[#This Row],[Week starting]]="","",IFERROR(INDEX(tblEmployees[Base rate],MATCH(tblOT[[#This Row],[Employee]],tblEmployees[Employee],0)),""))</f>
        <v>28.25</v>
      </c>
      <c r="K24" s="40">
        <f>IF(tblOT[[#This Row],[Week starting]]="","",tblOT[[#This Row],[OT at rate 1 (h)]]+tblOT[[#This Row],[OT at rate 2 (h)]])</f>
        <v>4</v>
      </c>
      <c r="L24" s="40">
        <f>IF(tblOT[[#This Row],[Week starting]]="","",tblOT[[#This Row],[Regular hours (h)]]+tblOT[[#This Row],[Overtime hours (h)]])</f>
        <v>44</v>
      </c>
      <c r="M24" s="41">
        <f>IF(tblOT[[#This Row],[Week starting]]="","",IF(tblOT[[#This Row],[Total hours (h)]]&gt;0,tblOT[[#This Row],[Overtime hours (h)]]/tblOT[[#This Row],[Total hours (h)]],""))</f>
        <v>0.0909090909090909</v>
      </c>
      <c r="N24" s="39">
        <f>IF(tblOT[[#This Row],[Week starting]]="","",IF(tblOT[[#This Row],[Base rate]]="","",(tblOT[[#This Row],[OT at rate 1 (h)]]*Rate1+tblOT[[#This Row],[OT at rate 2 (h)]]*Rate2)*tblOT[[#This Row],[Base rate]]*(1+Burden)))</f>
        <v>189.84</v>
      </c>
      <c r="O24" s="39">
        <f>IF(tblOT[[#This Row],[Week starting]]="","",IF(tblOT[[#This Row],[Base rate]]="","",(tblOT[[#This Row],[OT at rate 1 (h)]]*(Rate1-1)+tblOT[[#This Row],[OT at rate 2 (h)]]*(Rate2-1))*tblOT[[#This Row],[Base rate]]*(1+Burden)))</f>
        <v>63.28</v>
      </c>
      <c r="P24" s="42" t="str">
        <f>IF(tblOT[[#This Row],[Week starting]]="","",IF(OR(tblOT[[#This Row],[Overtime hours (h)]]&gt;OTLimit,tblOT[[#This Row],[Total hours (h)]]&gt;TotalLimit),"Out of limits","Within limits"))</f>
        <v>Within limits</v>
      </c>
      <c r="Q24" s="43">
        <f>IF(tblOT[[#This Row],[Week starting]]="","",IF(AND(tblOT[[#This Row],[Week starting]]&gt;=FFrom,tblOT[[#This Row],[Week starting]]&lt;=FTo,OR(DashDept="",tblOT[[#This Row],[Department]]=DashDept)),tblOT[[#This Row],[Week starting]],""))</f>
        <v>46244</v>
      </c>
      <c r="R2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4" s="28" t="s">
        <v>144</v>
      </c>
    </row>
    <row r="25" spans="2:19" x14ac:dyDescent="0.25">
      <c r="B25" s="37">
        <v>46244</v>
      </c>
      <c r="C25" s="28" t="s">
        <v>101</v>
      </c>
      <c r="D25" s="29">
        <v>40</v>
      </c>
      <c r="E25" s="29">
        <v>6.5</v>
      </c>
      <c r="F25" s="29">
        <v>0</v>
      </c>
      <c r="G25" s="28" t="s">
        <v>116</v>
      </c>
      <c r="H25" s="28" t="s">
        <v>145</v>
      </c>
      <c r="I25" s="38" t="str">
        <f>IF(tblOT[[#This Row],[Week starting]]="","",IFERROR(INDEX(tblEmployees[Department],MATCH(tblOT[[#This Row],[Employee]],tblEmployees[Employee],0)),""))</f>
        <v>Processing</v>
      </c>
      <c r="J25" s="39">
        <f>IF(tblOT[[#This Row],[Week starting]]="","",IFERROR(INDEX(tblEmployees[Base rate],MATCH(tblOT[[#This Row],[Employee]],tblEmployees[Employee],0)),""))</f>
        <v>26.75</v>
      </c>
      <c r="K25" s="40">
        <f>IF(tblOT[[#This Row],[Week starting]]="","",tblOT[[#This Row],[OT at rate 1 (h)]]+tblOT[[#This Row],[OT at rate 2 (h)]])</f>
        <v>6.5</v>
      </c>
      <c r="L25" s="40">
        <f>IF(tblOT[[#This Row],[Week starting]]="","",tblOT[[#This Row],[Regular hours (h)]]+tblOT[[#This Row],[Overtime hours (h)]])</f>
        <v>46.5</v>
      </c>
      <c r="M25" s="41">
        <f>IF(tblOT[[#This Row],[Week starting]]="","",IF(tblOT[[#This Row],[Total hours (h)]]&gt;0,tblOT[[#This Row],[Overtime hours (h)]]/tblOT[[#This Row],[Total hours (h)]],""))</f>
        <v>0.139784946236559</v>
      </c>
      <c r="N25" s="39">
        <f>IF(tblOT[[#This Row],[Week starting]]="","",IF(tblOT[[#This Row],[Base rate]]="","",(tblOT[[#This Row],[OT at rate 1 (h)]]*Rate1+tblOT[[#This Row],[OT at rate 2 (h)]]*Rate2)*tblOT[[#This Row],[Base rate]]*(1+Burden)))</f>
        <v>292.11</v>
      </c>
      <c r="O25" s="39">
        <f>IF(tblOT[[#This Row],[Week starting]]="","",IF(tblOT[[#This Row],[Base rate]]="","",(tblOT[[#This Row],[OT at rate 1 (h)]]*(Rate1-1)+tblOT[[#This Row],[OT at rate 2 (h)]]*(Rate2-1))*tblOT[[#This Row],[Base rate]]*(1+Burden)))</f>
        <v>97.37</v>
      </c>
      <c r="P25" s="42" t="str">
        <f>IF(tblOT[[#This Row],[Week starting]]="","",IF(OR(tblOT[[#This Row],[Overtime hours (h)]]&gt;OTLimit,tblOT[[#This Row],[Total hours (h)]]&gt;TotalLimit),"Out of limits","Within limits"))</f>
        <v>Within limits</v>
      </c>
      <c r="Q25" s="43">
        <f>IF(tblOT[[#This Row],[Week starting]]="","",IF(AND(tblOT[[#This Row],[Week starting]]&gt;=FFrom,tblOT[[#This Row],[Week starting]]&lt;=FTo,OR(DashDept="",tblOT[[#This Row],[Department]]=DashDept)),tblOT[[#This Row],[Week starting]],""))</f>
        <v>46244</v>
      </c>
      <c r="R2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5" s="28" t="s">
        <v>144</v>
      </c>
    </row>
    <row r="26" spans="2:19" x14ac:dyDescent="0.25">
      <c r="B26" s="37">
        <v>46244</v>
      </c>
      <c r="C26" s="28" t="s">
        <v>102</v>
      </c>
      <c r="D26" s="29">
        <v>40</v>
      </c>
      <c r="E26" s="29">
        <v>0</v>
      </c>
      <c r="F26" s="29">
        <v>0</v>
      </c>
      <c r="G26" s="28" t="s">
        <v>144</v>
      </c>
      <c r="H26" s="28" t="s">
        <v>144</v>
      </c>
      <c r="I26" s="38" t="str">
        <f>IF(tblOT[[#This Row],[Week starting]]="","",IFERROR(INDEX(tblEmployees[Department],MATCH(tblOT[[#This Row],[Employee]],tblEmployees[Employee],0)),""))</f>
        <v>Processing</v>
      </c>
      <c r="J26" s="39">
        <f>IF(tblOT[[#This Row],[Week starting]]="","",IFERROR(INDEX(tblEmployees[Base rate],MATCH(tblOT[[#This Row],[Employee]],tblEmployees[Employee],0)),""))</f>
        <v>27</v>
      </c>
      <c r="K26" s="40">
        <f>IF(tblOT[[#This Row],[Week starting]]="","",tblOT[[#This Row],[OT at rate 1 (h)]]+tblOT[[#This Row],[OT at rate 2 (h)]])</f>
        <v>0</v>
      </c>
      <c r="L26" s="40">
        <f>IF(tblOT[[#This Row],[Week starting]]="","",tblOT[[#This Row],[Regular hours (h)]]+tblOT[[#This Row],[Overtime hours (h)]])</f>
        <v>40</v>
      </c>
      <c r="M26" s="41">
        <f>IF(tblOT[[#This Row],[Week starting]]="","",IF(tblOT[[#This Row],[Total hours (h)]]&gt;0,tblOT[[#This Row],[Overtime hours (h)]]/tblOT[[#This Row],[Total hours (h)]],""))</f>
        <v>0</v>
      </c>
      <c r="N26" s="39">
        <f>IF(tblOT[[#This Row],[Week starting]]="","",IF(tblOT[[#This Row],[Base rate]]="","",(tblOT[[#This Row],[OT at rate 1 (h)]]*Rate1+tblOT[[#This Row],[OT at rate 2 (h)]]*Rate2)*tblOT[[#This Row],[Base rate]]*(1+Burden)))</f>
        <v>0</v>
      </c>
      <c r="O26" s="39">
        <f>IF(tblOT[[#This Row],[Week starting]]="","",IF(tblOT[[#This Row],[Base rate]]="","",(tblOT[[#This Row],[OT at rate 1 (h)]]*(Rate1-1)+tblOT[[#This Row],[OT at rate 2 (h)]]*(Rate2-1))*tblOT[[#This Row],[Base rate]]*(1+Burden)))</f>
        <v>0</v>
      </c>
      <c r="P26" s="42" t="str">
        <f>IF(tblOT[[#This Row],[Week starting]]="","",IF(OR(tblOT[[#This Row],[Overtime hours (h)]]&gt;OTLimit,tblOT[[#This Row],[Total hours (h)]]&gt;TotalLimit),"Out of limits","Within limits"))</f>
        <v>Within limits</v>
      </c>
      <c r="Q26" s="43">
        <f>IF(tblOT[[#This Row],[Week starting]]="","",IF(AND(tblOT[[#This Row],[Week starting]]&gt;=FFrom,tblOT[[#This Row],[Week starting]]&lt;=FTo,OR(DashDept="",tblOT[[#This Row],[Department]]=DashDept)),tblOT[[#This Row],[Week starting]],""))</f>
        <v>46244</v>
      </c>
      <c r="R2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6" s="28" t="s">
        <v>144</v>
      </c>
    </row>
    <row r="27" spans="2:19" x14ac:dyDescent="0.25">
      <c r="B27" s="37">
        <v>46244</v>
      </c>
      <c r="C27" s="28" t="s">
        <v>103</v>
      </c>
      <c r="D27" s="29">
        <v>40</v>
      </c>
      <c r="E27" s="29">
        <v>0</v>
      </c>
      <c r="F27" s="29">
        <v>0</v>
      </c>
      <c r="G27" s="28" t="s">
        <v>144</v>
      </c>
      <c r="H27" s="28" t="s">
        <v>144</v>
      </c>
      <c r="I27" s="38" t="str">
        <f>IF(tblOT[[#This Row],[Week starting]]="","",IFERROR(INDEX(tblEmployees[Department],MATCH(tblOT[[#This Row],[Employee]],tblEmployees[Employee],0)),""))</f>
        <v>Packaging</v>
      </c>
      <c r="J27" s="39">
        <f>IF(tblOT[[#This Row],[Week starting]]="","",IFERROR(INDEX(tblEmployees[Base rate],MATCH(tblOT[[#This Row],[Employee]],tblEmployees[Employee],0)),""))</f>
        <v>25.5</v>
      </c>
      <c r="K27" s="40">
        <f>IF(tblOT[[#This Row],[Week starting]]="","",tblOT[[#This Row],[OT at rate 1 (h)]]+tblOT[[#This Row],[OT at rate 2 (h)]])</f>
        <v>0</v>
      </c>
      <c r="L27" s="40">
        <f>IF(tblOT[[#This Row],[Week starting]]="","",tblOT[[#This Row],[Regular hours (h)]]+tblOT[[#This Row],[Overtime hours (h)]])</f>
        <v>40</v>
      </c>
      <c r="M27" s="41">
        <f>IF(tblOT[[#This Row],[Week starting]]="","",IF(tblOT[[#This Row],[Total hours (h)]]&gt;0,tblOT[[#This Row],[Overtime hours (h)]]/tblOT[[#This Row],[Total hours (h)]],""))</f>
        <v>0</v>
      </c>
      <c r="N27" s="39">
        <f>IF(tblOT[[#This Row],[Week starting]]="","",IF(tblOT[[#This Row],[Base rate]]="","",(tblOT[[#This Row],[OT at rate 1 (h)]]*Rate1+tblOT[[#This Row],[OT at rate 2 (h)]]*Rate2)*tblOT[[#This Row],[Base rate]]*(1+Burden)))</f>
        <v>0</v>
      </c>
      <c r="O27" s="39">
        <f>IF(tblOT[[#This Row],[Week starting]]="","",IF(tblOT[[#This Row],[Base rate]]="","",(tblOT[[#This Row],[OT at rate 1 (h)]]*(Rate1-1)+tblOT[[#This Row],[OT at rate 2 (h)]]*(Rate2-1))*tblOT[[#This Row],[Base rate]]*(1+Burden)))</f>
        <v>0</v>
      </c>
      <c r="P27" s="42" t="str">
        <f>IF(tblOT[[#This Row],[Week starting]]="","",IF(OR(tblOT[[#This Row],[Overtime hours (h)]]&gt;OTLimit,tblOT[[#This Row],[Total hours (h)]]&gt;TotalLimit),"Out of limits","Within limits"))</f>
        <v>Within limits</v>
      </c>
      <c r="Q27" s="43">
        <f>IF(tblOT[[#This Row],[Week starting]]="","",IF(AND(tblOT[[#This Row],[Week starting]]&gt;=FFrom,tblOT[[#This Row],[Week starting]]&lt;=FTo,OR(DashDept="",tblOT[[#This Row],[Department]]=DashDept)),tblOT[[#This Row],[Week starting]],""))</f>
        <v>46244</v>
      </c>
      <c r="R2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7" s="28" t="s">
        <v>144</v>
      </c>
    </row>
    <row r="28" spans="2:19" x14ac:dyDescent="0.25">
      <c r="B28" s="37">
        <v>46244</v>
      </c>
      <c r="C28" s="28" t="s">
        <v>104</v>
      </c>
      <c r="D28" s="29">
        <v>40</v>
      </c>
      <c r="E28" s="29">
        <v>6</v>
      </c>
      <c r="F28" s="29">
        <v>0</v>
      </c>
      <c r="G28" s="28" t="s">
        <v>116</v>
      </c>
      <c r="H28" s="28" t="s">
        <v>145</v>
      </c>
      <c r="I28" s="38" t="str">
        <f>IF(tblOT[[#This Row],[Week starting]]="","",IFERROR(INDEX(tblEmployees[Department],MATCH(tblOT[[#This Row],[Employee]],tblEmployees[Employee],0)),""))</f>
        <v>Packaging</v>
      </c>
      <c r="J28" s="39">
        <f>IF(tblOT[[#This Row],[Week starting]]="","",IFERROR(INDEX(tblEmployees[Base rate],MATCH(tblOT[[#This Row],[Employee]],tblEmployees[Employee],0)),""))</f>
        <v>24.75</v>
      </c>
      <c r="K28" s="40">
        <f>IF(tblOT[[#This Row],[Week starting]]="","",tblOT[[#This Row],[OT at rate 1 (h)]]+tblOT[[#This Row],[OT at rate 2 (h)]])</f>
        <v>6</v>
      </c>
      <c r="L28" s="40">
        <f>IF(tblOT[[#This Row],[Week starting]]="","",tblOT[[#This Row],[Regular hours (h)]]+tblOT[[#This Row],[Overtime hours (h)]])</f>
        <v>46</v>
      </c>
      <c r="M28" s="41">
        <f>IF(tblOT[[#This Row],[Week starting]]="","",IF(tblOT[[#This Row],[Total hours (h)]]&gt;0,tblOT[[#This Row],[Overtime hours (h)]]/tblOT[[#This Row],[Total hours (h)]],""))</f>
        <v>0.130434782608696</v>
      </c>
      <c r="N28" s="39">
        <f>IF(tblOT[[#This Row],[Week starting]]="","",IF(tblOT[[#This Row],[Base rate]]="","",(tblOT[[#This Row],[OT at rate 1 (h)]]*Rate1+tblOT[[#This Row],[OT at rate 2 (h)]]*Rate2)*tblOT[[#This Row],[Base rate]]*(1+Burden)))</f>
        <v>249.48</v>
      </c>
      <c r="O28" s="39">
        <f>IF(tblOT[[#This Row],[Week starting]]="","",IF(tblOT[[#This Row],[Base rate]]="","",(tblOT[[#This Row],[OT at rate 1 (h)]]*(Rate1-1)+tblOT[[#This Row],[OT at rate 2 (h)]]*(Rate2-1))*tblOT[[#This Row],[Base rate]]*(1+Burden)))</f>
        <v>83.16</v>
      </c>
      <c r="P28" s="42" t="str">
        <f>IF(tblOT[[#This Row],[Week starting]]="","",IF(OR(tblOT[[#This Row],[Overtime hours (h)]]&gt;OTLimit,tblOT[[#This Row],[Total hours (h)]]&gt;TotalLimit),"Out of limits","Within limits"))</f>
        <v>Within limits</v>
      </c>
      <c r="Q28" s="43">
        <f>IF(tblOT[[#This Row],[Week starting]]="","",IF(AND(tblOT[[#This Row],[Week starting]]&gt;=FFrom,tblOT[[#This Row],[Week starting]]&lt;=FTo,OR(DashDept="",tblOT[[#This Row],[Department]]=DashDept)),tblOT[[#This Row],[Week starting]],""))</f>
        <v>46244</v>
      </c>
      <c r="R2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8" s="28" t="s">
        <v>144</v>
      </c>
    </row>
    <row r="29" spans="2:19" x14ac:dyDescent="0.25">
      <c r="B29" s="37">
        <v>46244</v>
      </c>
      <c r="C29" s="28" t="s">
        <v>105</v>
      </c>
      <c r="D29" s="29">
        <v>40</v>
      </c>
      <c r="E29" s="29">
        <v>0</v>
      </c>
      <c r="F29" s="29">
        <v>0</v>
      </c>
      <c r="G29" s="28" t="s">
        <v>144</v>
      </c>
      <c r="H29" s="28" t="s">
        <v>144</v>
      </c>
      <c r="I29" s="38" t="str">
        <f>IF(tblOT[[#This Row],[Week starting]]="","",IFERROR(INDEX(tblEmployees[Department],MATCH(tblOT[[#This Row],[Employee]],tblEmployees[Employee],0)),""))</f>
        <v>Packaging</v>
      </c>
      <c r="J29" s="39">
        <f>IF(tblOT[[#This Row],[Week starting]]="","",IFERROR(INDEX(tblEmployees[Base rate],MATCH(tblOT[[#This Row],[Employee]],tblEmployees[Employee],0)),""))</f>
        <v>25</v>
      </c>
      <c r="K29" s="40">
        <f>IF(tblOT[[#This Row],[Week starting]]="","",tblOT[[#This Row],[OT at rate 1 (h)]]+tblOT[[#This Row],[OT at rate 2 (h)]])</f>
        <v>0</v>
      </c>
      <c r="L29" s="40">
        <f>IF(tblOT[[#This Row],[Week starting]]="","",tblOT[[#This Row],[Regular hours (h)]]+tblOT[[#This Row],[Overtime hours (h)]])</f>
        <v>40</v>
      </c>
      <c r="M29" s="41">
        <f>IF(tblOT[[#This Row],[Week starting]]="","",IF(tblOT[[#This Row],[Total hours (h)]]&gt;0,tblOT[[#This Row],[Overtime hours (h)]]/tblOT[[#This Row],[Total hours (h)]],""))</f>
        <v>0</v>
      </c>
      <c r="N29" s="39">
        <f>IF(tblOT[[#This Row],[Week starting]]="","",IF(tblOT[[#This Row],[Base rate]]="","",(tblOT[[#This Row],[OT at rate 1 (h)]]*Rate1+tblOT[[#This Row],[OT at rate 2 (h)]]*Rate2)*tblOT[[#This Row],[Base rate]]*(1+Burden)))</f>
        <v>0</v>
      </c>
      <c r="O29" s="39">
        <f>IF(tblOT[[#This Row],[Week starting]]="","",IF(tblOT[[#This Row],[Base rate]]="","",(tblOT[[#This Row],[OT at rate 1 (h)]]*(Rate1-1)+tblOT[[#This Row],[OT at rate 2 (h)]]*(Rate2-1))*tblOT[[#This Row],[Base rate]]*(1+Burden)))</f>
        <v>0</v>
      </c>
      <c r="P29" s="42" t="str">
        <f>IF(tblOT[[#This Row],[Week starting]]="","",IF(OR(tblOT[[#This Row],[Overtime hours (h)]]&gt;OTLimit,tblOT[[#This Row],[Total hours (h)]]&gt;TotalLimit),"Out of limits","Within limits"))</f>
        <v>Within limits</v>
      </c>
      <c r="Q29" s="43">
        <f>IF(tblOT[[#This Row],[Week starting]]="","",IF(AND(tblOT[[#This Row],[Week starting]]&gt;=FFrom,tblOT[[#This Row],[Week starting]]&lt;=FTo,OR(DashDept="",tblOT[[#This Row],[Department]]=DashDept)),tblOT[[#This Row],[Week starting]],""))</f>
        <v>46244</v>
      </c>
      <c r="R2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29" s="28" t="s">
        <v>144</v>
      </c>
    </row>
    <row r="30" spans="2:19" x14ac:dyDescent="0.25">
      <c r="B30" s="37">
        <v>46244</v>
      </c>
      <c r="C30" s="28" t="s">
        <v>106</v>
      </c>
      <c r="D30" s="29">
        <v>40</v>
      </c>
      <c r="E30" s="29">
        <v>4</v>
      </c>
      <c r="F30" s="29">
        <v>0</v>
      </c>
      <c r="G30" s="28" t="s">
        <v>116</v>
      </c>
      <c r="H30" s="28" t="s">
        <v>145</v>
      </c>
      <c r="I30" s="38" t="str">
        <f>IF(tblOT[[#This Row],[Week starting]]="","",IFERROR(INDEX(tblEmployees[Department],MATCH(tblOT[[#This Row],[Employee]],tblEmployees[Employee],0)),""))</f>
        <v>Packaging</v>
      </c>
      <c r="J30" s="39">
        <f>IF(tblOT[[#This Row],[Week starting]]="","",IFERROR(INDEX(tblEmployees[Base rate],MATCH(tblOT[[#This Row],[Employee]],tblEmployees[Employee],0)),""))</f>
        <v>24.5</v>
      </c>
      <c r="K30" s="40">
        <f>IF(tblOT[[#This Row],[Week starting]]="","",tblOT[[#This Row],[OT at rate 1 (h)]]+tblOT[[#This Row],[OT at rate 2 (h)]])</f>
        <v>4</v>
      </c>
      <c r="L30" s="40">
        <f>IF(tblOT[[#This Row],[Week starting]]="","",tblOT[[#This Row],[Regular hours (h)]]+tblOT[[#This Row],[Overtime hours (h)]])</f>
        <v>44</v>
      </c>
      <c r="M30" s="41">
        <f>IF(tblOT[[#This Row],[Week starting]]="","",IF(tblOT[[#This Row],[Total hours (h)]]&gt;0,tblOT[[#This Row],[Overtime hours (h)]]/tblOT[[#This Row],[Total hours (h)]],""))</f>
        <v>0.0909090909090909</v>
      </c>
      <c r="N30" s="39">
        <f>IF(tblOT[[#This Row],[Week starting]]="","",IF(tblOT[[#This Row],[Base rate]]="","",(tblOT[[#This Row],[OT at rate 1 (h)]]*Rate1+tblOT[[#This Row],[OT at rate 2 (h)]]*Rate2)*tblOT[[#This Row],[Base rate]]*(1+Burden)))</f>
        <v>164.64</v>
      </c>
      <c r="O30" s="39">
        <f>IF(tblOT[[#This Row],[Week starting]]="","",IF(tblOT[[#This Row],[Base rate]]="","",(tblOT[[#This Row],[OT at rate 1 (h)]]*(Rate1-1)+tblOT[[#This Row],[OT at rate 2 (h)]]*(Rate2-1))*tblOT[[#This Row],[Base rate]]*(1+Burden)))</f>
        <v>54.88</v>
      </c>
      <c r="P30" s="42" t="str">
        <f>IF(tblOT[[#This Row],[Week starting]]="","",IF(OR(tblOT[[#This Row],[Overtime hours (h)]]&gt;OTLimit,tblOT[[#This Row],[Total hours (h)]]&gt;TotalLimit),"Out of limits","Within limits"))</f>
        <v>Within limits</v>
      </c>
      <c r="Q30" s="43">
        <f>IF(tblOT[[#This Row],[Week starting]]="","",IF(AND(tblOT[[#This Row],[Week starting]]&gt;=FFrom,tblOT[[#This Row],[Week starting]]&lt;=FTo,OR(DashDept="",tblOT[[#This Row],[Department]]=DashDept)),tblOT[[#This Row],[Week starting]],""))</f>
        <v>46244</v>
      </c>
      <c r="R3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0" s="28" t="s">
        <v>144</v>
      </c>
    </row>
    <row r="31" spans="2:19" x14ac:dyDescent="0.25">
      <c r="B31" s="37">
        <v>46244</v>
      </c>
      <c r="C31" s="28" t="s">
        <v>107</v>
      </c>
      <c r="D31" s="29">
        <v>40</v>
      </c>
      <c r="E31" s="29">
        <v>8.5</v>
      </c>
      <c r="F31" s="29">
        <v>0</v>
      </c>
      <c r="G31" s="28" t="s">
        <v>120</v>
      </c>
      <c r="H31" s="28" t="s">
        <v>146</v>
      </c>
      <c r="I31" s="38" t="str">
        <f>IF(tblOT[[#This Row],[Week starting]]="","",IFERROR(INDEX(tblEmployees[Department],MATCH(tblOT[[#This Row],[Employee]],tblEmployees[Employee],0)),""))</f>
        <v>Sanitation</v>
      </c>
      <c r="J31" s="39">
        <f>IF(tblOT[[#This Row],[Week starting]]="","",IFERROR(INDEX(tblEmployees[Base rate],MATCH(tblOT[[#This Row],[Employee]],tblEmployees[Employee],0)),""))</f>
        <v>24</v>
      </c>
      <c r="K31" s="40">
        <f>IF(tblOT[[#This Row],[Week starting]]="","",tblOT[[#This Row],[OT at rate 1 (h)]]+tblOT[[#This Row],[OT at rate 2 (h)]])</f>
        <v>8.5</v>
      </c>
      <c r="L31" s="40">
        <f>IF(tblOT[[#This Row],[Week starting]]="","",tblOT[[#This Row],[Regular hours (h)]]+tblOT[[#This Row],[Overtime hours (h)]])</f>
        <v>48.5</v>
      </c>
      <c r="M31" s="41">
        <f>IF(tblOT[[#This Row],[Week starting]]="","",IF(tblOT[[#This Row],[Total hours (h)]]&gt;0,tblOT[[#This Row],[Overtime hours (h)]]/tblOT[[#This Row],[Total hours (h)]],""))</f>
        <v>0.175257731958763</v>
      </c>
      <c r="N31" s="39">
        <f>IF(tblOT[[#This Row],[Week starting]]="","",IF(tblOT[[#This Row],[Base rate]]="","",(tblOT[[#This Row],[OT at rate 1 (h)]]*Rate1+tblOT[[#This Row],[OT at rate 2 (h)]]*Rate2)*tblOT[[#This Row],[Base rate]]*(1+Burden)))</f>
        <v>342.72</v>
      </c>
      <c r="O31" s="39">
        <f>IF(tblOT[[#This Row],[Week starting]]="","",IF(tblOT[[#This Row],[Base rate]]="","",(tblOT[[#This Row],[OT at rate 1 (h)]]*(Rate1-1)+tblOT[[#This Row],[OT at rate 2 (h)]]*(Rate2-1))*tblOT[[#This Row],[Base rate]]*(1+Burden)))</f>
        <v>114.24</v>
      </c>
      <c r="P31" s="42" t="str">
        <f>IF(tblOT[[#This Row],[Week starting]]="","",IF(OR(tblOT[[#This Row],[Overtime hours (h)]]&gt;OTLimit,tblOT[[#This Row],[Total hours (h)]]&gt;TotalLimit),"Out of limits","Within limits"))</f>
        <v>Within limits</v>
      </c>
      <c r="Q31" s="43">
        <f>IF(tblOT[[#This Row],[Week starting]]="","",IF(AND(tblOT[[#This Row],[Week starting]]&gt;=FFrom,tblOT[[#This Row],[Week starting]]&lt;=FTo,OR(DashDept="",tblOT[[#This Row],[Department]]=DashDept)),tblOT[[#This Row],[Week starting]],""))</f>
        <v>46244</v>
      </c>
      <c r="R3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1" s="28" t="s">
        <v>147</v>
      </c>
    </row>
    <row r="32" spans="2:19" x14ac:dyDescent="0.25">
      <c r="B32" s="37">
        <v>46244</v>
      </c>
      <c r="C32" s="28" t="s">
        <v>108</v>
      </c>
      <c r="D32" s="29">
        <v>0</v>
      </c>
      <c r="E32" s="29">
        <v>0</v>
      </c>
      <c r="F32" s="29">
        <v>0</v>
      </c>
      <c r="G32" s="28" t="s">
        <v>144</v>
      </c>
      <c r="H32" s="28" t="s">
        <v>144</v>
      </c>
      <c r="I32" s="38" t="str">
        <f>IF(tblOT[[#This Row],[Week starting]]="","",IFERROR(INDEX(tblEmployees[Department],MATCH(tblOT[[#This Row],[Employee]],tblEmployees[Employee],0)),""))</f>
        <v>Sanitation</v>
      </c>
      <c r="J32" s="39">
        <f>IF(tblOT[[#This Row],[Week starting]]="","",IFERROR(INDEX(tblEmployees[Base rate],MATCH(tblOT[[#This Row],[Employee]],tblEmployees[Employee],0)),""))</f>
        <v>23.75</v>
      </c>
      <c r="K32" s="40">
        <f>IF(tblOT[[#This Row],[Week starting]]="","",tblOT[[#This Row],[OT at rate 1 (h)]]+tblOT[[#This Row],[OT at rate 2 (h)]])</f>
        <v>0</v>
      </c>
      <c r="L32" s="40">
        <f>IF(tblOT[[#This Row],[Week starting]]="","",tblOT[[#This Row],[Regular hours (h)]]+tblOT[[#This Row],[Overtime hours (h)]])</f>
        <v>0</v>
      </c>
      <c r="M32" s="41">
        <f>IF(tblOT[[#This Row],[Week starting]]="","",IF(tblOT[[#This Row],[Total hours (h)]]&gt;0,tblOT[[#This Row],[Overtime hours (h)]]/tblOT[[#This Row],[Total hours (h)]],""))</f>
        <v/>
      </c>
      <c r="N32" s="39">
        <f>IF(tblOT[[#This Row],[Week starting]]="","",IF(tblOT[[#This Row],[Base rate]]="","",(tblOT[[#This Row],[OT at rate 1 (h)]]*Rate1+tblOT[[#This Row],[OT at rate 2 (h)]]*Rate2)*tblOT[[#This Row],[Base rate]]*(1+Burden)))</f>
        <v>0</v>
      </c>
      <c r="O32" s="39">
        <f>IF(tblOT[[#This Row],[Week starting]]="","",IF(tblOT[[#This Row],[Base rate]]="","",(tblOT[[#This Row],[OT at rate 1 (h)]]*(Rate1-1)+tblOT[[#This Row],[OT at rate 2 (h)]]*(Rate2-1))*tblOT[[#This Row],[Base rate]]*(1+Burden)))</f>
        <v>0</v>
      </c>
      <c r="P32" s="42" t="str">
        <f>IF(tblOT[[#This Row],[Week starting]]="","",IF(OR(tblOT[[#This Row],[Overtime hours (h)]]&gt;OTLimit,tblOT[[#This Row],[Total hours (h)]]&gt;TotalLimit),"Out of limits","Within limits"))</f>
        <v>Within limits</v>
      </c>
      <c r="Q32" s="43">
        <f>IF(tblOT[[#This Row],[Week starting]]="","",IF(AND(tblOT[[#This Row],[Week starting]]&gt;=FFrom,tblOT[[#This Row],[Week starting]]&lt;=FTo,OR(DashDept="",tblOT[[#This Row],[Department]]=DashDept)),tblOT[[#This Row],[Week starting]],""))</f>
        <v>46244</v>
      </c>
      <c r="R3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2" s="28" t="s">
        <v>148</v>
      </c>
    </row>
    <row r="33" spans="2:19" x14ac:dyDescent="0.25">
      <c r="B33" s="37">
        <v>46244</v>
      </c>
      <c r="C33" s="28" t="s">
        <v>109</v>
      </c>
      <c r="D33" s="29">
        <v>40</v>
      </c>
      <c r="E33" s="29">
        <v>6.5</v>
      </c>
      <c r="F33" s="29">
        <v>0</v>
      </c>
      <c r="G33" s="28" t="s">
        <v>120</v>
      </c>
      <c r="H33" s="28" t="s">
        <v>146</v>
      </c>
      <c r="I33" s="38" t="str">
        <f>IF(tblOT[[#This Row],[Week starting]]="","",IFERROR(INDEX(tblEmployees[Department],MATCH(tblOT[[#This Row],[Employee]],tblEmployees[Employee],0)),""))</f>
        <v>Sanitation</v>
      </c>
      <c r="J33" s="39">
        <f>IF(tblOT[[#This Row],[Week starting]]="","",IFERROR(INDEX(tblEmployees[Base rate],MATCH(tblOT[[#This Row],[Employee]],tblEmployees[Employee],0)),""))</f>
        <v>24.25</v>
      </c>
      <c r="K33" s="40">
        <f>IF(tblOT[[#This Row],[Week starting]]="","",tblOT[[#This Row],[OT at rate 1 (h)]]+tblOT[[#This Row],[OT at rate 2 (h)]])</f>
        <v>6.5</v>
      </c>
      <c r="L33" s="40">
        <f>IF(tblOT[[#This Row],[Week starting]]="","",tblOT[[#This Row],[Regular hours (h)]]+tblOT[[#This Row],[Overtime hours (h)]])</f>
        <v>46.5</v>
      </c>
      <c r="M33" s="41">
        <f>IF(tblOT[[#This Row],[Week starting]]="","",IF(tblOT[[#This Row],[Total hours (h)]]&gt;0,tblOT[[#This Row],[Overtime hours (h)]]/tblOT[[#This Row],[Total hours (h)]],""))</f>
        <v>0.139784946236559</v>
      </c>
      <c r="N33" s="39">
        <f>IF(tblOT[[#This Row],[Week starting]]="","",IF(tblOT[[#This Row],[Base rate]]="","",(tblOT[[#This Row],[OT at rate 1 (h)]]*Rate1+tblOT[[#This Row],[OT at rate 2 (h)]]*Rate2)*tblOT[[#This Row],[Base rate]]*(1+Burden)))</f>
        <v>264.81</v>
      </c>
      <c r="O33" s="39">
        <f>IF(tblOT[[#This Row],[Week starting]]="","",IF(tblOT[[#This Row],[Base rate]]="","",(tblOT[[#This Row],[OT at rate 1 (h)]]*(Rate1-1)+tblOT[[#This Row],[OT at rate 2 (h)]]*(Rate2-1))*tblOT[[#This Row],[Base rate]]*(1+Burden)))</f>
        <v>88.27</v>
      </c>
      <c r="P33" s="42" t="str">
        <f>IF(tblOT[[#This Row],[Week starting]]="","",IF(OR(tblOT[[#This Row],[Overtime hours (h)]]&gt;OTLimit,tblOT[[#This Row],[Total hours (h)]]&gt;TotalLimit),"Out of limits","Within limits"))</f>
        <v>Within limits</v>
      </c>
      <c r="Q33" s="43">
        <f>IF(tblOT[[#This Row],[Week starting]]="","",IF(AND(tblOT[[#This Row],[Week starting]]&gt;=FFrom,tblOT[[#This Row],[Week starting]]&lt;=FTo,OR(DashDept="",tblOT[[#This Row],[Department]]=DashDept)),tblOT[[#This Row],[Week starting]],""))</f>
        <v>46244</v>
      </c>
      <c r="R3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3" s="28" t="s">
        <v>147</v>
      </c>
    </row>
    <row r="34" spans="2:19" x14ac:dyDescent="0.25">
      <c r="B34" s="37">
        <v>46244</v>
      </c>
      <c r="C34" s="28" t="s">
        <v>110</v>
      </c>
      <c r="D34" s="29">
        <v>40</v>
      </c>
      <c r="E34" s="29">
        <v>0</v>
      </c>
      <c r="F34" s="29">
        <v>0</v>
      </c>
      <c r="G34" s="28" t="s">
        <v>144</v>
      </c>
      <c r="H34" s="28" t="s">
        <v>144</v>
      </c>
      <c r="I34" s="38" t="str">
        <f>IF(tblOT[[#This Row],[Week starting]]="","",IFERROR(INDEX(tblEmployees[Department],MATCH(tblOT[[#This Row],[Employee]],tblEmployees[Employee],0)),""))</f>
        <v>Maintenance</v>
      </c>
      <c r="J34" s="39">
        <f>IF(tblOT[[#This Row],[Week starting]]="","",IFERROR(INDEX(tblEmployees[Base rate],MATCH(tblOT[[#This Row],[Employee]],tblEmployees[Employee],0)),""))</f>
        <v>38.5</v>
      </c>
      <c r="K34" s="40">
        <f>IF(tblOT[[#This Row],[Week starting]]="","",tblOT[[#This Row],[OT at rate 1 (h)]]+tblOT[[#This Row],[OT at rate 2 (h)]])</f>
        <v>0</v>
      </c>
      <c r="L34" s="40">
        <f>IF(tblOT[[#This Row],[Week starting]]="","",tblOT[[#This Row],[Regular hours (h)]]+tblOT[[#This Row],[Overtime hours (h)]])</f>
        <v>40</v>
      </c>
      <c r="M34" s="41">
        <f>IF(tblOT[[#This Row],[Week starting]]="","",IF(tblOT[[#This Row],[Total hours (h)]]&gt;0,tblOT[[#This Row],[Overtime hours (h)]]/tblOT[[#This Row],[Total hours (h)]],""))</f>
        <v>0</v>
      </c>
      <c r="N34" s="39">
        <f>IF(tblOT[[#This Row],[Week starting]]="","",IF(tblOT[[#This Row],[Base rate]]="","",(tblOT[[#This Row],[OT at rate 1 (h)]]*Rate1+tblOT[[#This Row],[OT at rate 2 (h)]]*Rate2)*tblOT[[#This Row],[Base rate]]*(1+Burden)))</f>
        <v>0</v>
      </c>
      <c r="O34" s="39">
        <f>IF(tblOT[[#This Row],[Week starting]]="","",IF(tblOT[[#This Row],[Base rate]]="","",(tblOT[[#This Row],[OT at rate 1 (h)]]*(Rate1-1)+tblOT[[#This Row],[OT at rate 2 (h)]]*(Rate2-1))*tblOT[[#This Row],[Base rate]]*(1+Burden)))</f>
        <v>0</v>
      </c>
      <c r="P34" s="42" t="str">
        <f>IF(tblOT[[#This Row],[Week starting]]="","",IF(OR(tblOT[[#This Row],[Overtime hours (h)]]&gt;OTLimit,tblOT[[#This Row],[Total hours (h)]]&gt;TotalLimit),"Out of limits","Within limits"))</f>
        <v>Within limits</v>
      </c>
      <c r="Q34" s="43">
        <f>IF(tblOT[[#This Row],[Week starting]]="","",IF(AND(tblOT[[#This Row],[Week starting]]&gt;=FFrom,tblOT[[#This Row],[Week starting]]&lt;=FTo,OR(DashDept="",tblOT[[#This Row],[Department]]=DashDept)),tblOT[[#This Row],[Week starting]],""))</f>
        <v>46244</v>
      </c>
      <c r="R3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4" s="28" t="s">
        <v>144</v>
      </c>
    </row>
    <row r="35" spans="2:19" x14ac:dyDescent="0.25">
      <c r="B35" s="37">
        <v>46244</v>
      </c>
      <c r="C35" s="28" t="s">
        <v>111</v>
      </c>
      <c r="D35" s="29">
        <v>40</v>
      </c>
      <c r="E35" s="29">
        <v>0</v>
      </c>
      <c r="F35" s="29">
        <v>0</v>
      </c>
      <c r="G35" s="28" t="s">
        <v>144</v>
      </c>
      <c r="H35" s="28" t="s">
        <v>144</v>
      </c>
      <c r="I35" s="38" t="str">
        <f>IF(tblOT[[#This Row],[Week starting]]="","",IFERROR(INDEX(tblEmployees[Department],MATCH(tblOT[[#This Row],[Employee]],tblEmployees[Employee],0)),""))</f>
        <v>Maintenance</v>
      </c>
      <c r="J35" s="39">
        <f>IF(tblOT[[#This Row],[Week starting]]="","",IFERROR(INDEX(tblEmployees[Base rate],MATCH(tblOT[[#This Row],[Employee]],tblEmployees[Employee],0)),""))</f>
        <v>37</v>
      </c>
      <c r="K35" s="40">
        <f>IF(tblOT[[#This Row],[Week starting]]="","",tblOT[[#This Row],[OT at rate 1 (h)]]+tblOT[[#This Row],[OT at rate 2 (h)]])</f>
        <v>0</v>
      </c>
      <c r="L35" s="40">
        <f>IF(tblOT[[#This Row],[Week starting]]="","",tblOT[[#This Row],[Regular hours (h)]]+tblOT[[#This Row],[Overtime hours (h)]])</f>
        <v>40</v>
      </c>
      <c r="M35" s="41">
        <f>IF(tblOT[[#This Row],[Week starting]]="","",IF(tblOT[[#This Row],[Total hours (h)]]&gt;0,tblOT[[#This Row],[Overtime hours (h)]]/tblOT[[#This Row],[Total hours (h)]],""))</f>
        <v>0</v>
      </c>
      <c r="N35" s="39">
        <f>IF(tblOT[[#This Row],[Week starting]]="","",IF(tblOT[[#This Row],[Base rate]]="","",(tblOT[[#This Row],[OT at rate 1 (h)]]*Rate1+tblOT[[#This Row],[OT at rate 2 (h)]]*Rate2)*tblOT[[#This Row],[Base rate]]*(1+Burden)))</f>
        <v>0</v>
      </c>
      <c r="O35" s="39">
        <f>IF(tblOT[[#This Row],[Week starting]]="","",IF(tblOT[[#This Row],[Base rate]]="","",(tblOT[[#This Row],[OT at rate 1 (h)]]*(Rate1-1)+tblOT[[#This Row],[OT at rate 2 (h)]]*(Rate2-1))*tblOT[[#This Row],[Base rate]]*(1+Burden)))</f>
        <v>0</v>
      </c>
      <c r="P35" s="42" t="str">
        <f>IF(tblOT[[#This Row],[Week starting]]="","",IF(OR(tblOT[[#This Row],[Overtime hours (h)]]&gt;OTLimit,tblOT[[#This Row],[Total hours (h)]]&gt;TotalLimit),"Out of limits","Within limits"))</f>
        <v>Within limits</v>
      </c>
      <c r="Q35" s="43">
        <f>IF(tblOT[[#This Row],[Week starting]]="","",IF(AND(tblOT[[#This Row],[Week starting]]&gt;=FFrom,tblOT[[#This Row],[Week starting]]&lt;=FTo,OR(DashDept="",tblOT[[#This Row],[Department]]=DashDept)),tblOT[[#This Row],[Week starting]],""))</f>
        <v>46244</v>
      </c>
      <c r="R3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5" s="28" t="s">
        <v>144</v>
      </c>
    </row>
    <row r="36" spans="2:19" x14ac:dyDescent="0.25">
      <c r="B36" s="37">
        <v>46244</v>
      </c>
      <c r="C36" s="28" t="s">
        <v>112</v>
      </c>
      <c r="D36" s="29">
        <v>40</v>
      </c>
      <c r="E36" s="29">
        <v>4.5</v>
      </c>
      <c r="F36" s="29">
        <v>0</v>
      </c>
      <c r="G36" s="28" t="s">
        <v>124</v>
      </c>
      <c r="H36" s="28" t="s">
        <v>149</v>
      </c>
      <c r="I36" s="38" t="str">
        <f>IF(tblOT[[#This Row],[Week starting]]="","",IFERROR(INDEX(tblEmployees[Department],MATCH(tblOT[[#This Row],[Employee]],tblEmployees[Employee],0)),""))</f>
        <v>Maintenance</v>
      </c>
      <c r="J36" s="39">
        <f>IF(tblOT[[#This Row],[Week starting]]="","",IFERROR(INDEX(tblEmployees[Base rate],MATCH(tblOT[[#This Row],[Employee]],tblEmployees[Employee],0)),""))</f>
        <v>36.25</v>
      </c>
      <c r="K36" s="40">
        <f>IF(tblOT[[#This Row],[Week starting]]="","",tblOT[[#This Row],[OT at rate 1 (h)]]+tblOT[[#This Row],[OT at rate 2 (h)]])</f>
        <v>4.5</v>
      </c>
      <c r="L36" s="40">
        <f>IF(tblOT[[#This Row],[Week starting]]="","",tblOT[[#This Row],[Regular hours (h)]]+tblOT[[#This Row],[Overtime hours (h)]])</f>
        <v>44.5</v>
      </c>
      <c r="M36" s="41">
        <f>IF(tblOT[[#This Row],[Week starting]]="","",IF(tblOT[[#This Row],[Total hours (h)]]&gt;0,tblOT[[#This Row],[Overtime hours (h)]]/tblOT[[#This Row],[Total hours (h)]],""))</f>
        <v>0.101123595505618</v>
      </c>
      <c r="N36" s="39">
        <f>IF(tblOT[[#This Row],[Week starting]]="","",IF(tblOT[[#This Row],[Base rate]]="","",(tblOT[[#This Row],[OT at rate 1 (h)]]*Rate1+tblOT[[#This Row],[OT at rate 2 (h)]]*Rate2)*tblOT[[#This Row],[Base rate]]*(1+Burden)))</f>
        <v>274.05</v>
      </c>
      <c r="O36" s="39">
        <f>IF(tblOT[[#This Row],[Week starting]]="","",IF(tblOT[[#This Row],[Base rate]]="","",(tblOT[[#This Row],[OT at rate 1 (h)]]*(Rate1-1)+tblOT[[#This Row],[OT at rate 2 (h)]]*(Rate2-1))*tblOT[[#This Row],[Base rate]]*(1+Burden)))</f>
        <v>91.35</v>
      </c>
      <c r="P36" s="42" t="str">
        <f>IF(tblOT[[#This Row],[Week starting]]="","",IF(OR(tblOT[[#This Row],[Overtime hours (h)]]&gt;OTLimit,tblOT[[#This Row],[Total hours (h)]]&gt;TotalLimit),"Out of limits","Within limits"))</f>
        <v>Within limits</v>
      </c>
      <c r="Q36" s="43">
        <f>IF(tblOT[[#This Row],[Week starting]]="","",IF(AND(tblOT[[#This Row],[Week starting]]&gt;=FFrom,tblOT[[#This Row],[Week starting]]&lt;=FTo,OR(DashDept="",tblOT[[#This Row],[Department]]=DashDept)),tblOT[[#This Row],[Week starting]],""))</f>
        <v>46244</v>
      </c>
      <c r="R3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6" s="28" t="s">
        <v>144</v>
      </c>
    </row>
    <row r="37" spans="2:19" x14ac:dyDescent="0.25">
      <c r="B37" s="37">
        <v>46244</v>
      </c>
      <c r="C37" s="28" t="s">
        <v>113</v>
      </c>
      <c r="D37" s="29">
        <v>40</v>
      </c>
      <c r="E37" s="29">
        <v>0</v>
      </c>
      <c r="F37" s="29">
        <v>0</v>
      </c>
      <c r="G37" s="28" t="s">
        <v>144</v>
      </c>
      <c r="H37" s="28" t="s">
        <v>144</v>
      </c>
      <c r="I37" s="38" t="str">
        <f>IF(tblOT[[#This Row],[Week starting]]="","",IFERROR(INDEX(tblEmployees[Department],MATCH(tblOT[[#This Row],[Employee]],tblEmployees[Employee],0)),""))</f>
        <v>Warehouse</v>
      </c>
      <c r="J37" s="39">
        <f>IF(tblOT[[#This Row],[Week starting]]="","",IFERROR(INDEX(tblEmployees[Base rate],MATCH(tblOT[[#This Row],[Employee]],tblEmployees[Employee],0)),""))</f>
        <v>26</v>
      </c>
      <c r="K37" s="40">
        <f>IF(tblOT[[#This Row],[Week starting]]="","",tblOT[[#This Row],[OT at rate 1 (h)]]+tblOT[[#This Row],[OT at rate 2 (h)]])</f>
        <v>0</v>
      </c>
      <c r="L37" s="40">
        <f>IF(tblOT[[#This Row],[Week starting]]="","",tblOT[[#This Row],[Regular hours (h)]]+tblOT[[#This Row],[Overtime hours (h)]])</f>
        <v>40</v>
      </c>
      <c r="M37" s="41">
        <f>IF(tblOT[[#This Row],[Week starting]]="","",IF(tblOT[[#This Row],[Total hours (h)]]&gt;0,tblOT[[#This Row],[Overtime hours (h)]]/tblOT[[#This Row],[Total hours (h)]],""))</f>
        <v>0</v>
      </c>
      <c r="N37" s="39">
        <f>IF(tblOT[[#This Row],[Week starting]]="","",IF(tblOT[[#This Row],[Base rate]]="","",(tblOT[[#This Row],[OT at rate 1 (h)]]*Rate1+tblOT[[#This Row],[OT at rate 2 (h)]]*Rate2)*tblOT[[#This Row],[Base rate]]*(1+Burden)))</f>
        <v>0</v>
      </c>
      <c r="O37" s="39">
        <f>IF(tblOT[[#This Row],[Week starting]]="","",IF(tblOT[[#This Row],[Base rate]]="","",(tblOT[[#This Row],[OT at rate 1 (h)]]*(Rate1-1)+tblOT[[#This Row],[OT at rate 2 (h)]]*(Rate2-1))*tblOT[[#This Row],[Base rate]]*(1+Burden)))</f>
        <v>0</v>
      </c>
      <c r="P37" s="42" t="str">
        <f>IF(tblOT[[#This Row],[Week starting]]="","",IF(OR(tblOT[[#This Row],[Overtime hours (h)]]&gt;OTLimit,tblOT[[#This Row],[Total hours (h)]]&gt;TotalLimit),"Out of limits","Within limits"))</f>
        <v>Within limits</v>
      </c>
      <c r="Q37" s="43">
        <f>IF(tblOT[[#This Row],[Week starting]]="","",IF(AND(tblOT[[#This Row],[Week starting]]&gt;=FFrom,tblOT[[#This Row],[Week starting]]&lt;=FTo,OR(DashDept="",tblOT[[#This Row],[Department]]=DashDept)),tblOT[[#This Row],[Week starting]],""))</f>
        <v>46244</v>
      </c>
      <c r="R3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7" s="28" t="s">
        <v>144</v>
      </c>
    </row>
    <row r="38" spans="2:19" x14ac:dyDescent="0.25">
      <c r="B38" s="37">
        <v>46244</v>
      </c>
      <c r="C38" s="28" t="s">
        <v>114</v>
      </c>
      <c r="D38" s="29">
        <v>40</v>
      </c>
      <c r="E38" s="29">
        <v>0</v>
      </c>
      <c r="F38" s="29">
        <v>0</v>
      </c>
      <c r="G38" s="28" t="s">
        <v>144</v>
      </c>
      <c r="H38" s="28" t="s">
        <v>144</v>
      </c>
      <c r="I38" s="38" t="str">
        <f>IF(tblOT[[#This Row],[Week starting]]="","",IFERROR(INDEX(tblEmployees[Department],MATCH(tblOT[[#This Row],[Employee]],tblEmployees[Employee],0)),""))</f>
        <v>Warehouse</v>
      </c>
      <c r="J38" s="39">
        <f>IF(tblOT[[#This Row],[Week starting]]="","",IFERROR(INDEX(tblEmployees[Base rate],MATCH(tblOT[[#This Row],[Employee]],tblEmployees[Employee],0)),""))</f>
        <v>25.75</v>
      </c>
      <c r="K38" s="40">
        <f>IF(tblOT[[#This Row],[Week starting]]="","",tblOT[[#This Row],[OT at rate 1 (h)]]+tblOT[[#This Row],[OT at rate 2 (h)]])</f>
        <v>0</v>
      </c>
      <c r="L38" s="40">
        <f>IF(tblOT[[#This Row],[Week starting]]="","",tblOT[[#This Row],[Regular hours (h)]]+tblOT[[#This Row],[Overtime hours (h)]])</f>
        <v>40</v>
      </c>
      <c r="M38" s="41">
        <f>IF(tblOT[[#This Row],[Week starting]]="","",IF(tblOT[[#This Row],[Total hours (h)]]&gt;0,tblOT[[#This Row],[Overtime hours (h)]]/tblOT[[#This Row],[Total hours (h)]],""))</f>
        <v>0</v>
      </c>
      <c r="N38" s="39">
        <f>IF(tblOT[[#This Row],[Week starting]]="","",IF(tblOT[[#This Row],[Base rate]]="","",(tblOT[[#This Row],[OT at rate 1 (h)]]*Rate1+tblOT[[#This Row],[OT at rate 2 (h)]]*Rate2)*tblOT[[#This Row],[Base rate]]*(1+Burden)))</f>
        <v>0</v>
      </c>
      <c r="O38" s="39">
        <f>IF(tblOT[[#This Row],[Week starting]]="","",IF(tblOT[[#This Row],[Base rate]]="","",(tblOT[[#This Row],[OT at rate 1 (h)]]*(Rate1-1)+tblOT[[#This Row],[OT at rate 2 (h)]]*(Rate2-1))*tblOT[[#This Row],[Base rate]]*(1+Burden)))</f>
        <v>0</v>
      </c>
      <c r="P38" s="42" t="str">
        <f>IF(tblOT[[#This Row],[Week starting]]="","",IF(OR(tblOT[[#This Row],[Overtime hours (h)]]&gt;OTLimit,tblOT[[#This Row],[Total hours (h)]]&gt;TotalLimit),"Out of limits","Within limits"))</f>
        <v>Within limits</v>
      </c>
      <c r="Q38" s="43">
        <f>IF(tblOT[[#This Row],[Week starting]]="","",IF(AND(tblOT[[#This Row],[Week starting]]&gt;=FFrom,tblOT[[#This Row],[Week starting]]&lt;=FTo,OR(DashDept="",tblOT[[#This Row],[Department]]=DashDept)),tblOT[[#This Row],[Week starting]],""))</f>
        <v>46244</v>
      </c>
      <c r="R3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8" s="28" t="s">
        <v>144</v>
      </c>
    </row>
    <row r="39" spans="2:19" x14ac:dyDescent="0.25">
      <c r="B39" s="37">
        <v>46251</v>
      </c>
      <c r="C39" s="28" t="s">
        <v>99</v>
      </c>
      <c r="D39" s="29">
        <v>40</v>
      </c>
      <c r="E39" s="29">
        <v>2.5</v>
      </c>
      <c r="F39" s="29">
        <v>0</v>
      </c>
      <c r="G39" s="28" t="s">
        <v>116</v>
      </c>
      <c r="H39" s="28" t="s">
        <v>145</v>
      </c>
      <c r="I39" s="38" t="str">
        <f>IF(tblOT[[#This Row],[Week starting]]="","",IFERROR(INDEX(tblEmployees[Department],MATCH(tblOT[[#This Row],[Employee]],tblEmployees[Employee],0)),""))</f>
        <v>Processing</v>
      </c>
      <c r="J39" s="39">
        <f>IF(tblOT[[#This Row],[Week starting]]="","",IFERROR(INDEX(tblEmployees[Base rate],MATCH(tblOT[[#This Row],[Employee]],tblEmployees[Employee],0)),""))</f>
        <v>27.5</v>
      </c>
      <c r="K39" s="40">
        <f>IF(tblOT[[#This Row],[Week starting]]="","",tblOT[[#This Row],[OT at rate 1 (h)]]+tblOT[[#This Row],[OT at rate 2 (h)]])</f>
        <v>2.5</v>
      </c>
      <c r="L39" s="40">
        <f>IF(tblOT[[#This Row],[Week starting]]="","",tblOT[[#This Row],[Regular hours (h)]]+tblOT[[#This Row],[Overtime hours (h)]])</f>
        <v>42.5</v>
      </c>
      <c r="M39" s="41">
        <f>IF(tblOT[[#This Row],[Week starting]]="","",IF(tblOT[[#This Row],[Total hours (h)]]&gt;0,tblOT[[#This Row],[Overtime hours (h)]]/tblOT[[#This Row],[Total hours (h)]],""))</f>
        <v>0.0588235294117647</v>
      </c>
      <c r="N39" s="39">
        <f>IF(tblOT[[#This Row],[Week starting]]="","",IF(tblOT[[#This Row],[Base rate]]="","",(tblOT[[#This Row],[OT at rate 1 (h)]]*Rate1+tblOT[[#This Row],[OT at rate 2 (h)]]*Rate2)*tblOT[[#This Row],[Base rate]]*(1+Burden)))</f>
        <v>115.5</v>
      </c>
      <c r="O39" s="39">
        <f>IF(tblOT[[#This Row],[Week starting]]="","",IF(tblOT[[#This Row],[Base rate]]="","",(tblOT[[#This Row],[OT at rate 1 (h)]]*(Rate1-1)+tblOT[[#This Row],[OT at rate 2 (h)]]*(Rate2-1))*tblOT[[#This Row],[Base rate]]*(1+Burden)))</f>
        <v>38.5</v>
      </c>
      <c r="P39" s="42" t="str">
        <f>IF(tblOT[[#This Row],[Week starting]]="","",IF(OR(tblOT[[#This Row],[Overtime hours (h)]]&gt;OTLimit,tblOT[[#This Row],[Total hours (h)]]&gt;TotalLimit),"Out of limits","Within limits"))</f>
        <v>Within limits</v>
      </c>
      <c r="Q39" s="43">
        <f>IF(tblOT[[#This Row],[Week starting]]="","",IF(AND(tblOT[[#This Row],[Week starting]]&gt;=FFrom,tblOT[[#This Row],[Week starting]]&lt;=FTo,OR(DashDept="",tblOT[[#This Row],[Department]]=DashDept)),tblOT[[#This Row],[Week starting]],""))</f>
        <v>46251</v>
      </c>
      <c r="R3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39" s="28" t="s">
        <v>144</v>
      </c>
    </row>
    <row r="40" spans="2:19" x14ac:dyDescent="0.25">
      <c r="B40" s="37">
        <v>46251</v>
      </c>
      <c r="C40" s="28" t="s">
        <v>100</v>
      </c>
      <c r="D40" s="29">
        <v>40</v>
      </c>
      <c r="E40" s="29">
        <v>4.5</v>
      </c>
      <c r="F40" s="29">
        <v>0</v>
      </c>
      <c r="G40" s="28" t="s">
        <v>116</v>
      </c>
      <c r="H40" s="28" t="s">
        <v>145</v>
      </c>
      <c r="I40" s="38" t="str">
        <f>IF(tblOT[[#This Row],[Week starting]]="","",IFERROR(INDEX(tblEmployees[Department],MATCH(tblOT[[#This Row],[Employee]],tblEmployees[Employee],0)),""))</f>
        <v>Processing</v>
      </c>
      <c r="J40" s="39">
        <f>IF(tblOT[[#This Row],[Week starting]]="","",IFERROR(INDEX(tblEmployees[Base rate],MATCH(tblOT[[#This Row],[Employee]],tblEmployees[Employee],0)),""))</f>
        <v>28.25</v>
      </c>
      <c r="K40" s="40">
        <f>IF(tblOT[[#This Row],[Week starting]]="","",tblOT[[#This Row],[OT at rate 1 (h)]]+tblOT[[#This Row],[OT at rate 2 (h)]])</f>
        <v>4.5</v>
      </c>
      <c r="L40" s="40">
        <f>IF(tblOT[[#This Row],[Week starting]]="","",tblOT[[#This Row],[Regular hours (h)]]+tblOT[[#This Row],[Overtime hours (h)]])</f>
        <v>44.5</v>
      </c>
      <c r="M40" s="41">
        <f>IF(tblOT[[#This Row],[Week starting]]="","",IF(tblOT[[#This Row],[Total hours (h)]]&gt;0,tblOT[[#This Row],[Overtime hours (h)]]/tblOT[[#This Row],[Total hours (h)]],""))</f>
        <v>0.101123595505618</v>
      </c>
      <c r="N40" s="39">
        <f>IF(tblOT[[#This Row],[Week starting]]="","",IF(tblOT[[#This Row],[Base rate]]="","",(tblOT[[#This Row],[OT at rate 1 (h)]]*Rate1+tblOT[[#This Row],[OT at rate 2 (h)]]*Rate2)*tblOT[[#This Row],[Base rate]]*(1+Burden)))</f>
        <v>213.57</v>
      </c>
      <c r="O40" s="39">
        <f>IF(tblOT[[#This Row],[Week starting]]="","",IF(tblOT[[#This Row],[Base rate]]="","",(tblOT[[#This Row],[OT at rate 1 (h)]]*(Rate1-1)+tblOT[[#This Row],[OT at rate 2 (h)]]*(Rate2-1))*tblOT[[#This Row],[Base rate]]*(1+Burden)))</f>
        <v>71.19</v>
      </c>
      <c r="P40" s="42" t="str">
        <f>IF(tblOT[[#This Row],[Week starting]]="","",IF(OR(tblOT[[#This Row],[Overtime hours (h)]]&gt;OTLimit,tblOT[[#This Row],[Total hours (h)]]&gt;TotalLimit),"Out of limits","Within limits"))</f>
        <v>Within limits</v>
      </c>
      <c r="Q40" s="43">
        <f>IF(tblOT[[#This Row],[Week starting]]="","",IF(AND(tblOT[[#This Row],[Week starting]]&gt;=FFrom,tblOT[[#This Row],[Week starting]]&lt;=FTo,OR(DashDept="",tblOT[[#This Row],[Department]]=DashDept)),tblOT[[#This Row],[Week starting]],""))</f>
        <v>46251</v>
      </c>
      <c r="R4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0" s="28" t="s">
        <v>144</v>
      </c>
    </row>
    <row r="41" spans="2:19" x14ac:dyDescent="0.25">
      <c r="B41" s="37">
        <v>46251</v>
      </c>
      <c r="C41" s="28" t="s">
        <v>101</v>
      </c>
      <c r="D41" s="29">
        <v>40</v>
      </c>
      <c r="E41" s="29">
        <v>6</v>
      </c>
      <c r="F41" s="29">
        <v>0</v>
      </c>
      <c r="G41" s="28" t="s">
        <v>116</v>
      </c>
      <c r="H41" s="28" t="s">
        <v>145</v>
      </c>
      <c r="I41" s="38" t="str">
        <f>IF(tblOT[[#This Row],[Week starting]]="","",IFERROR(INDEX(tblEmployees[Department],MATCH(tblOT[[#This Row],[Employee]],tblEmployees[Employee],0)),""))</f>
        <v>Processing</v>
      </c>
      <c r="J41" s="39">
        <f>IF(tblOT[[#This Row],[Week starting]]="","",IFERROR(INDEX(tblEmployees[Base rate],MATCH(tblOT[[#This Row],[Employee]],tblEmployees[Employee],0)),""))</f>
        <v>26.75</v>
      </c>
      <c r="K41" s="40">
        <f>IF(tblOT[[#This Row],[Week starting]]="","",tblOT[[#This Row],[OT at rate 1 (h)]]+tblOT[[#This Row],[OT at rate 2 (h)]])</f>
        <v>6</v>
      </c>
      <c r="L41" s="40">
        <f>IF(tblOT[[#This Row],[Week starting]]="","",tblOT[[#This Row],[Regular hours (h)]]+tblOT[[#This Row],[Overtime hours (h)]])</f>
        <v>46</v>
      </c>
      <c r="M41" s="41">
        <f>IF(tblOT[[#This Row],[Week starting]]="","",IF(tblOT[[#This Row],[Total hours (h)]]&gt;0,tblOT[[#This Row],[Overtime hours (h)]]/tblOT[[#This Row],[Total hours (h)]],""))</f>
        <v>0.130434782608696</v>
      </c>
      <c r="N41" s="39">
        <f>IF(tblOT[[#This Row],[Week starting]]="","",IF(tblOT[[#This Row],[Base rate]]="","",(tblOT[[#This Row],[OT at rate 1 (h)]]*Rate1+tblOT[[#This Row],[OT at rate 2 (h)]]*Rate2)*tblOT[[#This Row],[Base rate]]*(1+Burden)))</f>
        <v>269.64</v>
      </c>
      <c r="O41" s="39">
        <f>IF(tblOT[[#This Row],[Week starting]]="","",IF(tblOT[[#This Row],[Base rate]]="","",(tblOT[[#This Row],[OT at rate 1 (h)]]*(Rate1-1)+tblOT[[#This Row],[OT at rate 2 (h)]]*(Rate2-1))*tblOT[[#This Row],[Base rate]]*(1+Burden)))</f>
        <v>89.88</v>
      </c>
      <c r="P41" s="42" t="str">
        <f>IF(tblOT[[#This Row],[Week starting]]="","",IF(OR(tblOT[[#This Row],[Overtime hours (h)]]&gt;OTLimit,tblOT[[#This Row],[Total hours (h)]]&gt;TotalLimit),"Out of limits","Within limits"))</f>
        <v>Within limits</v>
      </c>
      <c r="Q41" s="43">
        <f>IF(tblOT[[#This Row],[Week starting]]="","",IF(AND(tblOT[[#This Row],[Week starting]]&gt;=FFrom,tblOT[[#This Row],[Week starting]]&lt;=FTo,OR(DashDept="",tblOT[[#This Row],[Department]]=DashDept)),tblOT[[#This Row],[Week starting]],""))</f>
        <v>46251</v>
      </c>
      <c r="R4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1" s="28" t="s">
        <v>144</v>
      </c>
    </row>
    <row r="42" spans="2:19" x14ac:dyDescent="0.25">
      <c r="B42" s="37">
        <v>46251</v>
      </c>
      <c r="C42" s="28" t="s">
        <v>102</v>
      </c>
      <c r="D42" s="29">
        <v>40</v>
      </c>
      <c r="E42" s="29">
        <v>4.5</v>
      </c>
      <c r="F42" s="29">
        <v>0</v>
      </c>
      <c r="G42" s="28" t="s">
        <v>116</v>
      </c>
      <c r="H42" s="28" t="s">
        <v>145</v>
      </c>
      <c r="I42" s="38" t="str">
        <f>IF(tblOT[[#This Row],[Week starting]]="","",IFERROR(INDEX(tblEmployees[Department],MATCH(tblOT[[#This Row],[Employee]],tblEmployees[Employee],0)),""))</f>
        <v>Processing</v>
      </c>
      <c r="J42" s="39">
        <f>IF(tblOT[[#This Row],[Week starting]]="","",IFERROR(INDEX(tblEmployees[Base rate],MATCH(tblOT[[#This Row],[Employee]],tblEmployees[Employee],0)),""))</f>
        <v>27</v>
      </c>
      <c r="K42" s="40">
        <f>IF(tblOT[[#This Row],[Week starting]]="","",tblOT[[#This Row],[OT at rate 1 (h)]]+tblOT[[#This Row],[OT at rate 2 (h)]])</f>
        <v>4.5</v>
      </c>
      <c r="L42" s="40">
        <f>IF(tblOT[[#This Row],[Week starting]]="","",tblOT[[#This Row],[Regular hours (h)]]+tblOT[[#This Row],[Overtime hours (h)]])</f>
        <v>44.5</v>
      </c>
      <c r="M42" s="41">
        <f>IF(tblOT[[#This Row],[Week starting]]="","",IF(tblOT[[#This Row],[Total hours (h)]]&gt;0,tblOT[[#This Row],[Overtime hours (h)]]/tblOT[[#This Row],[Total hours (h)]],""))</f>
        <v>0.101123595505618</v>
      </c>
      <c r="N42" s="39">
        <f>IF(tblOT[[#This Row],[Week starting]]="","",IF(tblOT[[#This Row],[Base rate]]="","",(tblOT[[#This Row],[OT at rate 1 (h)]]*Rate1+tblOT[[#This Row],[OT at rate 2 (h)]]*Rate2)*tblOT[[#This Row],[Base rate]]*(1+Burden)))</f>
        <v>204.12</v>
      </c>
      <c r="O42" s="39">
        <f>IF(tblOT[[#This Row],[Week starting]]="","",IF(tblOT[[#This Row],[Base rate]]="","",(tblOT[[#This Row],[OT at rate 1 (h)]]*(Rate1-1)+tblOT[[#This Row],[OT at rate 2 (h)]]*(Rate2-1))*tblOT[[#This Row],[Base rate]]*(1+Burden)))</f>
        <v>68.04</v>
      </c>
      <c r="P42" s="42" t="str">
        <f>IF(tblOT[[#This Row],[Week starting]]="","",IF(OR(tblOT[[#This Row],[Overtime hours (h)]]&gt;OTLimit,tblOT[[#This Row],[Total hours (h)]]&gt;TotalLimit),"Out of limits","Within limits"))</f>
        <v>Within limits</v>
      </c>
      <c r="Q42" s="43">
        <f>IF(tblOT[[#This Row],[Week starting]]="","",IF(AND(tblOT[[#This Row],[Week starting]]&gt;=FFrom,tblOT[[#This Row],[Week starting]]&lt;=FTo,OR(DashDept="",tblOT[[#This Row],[Department]]=DashDept)),tblOT[[#This Row],[Week starting]],""))</f>
        <v>46251</v>
      </c>
      <c r="R4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2" s="28" t="s">
        <v>144</v>
      </c>
    </row>
    <row r="43" spans="2:19" x14ac:dyDescent="0.25">
      <c r="B43" s="37">
        <v>46251</v>
      </c>
      <c r="C43" s="28" t="s">
        <v>103</v>
      </c>
      <c r="D43" s="29">
        <v>40</v>
      </c>
      <c r="E43" s="29">
        <v>0</v>
      </c>
      <c r="F43" s="29">
        <v>0</v>
      </c>
      <c r="G43" s="28" t="s">
        <v>144</v>
      </c>
      <c r="H43" s="28" t="s">
        <v>144</v>
      </c>
      <c r="I43" s="38" t="str">
        <f>IF(tblOT[[#This Row],[Week starting]]="","",IFERROR(INDEX(tblEmployees[Department],MATCH(tblOT[[#This Row],[Employee]],tblEmployees[Employee],0)),""))</f>
        <v>Packaging</v>
      </c>
      <c r="J43" s="39">
        <f>IF(tblOT[[#This Row],[Week starting]]="","",IFERROR(INDEX(tblEmployees[Base rate],MATCH(tblOT[[#This Row],[Employee]],tblEmployees[Employee],0)),""))</f>
        <v>25.5</v>
      </c>
      <c r="K43" s="40">
        <f>IF(tblOT[[#This Row],[Week starting]]="","",tblOT[[#This Row],[OT at rate 1 (h)]]+tblOT[[#This Row],[OT at rate 2 (h)]])</f>
        <v>0</v>
      </c>
      <c r="L43" s="40">
        <f>IF(tblOT[[#This Row],[Week starting]]="","",tblOT[[#This Row],[Regular hours (h)]]+tblOT[[#This Row],[Overtime hours (h)]])</f>
        <v>40</v>
      </c>
      <c r="M43" s="41">
        <f>IF(tblOT[[#This Row],[Week starting]]="","",IF(tblOT[[#This Row],[Total hours (h)]]&gt;0,tblOT[[#This Row],[Overtime hours (h)]]/tblOT[[#This Row],[Total hours (h)]],""))</f>
        <v>0</v>
      </c>
      <c r="N43" s="39">
        <f>IF(tblOT[[#This Row],[Week starting]]="","",IF(tblOT[[#This Row],[Base rate]]="","",(tblOT[[#This Row],[OT at rate 1 (h)]]*Rate1+tblOT[[#This Row],[OT at rate 2 (h)]]*Rate2)*tblOT[[#This Row],[Base rate]]*(1+Burden)))</f>
        <v>0</v>
      </c>
      <c r="O43" s="39">
        <f>IF(tblOT[[#This Row],[Week starting]]="","",IF(tblOT[[#This Row],[Base rate]]="","",(tblOT[[#This Row],[OT at rate 1 (h)]]*(Rate1-1)+tblOT[[#This Row],[OT at rate 2 (h)]]*(Rate2-1))*tblOT[[#This Row],[Base rate]]*(1+Burden)))</f>
        <v>0</v>
      </c>
      <c r="P43" s="42" t="str">
        <f>IF(tblOT[[#This Row],[Week starting]]="","",IF(OR(tblOT[[#This Row],[Overtime hours (h)]]&gt;OTLimit,tblOT[[#This Row],[Total hours (h)]]&gt;TotalLimit),"Out of limits","Within limits"))</f>
        <v>Within limits</v>
      </c>
      <c r="Q43" s="43">
        <f>IF(tblOT[[#This Row],[Week starting]]="","",IF(AND(tblOT[[#This Row],[Week starting]]&gt;=FFrom,tblOT[[#This Row],[Week starting]]&lt;=FTo,OR(DashDept="",tblOT[[#This Row],[Department]]=DashDept)),tblOT[[#This Row],[Week starting]],""))</f>
        <v>46251</v>
      </c>
      <c r="R4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3" s="28" t="s">
        <v>144</v>
      </c>
    </row>
    <row r="44" spans="2:19" x14ac:dyDescent="0.25">
      <c r="B44" s="37">
        <v>46251</v>
      </c>
      <c r="C44" s="28" t="s">
        <v>104</v>
      </c>
      <c r="D44" s="29">
        <v>40</v>
      </c>
      <c r="E44" s="29">
        <v>0</v>
      </c>
      <c r="F44" s="29">
        <v>0</v>
      </c>
      <c r="G44" s="28" t="s">
        <v>144</v>
      </c>
      <c r="H44" s="28" t="s">
        <v>144</v>
      </c>
      <c r="I44" s="38" t="str">
        <f>IF(tblOT[[#This Row],[Week starting]]="","",IFERROR(INDEX(tblEmployees[Department],MATCH(tblOT[[#This Row],[Employee]],tblEmployees[Employee],0)),""))</f>
        <v>Packaging</v>
      </c>
      <c r="J44" s="39">
        <f>IF(tblOT[[#This Row],[Week starting]]="","",IFERROR(INDEX(tblEmployees[Base rate],MATCH(tblOT[[#This Row],[Employee]],tblEmployees[Employee],0)),""))</f>
        <v>24.75</v>
      </c>
      <c r="K44" s="40">
        <f>IF(tblOT[[#This Row],[Week starting]]="","",tblOT[[#This Row],[OT at rate 1 (h)]]+tblOT[[#This Row],[OT at rate 2 (h)]])</f>
        <v>0</v>
      </c>
      <c r="L44" s="40">
        <f>IF(tblOT[[#This Row],[Week starting]]="","",tblOT[[#This Row],[Regular hours (h)]]+tblOT[[#This Row],[Overtime hours (h)]])</f>
        <v>40</v>
      </c>
      <c r="M44" s="41">
        <f>IF(tblOT[[#This Row],[Week starting]]="","",IF(tblOT[[#This Row],[Total hours (h)]]&gt;0,tblOT[[#This Row],[Overtime hours (h)]]/tblOT[[#This Row],[Total hours (h)]],""))</f>
        <v>0</v>
      </c>
      <c r="N44" s="39">
        <f>IF(tblOT[[#This Row],[Week starting]]="","",IF(tblOT[[#This Row],[Base rate]]="","",(tblOT[[#This Row],[OT at rate 1 (h)]]*Rate1+tblOT[[#This Row],[OT at rate 2 (h)]]*Rate2)*tblOT[[#This Row],[Base rate]]*(1+Burden)))</f>
        <v>0</v>
      </c>
      <c r="O44" s="39">
        <f>IF(tblOT[[#This Row],[Week starting]]="","",IF(tblOT[[#This Row],[Base rate]]="","",(tblOT[[#This Row],[OT at rate 1 (h)]]*(Rate1-1)+tblOT[[#This Row],[OT at rate 2 (h)]]*(Rate2-1))*tblOT[[#This Row],[Base rate]]*(1+Burden)))</f>
        <v>0</v>
      </c>
      <c r="P44" s="42" t="str">
        <f>IF(tblOT[[#This Row],[Week starting]]="","",IF(OR(tblOT[[#This Row],[Overtime hours (h)]]&gt;OTLimit,tblOT[[#This Row],[Total hours (h)]]&gt;TotalLimit),"Out of limits","Within limits"))</f>
        <v>Within limits</v>
      </c>
      <c r="Q44" s="43">
        <f>IF(tblOT[[#This Row],[Week starting]]="","",IF(AND(tblOT[[#This Row],[Week starting]]&gt;=FFrom,tblOT[[#This Row],[Week starting]]&lt;=FTo,OR(DashDept="",tblOT[[#This Row],[Department]]=DashDept)),tblOT[[#This Row],[Week starting]],""))</f>
        <v>46251</v>
      </c>
      <c r="R4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4" s="28" t="s">
        <v>144</v>
      </c>
    </row>
    <row r="45" spans="2:19" x14ac:dyDescent="0.25">
      <c r="B45" s="37">
        <v>46251</v>
      </c>
      <c r="C45" s="28" t="s">
        <v>105</v>
      </c>
      <c r="D45" s="29">
        <v>40</v>
      </c>
      <c r="E45" s="29">
        <v>0</v>
      </c>
      <c r="F45" s="29">
        <v>0</v>
      </c>
      <c r="G45" s="28" t="s">
        <v>144</v>
      </c>
      <c r="H45" s="28" t="s">
        <v>144</v>
      </c>
      <c r="I45" s="38" t="str">
        <f>IF(tblOT[[#This Row],[Week starting]]="","",IFERROR(INDEX(tblEmployees[Department],MATCH(tblOT[[#This Row],[Employee]],tblEmployees[Employee],0)),""))</f>
        <v>Packaging</v>
      </c>
      <c r="J45" s="39">
        <f>IF(tblOT[[#This Row],[Week starting]]="","",IFERROR(INDEX(tblEmployees[Base rate],MATCH(tblOT[[#This Row],[Employee]],tblEmployees[Employee],0)),""))</f>
        <v>25</v>
      </c>
      <c r="K45" s="40">
        <f>IF(tblOT[[#This Row],[Week starting]]="","",tblOT[[#This Row],[OT at rate 1 (h)]]+tblOT[[#This Row],[OT at rate 2 (h)]])</f>
        <v>0</v>
      </c>
      <c r="L45" s="40">
        <f>IF(tblOT[[#This Row],[Week starting]]="","",tblOT[[#This Row],[Regular hours (h)]]+tblOT[[#This Row],[Overtime hours (h)]])</f>
        <v>40</v>
      </c>
      <c r="M45" s="41">
        <f>IF(tblOT[[#This Row],[Week starting]]="","",IF(tblOT[[#This Row],[Total hours (h)]]&gt;0,tblOT[[#This Row],[Overtime hours (h)]]/tblOT[[#This Row],[Total hours (h)]],""))</f>
        <v>0</v>
      </c>
      <c r="N45" s="39">
        <f>IF(tblOT[[#This Row],[Week starting]]="","",IF(tblOT[[#This Row],[Base rate]]="","",(tblOT[[#This Row],[OT at rate 1 (h)]]*Rate1+tblOT[[#This Row],[OT at rate 2 (h)]]*Rate2)*tblOT[[#This Row],[Base rate]]*(1+Burden)))</f>
        <v>0</v>
      </c>
      <c r="O45" s="39">
        <f>IF(tblOT[[#This Row],[Week starting]]="","",IF(tblOT[[#This Row],[Base rate]]="","",(tblOT[[#This Row],[OT at rate 1 (h)]]*(Rate1-1)+tblOT[[#This Row],[OT at rate 2 (h)]]*(Rate2-1))*tblOT[[#This Row],[Base rate]]*(1+Burden)))</f>
        <v>0</v>
      </c>
      <c r="P45" s="42" t="str">
        <f>IF(tblOT[[#This Row],[Week starting]]="","",IF(OR(tblOT[[#This Row],[Overtime hours (h)]]&gt;OTLimit,tblOT[[#This Row],[Total hours (h)]]&gt;TotalLimit),"Out of limits","Within limits"))</f>
        <v>Within limits</v>
      </c>
      <c r="Q45" s="43">
        <f>IF(tblOT[[#This Row],[Week starting]]="","",IF(AND(tblOT[[#This Row],[Week starting]]&gt;=FFrom,tblOT[[#This Row],[Week starting]]&lt;=FTo,OR(DashDept="",tblOT[[#This Row],[Department]]=DashDept)),tblOT[[#This Row],[Week starting]],""))</f>
        <v>46251</v>
      </c>
      <c r="R4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5" s="28" t="s">
        <v>144</v>
      </c>
    </row>
    <row r="46" spans="2:19" x14ac:dyDescent="0.25">
      <c r="B46" s="37">
        <v>46251</v>
      </c>
      <c r="C46" s="28" t="s">
        <v>106</v>
      </c>
      <c r="D46" s="29">
        <v>40</v>
      </c>
      <c r="E46" s="29">
        <v>0</v>
      </c>
      <c r="F46" s="29">
        <v>0</v>
      </c>
      <c r="G46" s="28" t="s">
        <v>144</v>
      </c>
      <c r="H46" s="28" t="s">
        <v>144</v>
      </c>
      <c r="I46" s="38" t="str">
        <f>IF(tblOT[[#This Row],[Week starting]]="","",IFERROR(INDEX(tblEmployees[Department],MATCH(tblOT[[#This Row],[Employee]],tblEmployees[Employee],0)),""))</f>
        <v>Packaging</v>
      </c>
      <c r="J46" s="39">
        <f>IF(tblOT[[#This Row],[Week starting]]="","",IFERROR(INDEX(tblEmployees[Base rate],MATCH(tblOT[[#This Row],[Employee]],tblEmployees[Employee],0)),""))</f>
        <v>24.5</v>
      </c>
      <c r="K46" s="40">
        <f>IF(tblOT[[#This Row],[Week starting]]="","",tblOT[[#This Row],[OT at rate 1 (h)]]+tblOT[[#This Row],[OT at rate 2 (h)]])</f>
        <v>0</v>
      </c>
      <c r="L46" s="40">
        <f>IF(tblOT[[#This Row],[Week starting]]="","",tblOT[[#This Row],[Regular hours (h)]]+tblOT[[#This Row],[Overtime hours (h)]])</f>
        <v>40</v>
      </c>
      <c r="M46" s="41">
        <f>IF(tblOT[[#This Row],[Week starting]]="","",IF(tblOT[[#This Row],[Total hours (h)]]&gt;0,tblOT[[#This Row],[Overtime hours (h)]]/tblOT[[#This Row],[Total hours (h)]],""))</f>
        <v>0</v>
      </c>
      <c r="N46" s="39">
        <f>IF(tblOT[[#This Row],[Week starting]]="","",IF(tblOT[[#This Row],[Base rate]]="","",(tblOT[[#This Row],[OT at rate 1 (h)]]*Rate1+tblOT[[#This Row],[OT at rate 2 (h)]]*Rate2)*tblOT[[#This Row],[Base rate]]*(1+Burden)))</f>
        <v>0</v>
      </c>
      <c r="O46" s="39">
        <f>IF(tblOT[[#This Row],[Week starting]]="","",IF(tblOT[[#This Row],[Base rate]]="","",(tblOT[[#This Row],[OT at rate 1 (h)]]*(Rate1-1)+tblOT[[#This Row],[OT at rate 2 (h)]]*(Rate2-1))*tblOT[[#This Row],[Base rate]]*(1+Burden)))</f>
        <v>0</v>
      </c>
      <c r="P46" s="42" t="str">
        <f>IF(tblOT[[#This Row],[Week starting]]="","",IF(OR(tblOT[[#This Row],[Overtime hours (h)]]&gt;OTLimit,tblOT[[#This Row],[Total hours (h)]]&gt;TotalLimit),"Out of limits","Within limits"))</f>
        <v>Within limits</v>
      </c>
      <c r="Q46" s="43">
        <f>IF(tblOT[[#This Row],[Week starting]]="","",IF(AND(tblOT[[#This Row],[Week starting]]&gt;=FFrom,tblOT[[#This Row],[Week starting]]&lt;=FTo,OR(DashDept="",tblOT[[#This Row],[Department]]=DashDept)),tblOT[[#This Row],[Week starting]],""))</f>
        <v>46251</v>
      </c>
      <c r="R4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6" s="28" t="s">
        <v>144</v>
      </c>
    </row>
    <row r="47" spans="2:19" x14ac:dyDescent="0.25">
      <c r="B47" s="37">
        <v>46251</v>
      </c>
      <c r="C47" s="28" t="s">
        <v>107</v>
      </c>
      <c r="D47" s="29">
        <v>40</v>
      </c>
      <c r="E47" s="29">
        <v>6.5</v>
      </c>
      <c r="F47" s="29">
        <v>0</v>
      </c>
      <c r="G47" s="28" t="s">
        <v>120</v>
      </c>
      <c r="H47" s="28" t="s">
        <v>146</v>
      </c>
      <c r="I47" s="38" t="str">
        <f>IF(tblOT[[#This Row],[Week starting]]="","",IFERROR(INDEX(tblEmployees[Department],MATCH(tblOT[[#This Row],[Employee]],tblEmployees[Employee],0)),""))</f>
        <v>Sanitation</v>
      </c>
      <c r="J47" s="39">
        <f>IF(tblOT[[#This Row],[Week starting]]="","",IFERROR(INDEX(tblEmployees[Base rate],MATCH(tblOT[[#This Row],[Employee]],tblEmployees[Employee],0)),""))</f>
        <v>24</v>
      </c>
      <c r="K47" s="40">
        <f>IF(tblOT[[#This Row],[Week starting]]="","",tblOT[[#This Row],[OT at rate 1 (h)]]+tblOT[[#This Row],[OT at rate 2 (h)]])</f>
        <v>6.5</v>
      </c>
      <c r="L47" s="40">
        <f>IF(tblOT[[#This Row],[Week starting]]="","",tblOT[[#This Row],[Regular hours (h)]]+tblOT[[#This Row],[Overtime hours (h)]])</f>
        <v>46.5</v>
      </c>
      <c r="M47" s="41">
        <f>IF(tblOT[[#This Row],[Week starting]]="","",IF(tblOT[[#This Row],[Total hours (h)]]&gt;0,tblOT[[#This Row],[Overtime hours (h)]]/tblOT[[#This Row],[Total hours (h)]],""))</f>
        <v>0.139784946236559</v>
      </c>
      <c r="N47" s="39">
        <f>IF(tblOT[[#This Row],[Week starting]]="","",IF(tblOT[[#This Row],[Base rate]]="","",(tblOT[[#This Row],[OT at rate 1 (h)]]*Rate1+tblOT[[#This Row],[OT at rate 2 (h)]]*Rate2)*tblOT[[#This Row],[Base rate]]*(1+Burden)))</f>
        <v>262.08</v>
      </c>
      <c r="O47" s="39">
        <f>IF(tblOT[[#This Row],[Week starting]]="","",IF(tblOT[[#This Row],[Base rate]]="","",(tblOT[[#This Row],[OT at rate 1 (h)]]*(Rate1-1)+tblOT[[#This Row],[OT at rate 2 (h)]]*(Rate2-1))*tblOT[[#This Row],[Base rate]]*(1+Burden)))</f>
        <v>87.36</v>
      </c>
      <c r="P47" s="42" t="str">
        <f>IF(tblOT[[#This Row],[Week starting]]="","",IF(OR(tblOT[[#This Row],[Overtime hours (h)]]&gt;OTLimit,tblOT[[#This Row],[Total hours (h)]]&gt;TotalLimit),"Out of limits","Within limits"))</f>
        <v>Within limits</v>
      </c>
      <c r="Q47" s="43">
        <f>IF(tblOT[[#This Row],[Week starting]]="","",IF(AND(tblOT[[#This Row],[Week starting]]&gt;=FFrom,tblOT[[#This Row],[Week starting]]&lt;=FTo,OR(DashDept="",tblOT[[#This Row],[Department]]=DashDept)),tblOT[[#This Row],[Week starting]],""))</f>
        <v>46251</v>
      </c>
      <c r="R4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7" s="28" t="s">
        <v>147</v>
      </c>
    </row>
    <row r="48" spans="2:19" x14ac:dyDescent="0.25">
      <c r="B48" s="37">
        <v>46251</v>
      </c>
      <c r="C48" s="28" t="s">
        <v>108</v>
      </c>
      <c r="D48" s="29">
        <v>0</v>
      </c>
      <c r="E48" s="29">
        <v>0</v>
      </c>
      <c r="F48" s="29">
        <v>0</v>
      </c>
      <c r="G48" s="28" t="s">
        <v>144</v>
      </c>
      <c r="H48" s="28" t="s">
        <v>144</v>
      </c>
      <c r="I48" s="38" t="str">
        <f>IF(tblOT[[#This Row],[Week starting]]="","",IFERROR(INDEX(tblEmployees[Department],MATCH(tblOT[[#This Row],[Employee]],tblEmployees[Employee],0)),""))</f>
        <v>Sanitation</v>
      </c>
      <c r="J48" s="39">
        <f>IF(tblOT[[#This Row],[Week starting]]="","",IFERROR(INDEX(tblEmployees[Base rate],MATCH(tblOT[[#This Row],[Employee]],tblEmployees[Employee],0)),""))</f>
        <v>23.75</v>
      </c>
      <c r="K48" s="40">
        <f>IF(tblOT[[#This Row],[Week starting]]="","",tblOT[[#This Row],[OT at rate 1 (h)]]+tblOT[[#This Row],[OT at rate 2 (h)]])</f>
        <v>0</v>
      </c>
      <c r="L48" s="40">
        <f>IF(tblOT[[#This Row],[Week starting]]="","",tblOT[[#This Row],[Regular hours (h)]]+tblOT[[#This Row],[Overtime hours (h)]])</f>
        <v>0</v>
      </c>
      <c r="M48" s="41">
        <f>IF(tblOT[[#This Row],[Week starting]]="","",IF(tblOT[[#This Row],[Total hours (h)]]&gt;0,tblOT[[#This Row],[Overtime hours (h)]]/tblOT[[#This Row],[Total hours (h)]],""))</f>
        <v/>
      </c>
      <c r="N48" s="39">
        <f>IF(tblOT[[#This Row],[Week starting]]="","",IF(tblOT[[#This Row],[Base rate]]="","",(tblOT[[#This Row],[OT at rate 1 (h)]]*Rate1+tblOT[[#This Row],[OT at rate 2 (h)]]*Rate2)*tblOT[[#This Row],[Base rate]]*(1+Burden)))</f>
        <v>0</v>
      </c>
      <c r="O48" s="39">
        <f>IF(tblOT[[#This Row],[Week starting]]="","",IF(tblOT[[#This Row],[Base rate]]="","",(tblOT[[#This Row],[OT at rate 1 (h)]]*(Rate1-1)+tblOT[[#This Row],[OT at rate 2 (h)]]*(Rate2-1))*tblOT[[#This Row],[Base rate]]*(1+Burden)))</f>
        <v>0</v>
      </c>
      <c r="P48" s="42" t="str">
        <f>IF(tblOT[[#This Row],[Week starting]]="","",IF(OR(tblOT[[#This Row],[Overtime hours (h)]]&gt;OTLimit,tblOT[[#This Row],[Total hours (h)]]&gt;TotalLimit),"Out of limits","Within limits"))</f>
        <v>Within limits</v>
      </c>
      <c r="Q48" s="43">
        <f>IF(tblOT[[#This Row],[Week starting]]="","",IF(AND(tblOT[[#This Row],[Week starting]]&gt;=FFrom,tblOT[[#This Row],[Week starting]]&lt;=FTo,OR(DashDept="",tblOT[[#This Row],[Department]]=DashDept)),tblOT[[#This Row],[Week starting]],""))</f>
        <v>46251</v>
      </c>
      <c r="R4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8" s="28" t="s">
        <v>148</v>
      </c>
    </row>
    <row r="49" spans="2:19" x14ac:dyDescent="0.25">
      <c r="B49" s="37">
        <v>46251</v>
      </c>
      <c r="C49" s="28" t="s">
        <v>109</v>
      </c>
      <c r="D49" s="29">
        <v>40</v>
      </c>
      <c r="E49" s="29">
        <v>7</v>
      </c>
      <c r="F49" s="29">
        <v>0</v>
      </c>
      <c r="G49" s="28" t="s">
        <v>120</v>
      </c>
      <c r="H49" s="28" t="s">
        <v>146</v>
      </c>
      <c r="I49" s="38" t="str">
        <f>IF(tblOT[[#This Row],[Week starting]]="","",IFERROR(INDEX(tblEmployees[Department],MATCH(tblOT[[#This Row],[Employee]],tblEmployees[Employee],0)),""))</f>
        <v>Sanitation</v>
      </c>
      <c r="J49" s="39">
        <f>IF(tblOT[[#This Row],[Week starting]]="","",IFERROR(INDEX(tblEmployees[Base rate],MATCH(tblOT[[#This Row],[Employee]],tblEmployees[Employee],0)),""))</f>
        <v>24.25</v>
      </c>
      <c r="K49" s="40">
        <f>IF(tblOT[[#This Row],[Week starting]]="","",tblOT[[#This Row],[OT at rate 1 (h)]]+tblOT[[#This Row],[OT at rate 2 (h)]])</f>
        <v>7</v>
      </c>
      <c r="L49" s="40">
        <f>IF(tblOT[[#This Row],[Week starting]]="","",tblOT[[#This Row],[Regular hours (h)]]+tblOT[[#This Row],[Overtime hours (h)]])</f>
        <v>47</v>
      </c>
      <c r="M49" s="41">
        <f>IF(tblOT[[#This Row],[Week starting]]="","",IF(tblOT[[#This Row],[Total hours (h)]]&gt;0,tblOT[[#This Row],[Overtime hours (h)]]/tblOT[[#This Row],[Total hours (h)]],""))</f>
        <v>0.148936170212766</v>
      </c>
      <c r="N49" s="39">
        <f>IF(tblOT[[#This Row],[Week starting]]="","",IF(tblOT[[#This Row],[Base rate]]="","",(tblOT[[#This Row],[OT at rate 1 (h)]]*Rate1+tblOT[[#This Row],[OT at rate 2 (h)]]*Rate2)*tblOT[[#This Row],[Base rate]]*(1+Burden)))</f>
        <v>285.18</v>
      </c>
      <c r="O49" s="39">
        <f>IF(tblOT[[#This Row],[Week starting]]="","",IF(tblOT[[#This Row],[Base rate]]="","",(tblOT[[#This Row],[OT at rate 1 (h)]]*(Rate1-1)+tblOT[[#This Row],[OT at rate 2 (h)]]*(Rate2-1))*tblOT[[#This Row],[Base rate]]*(1+Burden)))</f>
        <v>95.06</v>
      </c>
      <c r="P49" s="42" t="str">
        <f>IF(tblOT[[#This Row],[Week starting]]="","",IF(OR(tblOT[[#This Row],[Overtime hours (h)]]&gt;OTLimit,tblOT[[#This Row],[Total hours (h)]]&gt;TotalLimit),"Out of limits","Within limits"))</f>
        <v>Within limits</v>
      </c>
      <c r="Q49" s="43">
        <f>IF(tblOT[[#This Row],[Week starting]]="","",IF(AND(tblOT[[#This Row],[Week starting]]&gt;=FFrom,tblOT[[#This Row],[Week starting]]&lt;=FTo,OR(DashDept="",tblOT[[#This Row],[Department]]=DashDept)),tblOT[[#This Row],[Week starting]],""))</f>
        <v>46251</v>
      </c>
      <c r="R4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49" s="28" t="s">
        <v>147</v>
      </c>
    </row>
    <row r="50" spans="2:19" x14ac:dyDescent="0.25">
      <c r="B50" s="37">
        <v>46251</v>
      </c>
      <c r="C50" s="28" t="s">
        <v>110</v>
      </c>
      <c r="D50" s="29">
        <v>40</v>
      </c>
      <c r="E50" s="29">
        <v>9</v>
      </c>
      <c r="F50" s="29">
        <v>0</v>
      </c>
      <c r="G50" s="28" t="s">
        <v>124</v>
      </c>
      <c r="H50" s="28" t="s">
        <v>149</v>
      </c>
      <c r="I50" s="38" t="str">
        <f>IF(tblOT[[#This Row],[Week starting]]="","",IFERROR(INDEX(tblEmployees[Department],MATCH(tblOT[[#This Row],[Employee]],tblEmployees[Employee],0)),""))</f>
        <v>Maintenance</v>
      </c>
      <c r="J50" s="39">
        <f>IF(tblOT[[#This Row],[Week starting]]="","",IFERROR(INDEX(tblEmployees[Base rate],MATCH(tblOT[[#This Row],[Employee]],tblEmployees[Employee],0)),""))</f>
        <v>38.5</v>
      </c>
      <c r="K50" s="40">
        <f>IF(tblOT[[#This Row],[Week starting]]="","",tblOT[[#This Row],[OT at rate 1 (h)]]+tblOT[[#This Row],[OT at rate 2 (h)]])</f>
        <v>9</v>
      </c>
      <c r="L50" s="40">
        <f>IF(tblOT[[#This Row],[Week starting]]="","",tblOT[[#This Row],[Regular hours (h)]]+tblOT[[#This Row],[Overtime hours (h)]])</f>
        <v>49</v>
      </c>
      <c r="M50" s="41">
        <f>IF(tblOT[[#This Row],[Week starting]]="","",IF(tblOT[[#This Row],[Total hours (h)]]&gt;0,tblOT[[#This Row],[Overtime hours (h)]]/tblOT[[#This Row],[Total hours (h)]],""))</f>
        <v>0.183673469387755</v>
      </c>
      <c r="N50" s="39">
        <f>IF(tblOT[[#This Row],[Week starting]]="","",IF(tblOT[[#This Row],[Base rate]]="","",(tblOT[[#This Row],[OT at rate 1 (h)]]*Rate1+tblOT[[#This Row],[OT at rate 2 (h)]]*Rate2)*tblOT[[#This Row],[Base rate]]*(1+Burden)))</f>
        <v>582.12</v>
      </c>
      <c r="O50" s="39">
        <f>IF(tblOT[[#This Row],[Week starting]]="","",IF(tblOT[[#This Row],[Base rate]]="","",(tblOT[[#This Row],[OT at rate 1 (h)]]*(Rate1-1)+tblOT[[#This Row],[OT at rate 2 (h)]]*(Rate2-1))*tblOT[[#This Row],[Base rate]]*(1+Burden)))</f>
        <v>194.04</v>
      </c>
      <c r="P50" s="42" t="str">
        <f>IF(tblOT[[#This Row],[Week starting]]="","",IF(OR(tblOT[[#This Row],[Overtime hours (h)]]&gt;OTLimit,tblOT[[#This Row],[Total hours (h)]]&gt;TotalLimit),"Out of limits","Within limits"))</f>
        <v>Within limits</v>
      </c>
      <c r="Q50" s="43">
        <f>IF(tblOT[[#This Row],[Week starting]]="","",IF(AND(tblOT[[#This Row],[Week starting]]&gt;=FFrom,tblOT[[#This Row],[Week starting]]&lt;=FTo,OR(DashDept="",tblOT[[#This Row],[Department]]=DashDept)),tblOT[[#This Row],[Week starting]],""))</f>
        <v>46251</v>
      </c>
      <c r="R5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0" s="28" t="s">
        <v>150</v>
      </c>
    </row>
    <row r="51" spans="2:19" x14ac:dyDescent="0.25">
      <c r="B51" s="37">
        <v>46251</v>
      </c>
      <c r="C51" s="28" t="s">
        <v>111</v>
      </c>
      <c r="D51" s="29">
        <v>40</v>
      </c>
      <c r="E51" s="29">
        <v>8</v>
      </c>
      <c r="F51" s="29">
        <v>0</v>
      </c>
      <c r="G51" s="28" t="s">
        <v>124</v>
      </c>
      <c r="H51" s="28" t="s">
        <v>149</v>
      </c>
      <c r="I51" s="38" t="str">
        <f>IF(tblOT[[#This Row],[Week starting]]="","",IFERROR(INDEX(tblEmployees[Department],MATCH(tblOT[[#This Row],[Employee]],tblEmployees[Employee],0)),""))</f>
        <v>Maintenance</v>
      </c>
      <c r="J51" s="39">
        <f>IF(tblOT[[#This Row],[Week starting]]="","",IFERROR(INDEX(tblEmployees[Base rate],MATCH(tblOT[[#This Row],[Employee]],tblEmployees[Employee],0)),""))</f>
        <v>37</v>
      </c>
      <c r="K51" s="40">
        <f>IF(tblOT[[#This Row],[Week starting]]="","",tblOT[[#This Row],[OT at rate 1 (h)]]+tblOT[[#This Row],[OT at rate 2 (h)]])</f>
        <v>8</v>
      </c>
      <c r="L51" s="40">
        <f>IF(tblOT[[#This Row],[Week starting]]="","",tblOT[[#This Row],[Regular hours (h)]]+tblOT[[#This Row],[Overtime hours (h)]])</f>
        <v>48</v>
      </c>
      <c r="M51" s="41">
        <f>IF(tblOT[[#This Row],[Week starting]]="","",IF(tblOT[[#This Row],[Total hours (h)]]&gt;0,tblOT[[#This Row],[Overtime hours (h)]]/tblOT[[#This Row],[Total hours (h)]],""))</f>
        <v>0.166666666666667</v>
      </c>
      <c r="N51" s="39">
        <f>IF(tblOT[[#This Row],[Week starting]]="","",IF(tblOT[[#This Row],[Base rate]]="","",(tblOT[[#This Row],[OT at rate 1 (h)]]*Rate1+tblOT[[#This Row],[OT at rate 2 (h)]]*Rate2)*tblOT[[#This Row],[Base rate]]*(1+Burden)))</f>
        <v>497.28</v>
      </c>
      <c r="O51" s="39">
        <f>IF(tblOT[[#This Row],[Week starting]]="","",IF(tblOT[[#This Row],[Base rate]]="","",(tblOT[[#This Row],[OT at rate 1 (h)]]*(Rate1-1)+tblOT[[#This Row],[OT at rate 2 (h)]]*(Rate2-1))*tblOT[[#This Row],[Base rate]]*(1+Burden)))</f>
        <v>165.76</v>
      </c>
      <c r="P51" s="42" t="str">
        <f>IF(tblOT[[#This Row],[Week starting]]="","",IF(OR(tblOT[[#This Row],[Overtime hours (h)]]&gt;OTLimit,tblOT[[#This Row],[Total hours (h)]]&gt;TotalLimit),"Out of limits","Within limits"))</f>
        <v>Within limits</v>
      </c>
      <c r="Q51" s="43">
        <f>IF(tblOT[[#This Row],[Week starting]]="","",IF(AND(tblOT[[#This Row],[Week starting]]&gt;=FFrom,tblOT[[#This Row],[Week starting]]&lt;=FTo,OR(DashDept="",tblOT[[#This Row],[Department]]=DashDept)),tblOT[[#This Row],[Week starting]],""))</f>
        <v>46251</v>
      </c>
      <c r="R5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1" s="28" t="s">
        <v>144</v>
      </c>
    </row>
    <row r="52" spans="2:19" x14ac:dyDescent="0.25">
      <c r="B52" s="37">
        <v>46251</v>
      </c>
      <c r="C52" s="28" t="s">
        <v>112</v>
      </c>
      <c r="D52" s="29">
        <v>40</v>
      </c>
      <c r="E52" s="29">
        <v>8</v>
      </c>
      <c r="F52" s="29">
        <v>0</v>
      </c>
      <c r="G52" s="28" t="s">
        <v>124</v>
      </c>
      <c r="H52" s="28" t="s">
        <v>149</v>
      </c>
      <c r="I52" s="38" t="str">
        <f>IF(tblOT[[#This Row],[Week starting]]="","",IFERROR(INDEX(tblEmployees[Department],MATCH(tblOT[[#This Row],[Employee]],tblEmployees[Employee],0)),""))</f>
        <v>Maintenance</v>
      </c>
      <c r="J52" s="39">
        <f>IF(tblOT[[#This Row],[Week starting]]="","",IFERROR(INDEX(tblEmployees[Base rate],MATCH(tblOT[[#This Row],[Employee]],tblEmployees[Employee],0)),""))</f>
        <v>36.25</v>
      </c>
      <c r="K52" s="40">
        <f>IF(tblOT[[#This Row],[Week starting]]="","",tblOT[[#This Row],[OT at rate 1 (h)]]+tblOT[[#This Row],[OT at rate 2 (h)]])</f>
        <v>8</v>
      </c>
      <c r="L52" s="40">
        <f>IF(tblOT[[#This Row],[Week starting]]="","",tblOT[[#This Row],[Regular hours (h)]]+tblOT[[#This Row],[Overtime hours (h)]])</f>
        <v>48</v>
      </c>
      <c r="M52" s="41">
        <f>IF(tblOT[[#This Row],[Week starting]]="","",IF(tblOT[[#This Row],[Total hours (h)]]&gt;0,tblOT[[#This Row],[Overtime hours (h)]]/tblOT[[#This Row],[Total hours (h)]],""))</f>
        <v>0.166666666666667</v>
      </c>
      <c r="N52" s="39">
        <f>IF(tblOT[[#This Row],[Week starting]]="","",IF(tblOT[[#This Row],[Base rate]]="","",(tblOT[[#This Row],[OT at rate 1 (h)]]*Rate1+tblOT[[#This Row],[OT at rate 2 (h)]]*Rate2)*tblOT[[#This Row],[Base rate]]*(1+Burden)))</f>
        <v>487.2</v>
      </c>
      <c r="O52" s="39">
        <f>IF(tblOT[[#This Row],[Week starting]]="","",IF(tblOT[[#This Row],[Base rate]]="","",(tblOT[[#This Row],[OT at rate 1 (h)]]*(Rate1-1)+tblOT[[#This Row],[OT at rate 2 (h)]]*(Rate2-1))*tblOT[[#This Row],[Base rate]]*(1+Burden)))</f>
        <v>162.4</v>
      </c>
      <c r="P52" s="42" t="str">
        <f>IF(tblOT[[#This Row],[Week starting]]="","",IF(OR(tblOT[[#This Row],[Overtime hours (h)]]&gt;OTLimit,tblOT[[#This Row],[Total hours (h)]]&gt;TotalLimit),"Out of limits","Within limits"))</f>
        <v>Within limits</v>
      </c>
      <c r="Q52" s="43">
        <f>IF(tblOT[[#This Row],[Week starting]]="","",IF(AND(tblOT[[#This Row],[Week starting]]&gt;=FFrom,tblOT[[#This Row],[Week starting]]&lt;=FTo,OR(DashDept="",tblOT[[#This Row],[Department]]=DashDept)),tblOT[[#This Row],[Week starting]],""))</f>
        <v>46251</v>
      </c>
      <c r="R5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2" s="28" t="s">
        <v>144</v>
      </c>
    </row>
    <row r="53" spans="2:19" x14ac:dyDescent="0.25">
      <c r="B53" s="37">
        <v>46251</v>
      </c>
      <c r="C53" s="28" t="s">
        <v>113</v>
      </c>
      <c r="D53" s="29">
        <v>40</v>
      </c>
      <c r="E53" s="29">
        <v>0</v>
      </c>
      <c r="F53" s="29">
        <v>0</v>
      </c>
      <c r="G53" s="28" t="s">
        <v>144</v>
      </c>
      <c r="H53" s="28" t="s">
        <v>144</v>
      </c>
      <c r="I53" s="38" t="str">
        <f>IF(tblOT[[#This Row],[Week starting]]="","",IFERROR(INDEX(tblEmployees[Department],MATCH(tblOT[[#This Row],[Employee]],tblEmployees[Employee],0)),""))</f>
        <v>Warehouse</v>
      </c>
      <c r="J53" s="39">
        <f>IF(tblOT[[#This Row],[Week starting]]="","",IFERROR(INDEX(tblEmployees[Base rate],MATCH(tblOT[[#This Row],[Employee]],tblEmployees[Employee],0)),""))</f>
        <v>26</v>
      </c>
      <c r="K53" s="40">
        <f>IF(tblOT[[#This Row],[Week starting]]="","",tblOT[[#This Row],[OT at rate 1 (h)]]+tblOT[[#This Row],[OT at rate 2 (h)]])</f>
        <v>0</v>
      </c>
      <c r="L53" s="40">
        <f>IF(tblOT[[#This Row],[Week starting]]="","",tblOT[[#This Row],[Regular hours (h)]]+tblOT[[#This Row],[Overtime hours (h)]])</f>
        <v>40</v>
      </c>
      <c r="M53" s="41">
        <f>IF(tblOT[[#This Row],[Week starting]]="","",IF(tblOT[[#This Row],[Total hours (h)]]&gt;0,tblOT[[#This Row],[Overtime hours (h)]]/tblOT[[#This Row],[Total hours (h)]],""))</f>
        <v>0</v>
      </c>
      <c r="N53" s="39">
        <f>IF(tblOT[[#This Row],[Week starting]]="","",IF(tblOT[[#This Row],[Base rate]]="","",(tblOT[[#This Row],[OT at rate 1 (h)]]*Rate1+tblOT[[#This Row],[OT at rate 2 (h)]]*Rate2)*tblOT[[#This Row],[Base rate]]*(1+Burden)))</f>
        <v>0</v>
      </c>
      <c r="O53" s="39">
        <f>IF(tblOT[[#This Row],[Week starting]]="","",IF(tblOT[[#This Row],[Base rate]]="","",(tblOT[[#This Row],[OT at rate 1 (h)]]*(Rate1-1)+tblOT[[#This Row],[OT at rate 2 (h)]]*(Rate2-1))*tblOT[[#This Row],[Base rate]]*(1+Burden)))</f>
        <v>0</v>
      </c>
      <c r="P53" s="42" t="str">
        <f>IF(tblOT[[#This Row],[Week starting]]="","",IF(OR(tblOT[[#This Row],[Overtime hours (h)]]&gt;OTLimit,tblOT[[#This Row],[Total hours (h)]]&gt;TotalLimit),"Out of limits","Within limits"))</f>
        <v>Within limits</v>
      </c>
      <c r="Q53" s="43">
        <f>IF(tblOT[[#This Row],[Week starting]]="","",IF(AND(tblOT[[#This Row],[Week starting]]&gt;=FFrom,tblOT[[#This Row],[Week starting]]&lt;=FTo,OR(DashDept="",tblOT[[#This Row],[Department]]=DashDept)),tblOT[[#This Row],[Week starting]],""))</f>
        <v>46251</v>
      </c>
      <c r="R5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3" s="28" t="s">
        <v>144</v>
      </c>
    </row>
    <row r="54" spans="2:19" x14ac:dyDescent="0.25">
      <c r="B54" s="37">
        <v>46251</v>
      </c>
      <c r="C54" s="28" t="s">
        <v>114</v>
      </c>
      <c r="D54" s="29">
        <v>40</v>
      </c>
      <c r="E54" s="29">
        <v>0</v>
      </c>
      <c r="F54" s="29">
        <v>0</v>
      </c>
      <c r="G54" s="28" t="s">
        <v>144</v>
      </c>
      <c r="H54" s="28" t="s">
        <v>144</v>
      </c>
      <c r="I54" s="38" t="str">
        <f>IF(tblOT[[#This Row],[Week starting]]="","",IFERROR(INDEX(tblEmployees[Department],MATCH(tblOT[[#This Row],[Employee]],tblEmployees[Employee],0)),""))</f>
        <v>Warehouse</v>
      </c>
      <c r="J54" s="39">
        <f>IF(tblOT[[#This Row],[Week starting]]="","",IFERROR(INDEX(tblEmployees[Base rate],MATCH(tblOT[[#This Row],[Employee]],tblEmployees[Employee],0)),""))</f>
        <v>25.75</v>
      </c>
      <c r="K54" s="40">
        <f>IF(tblOT[[#This Row],[Week starting]]="","",tblOT[[#This Row],[OT at rate 1 (h)]]+tblOT[[#This Row],[OT at rate 2 (h)]])</f>
        <v>0</v>
      </c>
      <c r="L54" s="40">
        <f>IF(tblOT[[#This Row],[Week starting]]="","",tblOT[[#This Row],[Regular hours (h)]]+tblOT[[#This Row],[Overtime hours (h)]])</f>
        <v>40</v>
      </c>
      <c r="M54" s="41">
        <f>IF(tblOT[[#This Row],[Week starting]]="","",IF(tblOT[[#This Row],[Total hours (h)]]&gt;0,tblOT[[#This Row],[Overtime hours (h)]]/tblOT[[#This Row],[Total hours (h)]],""))</f>
        <v>0</v>
      </c>
      <c r="N54" s="39">
        <f>IF(tblOT[[#This Row],[Week starting]]="","",IF(tblOT[[#This Row],[Base rate]]="","",(tblOT[[#This Row],[OT at rate 1 (h)]]*Rate1+tblOT[[#This Row],[OT at rate 2 (h)]]*Rate2)*tblOT[[#This Row],[Base rate]]*(1+Burden)))</f>
        <v>0</v>
      </c>
      <c r="O54" s="39">
        <f>IF(tblOT[[#This Row],[Week starting]]="","",IF(tblOT[[#This Row],[Base rate]]="","",(tblOT[[#This Row],[OT at rate 1 (h)]]*(Rate1-1)+tblOT[[#This Row],[OT at rate 2 (h)]]*(Rate2-1))*tblOT[[#This Row],[Base rate]]*(1+Burden)))</f>
        <v>0</v>
      </c>
      <c r="P54" s="42" t="str">
        <f>IF(tblOT[[#This Row],[Week starting]]="","",IF(OR(tblOT[[#This Row],[Overtime hours (h)]]&gt;OTLimit,tblOT[[#This Row],[Total hours (h)]]&gt;TotalLimit),"Out of limits","Within limits"))</f>
        <v>Within limits</v>
      </c>
      <c r="Q54" s="43">
        <f>IF(tblOT[[#This Row],[Week starting]]="","",IF(AND(tblOT[[#This Row],[Week starting]]&gt;=FFrom,tblOT[[#This Row],[Week starting]]&lt;=FTo,OR(DashDept="",tblOT[[#This Row],[Department]]=DashDept)),tblOT[[#This Row],[Week starting]],""))</f>
        <v>46251</v>
      </c>
      <c r="R5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4" s="28" t="s">
        <v>144</v>
      </c>
    </row>
    <row r="55" spans="2:19" x14ac:dyDescent="0.25">
      <c r="B55" s="37">
        <v>46258</v>
      </c>
      <c r="C55" s="28" t="s">
        <v>99</v>
      </c>
      <c r="D55" s="29">
        <v>40</v>
      </c>
      <c r="E55" s="29">
        <v>2.5</v>
      </c>
      <c r="F55" s="29">
        <v>0</v>
      </c>
      <c r="G55" s="28" t="s">
        <v>116</v>
      </c>
      <c r="H55" s="28" t="s">
        <v>145</v>
      </c>
      <c r="I55" s="38" t="str">
        <f>IF(tblOT[[#This Row],[Week starting]]="","",IFERROR(INDEX(tblEmployees[Department],MATCH(tblOT[[#This Row],[Employee]],tblEmployees[Employee],0)),""))</f>
        <v>Processing</v>
      </c>
      <c r="J55" s="39">
        <f>IF(tblOT[[#This Row],[Week starting]]="","",IFERROR(INDEX(tblEmployees[Base rate],MATCH(tblOT[[#This Row],[Employee]],tblEmployees[Employee],0)),""))</f>
        <v>27.5</v>
      </c>
      <c r="K55" s="40">
        <f>IF(tblOT[[#This Row],[Week starting]]="","",tblOT[[#This Row],[OT at rate 1 (h)]]+tblOT[[#This Row],[OT at rate 2 (h)]])</f>
        <v>2.5</v>
      </c>
      <c r="L55" s="40">
        <f>IF(tblOT[[#This Row],[Week starting]]="","",tblOT[[#This Row],[Regular hours (h)]]+tblOT[[#This Row],[Overtime hours (h)]])</f>
        <v>42.5</v>
      </c>
      <c r="M55" s="41">
        <f>IF(tblOT[[#This Row],[Week starting]]="","",IF(tblOT[[#This Row],[Total hours (h)]]&gt;0,tblOT[[#This Row],[Overtime hours (h)]]/tblOT[[#This Row],[Total hours (h)]],""))</f>
        <v>0.0588235294117647</v>
      </c>
      <c r="N55" s="39">
        <f>IF(tblOT[[#This Row],[Week starting]]="","",IF(tblOT[[#This Row],[Base rate]]="","",(tblOT[[#This Row],[OT at rate 1 (h)]]*Rate1+tblOT[[#This Row],[OT at rate 2 (h)]]*Rate2)*tblOT[[#This Row],[Base rate]]*(1+Burden)))</f>
        <v>115.5</v>
      </c>
      <c r="O55" s="39">
        <f>IF(tblOT[[#This Row],[Week starting]]="","",IF(tblOT[[#This Row],[Base rate]]="","",(tblOT[[#This Row],[OT at rate 1 (h)]]*(Rate1-1)+tblOT[[#This Row],[OT at rate 2 (h)]]*(Rate2-1))*tblOT[[#This Row],[Base rate]]*(1+Burden)))</f>
        <v>38.5</v>
      </c>
      <c r="P55" s="42" t="str">
        <f>IF(tblOT[[#This Row],[Week starting]]="","",IF(OR(tblOT[[#This Row],[Overtime hours (h)]]&gt;OTLimit,tblOT[[#This Row],[Total hours (h)]]&gt;TotalLimit),"Out of limits","Within limits"))</f>
        <v>Within limits</v>
      </c>
      <c r="Q55" s="43">
        <f>IF(tblOT[[#This Row],[Week starting]]="","",IF(AND(tblOT[[#This Row],[Week starting]]&gt;=FFrom,tblOT[[#This Row],[Week starting]]&lt;=FTo,OR(DashDept="",tblOT[[#This Row],[Department]]=DashDept)),tblOT[[#This Row],[Week starting]],""))</f>
        <v>46258</v>
      </c>
      <c r="R5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5" s="28" t="s">
        <v>144</v>
      </c>
    </row>
    <row r="56" spans="2:19" x14ac:dyDescent="0.25">
      <c r="B56" s="37">
        <v>46258</v>
      </c>
      <c r="C56" s="28" t="s">
        <v>100</v>
      </c>
      <c r="D56" s="29">
        <v>40</v>
      </c>
      <c r="E56" s="29">
        <v>4</v>
      </c>
      <c r="F56" s="29">
        <v>0</v>
      </c>
      <c r="G56" s="28" t="s">
        <v>116</v>
      </c>
      <c r="H56" s="28" t="s">
        <v>145</v>
      </c>
      <c r="I56" s="38" t="str">
        <f>IF(tblOT[[#This Row],[Week starting]]="","",IFERROR(INDEX(tblEmployees[Department],MATCH(tblOT[[#This Row],[Employee]],tblEmployees[Employee],0)),""))</f>
        <v>Processing</v>
      </c>
      <c r="J56" s="39">
        <f>IF(tblOT[[#This Row],[Week starting]]="","",IFERROR(INDEX(tblEmployees[Base rate],MATCH(tblOT[[#This Row],[Employee]],tblEmployees[Employee],0)),""))</f>
        <v>28.25</v>
      </c>
      <c r="K56" s="40">
        <f>IF(tblOT[[#This Row],[Week starting]]="","",tblOT[[#This Row],[OT at rate 1 (h)]]+tblOT[[#This Row],[OT at rate 2 (h)]])</f>
        <v>4</v>
      </c>
      <c r="L56" s="40">
        <f>IF(tblOT[[#This Row],[Week starting]]="","",tblOT[[#This Row],[Regular hours (h)]]+tblOT[[#This Row],[Overtime hours (h)]])</f>
        <v>44</v>
      </c>
      <c r="M56" s="41">
        <f>IF(tblOT[[#This Row],[Week starting]]="","",IF(tblOT[[#This Row],[Total hours (h)]]&gt;0,tblOT[[#This Row],[Overtime hours (h)]]/tblOT[[#This Row],[Total hours (h)]],""))</f>
        <v>0.0909090909090909</v>
      </c>
      <c r="N56" s="39">
        <f>IF(tblOT[[#This Row],[Week starting]]="","",IF(tblOT[[#This Row],[Base rate]]="","",(tblOT[[#This Row],[OT at rate 1 (h)]]*Rate1+tblOT[[#This Row],[OT at rate 2 (h)]]*Rate2)*tblOT[[#This Row],[Base rate]]*(1+Burden)))</f>
        <v>189.84</v>
      </c>
      <c r="O56" s="39">
        <f>IF(tblOT[[#This Row],[Week starting]]="","",IF(tblOT[[#This Row],[Base rate]]="","",(tblOT[[#This Row],[OT at rate 1 (h)]]*(Rate1-1)+tblOT[[#This Row],[OT at rate 2 (h)]]*(Rate2-1))*tblOT[[#This Row],[Base rate]]*(1+Burden)))</f>
        <v>63.28</v>
      </c>
      <c r="P56" s="42" t="str">
        <f>IF(tblOT[[#This Row],[Week starting]]="","",IF(OR(tblOT[[#This Row],[Overtime hours (h)]]&gt;OTLimit,tblOT[[#This Row],[Total hours (h)]]&gt;TotalLimit),"Out of limits","Within limits"))</f>
        <v>Within limits</v>
      </c>
      <c r="Q56" s="43">
        <f>IF(tblOT[[#This Row],[Week starting]]="","",IF(AND(tblOT[[#This Row],[Week starting]]&gt;=FFrom,tblOT[[#This Row],[Week starting]]&lt;=FTo,OR(DashDept="",tblOT[[#This Row],[Department]]=DashDept)),tblOT[[#This Row],[Week starting]],""))</f>
        <v>46258</v>
      </c>
      <c r="R5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6" s="28" t="s">
        <v>144</v>
      </c>
    </row>
    <row r="57" spans="2:19" x14ac:dyDescent="0.25">
      <c r="B57" s="37">
        <v>46258</v>
      </c>
      <c r="C57" s="28" t="s">
        <v>101</v>
      </c>
      <c r="D57" s="29">
        <v>40</v>
      </c>
      <c r="E57" s="29">
        <v>6.5</v>
      </c>
      <c r="F57" s="29">
        <v>0</v>
      </c>
      <c r="G57" s="28" t="s">
        <v>116</v>
      </c>
      <c r="H57" s="28" t="s">
        <v>145</v>
      </c>
      <c r="I57" s="38" t="str">
        <f>IF(tblOT[[#This Row],[Week starting]]="","",IFERROR(INDEX(tblEmployees[Department],MATCH(tblOT[[#This Row],[Employee]],tblEmployees[Employee],0)),""))</f>
        <v>Processing</v>
      </c>
      <c r="J57" s="39">
        <f>IF(tblOT[[#This Row],[Week starting]]="","",IFERROR(INDEX(tblEmployees[Base rate],MATCH(tblOT[[#This Row],[Employee]],tblEmployees[Employee],0)),""))</f>
        <v>26.75</v>
      </c>
      <c r="K57" s="40">
        <f>IF(tblOT[[#This Row],[Week starting]]="","",tblOT[[#This Row],[OT at rate 1 (h)]]+tblOT[[#This Row],[OT at rate 2 (h)]])</f>
        <v>6.5</v>
      </c>
      <c r="L57" s="40">
        <f>IF(tblOT[[#This Row],[Week starting]]="","",tblOT[[#This Row],[Regular hours (h)]]+tblOT[[#This Row],[Overtime hours (h)]])</f>
        <v>46.5</v>
      </c>
      <c r="M57" s="41">
        <f>IF(tblOT[[#This Row],[Week starting]]="","",IF(tblOT[[#This Row],[Total hours (h)]]&gt;0,tblOT[[#This Row],[Overtime hours (h)]]/tblOT[[#This Row],[Total hours (h)]],""))</f>
        <v>0.139784946236559</v>
      </c>
      <c r="N57" s="39">
        <f>IF(tblOT[[#This Row],[Week starting]]="","",IF(tblOT[[#This Row],[Base rate]]="","",(tblOT[[#This Row],[OT at rate 1 (h)]]*Rate1+tblOT[[#This Row],[OT at rate 2 (h)]]*Rate2)*tblOT[[#This Row],[Base rate]]*(1+Burden)))</f>
        <v>292.11</v>
      </c>
      <c r="O57" s="39">
        <f>IF(tblOT[[#This Row],[Week starting]]="","",IF(tblOT[[#This Row],[Base rate]]="","",(tblOT[[#This Row],[OT at rate 1 (h)]]*(Rate1-1)+tblOT[[#This Row],[OT at rate 2 (h)]]*(Rate2-1))*tblOT[[#This Row],[Base rate]]*(1+Burden)))</f>
        <v>97.37</v>
      </c>
      <c r="P57" s="42" t="str">
        <f>IF(tblOT[[#This Row],[Week starting]]="","",IF(OR(tblOT[[#This Row],[Overtime hours (h)]]&gt;OTLimit,tblOT[[#This Row],[Total hours (h)]]&gt;TotalLimit),"Out of limits","Within limits"))</f>
        <v>Within limits</v>
      </c>
      <c r="Q57" s="43">
        <f>IF(tblOT[[#This Row],[Week starting]]="","",IF(AND(tblOT[[#This Row],[Week starting]]&gt;=FFrom,tblOT[[#This Row],[Week starting]]&lt;=FTo,OR(DashDept="",tblOT[[#This Row],[Department]]=DashDept)),tblOT[[#This Row],[Week starting]],""))</f>
        <v>46258</v>
      </c>
      <c r="R5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7" s="28" t="s">
        <v>144</v>
      </c>
    </row>
    <row r="58" spans="2:19" x14ac:dyDescent="0.25">
      <c r="B58" s="37">
        <v>46258</v>
      </c>
      <c r="C58" s="28" t="s">
        <v>102</v>
      </c>
      <c r="D58" s="29">
        <v>40</v>
      </c>
      <c r="E58" s="29">
        <v>0</v>
      </c>
      <c r="F58" s="29">
        <v>0</v>
      </c>
      <c r="G58" s="28" t="s">
        <v>144</v>
      </c>
      <c r="H58" s="28" t="s">
        <v>144</v>
      </c>
      <c r="I58" s="38" t="str">
        <f>IF(tblOT[[#This Row],[Week starting]]="","",IFERROR(INDEX(tblEmployees[Department],MATCH(tblOT[[#This Row],[Employee]],tblEmployees[Employee],0)),""))</f>
        <v>Processing</v>
      </c>
      <c r="J58" s="39">
        <f>IF(tblOT[[#This Row],[Week starting]]="","",IFERROR(INDEX(tblEmployees[Base rate],MATCH(tblOT[[#This Row],[Employee]],tblEmployees[Employee],0)),""))</f>
        <v>27</v>
      </c>
      <c r="K58" s="40">
        <f>IF(tblOT[[#This Row],[Week starting]]="","",tblOT[[#This Row],[OT at rate 1 (h)]]+tblOT[[#This Row],[OT at rate 2 (h)]])</f>
        <v>0</v>
      </c>
      <c r="L58" s="40">
        <f>IF(tblOT[[#This Row],[Week starting]]="","",tblOT[[#This Row],[Regular hours (h)]]+tblOT[[#This Row],[Overtime hours (h)]])</f>
        <v>40</v>
      </c>
      <c r="M58" s="41">
        <f>IF(tblOT[[#This Row],[Week starting]]="","",IF(tblOT[[#This Row],[Total hours (h)]]&gt;0,tblOT[[#This Row],[Overtime hours (h)]]/tblOT[[#This Row],[Total hours (h)]],""))</f>
        <v>0</v>
      </c>
      <c r="N58" s="39">
        <f>IF(tblOT[[#This Row],[Week starting]]="","",IF(tblOT[[#This Row],[Base rate]]="","",(tblOT[[#This Row],[OT at rate 1 (h)]]*Rate1+tblOT[[#This Row],[OT at rate 2 (h)]]*Rate2)*tblOT[[#This Row],[Base rate]]*(1+Burden)))</f>
        <v>0</v>
      </c>
      <c r="O58" s="39">
        <f>IF(tblOT[[#This Row],[Week starting]]="","",IF(tblOT[[#This Row],[Base rate]]="","",(tblOT[[#This Row],[OT at rate 1 (h)]]*(Rate1-1)+tblOT[[#This Row],[OT at rate 2 (h)]]*(Rate2-1))*tblOT[[#This Row],[Base rate]]*(1+Burden)))</f>
        <v>0</v>
      </c>
      <c r="P58" s="42" t="str">
        <f>IF(tblOT[[#This Row],[Week starting]]="","",IF(OR(tblOT[[#This Row],[Overtime hours (h)]]&gt;OTLimit,tblOT[[#This Row],[Total hours (h)]]&gt;TotalLimit),"Out of limits","Within limits"))</f>
        <v>Within limits</v>
      </c>
      <c r="Q58" s="43">
        <f>IF(tblOT[[#This Row],[Week starting]]="","",IF(AND(tblOT[[#This Row],[Week starting]]&gt;=FFrom,tblOT[[#This Row],[Week starting]]&lt;=FTo,OR(DashDept="",tblOT[[#This Row],[Department]]=DashDept)),tblOT[[#This Row],[Week starting]],""))</f>
        <v>46258</v>
      </c>
      <c r="R5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8" s="28" t="s">
        <v>144</v>
      </c>
    </row>
    <row r="59" spans="2:19" x14ac:dyDescent="0.25">
      <c r="B59" s="37">
        <v>46258</v>
      </c>
      <c r="C59" s="28" t="s">
        <v>103</v>
      </c>
      <c r="D59" s="29">
        <v>40</v>
      </c>
      <c r="E59" s="29">
        <v>0</v>
      </c>
      <c r="F59" s="29">
        <v>0</v>
      </c>
      <c r="G59" s="28" t="s">
        <v>144</v>
      </c>
      <c r="H59" s="28" t="s">
        <v>144</v>
      </c>
      <c r="I59" s="38" t="str">
        <f>IF(tblOT[[#This Row],[Week starting]]="","",IFERROR(INDEX(tblEmployees[Department],MATCH(tblOT[[#This Row],[Employee]],tblEmployees[Employee],0)),""))</f>
        <v>Packaging</v>
      </c>
      <c r="J59" s="39">
        <f>IF(tblOT[[#This Row],[Week starting]]="","",IFERROR(INDEX(tblEmployees[Base rate],MATCH(tblOT[[#This Row],[Employee]],tblEmployees[Employee],0)),""))</f>
        <v>25.5</v>
      </c>
      <c r="K59" s="40">
        <f>IF(tblOT[[#This Row],[Week starting]]="","",tblOT[[#This Row],[OT at rate 1 (h)]]+tblOT[[#This Row],[OT at rate 2 (h)]])</f>
        <v>0</v>
      </c>
      <c r="L59" s="40">
        <f>IF(tblOT[[#This Row],[Week starting]]="","",tblOT[[#This Row],[Regular hours (h)]]+tblOT[[#This Row],[Overtime hours (h)]])</f>
        <v>40</v>
      </c>
      <c r="M59" s="41">
        <f>IF(tblOT[[#This Row],[Week starting]]="","",IF(tblOT[[#This Row],[Total hours (h)]]&gt;0,tblOT[[#This Row],[Overtime hours (h)]]/tblOT[[#This Row],[Total hours (h)]],""))</f>
        <v>0</v>
      </c>
      <c r="N59" s="39">
        <f>IF(tblOT[[#This Row],[Week starting]]="","",IF(tblOT[[#This Row],[Base rate]]="","",(tblOT[[#This Row],[OT at rate 1 (h)]]*Rate1+tblOT[[#This Row],[OT at rate 2 (h)]]*Rate2)*tblOT[[#This Row],[Base rate]]*(1+Burden)))</f>
        <v>0</v>
      </c>
      <c r="O59" s="39">
        <f>IF(tblOT[[#This Row],[Week starting]]="","",IF(tblOT[[#This Row],[Base rate]]="","",(tblOT[[#This Row],[OT at rate 1 (h)]]*(Rate1-1)+tblOT[[#This Row],[OT at rate 2 (h)]]*(Rate2-1))*tblOT[[#This Row],[Base rate]]*(1+Burden)))</f>
        <v>0</v>
      </c>
      <c r="P59" s="42" t="str">
        <f>IF(tblOT[[#This Row],[Week starting]]="","",IF(OR(tblOT[[#This Row],[Overtime hours (h)]]&gt;OTLimit,tblOT[[#This Row],[Total hours (h)]]&gt;TotalLimit),"Out of limits","Within limits"))</f>
        <v>Within limits</v>
      </c>
      <c r="Q59" s="43">
        <f>IF(tblOT[[#This Row],[Week starting]]="","",IF(AND(tblOT[[#This Row],[Week starting]]&gt;=FFrom,tblOT[[#This Row],[Week starting]]&lt;=FTo,OR(DashDept="",tblOT[[#This Row],[Department]]=DashDept)),tblOT[[#This Row],[Week starting]],""))</f>
        <v>46258</v>
      </c>
      <c r="R5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59" s="28" t="s">
        <v>144</v>
      </c>
    </row>
    <row r="60" spans="2:19" x14ac:dyDescent="0.25">
      <c r="B60" s="37">
        <v>46258</v>
      </c>
      <c r="C60" s="28" t="s">
        <v>104</v>
      </c>
      <c r="D60" s="29">
        <v>40</v>
      </c>
      <c r="E60" s="29">
        <v>0</v>
      </c>
      <c r="F60" s="29">
        <v>0</v>
      </c>
      <c r="G60" s="28" t="s">
        <v>144</v>
      </c>
      <c r="H60" s="28" t="s">
        <v>144</v>
      </c>
      <c r="I60" s="38" t="str">
        <f>IF(tblOT[[#This Row],[Week starting]]="","",IFERROR(INDEX(tblEmployees[Department],MATCH(tblOT[[#This Row],[Employee]],tblEmployees[Employee],0)),""))</f>
        <v>Packaging</v>
      </c>
      <c r="J60" s="39">
        <f>IF(tblOT[[#This Row],[Week starting]]="","",IFERROR(INDEX(tblEmployees[Base rate],MATCH(tblOT[[#This Row],[Employee]],tblEmployees[Employee],0)),""))</f>
        <v>24.75</v>
      </c>
      <c r="K60" s="40">
        <f>IF(tblOT[[#This Row],[Week starting]]="","",tblOT[[#This Row],[OT at rate 1 (h)]]+tblOT[[#This Row],[OT at rate 2 (h)]])</f>
        <v>0</v>
      </c>
      <c r="L60" s="40">
        <f>IF(tblOT[[#This Row],[Week starting]]="","",tblOT[[#This Row],[Regular hours (h)]]+tblOT[[#This Row],[Overtime hours (h)]])</f>
        <v>40</v>
      </c>
      <c r="M60" s="41">
        <f>IF(tblOT[[#This Row],[Week starting]]="","",IF(tblOT[[#This Row],[Total hours (h)]]&gt;0,tblOT[[#This Row],[Overtime hours (h)]]/tblOT[[#This Row],[Total hours (h)]],""))</f>
        <v>0</v>
      </c>
      <c r="N60" s="39">
        <f>IF(tblOT[[#This Row],[Week starting]]="","",IF(tblOT[[#This Row],[Base rate]]="","",(tblOT[[#This Row],[OT at rate 1 (h)]]*Rate1+tblOT[[#This Row],[OT at rate 2 (h)]]*Rate2)*tblOT[[#This Row],[Base rate]]*(1+Burden)))</f>
        <v>0</v>
      </c>
      <c r="O60" s="39">
        <f>IF(tblOT[[#This Row],[Week starting]]="","",IF(tblOT[[#This Row],[Base rate]]="","",(tblOT[[#This Row],[OT at rate 1 (h)]]*(Rate1-1)+tblOT[[#This Row],[OT at rate 2 (h)]]*(Rate2-1))*tblOT[[#This Row],[Base rate]]*(1+Burden)))</f>
        <v>0</v>
      </c>
      <c r="P60" s="42" t="str">
        <f>IF(tblOT[[#This Row],[Week starting]]="","",IF(OR(tblOT[[#This Row],[Overtime hours (h)]]&gt;OTLimit,tblOT[[#This Row],[Total hours (h)]]&gt;TotalLimit),"Out of limits","Within limits"))</f>
        <v>Within limits</v>
      </c>
      <c r="Q60" s="43">
        <f>IF(tblOT[[#This Row],[Week starting]]="","",IF(AND(tblOT[[#This Row],[Week starting]]&gt;=FFrom,tblOT[[#This Row],[Week starting]]&lt;=FTo,OR(DashDept="",tblOT[[#This Row],[Department]]=DashDept)),tblOT[[#This Row],[Week starting]],""))</f>
        <v>46258</v>
      </c>
      <c r="R6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0" s="28" t="s">
        <v>144</v>
      </c>
    </row>
    <row r="61" spans="2:19" x14ac:dyDescent="0.25">
      <c r="B61" s="37">
        <v>46258</v>
      </c>
      <c r="C61" s="28" t="s">
        <v>105</v>
      </c>
      <c r="D61" s="29">
        <v>40</v>
      </c>
      <c r="E61" s="29">
        <v>5.5</v>
      </c>
      <c r="F61" s="29">
        <v>0</v>
      </c>
      <c r="G61" s="28" t="s">
        <v>116</v>
      </c>
      <c r="H61" s="28" t="s">
        <v>145</v>
      </c>
      <c r="I61" s="38" t="str">
        <f>IF(tblOT[[#This Row],[Week starting]]="","",IFERROR(INDEX(tblEmployees[Department],MATCH(tblOT[[#This Row],[Employee]],tblEmployees[Employee],0)),""))</f>
        <v>Packaging</v>
      </c>
      <c r="J61" s="39">
        <f>IF(tblOT[[#This Row],[Week starting]]="","",IFERROR(INDEX(tblEmployees[Base rate],MATCH(tblOT[[#This Row],[Employee]],tblEmployees[Employee],0)),""))</f>
        <v>25</v>
      </c>
      <c r="K61" s="40">
        <f>IF(tblOT[[#This Row],[Week starting]]="","",tblOT[[#This Row],[OT at rate 1 (h)]]+tblOT[[#This Row],[OT at rate 2 (h)]])</f>
        <v>5.5</v>
      </c>
      <c r="L61" s="40">
        <f>IF(tblOT[[#This Row],[Week starting]]="","",tblOT[[#This Row],[Regular hours (h)]]+tblOT[[#This Row],[Overtime hours (h)]])</f>
        <v>45.5</v>
      </c>
      <c r="M61" s="41">
        <f>IF(tblOT[[#This Row],[Week starting]]="","",IF(tblOT[[#This Row],[Total hours (h)]]&gt;0,tblOT[[#This Row],[Overtime hours (h)]]/tblOT[[#This Row],[Total hours (h)]],""))</f>
        <v>0.120879120879121</v>
      </c>
      <c r="N61" s="39">
        <f>IF(tblOT[[#This Row],[Week starting]]="","",IF(tblOT[[#This Row],[Base rate]]="","",(tblOT[[#This Row],[OT at rate 1 (h)]]*Rate1+tblOT[[#This Row],[OT at rate 2 (h)]]*Rate2)*tblOT[[#This Row],[Base rate]]*(1+Burden)))</f>
        <v>231</v>
      </c>
      <c r="O61" s="39">
        <f>IF(tblOT[[#This Row],[Week starting]]="","",IF(tblOT[[#This Row],[Base rate]]="","",(tblOT[[#This Row],[OT at rate 1 (h)]]*(Rate1-1)+tblOT[[#This Row],[OT at rate 2 (h)]]*(Rate2-1))*tblOT[[#This Row],[Base rate]]*(1+Burden)))</f>
        <v>77</v>
      </c>
      <c r="P61" s="42" t="str">
        <f>IF(tblOT[[#This Row],[Week starting]]="","",IF(OR(tblOT[[#This Row],[Overtime hours (h)]]&gt;OTLimit,tblOT[[#This Row],[Total hours (h)]]&gt;TotalLimit),"Out of limits","Within limits"))</f>
        <v>Within limits</v>
      </c>
      <c r="Q61" s="43">
        <f>IF(tblOT[[#This Row],[Week starting]]="","",IF(AND(tblOT[[#This Row],[Week starting]]&gt;=FFrom,tblOT[[#This Row],[Week starting]]&lt;=FTo,OR(DashDept="",tblOT[[#This Row],[Department]]=DashDept)),tblOT[[#This Row],[Week starting]],""))</f>
        <v>46258</v>
      </c>
      <c r="R6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1" s="28" t="s">
        <v>144</v>
      </c>
    </row>
    <row r="62" spans="2:19" x14ac:dyDescent="0.25">
      <c r="B62" s="37">
        <v>46258</v>
      </c>
      <c r="C62" s="28" t="s">
        <v>106</v>
      </c>
      <c r="D62" s="29">
        <v>40</v>
      </c>
      <c r="E62" s="29">
        <v>2.5</v>
      </c>
      <c r="F62" s="29">
        <v>0</v>
      </c>
      <c r="G62" s="28" t="s">
        <v>116</v>
      </c>
      <c r="H62" s="28" t="s">
        <v>145</v>
      </c>
      <c r="I62" s="38" t="str">
        <f>IF(tblOT[[#This Row],[Week starting]]="","",IFERROR(INDEX(tblEmployees[Department],MATCH(tblOT[[#This Row],[Employee]],tblEmployees[Employee],0)),""))</f>
        <v>Packaging</v>
      </c>
      <c r="J62" s="39">
        <f>IF(tblOT[[#This Row],[Week starting]]="","",IFERROR(INDEX(tblEmployees[Base rate],MATCH(tblOT[[#This Row],[Employee]],tblEmployees[Employee],0)),""))</f>
        <v>24.5</v>
      </c>
      <c r="K62" s="40">
        <f>IF(tblOT[[#This Row],[Week starting]]="","",tblOT[[#This Row],[OT at rate 1 (h)]]+tblOT[[#This Row],[OT at rate 2 (h)]])</f>
        <v>2.5</v>
      </c>
      <c r="L62" s="40">
        <f>IF(tblOT[[#This Row],[Week starting]]="","",tblOT[[#This Row],[Regular hours (h)]]+tblOT[[#This Row],[Overtime hours (h)]])</f>
        <v>42.5</v>
      </c>
      <c r="M62" s="41">
        <f>IF(tblOT[[#This Row],[Week starting]]="","",IF(tblOT[[#This Row],[Total hours (h)]]&gt;0,tblOT[[#This Row],[Overtime hours (h)]]/tblOT[[#This Row],[Total hours (h)]],""))</f>
        <v>0.0588235294117647</v>
      </c>
      <c r="N62" s="39">
        <f>IF(tblOT[[#This Row],[Week starting]]="","",IF(tblOT[[#This Row],[Base rate]]="","",(tblOT[[#This Row],[OT at rate 1 (h)]]*Rate1+tblOT[[#This Row],[OT at rate 2 (h)]]*Rate2)*tblOT[[#This Row],[Base rate]]*(1+Burden)))</f>
        <v>102.9</v>
      </c>
      <c r="O62" s="39">
        <f>IF(tblOT[[#This Row],[Week starting]]="","",IF(tblOT[[#This Row],[Base rate]]="","",(tblOT[[#This Row],[OT at rate 1 (h)]]*(Rate1-1)+tblOT[[#This Row],[OT at rate 2 (h)]]*(Rate2-1))*tblOT[[#This Row],[Base rate]]*(1+Burden)))</f>
        <v>34.3</v>
      </c>
      <c r="P62" s="42" t="str">
        <f>IF(tblOT[[#This Row],[Week starting]]="","",IF(OR(tblOT[[#This Row],[Overtime hours (h)]]&gt;OTLimit,tblOT[[#This Row],[Total hours (h)]]&gt;TotalLimit),"Out of limits","Within limits"))</f>
        <v>Within limits</v>
      </c>
      <c r="Q62" s="43">
        <f>IF(tblOT[[#This Row],[Week starting]]="","",IF(AND(tblOT[[#This Row],[Week starting]]&gt;=FFrom,tblOT[[#This Row],[Week starting]]&lt;=FTo,OR(DashDept="",tblOT[[#This Row],[Department]]=DashDept)),tblOT[[#This Row],[Week starting]],""))</f>
        <v>46258</v>
      </c>
      <c r="R6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2" s="28" t="s">
        <v>144</v>
      </c>
    </row>
    <row r="63" spans="2:19" x14ac:dyDescent="0.25">
      <c r="B63" s="37">
        <v>46258</v>
      </c>
      <c r="C63" s="28" t="s">
        <v>107</v>
      </c>
      <c r="D63" s="29">
        <v>40</v>
      </c>
      <c r="E63" s="29">
        <v>9.5</v>
      </c>
      <c r="F63" s="29">
        <v>0</v>
      </c>
      <c r="G63" s="28" t="s">
        <v>120</v>
      </c>
      <c r="H63" s="28" t="s">
        <v>146</v>
      </c>
      <c r="I63" s="38" t="str">
        <f>IF(tblOT[[#This Row],[Week starting]]="","",IFERROR(INDEX(tblEmployees[Department],MATCH(tblOT[[#This Row],[Employee]],tblEmployees[Employee],0)),""))</f>
        <v>Sanitation</v>
      </c>
      <c r="J63" s="39">
        <f>IF(tblOT[[#This Row],[Week starting]]="","",IFERROR(INDEX(tblEmployees[Base rate],MATCH(tblOT[[#This Row],[Employee]],tblEmployees[Employee],0)),""))</f>
        <v>24</v>
      </c>
      <c r="K63" s="40">
        <f>IF(tblOT[[#This Row],[Week starting]]="","",tblOT[[#This Row],[OT at rate 1 (h)]]+tblOT[[#This Row],[OT at rate 2 (h)]])</f>
        <v>9.5</v>
      </c>
      <c r="L63" s="40">
        <f>IF(tblOT[[#This Row],[Week starting]]="","",tblOT[[#This Row],[Regular hours (h)]]+tblOT[[#This Row],[Overtime hours (h)]])</f>
        <v>49.5</v>
      </c>
      <c r="M63" s="41">
        <f>IF(tblOT[[#This Row],[Week starting]]="","",IF(tblOT[[#This Row],[Total hours (h)]]&gt;0,tblOT[[#This Row],[Overtime hours (h)]]/tblOT[[#This Row],[Total hours (h)]],""))</f>
        <v>0.191919191919192</v>
      </c>
      <c r="N63" s="39">
        <f>IF(tblOT[[#This Row],[Week starting]]="","",IF(tblOT[[#This Row],[Base rate]]="","",(tblOT[[#This Row],[OT at rate 1 (h)]]*Rate1+tblOT[[#This Row],[OT at rate 2 (h)]]*Rate2)*tblOT[[#This Row],[Base rate]]*(1+Burden)))</f>
        <v>383.04</v>
      </c>
      <c r="O63" s="39">
        <f>IF(tblOT[[#This Row],[Week starting]]="","",IF(tblOT[[#This Row],[Base rate]]="","",(tblOT[[#This Row],[OT at rate 1 (h)]]*(Rate1-1)+tblOT[[#This Row],[OT at rate 2 (h)]]*(Rate2-1))*tblOT[[#This Row],[Base rate]]*(1+Burden)))</f>
        <v>127.68</v>
      </c>
      <c r="P63" s="42" t="str">
        <f>IF(tblOT[[#This Row],[Week starting]]="","",IF(OR(tblOT[[#This Row],[Overtime hours (h)]]&gt;OTLimit,tblOT[[#This Row],[Total hours (h)]]&gt;TotalLimit),"Out of limits","Within limits"))</f>
        <v>Within limits</v>
      </c>
      <c r="Q63" s="43">
        <f>IF(tblOT[[#This Row],[Week starting]]="","",IF(AND(tblOT[[#This Row],[Week starting]]&gt;=FFrom,tblOT[[#This Row],[Week starting]]&lt;=FTo,OR(DashDept="",tblOT[[#This Row],[Department]]=DashDept)),tblOT[[#This Row],[Week starting]],""))</f>
        <v>46258</v>
      </c>
      <c r="R6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3" s="28" t="s">
        <v>147</v>
      </c>
    </row>
    <row r="64" spans="2:19" x14ac:dyDescent="0.25">
      <c r="B64" s="37">
        <v>46258</v>
      </c>
      <c r="C64" s="28" t="s">
        <v>108</v>
      </c>
      <c r="D64" s="29">
        <v>0</v>
      </c>
      <c r="E64" s="29">
        <v>0</v>
      </c>
      <c r="F64" s="29">
        <v>0</v>
      </c>
      <c r="G64" s="28" t="s">
        <v>144</v>
      </c>
      <c r="H64" s="28" t="s">
        <v>144</v>
      </c>
      <c r="I64" s="38" t="str">
        <f>IF(tblOT[[#This Row],[Week starting]]="","",IFERROR(INDEX(tblEmployees[Department],MATCH(tblOT[[#This Row],[Employee]],tblEmployees[Employee],0)),""))</f>
        <v>Sanitation</v>
      </c>
      <c r="J64" s="39">
        <f>IF(tblOT[[#This Row],[Week starting]]="","",IFERROR(INDEX(tblEmployees[Base rate],MATCH(tblOT[[#This Row],[Employee]],tblEmployees[Employee],0)),""))</f>
        <v>23.75</v>
      </c>
      <c r="K64" s="40">
        <f>IF(tblOT[[#This Row],[Week starting]]="","",tblOT[[#This Row],[OT at rate 1 (h)]]+tblOT[[#This Row],[OT at rate 2 (h)]])</f>
        <v>0</v>
      </c>
      <c r="L64" s="40">
        <f>IF(tblOT[[#This Row],[Week starting]]="","",tblOT[[#This Row],[Regular hours (h)]]+tblOT[[#This Row],[Overtime hours (h)]])</f>
        <v>0</v>
      </c>
      <c r="M64" s="41">
        <f>IF(tblOT[[#This Row],[Week starting]]="","",IF(tblOT[[#This Row],[Total hours (h)]]&gt;0,tblOT[[#This Row],[Overtime hours (h)]]/tblOT[[#This Row],[Total hours (h)]],""))</f>
        <v/>
      </c>
      <c r="N64" s="39">
        <f>IF(tblOT[[#This Row],[Week starting]]="","",IF(tblOT[[#This Row],[Base rate]]="","",(tblOT[[#This Row],[OT at rate 1 (h)]]*Rate1+tblOT[[#This Row],[OT at rate 2 (h)]]*Rate2)*tblOT[[#This Row],[Base rate]]*(1+Burden)))</f>
        <v>0</v>
      </c>
      <c r="O64" s="39">
        <f>IF(tblOT[[#This Row],[Week starting]]="","",IF(tblOT[[#This Row],[Base rate]]="","",(tblOT[[#This Row],[OT at rate 1 (h)]]*(Rate1-1)+tblOT[[#This Row],[OT at rate 2 (h)]]*(Rate2-1))*tblOT[[#This Row],[Base rate]]*(1+Burden)))</f>
        <v>0</v>
      </c>
      <c r="P64" s="42" t="str">
        <f>IF(tblOT[[#This Row],[Week starting]]="","",IF(OR(tblOT[[#This Row],[Overtime hours (h)]]&gt;OTLimit,tblOT[[#This Row],[Total hours (h)]]&gt;TotalLimit),"Out of limits","Within limits"))</f>
        <v>Within limits</v>
      </c>
      <c r="Q64" s="43">
        <f>IF(tblOT[[#This Row],[Week starting]]="","",IF(AND(tblOT[[#This Row],[Week starting]]&gt;=FFrom,tblOT[[#This Row],[Week starting]]&lt;=FTo,OR(DashDept="",tblOT[[#This Row],[Department]]=DashDept)),tblOT[[#This Row],[Week starting]],""))</f>
        <v>46258</v>
      </c>
      <c r="R6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4" s="28" t="s">
        <v>148</v>
      </c>
    </row>
    <row r="65" spans="2:19" x14ac:dyDescent="0.25">
      <c r="B65" s="37">
        <v>46258</v>
      </c>
      <c r="C65" s="28" t="s">
        <v>109</v>
      </c>
      <c r="D65" s="29">
        <v>40</v>
      </c>
      <c r="E65" s="29">
        <v>8.5</v>
      </c>
      <c r="F65" s="29">
        <v>0</v>
      </c>
      <c r="G65" s="28" t="s">
        <v>120</v>
      </c>
      <c r="H65" s="28" t="s">
        <v>146</v>
      </c>
      <c r="I65" s="38" t="str">
        <f>IF(tblOT[[#This Row],[Week starting]]="","",IFERROR(INDEX(tblEmployees[Department],MATCH(tblOT[[#This Row],[Employee]],tblEmployees[Employee],0)),""))</f>
        <v>Sanitation</v>
      </c>
      <c r="J65" s="39">
        <f>IF(tblOT[[#This Row],[Week starting]]="","",IFERROR(INDEX(tblEmployees[Base rate],MATCH(tblOT[[#This Row],[Employee]],tblEmployees[Employee],0)),""))</f>
        <v>24.25</v>
      </c>
      <c r="K65" s="40">
        <f>IF(tblOT[[#This Row],[Week starting]]="","",tblOT[[#This Row],[OT at rate 1 (h)]]+tblOT[[#This Row],[OT at rate 2 (h)]])</f>
        <v>8.5</v>
      </c>
      <c r="L65" s="40">
        <f>IF(tblOT[[#This Row],[Week starting]]="","",tblOT[[#This Row],[Regular hours (h)]]+tblOT[[#This Row],[Overtime hours (h)]])</f>
        <v>48.5</v>
      </c>
      <c r="M65" s="41">
        <f>IF(tblOT[[#This Row],[Week starting]]="","",IF(tblOT[[#This Row],[Total hours (h)]]&gt;0,tblOT[[#This Row],[Overtime hours (h)]]/tblOT[[#This Row],[Total hours (h)]],""))</f>
        <v>0.175257731958763</v>
      </c>
      <c r="N65" s="39">
        <f>IF(tblOT[[#This Row],[Week starting]]="","",IF(tblOT[[#This Row],[Base rate]]="","",(tblOT[[#This Row],[OT at rate 1 (h)]]*Rate1+tblOT[[#This Row],[OT at rate 2 (h)]]*Rate2)*tblOT[[#This Row],[Base rate]]*(1+Burden)))</f>
        <v>346.29</v>
      </c>
      <c r="O65" s="39">
        <f>IF(tblOT[[#This Row],[Week starting]]="","",IF(tblOT[[#This Row],[Base rate]]="","",(tblOT[[#This Row],[OT at rate 1 (h)]]*(Rate1-1)+tblOT[[#This Row],[OT at rate 2 (h)]]*(Rate2-1))*tblOT[[#This Row],[Base rate]]*(1+Burden)))</f>
        <v>115.43</v>
      </c>
      <c r="P65" s="42" t="str">
        <f>IF(tblOT[[#This Row],[Week starting]]="","",IF(OR(tblOT[[#This Row],[Overtime hours (h)]]&gt;OTLimit,tblOT[[#This Row],[Total hours (h)]]&gt;TotalLimit),"Out of limits","Within limits"))</f>
        <v>Within limits</v>
      </c>
      <c r="Q65" s="43">
        <f>IF(tblOT[[#This Row],[Week starting]]="","",IF(AND(tblOT[[#This Row],[Week starting]]&gt;=FFrom,tblOT[[#This Row],[Week starting]]&lt;=FTo,OR(DashDept="",tblOT[[#This Row],[Department]]=DashDept)),tblOT[[#This Row],[Week starting]],""))</f>
        <v>46258</v>
      </c>
      <c r="R6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5" s="28" t="s">
        <v>147</v>
      </c>
    </row>
    <row r="66" spans="2:19" x14ac:dyDescent="0.25">
      <c r="B66" s="37">
        <v>46258</v>
      </c>
      <c r="C66" s="28" t="s">
        <v>110</v>
      </c>
      <c r="D66" s="29">
        <v>40</v>
      </c>
      <c r="E66" s="29">
        <v>0</v>
      </c>
      <c r="F66" s="29">
        <v>0</v>
      </c>
      <c r="G66" s="28" t="s">
        <v>144</v>
      </c>
      <c r="H66" s="28" t="s">
        <v>144</v>
      </c>
      <c r="I66" s="38" t="str">
        <f>IF(tblOT[[#This Row],[Week starting]]="","",IFERROR(INDEX(tblEmployees[Department],MATCH(tblOT[[#This Row],[Employee]],tblEmployees[Employee],0)),""))</f>
        <v>Maintenance</v>
      </c>
      <c r="J66" s="39">
        <f>IF(tblOT[[#This Row],[Week starting]]="","",IFERROR(INDEX(tblEmployees[Base rate],MATCH(tblOT[[#This Row],[Employee]],tblEmployees[Employee],0)),""))</f>
        <v>38.5</v>
      </c>
      <c r="K66" s="40">
        <f>IF(tblOT[[#This Row],[Week starting]]="","",tblOT[[#This Row],[OT at rate 1 (h)]]+tblOT[[#This Row],[OT at rate 2 (h)]])</f>
        <v>0</v>
      </c>
      <c r="L66" s="40">
        <f>IF(tblOT[[#This Row],[Week starting]]="","",tblOT[[#This Row],[Regular hours (h)]]+tblOT[[#This Row],[Overtime hours (h)]])</f>
        <v>40</v>
      </c>
      <c r="M66" s="41">
        <f>IF(tblOT[[#This Row],[Week starting]]="","",IF(tblOT[[#This Row],[Total hours (h)]]&gt;0,tblOT[[#This Row],[Overtime hours (h)]]/tblOT[[#This Row],[Total hours (h)]],""))</f>
        <v>0</v>
      </c>
      <c r="N66" s="39">
        <f>IF(tblOT[[#This Row],[Week starting]]="","",IF(tblOT[[#This Row],[Base rate]]="","",(tblOT[[#This Row],[OT at rate 1 (h)]]*Rate1+tblOT[[#This Row],[OT at rate 2 (h)]]*Rate2)*tblOT[[#This Row],[Base rate]]*(1+Burden)))</f>
        <v>0</v>
      </c>
      <c r="O66" s="39">
        <f>IF(tblOT[[#This Row],[Week starting]]="","",IF(tblOT[[#This Row],[Base rate]]="","",(tblOT[[#This Row],[OT at rate 1 (h)]]*(Rate1-1)+tblOT[[#This Row],[OT at rate 2 (h)]]*(Rate2-1))*tblOT[[#This Row],[Base rate]]*(1+Burden)))</f>
        <v>0</v>
      </c>
      <c r="P66" s="42" t="str">
        <f>IF(tblOT[[#This Row],[Week starting]]="","",IF(OR(tblOT[[#This Row],[Overtime hours (h)]]&gt;OTLimit,tblOT[[#This Row],[Total hours (h)]]&gt;TotalLimit),"Out of limits","Within limits"))</f>
        <v>Within limits</v>
      </c>
      <c r="Q66" s="43">
        <f>IF(tblOT[[#This Row],[Week starting]]="","",IF(AND(tblOT[[#This Row],[Week starting]]&gt;=FFrom,tblOT[[#This Row],[Week starting]]&lt;=FTo,OR(DashDept="",tblOT[[#This Row],[Department]]=DashDept)),tblOT[[#This Row],[Week starting]],""))</f>
        <v>46258</v>
      </c>
      <c r="R6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6" s="28" t="s">
        <v>144</v>
      </c>
    </row>
    <row r="67" spans="2:19" x14ac:dyDescent="0.25">
      <c r="B67" s="37">
        <v>46258</v>
      </c>
      <c r="C67" s="28" t="s">
        <v>111</v>
      </c>
      <c r="D67" s="29">
        <v>40</v>
      </c>
      <c r="E67" s="29">
        <v>0</v>
      </c>
      <c r="F67" s="29">
        <v>0</v>
      </c>
      <c r="G67" s="28" t="s">
        <v>144</v>
      </c>
      <c r="H67" s="28" t="s">
        <v>144</v>
      </c>
      <c r="I67" s="38" t="str">
        <f>IF(tblOT[[#This Row],[Week starting]]="","",IFERROR(INDEX(tblEmployees[Department],MATCH(tblOT[[#This Row],[Employee]],tblEmployees[Employee],0)),""))</f>
        <v>Maintenance</v>
      </c>
      <c r="J67" s="39">
        <f>IF(tblOT[[#This Row],[Week starting]]="","",IFERROR(INDEX(tblEmployees[Base rate],MATCH(tblOT[[#This Row],[Employee]],tblEmployees[Employee],0)),""))</f>
        <v>37</v>
      </c>
      <c r="K67" s="40">
        <f>IF(tblOT[[#This Row],[Week starting]]="","",tblOT[[#This Row],[OT at rate 1 (h)]]+tblOT[[#This Row],[OT at rate 2 (h)]])</f>
        <v>0</v>
      </c>
      <c r="L67" s="40">
        <f>IF(tblOT[[#This Row],[Week starting]]="","",tblOT[[#This Row],[Regular hours (h)]]+tblOT[[#This Row],[Overtime hours (h)]])</f>
        <v>40</v>
      </c>
      <c r="M67" s="41">
        <f>IF(tblOT[[#This Row],[Week starting]]="","",IF(tblOT[[#This Row],[Total hours (h)]]&gt;0,tblOT[[#This Row],[Overtime hours (h)]]/tblOT[[#This Row],[Total hours (h)]],""))</f>
        <v>0</v>
      </c>
      <c r="N67" s="39">
        <f>IF(tblOT[[#This Row],[Week starting]]="","",IF(tblOT[[#This Row],[Base rate]]="","",(tblOT[[#This Row],[OT at rate 1 (h)]]*Rate1+tblOT[[#This Row],[OT at rate 2 (h)]]*Rate2)*tblOT[[#This Row],[Base rate]]*(1+Burden)))</f>
        <v>0</v>
      </c>
      <c r="O67" s="39">
        <f>IF(tblOT[[#This Row],[Week starting]]="","",IF(tblOT[[#This Row],[Base rate]]="","",(tblOT[[#This Row],[OT at rate 1 (h)]]*(Rate1-1)+tblOT[[#This Row],[OT at rate 2 (h)]]*(Rate2-1))*tblOT[[#This Row],[Base rate]]*(1+Burden)))</f>
        <v>0</v>
      </c>
      <c r="P67" s="42" t="str">
        <f>IF(tblOT[[#This Row],[Week starting]]="","",IF(OR(tblOT[[#This Row],[Overtime hours (h)]]&gt;OTLimit,tblOT[[#This Row],[Total hours (h)]]&gt;TotalLimit),"Out of limits","Within limits"))</f>
        <v>Within limits</v>
      </c>
      <c r="Q67" s="43">
        <f>IF(tblOT[[#This Row],[Week starting]]="","",IF(AND(tblOT[[#This Row],[Week starting]]&gt;=FFrom,tblOT[[#This Row],[Week starting]]&lt;=FTo,OR(DashDept="",tblOT[[#This Row],[Department]]=DashDept)),tblOT[[#This Row],[Week starting]],""))</f>
        <v>46258</v>
      </c>
      <c r="R6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7" s="28" t="s">
        <v>144</v>
      </c>
    </row>
    <row r="68" spans="2:19" x14ac:dyDescent="0.25">
      <c r="B68" s="37">
        <v>46258</v>
      </c>
      <c r="C68" s="28" t="s">
        <v>112</v>
      </c>
      <c r="D68" s="29">
        <v>40</v>
      </c>
      <c r="E68" s="29">
        <v>3.5</v>
      </c>
      <c r="F68" s="29">
        <v>0</v>
      </c>
      <c r="G68" s="28" t="s">
        <v>124</v>
      </c>
      <c r="H68" s="28" t="s">
        <v>149</v>
      </c>
      <c r="I68" s="38" t="str">
        <f>IF(tblOT[[#This Row],[Week starting]]="","",IFERROR(INDEX(tblEmployees[Department],MATCH(tblOT[[#This Row],[Employee]],tblEmployees[Employee],0)),""))</f>
        <v>Maintenance</v>
      </c>
      <c r="J68" s="39">
        <f>IF(tblOT[[#This Row],[Week starting]]="","",IFERROR(INDEX(tblEmployees[Base rate],MATCH(tblOT[[#This Row],[Employee]],tblEmployees[Employee],0)),""))</f>
        <v>36.25</v>
      </c>
      <c r="K68" s="40">
        <f>IF(tblOT[[#This Row],[Week starting]]="","",tblOT[[#This Row],[OT at rate 1 (h)]]+tblOT[[#This Row],[OT at rate 2 (h)]])</f>
        <v>3.5</v>
      </c>
      <c r="L68" s="40">
        <f>IF(tblOT[[#This Row],[Week starting]]="","",tblOT[[#This Row],[Regular hours (h)]]+tblOT[[#This Row],[Overtime hours (h)]])</f>
        <v>43.5</v>
      </c>
      <c r="M68" s="41">
        <f>IF(tblOT[[#This Row],[Week starting]]="","",IF(tblOT[[#This Row],[Total hours (h)]]&gt;0,tblOT[[#This Row],[Overtime hours (h)]]/tblOT[[#This Row],[Total hours (h)]],""))</f>
        <v>0.0804597701149425</v>
      </c>
      <c r="N68" s="39">
        <f>IF(tblOT[[#This Row],[Week starting]]="","",IF(tblOT[[#This Row],[Base rate]]="","",(tblOT[[#This Row],[OT at rate 1 (h)]]*Rate1+tblOT[[#This Row],[OT at rate 2 (h)]]*Rate2)*tblOT[[#This Row],[Base rate]]*(1+Burden)))</f>
        <v>213.15</v>
      </c>
      <c r="O68" s="39">
        <f>IF(tblOT[[#This Row],[Week starting]]="","",IF(tblOT[[#This Row],[Base rate]]="","",(tblOT[[#This Row],[OT at rate 1 (h)]]*(Rate1-1)+tblOT[[#This Row],[OT at rate 2 (h)]]*(Rate2-1))*tblOT[[#This Row],[Base rate]]*(1+Burden)))</f>
        <v>71.05</v>
      </c>
      <c r="P68" s="42" t="str">
        <f>IF(tblOT[[#This Row],[Week starting]]="","",IF(OR(tblOT[[#This Row],[Overtime hours (h)]]&gt;OTLimit,tblOT[[#This Row],[Total hours (h)]]&gt;TotalLimit),"Out of limits","Within limits"))</f>
        <v>Within limits</v>
      </c>
      <c r="Q68" s="43">
        <f>IF(tblOT[[#This Row],[Week starting]]="","",IF(AND(tblOT[[#This Row],[Week starting]]&gt;=FFrom,tblOT[[#This Row],[Week starting]]&lt;=FTo,OR(DashDept="",tblOT[[#This Row],[Department]]=DashDept)),tblOT[[#This Row],[Week starting]],""))</f>
        <v>46258</v>
      </c>
      <c r="R6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8" s="28" t="s">
        <v>144</v>
      </c>
    </row>
    <row r="69" spans="2:19" x14ac:dyDescent="0.25">
      <c r="B69" s="37">
        <v>46258</v>
      </c>
      <c r="C69" s="28" t="s">
        <v>113</v>
      </c>
      <c r="D69" s="29">
        <v>40</v>
      </c>
      <c r="E69" s="29">
        <v>0</v>
      </c>
      <c r="F69" s="29">
        <v>0</v>
      </c>
      <c r="G69" s="28" t="s">
        <v>144</v>
      </c>
      <c r="H69" s="28" t="s">
        <v>144</v>
      </c>
      <c r="I69" s="38" t="str">
        <f>IF(tblOT[[#This Row],[Week starting]]="","",IFERROR(INDEX(tblEmployees[Department],MATCH(tblOT[[#This Row],[Employee]],tblEmployees[Employee],0)),""))</f>
        <v>Warehouse</v>
      </c>
      <c r="J69" s="39">
        <f>IF(tblOT[[#This Row],[Week starting]]="","",IFERROR(INDEX(tblEmployees[Base rate],MATCH(tblOT[[#This Row],[Employee]],tblEmployees[Employee],0)),""))</f>
        <v>26</v>
      </c>
      <c r="K69" s="40">
        <f>IF(tblOT[[#This Row],[Week starting]]="","",tblOT[[#This Row],[OT at rate 1 (h)]]+tblOT[[#This Row],[OT at rate 2 (h)]])</f>
        <v>0</v>
      </c>
      <c r="L69" s="40">
        <f>IF(tblOT[[#This Row],[Week starting]]="","",tblOT[[#This Row],[Regular hours (h)]]+tblOT[[#This Row],[Overtime hours (h)]])</f>
        <v>40</v>
      </c>
      <c r="M69" s="41">
        <f>IF(tblOT[[#This Row],[Week starting]]="","",IF(tblOT[[#This Row],[Total hours (h)]]&gt;0,tblOT[[#This Row],[Overtime hours (h)]]/tblOT[[#This Row],[Total hours (h)]],""))</f>
        <v>0</v>
      </c>
      <c r="N69" s="39">
        <f>IF(tblOT[[#This Row],[Week starting]]="","",IF(tblOT[[#This Row],[Base rate]]="","",(tblOT[[#This Row],[OT at rate 1 (h)]]*Rate1+tblOT[[#This Row],[OT at rate 2 (h)]]*Rate2)*tblOT[[#This Row],[Base rate]]*(1+Burden)))</f>
        <v>0</v>
      </c>
      <c r="O69" s="39">
        <f>IF(tblOT[[#This Row],[Week starting]]="","",IF(tblOT[[#This Row],[Base rate]]="","",(tblOT[[#This Row],[OT at rate 1 (h)]]*(Rate1-1)+tblOT[[#This Row],[OT at rate 2 (h)]]*(Rate2-1))*tblOT[[#This Row],[Base rate]]*(1+Burden)))</f>
        <v>0</v>
      </c>
      <c r="P69" s="42" t="str">
        <f>IF(tblOT[[#This Row],[Week starting]]="","",IF(OR(tblOT[[#This Row],[Overtime hours (h)]]&gt;OTLimit,tblOT[[#This Row],[Total hours (h)]]&gt;TotalLimit),"Out of limits","Within limits"))</f>
        <v>Within limits</v>
      </c>
      <c r="Q69" s="43">
        <f>IF(tblOT[[#This Row],[Week starting]]="","",IF(AND(tblOT[[#This Row],[Week starting]]&gt;=FFrom,tblOT[[#This Row],[Week starting]]&lt;=FTo,OR(DashDept="",tblOT[[#This Row],[Department]]=DashDept)),tblOT[[#This Row],[Week starting]],""))</f>
        <v>46258</v>
      </c>
      <c r="R6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69" s="28" t="s">
        <v>144</v>
      </c>
    </row>
    <row r="70" spans="2:19" x14ac:dyDescent="0.25">
      <c r="B70" s="37">
        <v>46258</v>
      </c>
      <c r="C70" s="28" t="s">
        <v>114</v>
      </c>
      <c r="D70" s="29">
        <v>40</v>
      </c>
      <c r="E70" s="29">
        <v>0</v>
      </c>
      <c r="F70" s="29">
        <v>0</v>
      </c>
      <c r="G70" s="28" t="s">
        <v>144</v>
      </c>
      <c r="H70" s="28" t="s">
        <v>144</v>
      </c>
      <c r="I70" s="38" t="str">
        <f>IF(tblOT[[#This Row],[Week starting]]="","",IFERROR(INDEX(tblEmployees[Department],MATCH(tblOT[[#This Row],[Employee]],tblEmployees[Employee],0)),""))</f>
        <v>Warehouse</v>
      </c>
      <c r="J70" s="39">
        <f>IF(tblOT[[#This Row],[Week starting]]="","",IFERROR(INDEX(tblEmployees[Base rate],MATCH(tblOT[[#This Row],[Employee]],tblEmployees[Employee],0)),""))</f>
        <v>25.75</v>
      </c>
      <c r="K70" s="40">
        <f>IF(tblOT[[#This Row],[Week starting]]="","",tblOT[[#This Row],[OT at rate 1 (h)]]+tblOT[[#This Row],[OT at rate 2 (h)]])</f>
        <v>0</v>
      </c>
      <c r="L70" s="40">
        <f>IF(tblOT[[#This Row],[Week starting]]="","",tblOT[[#This Row],[Regular hours (h)]]+tblOT[[#This Row],[Overtime hours (h)]])</f>
        <v>40</v>
      </c>
      <c r="M70" s="41">
        <f>IF(tblOT[[#This Row],[Week starting]]="","",IF(tblOT[[#This Row],[Total hours (h)]]&gt;0,tblOT[[#This Row],[Overtime hours (h)]]/tblOT[[#This Row],[Total hours (h)]],""))</f>
        <v>0</v>
      </c>
      <c r="N70" s="39">
        <f>IF(tblOT[[#This Row],[Week starting]]="","",IF(tblOT[[#This Row],[Base rate]]="","",(tblOT[[#This Row],[OT at rate 1 (h)]]*Rate1+tblOT[[#This Row],[OT at rate 2 (h)]]*Rate2)*tblOT[[#This Row],[Base rate]]*(1+Burden)))</f>
        <v>0</v>
      </c>
      <c r="O70" s="39">
        <f>IF(tblOT[[#This Row],[Week starting]]="","",IF(tblOT[[#This Row],[Base rate]]="","",(tblOT[[#This Row],[OT at rate 1 (h)]]*(Rate1-1)+tblOT[[#This Row],[OT at rate 2 (h)]]*(Rate2-1))*tblOT[[#This Row],[Base rate]]*(1+Burden)))</f>
        <v>0</v>
      </c>
      <c r="P70" s="42" t="str">
        <f>IF(tblOT[[#This Row],[Week starting]]="","",IF(OR(tblOT[[#This Row],[Overtime hours (h)]]&gt;OTLimit,tblOT[[#This Row],[Total hours (h)]]&gt;TotalLimit),"Out of limits","Within limits"))</f>
        <v>Within limits</v>
      </c>
      <c r="Q70" s="43">
        <f>IF(tblOT[[#This Row],[Week starting]]="","",IF(AND(tblOT[[#This Row],[Week starting]]&gt;=FFrom,tblOT[[#This Row],[Week starting]]&lt;=FTo,OR(DashDept="",tblOT[[#This Row],[Department]]=DashDept)),tblOT[[#This Row],[Week starting]],""))</f>
        <v>46258</v>
      </c>
      <c r="R7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0" s="28" t="s">
        <v>144</v>
      </c>
    </row>
    <row r="71" spans="2:19" x14ac:dyDescent="0.25">
      <c r="B71" s="37">
        <v>46265</v>
      </c>
      <c r="C71" s="28" t="s">
        <v>99</v>
      </c>
      <c r="D71" s="29">
        <v>40</v>
      </c>
      <c r="E71" s="29">
        <v>5</v>
      </c>
      <c r="F71" s="29">
        <v>0</v>
      </c>
      <c r="G71" s="28" t="s">
        <v>116</v>
      </c>
      <c r="H71" s="28" t="s">
        <v>145</v>
      </c>
      <c r="I71" s="38" t="str">
        <f>IF(tblOT[[#This Row],[Week starting]]="","",IFERROR(INDEX(tblEmployees[Department],MATCH(tblOT[[#This Row],[Employee]],tblEmployees[Employee],0)),""))</f>
        <v>Processing</v>
      </c>
      <c r="J71" s="39">
        <f>IF(tblOT[[#This Row],[Week starting]]="","",IFERROR(INDEX(tblEmployees[Base rate],MATCH(tblOT[[#This Row],[Employee]],tblEmployees[Employee],0)),""))</f>
        <v>27.5</v>
      </c>
      <c r="K71" s="40">
        <f>IF(tblOT[[#This Row],[Week starting]]="","",tblOT[[#This Row],[OT at rate 1 (h)]]+tblOT[[#This Row],[OT at rate 2 (h)]])</f>
        <v>5</v>
      </c>
      <c r="L71" s="40">
        <f>IF(tblOT[[#This Row],[Week starting]]="","",tblOT[[#This Row],[Regular hours (h)]]+tblOT[[#This Row],[Overtime hours (h)]])</f>
        <v>45</v>
      </c>
      <c r="M71" s="41">
        <f>IF(tblOT[[#This Row],[Week starting]]="","",IF(tblOT[[#This Row],[Total hours (h)]]&gt;0,tblOT[[#This Row],[Overtime hours (h)]]/tblOT[[#This Row],[Total hours (h)]],""))</f>
        <v>0.111111111111111</v>
      </c>
      <c r="N71" s="39">
        <f>IF(tblOT[[#This Row],[Week starting]]="","",IF(tblOT[[#This Row],[Base rate]]="","",(tblOT[[#This Row],[OT at rate 1 (h)]]*Rate1+tblOT[[#This Row],[OT at rate 2 (h)]]*Rate2)*tblOT[[#This Row],[Base rate]]*(1+Burden)))</f>
        <v>231</v>
      </c>
      <c r="O71" s="39">
        <f>IF(tblOT[[#This Row],[Week starting]]="","",IF(tblOT[[#This Row],[Base rate]]="","",(tblOT[[#This Row],[OT at rate 1 (h)]]*(Rate1-1)+tblOT[[#This Row],[OT at rate 2 (h)]]*(Rate2-1))*tblOT[[#This Row],[Base rate]]*(1+Burden)))</f>
        <v>77</v>
      </c>
      <c r="P71" s="42" t="str">
        <f>IF(tblOT[[#This Row],[Week starting]]="","",IF(OR(tblOT[[#This Row],[Overtime hours (h)]]&gt;OTLimit,tblOT[[#This Row],[Total hours (h)]]&gt;TotalLimit),"Out of limits","Within limits"))</f>
        <v>Within limits</v>
      </c>
      <c r="Q71" s="43">
        <f>IF(tblOT[[#This Row],[Week starting]]="","",IF(AND(tblOT[[#This Row],[Week starting]]&gt;=FFrom,tblOT[[#This Row],[Week starting]]&lt;=FTo,OR(DashDept="",tblOT[[#This Row],[Department]]=DashDept)),tblOT[[#This Row],[Week starting]],""))</f>
        <v>46265</v>
      </c>
      <c r="R7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1" s="28" t="s">
        <v>144</v>
      </c>
    </row>
    <row r="72" spans="2:19" x14ac:dyDescent="0.25">
      <c r="B72" s="37">
        <v>46265</v>
      </c>
      <c r="C72" s="28" t="s">
        <v>100</v>
      </c>
      <c r="D72" s="29">
        <v>40</v>
      </c>
      <c r="E72" s="29">
        <v>3</v>
      </c>
      <c r="F72" s="29">
        <v>0</v>
      </c>
      <c r="G72" s="28" t="s">
        <v>116</v>
      </c>
      <c r="H72" s="28" t="s">
        <v>145</v>
      </c>
      <c r="I72" s="38" t="str">
        <f>IF(tblOT[[#This Row],[Week starting]]="","",IFERROR(INDEX(tblEmployees[Department],MATCH(tblOT[[#This Row],[Employee]],tblEmployees[Employee],0)),""))</f>
        <v>Processing</v>
      </c>
      <c r="J72" s="39">
        <f>IF(tblOT[[#This Row],[Week starting]]="","",IFERROR(INDEX(tblEmployees[Base rate],MATCH(tblOT[[#This Row],[Employee]],tblEmployees[Employee],0)),""))</f>
        <v>28.25</v>
      </c>
      <c r="K72" s="40">
        <f>IF(tblOT[[#This Row],[Week starting]]="","",tblOT[[#This Row],[OT at rate 1 (h)]]+tblOT[[#This Row],[OT at rate 2 (h)]])</f>
        <v>3</v>
      </c>
      <c r="L72" s="40">
        <f>IF(tblOT[[#This Row],[Week starting]]="","",tblOT[[#This Row],[Regular hours (h)]]+tblOT[[#This Row],[Overtime hours (h)]])</f>
        <v>43</v>
      </c>
      <c r="M72" s="41">
        <f>IF(tblOT[[#This Row],[Week starting]]="","",IF(tblOT[[#This Row],[Total hours (h)]]&gt;0,tblOT[[#This Row],[Overtime hours (h)]]/tblOT[[#This Row],[Total hours (h)]],""))</f>
        <v>0.0697674418604651</v>
      </c>
      <c r="N72" s="39">
        <f>IF(tblOT[[#This Row],[Week starting]]="","",IF(tblOT[[#This Row],[Base rate]]="","",(tblOT[[#This Row],[OT at rate 1 (h)]]*Rate1+tblOT[[#This Row],[OT at rate 2 (h)]]*Rate2)*tblOT[[#This Row],[Base rate]]*(1+Burden)))</f>
        <v>142.38</v>
      </c>
      <c r="O72" s="39">
        <f>IF(tblOT[[#This Row],[Week starting]]="","",IF(tblOT[[#This Row],[Base rate]]="","",(tblOT[[#This Row],[OT at rate 1 (h)]]*(Rate1-1)+tblOT[[#This Row],[OT at rate 2 (h)]]*(Rate2-1))*tblOT[[#This Row],[Base rate]]*(1+Burden)))</f>
        <v>47.46</v>
      </c>
      <c r="P72" s="42" t="str">
        <f>IF(tblOT[[#This Row],[Week starting]]="","",IF(OR(tblOT[[#This Row],[Overtime hours (h)]]&gt;OTLimit,tblOT[[#This Row],[Total hours (h)]]&gt;TotalLimit),"Out of limits","Within limits"))</f>
        <v>Within limits</v>
      </c>
      <c r="Q72" s="43">
        <f>IF(tblOT[[#This Row],[Week starting]]="","",IF(AND(tblOT[[#This Row],[Week starting]]&gt;=FFrom,tblOT[[#This Row],[Week starting]]&lt;=FTo,OR(DashDept="",tblOT[[#This Row],[Department]]=DashDept)),tblOT[[#This Row],[Week starting]],""))</f>
        <v>46265</v>
      </c>
      <c r="R7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2" s="28" t="s">
        <v>144</v>
      </c>
    </row>
    <row r="73" spans="2:19" x14ac:dyDescent="0.25">
      <c r="B73" s="37">
        <v>46265</v>
      </c>
      <c r="C73" s="28" t="s">
        <v>101</v>
      </c>
      <c r="D73" s="29">
        <v>40</v>
      </c>
      <c r="E73" s="29">
        <v>0</v>
      </c>
      <c r="F73" s="29">
        <v>0</v>
      </c>
      <c r="G73" s="28" t="s">
        <v>144</v>
      </c>
      <c r="H73" s="28" t="s">
        <v>144</v>
      </c>
      <c r="I73" s="38" t="str">
        <f>IF(tblOT[[#This Row],[Week starting]]="","",IFERROR(INDEX(tblEmployees[Department],MATCH(tblOT[[#This Row],[Employee]],tblEmployees[Employee],0)),""))</f>
        <v>Processing</v>
      </c>
      <c r="J73" s="39">
        <f>IF(tblOT[[#This Row],[Week starting]]="","",IFERROR(INDEX(tblEmployees[Base rate],MATCH(tblOT[[#This Row],[Employee]],tblEmployees[Employee],0)),""))</f>
        <v>26.75</v>
      </c>
      <c r="K73" s="40">
        <f>IF(tblOT[[#This Row],[Week starting]]="","",tblOT[[#This Row],[OT at rate 1 (h)]]+tblOT[[#This Row],[OT at rate 2 (h)]])</f>
        <v>0</v>
      </c>
      <c r="L73" s="40">
        <f>IF(tblOT[[#This Row],[Week starting]]="","",tblOT[[#This Row],[Regular hours (h)]]+tblOT[[#This Row],[Overtime hours (h)]])</f>
        <v>40</v>
      </c>
      <c r="M73" s="41">
        <f>IF(tblOT[[#This Row],[Week starting]]="","",IF(tblOT[[#This Row],[Total hours (h)]]&gt;0,tblOT[[#This Row],[Overtime hours (h)]]/tblOT[[#This Row],[Total hours (h)]],""))</f>
        <v>0</v>
      </c>
      <c r="N73" s="39">
        <f>IF(tblOT[[#This Row],[Week starting]]="","",IF(tblOT[[#This Row],[Base rate]]="","",(tblOT[[#This Row],[OT at rate 1 (h)]]*Rate1+tblOT[[#This Row],[OT at rate 2 (h)]]*Rate2)*tblOT[[#This Row],[Base rate]]*(1+Burden)))</f>
        <v>0</v>
      </c>
      <c r="O73" s="39">
        <f>IF(tblOT[[#This Row],[Week starting]]="","",IF(tblOT[[#This Row],[Base rate]]="","",(tblOT[[#This Row],[OT at rate 1 (h)]]*(Rate1-1)+tblOT[[#This Row],[OT at rate 2 (h)]]*(Rate2-1))*tblOT[[#This Row],[Base rate]]*(1+Burden)))</f>
        <v>0</v>
      </c>
      <c r="P73" s="42" t="str">
        <f>IF(tblOT[[#This Row],[Week starting]]="","",IF(OR(tblOT[[#This Row],[Overtime hours (h)]]&gt;OTLimit,tblOT[[#This Row],[Total hours (h)]]&gt;TotalLimit),"Out of limits","Within limits"))</f>
        <v>Within limits</v>
      </c>
      <c r="Q73" s="43">
        <f>IF(tblOT[[#This Row],[Week starting]]="","",IF(AND(tblOT[[#This Row],[Week starting]]&gt;=FFrom,tblOT[[#This Row],[Week starting]]&lt;=FTo,OR(DashDept="",tblOT[[#This Row],[Department]]=DashDept)),tblOT[[#This Row],[Week starting]],""))</f>
        <v>46265</v>
      </c>
      <c r="R7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3" s="28" t="s">
        <v>144</v>
      </c>
    </row>
    <row r="74" spans="2:19" x14ac:dyDescent="0.25">
      <c r="B74" s="37">
        <v>46265</v>
      </c>
      <c r="C74" s="28" t="s">
        <v>102</v>
      </c>
      <c r="D74" s="29">
        <v>40</v>
      </c>
      <c r="E74" s="29">
        <v>0</v>
      </c>
      <c r="F74" s="29">
        <v>0</v>
      </c>
      <c r="G74" s="28" t="s">
        <v>144</v>
      </c>
      <c r="H74" s="28" t="s">
        <v>144</v>
      </c>
      <c r="I74" s="38" t="str">
        <f>IF(tblOT[[#This Row],[Week starting]]="","",IFERROR(INDEX(tblEmployees[Department],MATCH(tblOT[[#This Row],[Employee]],tblEmployees[Employee],0)),""))</f>
        <v>Processing</v>
      </c>
      <c r="J74" s="39">
        <f>IF(tblOT[[#This Row],[Week starting]]="","",IFERROR(INDEX(tblEmployees[Base rate],MATCH(tblOT[[#This Row],[Employee]],tblEmployees[Employee],0)),""))</f>
        <v>27</v>
      </c>
      <c r="K74" s="40">
        <f>IF(tblOT[[#This Row],[Week starting]]="","",tblOT[[#This Row],[OT at rate 1 (h)]]+tblOT[[#This Row],[OT at rate 2 (h)]])</f>
        <v>0</v>
      </c>
      <c r="L74" s="40">
        <f>IF(tblOT[[#This Row],[Week starting]]="","",tblOT[[#This Row],[Regular hours (h)]]+tblOT[[#This Row],[Overtime hours (h)]])</f>
        <v>40</v>
      </c>
      <c r="M74" s="41">
        <f>IF(tblOT[[#This Row],[Week starting]]="","",IF(tblOT[[#This Row],[Total hours (h)]]&gt;0,tblOT[[#This Row],[Overtime hours (h)]]/tblOT[[#This Row],[Total hours (h)]],""))</f>
        <v>0</v>
      </c>
      <c r="N74" s="39">
        <f>IF(tblOT[[#This Row],[Week starting]]="","",IF(tblOT[[#This Row],[Base rate]]="","",(tblOT[[#This Row],[OT at rate 1 (h)]]*Rate1+tblOT[[#This Row],[OT at rate 2 (h)]]*Rate2)*tblOT[[#This Row],[Base rate]]*(1+Burden)))</f>
        <v>0</v>
      </c>
      <c r="O74" s="39">
        <f>IF(tblOT[[#This Row],[Week starting]]="","",IF(tblOT[[#This Row],[Base rate]]="","",(tblOT[[#This Row],[OT at rate 1 (h)]]*(Rate1-1)+tblOT[[#This Row],[OT at rate 2 (h)]]*(Rate2-1))*tblOT[[#This Row],[Base rate]]*(1+Burden)))</f>
        <v>0</v>
      </c>
      <c r="P74" s="42" t="str">
        <f>IF(tblOT[[#This Row],[Week starting]]="","",IF(OR(tblOT[[#This Row],[Overtime hours (h)]]&gt;OTLimit,tblOT[[#This Row],[Total hours (h)]]&gt;TotalLimit),"Out of limits","Within limits"))</f>
        <v>Within limits</v>
      </c>
      <c r="Q74" s="43">
        <f>IF(tblOT[[#This Row],[Week starting]]="","",IF(AND(tblOT[[#This Row],[Week starting]]&gt;=FFrom,tblOT[[#This Row],[Week starting]]&lt;=FTo,OR(DashDept="",tblOT[[#This Row],[Department]]=DashDept)),tblOT[[#This Row],[Week starting]],""))</f>
        <v>46265</v>
      </c>
      <c r="R7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4" s="28" t="s">
        <v>144</v>
      </c>
    </row>
    <row r="75" spans="2:19" x14ac:dyDescent="0.25">
      <c r="B75" s="37">
        <v>46265</v>
      </c>
      <c r="C75" s="28" t="s">
        <v>103</v>
      </c>
      <c r="D75" s="29">
        <v>40</v>
      </c>
      <c r="E75" s="29">
        <v>14</v>
      </c>
      <c r="F75" s="29">
        <v>0</v>
      </c>
      <c r="G75" s="28" t="s">
        <v>118</v>
      </c>
      <c r="H75" s="28" t="s">
        <v>145</v>
      </c>
      <c r="I75" s="38" t="str">
        <f>IF(tblOT[[#This Row],[Week starting]]="","",IFERROR(INDEX(tblEmployees[Department],MATCH(tblOT[[#This Row],[Employee]],tblEmployees[Employee],0)),""))</f>
        <v>Packaging</v>
      </c>
      <c r="J75" s="39">
        <f>IF(tblOT[[#This Row],[Week starting]]="","",IFERROR(INDEX(tblEmployees[Base rate],MATCH(tblOT[[#This Row],[Employee]],tblEmployees[Employee],0)),""))</f>
        <v>25.5</v>
      </c>
      <c r="K75" s="40">
        <f>IF(tblOT[[#This Row],[Week starting]]="","",tblOT[[#This Row],[OT at rate 1 (h)]]+tblOT[[#This Row],[OT at rate 2 (h)]])</f>
        <v>14</v>
      </c>
      <c r="L75" s="40">
        <f>IF(tblOT[[#This Row],[Week starting]]="","",tblOT[[#This Row],[Regular hours (h)]]+tblOT[[#This Row],[Overtime hours (h)]])</f>
        <v>54</v>
      </c>
      <c r="M75" s="41">
        <f>IF(tblOT[[#This Row],[Week starting]]="","",IF(tblOT[[#This Row],[Total hours (h)]]&gt;0,tblOT[[#This Row],[Overtime hours (h)]]/tblOT[[#This Row],[Total hours (h)]],""))</f>
        <v>0.259259259259259</v>
      </c>
      <c r="N75" s="39">
        <f>IF(tblOT[[#This Row],[Week starting]]="","",IF(tblOT[[#This Row],[Base rate]]="","",(tblOT[[#This Row],[OT at rate 1 (h)]]*Rate1+tblOT[[#This Row],[OT at rate 2 (h)]]*Rate2)*tblOT[[#This Row],[Base rate]]*(1+Burden)))</f>
        <v>599.76</v>
      </c>
      <c r="O75" s="39">
        <f>IF(tblOT[[#This Row],[Week starting]]="","",IF(tblOT[[#This Row],[Base rate]]="","",(tblOT[[#This Row],[OT at rate 1 (h)]]*(Rate1-1)+tblOT[[#This Row],[OT at rate 2 (h)]]*(Rate2-1))*tblOT[[#This Row],[Base rate]]*(1+Burden)))</f>
        <v>199.92</v>
      </c>
      <c r="P75" s="42" t="str">
        <f>IF(tblOT[[#This Row],[Week starting]]="","",IF(OR(tblOT[[#This Row],[Overtime hours (h)]]&gt;OTLimit,tblOT[[#This Row],[Total hours (h)]]&gt;TotalLimit),"Out of limits","Within limits"))</f>
        <v>Out of limits</v>
      </c>
      <c r="Q75" s="43">
        <f>IF(tblOT[[#This Row],[Week starting]]="","",IF(AND(tblOT[[#This Row],[Week starting]]&gt;=FFrom,tblOT[[#This Row],[Week starting]]&lt;=FTo,OR(DashDept="",tblOT[[#This Row],[Department]]=DashDept)),tblOT[[#This Row],[Week starting]],""))</f>
        <v>46265</v>
      </c>
      <c r="R7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5" s="28" t="s">
        <v>144</v>
      </c>
    </row>
    <row r="76" spans="2:19" x14ac:dyDescent="0.25">
      <c r="B76" s="37">
        <v>46265</v>
      </c>
      <c r="C76" s="28" t="s">
        <v>104</v>
      </c>
      <c r="D76" s="29">
        <v>40</v>
      </c>
      <c r="E76" s="29">
        <v>9.5</v>
      </c>
      <c r="F76" s="29">
        <v>0</v>
      </c>
      <c r="G76" s="28" t="s">
        <v>118</v>
      </c>
      <c r="H76" s="28" t="s">
        <v>145</v>
      </c>
      <c r="I76" s="38" t="str">
        <f>IF(tblOT[[#This Row],[Week starting]]="","",IFERROR(INDEX(tblEmployees[Department],MATCH(tblOT[[#This Row],[Employee]],tblEmployees[Employee],0)),""))</f>
        <v>Packaging</v>
      </c>
      <c r="J76" s="39">
        <f>IF(tblOT[[#This Row],[Week starting]]="","",IFERROR(INDEX(tblEmployees[Base rate],MATCH(tblOT[[#This Row],[Employee]],tblEmployees[Employee],0)),""))</f>
        <v>24.75</v>
      </c>
      <c r="K76" s="40">
        <f>IF(tblOT[[#This Row],[Week starting]]="","",tblOT[[#This Row],[OT at rate 1 (h)]]+tblOT[[#This Row],[OT at rate 2 (h)]])</f>
        <v>9.5</v>
      </c>
      <c r="L76" s="40">
        <f>IF(tblOT[[#This Row],[Week starting]]="","",tblOT[[#This Row],[Regular hours (h)]]+tblOT[[#This Row],[Overtime hours (h)]])</f>
        <v>49.5</v>
      </c>
      <c r="M76" s="41">
        <f>IF(tblOT[[#This Row],[Week starting]]="","",IF(tblOT[[#This Row],[Total hours (h)]]&gt;0,tblOT[[#This Row],[Overtime hours (h)]]/tblOT[[#This Row],[Total hours (h)]],""))</f>
        <v>0.191919191919192</v>
      </c>
      <c r="N76" s="39">
        <f>IF(tblOT[[#This Row],[Week starting]]="","",IF(tblOT[[#This Row],[Base rate]]="","",(tblOT[[#This Row],[OT at rate 1 (h)]]*Rate1+tblOT[[#This Row],[OT at rate 2 (h)]]*Rate2)*tblOT[[#This Row],[Base rate]]*(1+Burden)))</f>
        <v>395.01</v>
      </c>
      <c r="O76" s="39">
        <f>IF(tblOT[[#This Row],[Week starting]]="","",IF(tblOT[[#This Row],[Base rate]]="","",(tblOT[[#This Row],[OT at rate 1 (h)]]*(Rate1-1)+tblOT[[#This Row],[OT at rate 2 (h)]]*(Rate2-1))*tblOT[[#This Row],[Base rate]]*(1+Burden)))</f>
        <v>131.67</v>
      </c>
      <c r="P76" s="42" t="str">
        <f>IF(tblOT[[#This Row],[Week starting]]="","",IF(OR(tblOT[[#This Row],[Overtime hours (h)]]&gt;OTLimit,tblOT[[#This Row],[Total hours (h)]]&gt;TotalLimit),"Out of limits","Within limits"))</f>
        <v>Within limits</v>
      </c>
      <c r="Q76" s="43">
        <f>IF(tblOT[[#This Row],[Week starting]]="","",IF(AND(tblOT[[#This Row],[Week starting]]&gt;=FFrom,tblOT[[#This Row],[Week starting]]&lt;=FTo,OR(DashDept="",tblOT[[#This Row],[Department]]=DashDept)),tblOT[[#This Row],[Week starting]],""))</f>
        <v>46265</v>
      </c>
      <c r="R7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6" s="28" t="s">
        <v>144</v>
      </c>
    </row>
    <row r="77" spans="2:19" x14ac:dyDescent="0.25">
      <c r="B77" s="37">
        <v>46265</v>
      </c>
      <c r="C77" s="28" t="s">
        <v>105</v>
      </c>
      <c r="D77" s="29">
        <v>40</v>
      </c>
      <c r="E77" s="29">
        <v>14</v>
      </c>
      <c r="F77" s="29">
        <v>0</v>
      </c>
      <c r="G77" s="28" t="s">
        <v>118</v>
      </c>
      <c r="H77" s="28" t="s">
        <v>145</v>
      </c>
      <c r="I77" s="38" t="str">
        <f>IF(tblOT[[#This Row],[Week starting]]="","",IFERROR(INDEX(tblEmployees[Department],MATCH(tblOT[[#This Row],[Employee]],tblEmployees[Employee],0)),""))</f>
        <v>Packaging</v>
      </c>
      <c r="J77" s="39">
        <f>IF(tblOT[[#This Row],[Week starting]]="","",IFERROR(INDEX(tblEmployees[Base rate],MATCH(tblOT[[#This Row],[Employee]],tblEmployees[Employee],0)),""))</f>
        <v>25</v>
      </c>
      <c r="K77" s="40">
        <f>IF(tblOT[[#This Row],[Week starting]]="","",tblOT[[#This Row],[OT at rate 1 (h)]]+tblOT[[#This Row],[OT at rate 2 (h)]])</f>
        <v>14</v>
      </c>
      <c r="L77" s="40">
        <f>IF(tblOT[[#This Row],[Week starting]]="","",tblOT[[#This Row],[Regular hours (h)]]+tblOT[[#This Row],[Overtime hours (h)]])</f>
        <v>54</v>
      </c>
      <c r="M77" s="41">
        <f>IF(tblOT[[#This Row],[Week starting]]="","",IF(tblOT[[#This Row],[Total hours (h)]]&gt;0,tblOT[[#This Row],[Overtime hours (h)]]/tblOT[[#This Row],[Total hours (h)]],""))</f>
        <v>0.259259259259259</v>
      </c>
      <c r="N77" s="39">
        <f>IF(tblOT[[#This Row],[Week starting]]="","",IF(tblOT[[#This Row],[Base rate]]="","",(tblOT[[#This Row],[OT at rate 1 (h)]]*Rate1+tblOT[[#This Row],[OT at rate 2 (h)]]*Rate2)*tblOT[[#This Row],[Base rate]]*(1+Burden)))</f>
        <v>588</v>
      </c>
      <c r="O77" s="39">
        <f>IF(tblOT[[#This Row],[Week starting]]="","",IF(tblOT[[#This Row],[Base rate]]="","",(tblOT[[#This Row],[OT at rate 1 (h)]]*(Rate1-1)+tblOT[[#This Row],[OT at rate 2 (h)]]*(Rate2-1))*tblOT[[#This Row],[Base rate]]*(1+Burden)))</f>
        <v>196</v>
      </c>
      <c r="P77" s="42" t="str">
        <f>IF(tblOT[[#This Row],[Week starting]]="","",IF(OR(tblOT[[#This Row],[Overtime hours (h)]]&gt;OTLimit,tblOT[[#This Row],[Total hours (h)]]&gt;TotalLimit),"Out of limits","Within limits"))</f>
        <v>Out of limits</v>
      </c>
      <c r="Q77" s="43">
        <f>IF(tblOT[[#This Row],[Week starting]]="","",IF(AND(tblOT[[#This Row],[Week starting]]&gt;=FFrom,tblOT[[#This Row],[Week starting]]&lt;=FTo,OR(DashDept="",tblOT[[#This Row],[Department]]=DashDept)),tblOT[[#This Row],[Week starting]],""))</f>
        <v>46265</v>
      </c>
      <c r="R7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7" s="28" t="s">
        <v>144</v>
      </c>
    </row>
    <row r="78" spans="2:19" x14ac:dyDescent="0.25">
      <c r="B78" s="37">
        <v>46265</v>
      </c>
      <c r="C78" s="28" t="s">
        <v>106</v>
      </c>
      <c r="D78" s="29">
        <v>40</v>
      </c>
      <c r="E78" s="29">
        <v>11.5</v>
      </c>
      <c r="F78" s="29">
        <v>0</v>
      </c>
      <c r="G78" s="28" t="s">
        <v>118</v>
      </c>
      <c r="H78" s="28" t="s">
        <v>145</v>
      </c>
      <c r="I78" s="38" t="str">
        <f>IF(tblOT[[#This Row],[Week starting]]="","",IFERROR(INDEX(tblEmployees[Department],MATCH(tblOT[[#This Row],[Employee]],tblEmployees[Employee],0)),""))</f>
        <v>Packaging</v>
      </c>
      <c r="J78" s="39">
        <f>IF(tblOT[[#This Row],[Week starting]]="","",IFERROR(INDEX(tblEmployees[Base rate],MATCH(tblOT[[#This Row],[Employee]],tblEmployees[Employee],0)),""))</f>
        <v>24.5</v>
      </c>
      <c r="K78" s="40">
        <f>IF(tblOT[[#This Row],[Week starting]]="","",tblOT[[#This Row],[OT at rate 1 (h)]]+tblOT[[#This Row],[OT at rate 2 (h)]])</f>
        <v>11.5</v>
      </c>
      <c r="L78" s="40">
        <f>IF(tblOT[[#This Row],[Week starting]]="","",tblOT[[#This Row],[Regular hours (h)]]+tblOT[[#This Row],[Overtime hours (h)]])</f>
        <v>51.5</v>
      </c>
      <c r="M78" s="41">
        <f>IF(tblOT[[#This Row],[Week starting]]="","",IF(tblOT[[#This Row],[Total hours (h)]]&gt;0,tblOT[[#This Row],[Overtime hours (h)]]/tblOT[[#This Row],[Total hours (h)]],""))</f>
        <v>0.223300970873786</v>
      </c>
      <c r="N78" s="39">
        <f>IF(tblOT[[#This Row],[Week starting]]="","",IF(tblOT[[#This Row],[Base rate]]="","",(tblOT[[#This Row],[OT at rate 1 (h)]]*Rate1+tblOT[[#This Row],[OT at rate 2 (h)]]*Rate2)*tblOT[[#This Row],[Base rate]]*(1+Burden)))</f>
        <v>473.34</v>
      </c>
      <c r="O78" s="39">
        <f>IF(tblOT[[#This Row],[Week starting]]="","",IF(tblOT[[#This Row],[Base rate]]="","",(tblOT[[#This Row],[OT at rate 1 (h)]]*(Rate1-1)+tblOT[[#This Row],[OT at rate 2 (h)]]*(Rate2-1))*tblOT[[#This Row],[Base rate]]*(1+Burden)))</f>
        <v>157.78</v>
      </c>
      <c r="P78" s="42" t="str">
        <f>IF(tblOT[[#This Row],[Week starting]]="","",IF(OR(tblOT[[#This Row],[Overtime hours (h)]]&gt;OTLimit,tblOT[[#This Row],[Total hours (h)]]&gt;TotalLimit),"Out of limits","Within limits"))</f>
        <v>Within limits</v>
      </c>
      <c r="Q78" s="43">
        <f>IF(tblOT[[#This Row],[Week starting]]="","",IF(AND(tblOT[[#This Row],[Week starting]]&gt;=FFrom,tblOT[[#This Row],[Week starting]]&lt;=FTo,OR(DashDept="",tblOT[[#This Row],[Department]]=DashDept)),tblOT[[#This Row],[Week starting]],""))</f>
        <v>46265</v>
      </c>
      <c r="R7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8" s="28" t="s">
        <v>144</v>
      </c>
    </row>
    <row r="79" spans="2:19" x14ac:dyDescent="0.25">
      <c r="B79" s="37">
        <v>46265</v>
      </c>
      <c r="C79" s="28" t="s">
        <v>107</v>
      </c>
      <c r="D79" s="29">
        <v>40</v>
      </c>
      <c r="E79" s="29">
        <v>3</v>
      </c>
      <c r="F79" s="29">
        <v>0</v>
      </c>
      <c r="G79" s="28" t="s">
        <v>120</v>
      </c>
      <c r="H79" s="28" t="s">
        <v>146</v>
      </c>
      <c r="I79" s="38" t="str">
        <f>IF(tblOT[[#This Row],[Week starting]]="","",IFERROR(INDEX(tblEmployees[Department],MATCH(tblOT[[#This Row],[Employee]],tblEmployees[Employee],0)),""))</f>
        <v>Sanitation</v>
      </c>
      <c r="J79" s="39">
        <f>IF(tblOT[[#This Row],[Week starting]]="","",IFERROR(INDEX(tblEmployees[Base rate],MATCH(tblOT[[#This Row],[Employee]],tblEmployees[Employee],0)),""))</f>
        <v>24</v>
      </c>
      <c r="K79" s="40">
        <f>IF(tblOT[[#This Row],[Week starting]]="","",tblOT[[#This Row],[OT at rate 1 (h)]]+tblOT[[#This Row],[OT at rate 2 (h)]])</f>
        <v>3</v>
      </c>
      <c r="L79" s="40">
        <f>IF(tblOT[[#This Row],[Week starting]]="","",tblOT[[#This Row],[Regular hours (h)]]+tblOT[[#This Row],[Overtime hours (h)]])</f>
        <v>43</v>
      </c>
      <c r="M79" s="41">
        <f>IF(tblOT[[#This Row],[Week starting]]="","",IF(tblOT[[#This Row],[Total hours (h)]]&gt;0,tblOT[[#This Row],[Overtime hours (h)]]/tblOT[[#This Row],[Total hours (h)]],""))</f>
        <v>0.0697674418604651</v>
      </c>
      <c r="N79" s="39">
        <f>IF(tblOT[[#This Row],[Week starting]]="","",IF(tblOT[[#This Row],[Base rate]]="","",(tblOT[[#This Row],[OT at rate 1 (h)]]*Rate1+tblOT[[#This Row],[OT at rate 2 (h)]]*Rate2)*tblOT[[#This Row],[Base rate]]*(1+Burden)))</f>
        <v>120.96</v>
      </c>
      <c r="O79" s="39">
        <f>IF(tblOT[[#This Row],[Week starting]]="","",IF(tblOT[[#This Row],[Base rate]]="","",(tblOT[[#This Row],[OT at rate 1 (h)]]*(Rate1-1)+tblOT[[#This Row],[OT at rate 2 (h)]]*(Rate2-1))*tblOT[[#This Row],[Base rate]]*(1+Burden)))</f>
        <v>40.32</v>
      </c>
      <c r="P79" s="42" t="str">
        <f>IF(tblOT[[#This Row],[Week starting]]="","",IF(OR(tblOT[[#This Row],[Overtime hours (h)]]&gt;OTLimit,tblOT[[#This Row],[Total hours (h)]]&gt;TotalLimit),"Out of limits","Within limits"))</f>
        <v>Within limits</v>
      </c>
      <c r="Q79" s="43">
        <f>IF(tblOT[[#This Row],[Week starting]]="","",IF(AND(tblOT[[#This Row],[Week starting]]&gt;=FFrom,tblOT[[#This Row],[Week starting]]&lt;=FTo,OR(DashDept="",tblOT[[#This Row],[Department]]=DashDept)),tblOT[[#This Row],[Week starting]],""))</f>
        <v>46265</v>
      </c>
      <c r="R7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79" s="28" t="s">
        <v>144</v>
      </c>
    </row>
    <row r="80" spans="2:19" x14ac:dyDescent="0.25">
      <c r="B80" s="37">
        <v>46265</v>
      </c>
      <c r="C80" s="28" t="s">
        <v>108</v>
      </c>
      <c r="D80" s="29">
        <v>40</v>
      </c>
      <c r="E80" s="29">
        <v>0</v>
      </c>
      <c r="F80" s="29">
        <v>0</v>
      </c>
      <c r="G80" s="28" t="s">
        <v>144</v>
      </c>
      <c r="H80" s="28" t="s">
        <v>144</v>
      </c>
      <c r="I80" s="38" t="str">
        <f>IF(tblOT[[#This Row],[Week starting]]="","",IFERROR(INDEX(tblEmployees[Department],MATCH(tblOT[[#This Row],[Employee]],tblEmployees[Employee],0)),""))</f>
        <v>Sanitation</v>
      </c>
      <c r="J80" s="39">
        <f>IF(tblOT[[#This Row],[Week starting]]="","",IFERROR(INDEX(tblEmployees[Base rate],MATCH(tblOT[[#This Row],[Employee]],tblEmployees[Employee],0)),""))</f>
        <v>23.75</v>
      </c>
      <c r="K80" s="40">
        <f>IF(tblOT[[#This Row],[Week starting]]="","",tblOT[[#This Row],[OT at rate 1 (h)]]+tblOT[[#This Row],[OT at rate 2 (h)]])</f>
        <v>0</v>
      </c>
      <c r="L80" s="40">
        <f>IF(tblOT[[#This Row],[Week starting]]="","",tblOT[[#This Row],[Regular hours (h)]]+tblOT[[#This Row],[Overtime hours (h)]])</f>
        <v>40</v>
      </c>
      <c r="M80" s="41">
        <f>IF(tblOT[[#This Row],[Week starting]]="","",IF(tblOT[[#This Row],[Total hours (h)]]&gt;0,tblOT[[#This Row],[Overtime hours (h)]]/tblOT[[#This Row],[Total hours (h)]],""))</f>
        <v>0</v>
      </c>
      <c r="N80" s="39">
        <f>IF(tblOT[[#This Row],[Week starting]]="","",IF(tblOT[[#This Row],[Base rate]]="","",(tblOT[[#This Row],[OT at rate 1 (h)]]*Rate1+tblOT[[#This Row],[OT at rate 2 (h)]]*Rate2)*tblOT[[#This Row],[Base rate]]*(1+Burden)))</f>
        <v>0</v>
      </c>
      <c r="O80" s="39">
        <f>IF(tblOT[[#This Row],[Week starting]]="","",IF(tblOT[[#This Row],[Base rate]]="","",(tblOT[[#This Row],[OT at rate 1 (h)]]*(Rate1-1)+tblOT[[#This Row],[OT at rate 2 (h)]]*(Rate2-1))*tblOT[[#This Row],[Base rate]]*(1+Burden)))</f>
        <v>0</v>
      </c>
      <c r="P80" s="42" t="str">
        <f>IF(tblOT[[#This Row],[Week starting]]="","",IF(OR(tblOT[[#This Row],[Overtime hours (h)]]&gt;OTLimit,tblOT[[#This Row],[Total hours (h)]]&gt;TotalLimit),"Out of limits","Within limits"))</f>
        <v>Within limits</v>
      </c>
      <c r="Q80" s="43">
        <f>IF(tblOT[[#This Row],[Week starting]]="","",IF(AND(tblOT[[#This Row],[Week starting]]&gt;=FFrom,tblOT[[#This Row],[Week starting]]&lt;=FTo,OR(DashDept="",tblOT[[#This Row],[Department]]=DashDept)),tblOT[[#This Row],[Week starting]],""))</f>
        <v>46265</v>
      </c>
      <c r="R8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0" s="28" t="s">
        <v>144</v>
      </c>
    </row>
    <row r="81" spans="2:19" x14ac:dyDescent="0.25">
      <c r="B81" s="37">
        <v>46265</v>
      </c>
      <c r="C81" s="28" t="s">
        <v>109</v>
      </c>
      <c r="D81" s="29">
        <v>40</v>
      </c>
      <c r="E81" s="29">
        <v>0</v>
      </c>
      <c r="F81" s="29">
        <v>0</v>
      </c>
      <c r="G81" s="28" t="s">
        <v>144</v>
      </c>
      <c r="H81" s="28" t="s">
        <v>144</v>
      </c>
      <c r="I81" s="38" t="str">
        <f>IF(tblOT[[#This Row],[Week starting]]="","",IFERROR(INDEX(tblEmployees[Department],MATCH(tblOT[[#This Row],[Employee]],tblEmployees[Employee],0)),""))</f>
        <v>Sanitation</v>
      </c>
      <c r="J81" s="39">
        <f>IF(tblOT[[#This Row],[Week starting]]="","",IFERROR(INDEX(tblEmployees[Base rate],MATCH(tblOT[[#This Row],[Employee]],tblEmployees[Employee],0)),""))</f>
        <v>24.25</v>
      </c>
      <c r="K81" s="40">
        <f>IF(tblOT[[#This Row],[Week starting]]="","",tblOT[[#This Row],[OT at rate 1 (h)]]+tblOT[[#This Row],[OT at rate 2 (h)]])</f>
        <v>0</v>
      </c>
      <c r="L81" s="40">
        <f>IF(tblOT[[#This Row],[Week starting]]="","",tblOT[[#This Row],[Regular hours (h)]]+tblOT[[#This Row],[Overtime hours (h)]])</f>
        <v>40</v>
      </c>
      <c r="M81" s="41">
        <f>IF(tblOT[[#This Row],[Week starting]]="","",IF(tblOT[[#This Row],[Total hours (h)]]&gt;0,tblOT[[#This Row],[Overtime hours (h)]]/tblOT[[#This Row],[Total hours (h)]],""))</f>
        <v>0</v>
      </c>
      <c r="N81" s="39">
        <f>IF(tblOT[[#This Row],[Week starting]]="","",IF(tblOT[[#This Row],[Base rate]]="","",(tblOT[[#This Row],[OT at rate 1 (h)]]*Rate1+tblOT[[#This Row],[OT at rate 2 (h)]]*Rate2)*tblOT[[#This Row],[Base rate]]*(1+Burden)))</f>
        <v>0</v>
      </c>
      <c r="O81" s="39">
        <f>IF(tblOT[[#This Row],[Week starting]]="","",IF(tblOT[[#This Row],[Base rate]]="","",(tblOT[[#This Row],[OT at rate 1 (h)]]*(Rate1-1)+tblOT[[#This Row],[OT at rate 2 (h)]]*(Rate2-1))*tblOT[[#This Row],[Base rate]]*(1+Burden)))</f>
        <v>0</v>
      </c>
      <c r="P81" s="42" t="str">
        <f>IF(tblOT[[#This Row],[Week starting]]="","",IF(OR(tblOT[[#This Row],[Overtime hours (h)]]&gt;OTLimit,tblOT[[#This Row],[Total hours (h)]]&gt;TotalLimit),"Out of limits","Within limits"))</f>
        <v>Within limits</v>
      </c>
      <c r="Q81" s="43">
        <f>IF(tblOT[[#This Row],[Week starting]]="","",IF(AND(tblOT[[#This Row],[Week starting]]&gt;=FFrom,tblOT[[#This Row],[Week starting]]&lt;=FTo,OR(DashDept="",tblOT[[#This Row],[Department]]=DashDept)),tblOT[[#This Row],[Week starting]],""))</f>
        <v>46265</v>
      </c>
      <c r="R8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1" s="28" t="s">
        <v>144</v>
      </c>
    </row>
    <row r="82" spans="2:19" x14ac:dyDescent="0.25">
      <c r="B82" s="37">
        <v>46265</v>
      </c>
      <c r="C82" s="28" t="s">
        <v>110</v>
      </c>
      <c r="D82" s="29">
        <v>40</v>
      </c>
      <c r="E82" s="29">
        <v>2.5</v>
      </c>
      <c r="F82" s="29">
        <v>0</v>
      </c>
      <c r="G82" s="28" t="s">
        <v>124</v>
      </c>
      <c r="H82" s="28" t="s">
        <v>149</v>
      </c>
      <c r="I82" s="38" t="str">
        <f>IF(tblOT[[#This Row],[Week starting]]="","",IFERROR(INDEX(tblEmployees[Department],MATCH(tblOT[[#This Row],[Employee]],tblEmployees[Employee],0)),""))</f>
        <v>Maintenance</v>
      </c>
      <c r="J82" s="39">
        <f>IF(tblOT[[#This Row],[Week starting]]="","",IFERROR(INDEX(tblEmployees[Base rate],MATCH(tblOT[[#This Row],[Employee]],tblEmployees[Employee],0)),""))</f>
        <v>38.5</v>
      </c>
      <c r="K82" s="40">
        <f>IF(tblOT[[#This Row],[Week starting]]="","",tblOT[[#This Row],[OT at rate 1 (h)]]+tblOT[[#This Row],[OT at rate 2 (h)]])</f>
        <v>2.5</v>
      </c>
      <c r="L82" s="40">
        <f>IF(tblOT[[#This Row],[Week starting]]="","",tblOT[[#This Row],[Regular hours (h)]]+tblOT[[#This Row],[Overtime hours (h)]])</f>
        <v>42.5</v>
      </c>
      <c r="M82" s="41">
        <f>IF(tblOT[[#This Row],[Week starting]]="","",IF(tblOT[[#This Row],[Total hours (h)]]&gt;0,tblOT[[#This Row],[Overtime hours (h)]]/tblOT[[#This Row],[Total hours (h)]],""))</f>
        <v>0.0588235294117647</v>
      </c>
      <c r="N82" s="39">
        <f>IF(tblOT[[#This Row],[Week starting]]="","",IF(tblOT[[#This Row],[Base rate]]="","",(tblOT[[#This Row],[OT at rate 1 (h)]]*Rate1+tblOT[[#This Row],[OT at rate 2 (h)]]*Rate2)*tblOT[[#This Row],[Base rate]]*(1+Burden)))</f>
        <v>161.7</v>
      </c>
      <c r="O82" s="39">
        <f>IF(tblOT[[#This Row],[Week starting]]="","",IF(tblOT[[#This Row],[Base rate]]="","",(tblOT[[#This Row],[OT at rate 1 (h)]]*(Rate1-1)+tblOT[[#This Row],[OT at rate 2 (h)]]*(Rate2-1))*tblOT[[#This Row],[Base rate]]*(1+Burden)))</f>
        <v>53.9</v>
      </c>
      <c r="P82" s="42" t="str">
        <f>IF(tblOT[[#This Row],[Week starting]]="","",IF(OR(tblOT[[#This Row],[Overtime hours (h)]]&gt;OTLimit,tblOT[[#This Row],[Total hours (h)]]&gt;TotalLimit),"Out of limits","Within limits"))</f>
        <v>Within limits</v>
      </c>
      <c r="Q82" s="43">
        <f>IF(tblOT[[#This Row],[Week starting]]="","",IF(AND(tblOT[[#This Row],[Week starting]]&gt;=FFrom,tblOT[[#This Row],[Week starting]]&lt;=FTo,OR(DashDept="",tblOT[[#This Row],[Department]]=DashDept)),tblOT[[#This Row],[Week starting]],""))</f>
        <v>46265</v>
      </c>
      <c r="R8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2" s="28" t="s">
        <v>144</v>
      </c>
    </row>
    <row r="83" spans="2:19" x14ac:dyDescent="0.25">
      <c r="B83" s="37">
        <v>46265</v>
      </c>
      <c r="C83" s="28" t="s">
        <v>111</v>
      </c>
      <c r="D83" s="29">
        <v>40</v>
      </c>
      <c r="E83" s="29">
        <v>6</v>
      </c>
      <c r="F83" s="29">
        <v>0</v>
      </c>
      <c r="G83" s="28" t="s">
        <v>124</v>
      </c>
      <c r="H83" s="28" t="s">
        <v>149</v>
      </c>
      <c r="I83" s="38" t="str">
        <f>IF(tblOT[[#This Row],[Week starting]]="","",IFERROR(INDEX(tblEmployees[Department],MATCH(tblOT[[#This Row],[Employee]],tblEmployees[Employee],0)),""))</f>
        <v>Maintenance</v>
      </c>
      <c r="J83" s="39">
        <f>IF(tblOT[[#This Row],[Week starting]]="","",IFERROR(INDEX(tblEmployees[Base rate],MATCH(tblOT[[#This Row],[Employee]],tblEmployees[Employee],0)),""))</f>
        <v>37</v>
      </c>
      <c r="K83" s="40">
        <f>IF(tblOT[[#This Row],[Week starting]]="","",tblOT[[#This Row],[OT at rate 1 (h)]]+tblOT[[#This Row],[OT at rate 2 (h)]])</f>
        <v>6</v>
      </c>
      <c r="L83" s="40">
        <f>IF(tblOT[[#This Row],[Week starting]]="","",tblOT[[#This Row],[Regular hours (h)]]+tblOT[[#This Row],[Overtime hours (h)]])</f>
        <v>46</v>
      </c>
      <c r="M83" s="41">
        <f>IF(tblOT[[#This Row],[Week starting]]="","",IF(tblOT[[#This Row],[Total hours (h)]]&gt;0,tblOT[[#This Row],[Overtime hours (h)]]/tblOT[[#This Row],[Total hours (h)]],""))</f>
        <v>0.130434782608696</v>
      </c>
      <c r="N83" s="39">
        <f>IF(tblOT[[#This Row],[Week starting]]="","",IF(tblOT[[#This Row],[Base rate]]="","",(tblOT[[#This Row],[OT at rate 1 (h)]]*Rate1+tblOT[[#This Row],[OT at rate 2 (h)]]*Rate2)*tblOT[[#This Row],[Base rate]]*(1+Burden)))</f>
        <v>372.96</v>
      </c>
      <c r="O83" s="39">
        <f>IF(tblOT[[#This Row],[Week starting]]="","",IF(tblOT[[#This Row],[Base rate]]="","",(tblOT[[#This Row],[OT at rate 1 (h)]]*(Rate1-1)+tblOT[[#This Row],[OT at rate 2 (h)]]*(Rate2-1))*tblOT[[#This Row],[Base rate]]*(1+Burden)))</f>
        <v>124.32</v>
      </c>
      <c r="P83" s="42" t="str">
        <f>IF(tblOT[[#This Row],[Week starting]]="","",IF(OR(tblOT[[#This Row],[Overtime hours (h)]]&gt;OTLimit,tblOT[[#This Row],[Total hours (h)]]&gt;TotalLimit),"Out of limits","Within limits"))</f>
        <v>Within limits</v>
      </c>
      <c r="Q83" s="43">
        <f>IF(tblOT[[#This Row],[Week starting]]="","",IF(AND(tblOT[[#This Row],[Week starting]]&gt;=FFrom,tblOT[[#This Row],[Week starting]]&lt;=FTo,OR(DashDept="",tblOT[[#This Row],[Department]]=DashDept)),tblOT[[#This Row],[Week starting]],""))</f>
        <v>46265</v>
      </c>
      <c r="R8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3" s="28" t="s">
        <v>144</v>
      </c>
    </row>
    <row r="84" spans="2:19" x14ac:dyDescent="0.25">
      <c r="B84" s="37">
        <v>46265</v>
      </c>
      <c r="C84" s="28" t="s">
        <v>112</v>
      </c>
      <c r="D84" s="29">
        <v>40</v>
      </c>
      <c r="E84" s="29">
        <v>0</v>
      </c>
      <c r="F84" s="29">
        <v>0</v>
      </c>
      <c r="G84" s="28" t="s">
        <v>144</v>
      </c>
      <c r="H84" s="28" t="s">
        <v>144</v>
      </c>
      <c r="I84" s="38" t="str">
        <f>IF(tblOT[[#This Row],[Week starting]]="","",IFERROR(INDEX(tblEmployees[Department],MATCH(tblOT[[#This Row],[Employee]],tblEmployees[Employee],0)),""))</f>
        <v>Maintenance</v>
      </c>
      <c r="J84" s="39">
        <f>IF(tblOT[[#This Row],[Week starting]]="","",IFERROR(INDEX(tblEmployees[Base rate],MATCH(tblOT[[#This Row],[Employee]],tblEmployees[Employee],0)),""))</f>
        <v>36.25</v>
      </c>
      <c r="K84" s="40">
        <f>IF(tblOT[[#This Row],[Week starting]]="","",tblOT[[#This Row],[OT at rate 1 (h)]]+tblOT[[#This Row],[OT at rate 2 (h)]])</f>
        <v>0</v>
      </c>
      <c r="L84" s="40">
        <f>IF(tblOT[[#This Row],[Week starting]]="","",tblOT[[#This Row],[Regular hours (h)]]+tblOT[[#This Row],[Overtime hours (h)]])</f>
        <v>40</v>
      </c>
      <c r="M84" s="41">
        <f>IF(tblOT[[#This Row],[Week starting]]="","",IF(tblOT[[#This Row],[Total hours (h)]]&gt;0,tblOT[[#This Row],[Overtime hours (h)]]/tblOT[[#This Row],[Total hours (h)]],""))</f>
        <v>0</v>
      </c>
      <c r="N84" s="39">
        <f>IF(tblOT[[#This Row],[Week starting]]="","",IF(tblOT[[#This Row],[Base rate]]="","",(tblOT[[#This Row],[OT at rate 1 (h)]]*Rate1+tblOT[[#This Row],[OT at rate 2 (h)]]*Rate2)*tblOT[[#This Row],[Base rate]]*(1+Burden)))</f>
        <v>0</v>
      </c>
      <c r="O84" s="39">
        <f>IF(tblOT[[#This Row],[Week starting]]="","",IF(tblOT[[#This Row],[Base rate]]="","",(tblOT[[#This Row],[OT at rate 1 (h)]]*(Rate1-1)+tblOT[[#This Row],[OT at rate 2 (h)]]*(Rate2-1))*tblOT[[#This Row],[Base rate]]*(1+Burden)))</f>
        <v>0</v>
      </c>
      <c r="P84" s="42" t="str">
        <f>IF(tblOT[[#This Row],[Week starting]]="","",IF(OR(tblOT[[#This Row],[Overtime hours (h)]]&gt;OTLimit,tblOT[[#This Row],[Total hours (h)]]&gt;TotalLimit),"Out of limits","Within limits"))</f>
        <v>Within limits</v>
      </c>
      <c r="Q84" s="43">
        <f>IF(tblOT[[#This Row],[Week starting]]="","",IF(AND(tblOT[[#This Row],[Week starting]]&gt;=FFrom,tblOT[[#This Row],[Week starting]]&lt;=FTo,OR(DashDept="",tblOT[[#This Row],[Department]]=DashDept)),tblOT[[#This Row],[Week starting]],""))</f>
        <v>46265</v>
      </c>
      <c r="R8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4" s="28" t="s">
        <v>144</v>
      </c>
    </row>
    <row r="85" spans="2:19" x14ac:dyDescent="0.25">
      <c r="B85" s="37">
        <v>46265</v>
      </c>
      <c r="C85" s="28" t="s">
        <v>113</v>
      </c>
      <c r="D85" s="29">
        <v>40</v>
      </c>
      <c r="E85" s="29">
        <v>0</v>
      </c>
      <c r="F85" s="29">
        <v>0</v>
      </c>
      <c r="G85" s="28" t="s">
        <v>144</v>
      </c>
      <c r="H85" s="28" t="s">
        <v>144</v>
      </c>
      <c r="I85" s="38" t="str">
        <f>IF(tblOT[[#This Row],[Week starting]]="","",IFERROR(INDEX(tblEmployees[Department],MATCH(tblOT[[#This Row],[Employee]],tblEmployees[Employee],0)),""))</f>
        <v>Warehouse</v>
      </c>
      <c r="J85" s="39">
        <f>IF(tblOT[[#This Row],[Week starting]]="","",IFERROR(INDEX(tblEmployees[Base rate],MATCH(tblOT[[#This Row],[Employee]],tblEmployees[Employee],0)),""))</f>
        <v>26</v>
      </c>
      <c r="K85" s="40">
        <f>IF(tblOT[[#This Row],[Week starting]]="","",tblOT[[#This Row],[OT at rate 1 (h)]]+tblOT[[#This Row],[OT at rate 2 (h)]])</f>
        <v>0</v>
      </c>
      <c r="L85" s="40">
        <f>IF(tblOT[[#This Row],[Week starting]]="","",tblOT[[#This Row],[Regular hours (h)]]+tblOT[[#This Row],[Overtime hours (h)]])</f>
        <v>40</v>
      </c>
      <c r="M85" s="41">
        <f>IF(tblOT[[#This Row],[Week starting]]="","",IF(tblOT[[#This Row],[Total hours (h)]]&gt;0,tblOT[[#This Row],[Overtime hours (h)]]/tblOT[[#This Row],[Total hours (h)]],""))</f>
        <v>0</v>
      </c>
      <c r="N85" s="39">
        <f>IF(tblOT[[#This Row],[Week starting]]="","",IF(tblOT[[#This Row],[Base rate]]="","",(tblOT[[#This Row],[OT at rate 1 (h)]]*Rate1+tblOT[[#This Row],[OT at rate 2 (h)]]*Rate2)*tblOT[[#This Row],[Base rate]]*(1+Burden)))</f>
        <v>0</v>
      </c>
      <c r="O85" s="39">
        <f>IF(tblOT[[#This Row],[Week starting]]="","",IF(tblOT[[#This Row],[Base rate]]="","",(tblOT[[#This Row],[OT at rate 1 (h)]]*(Rate1-1)+tblOT[[#This Row],[OT at rate 2 (h)]]*(Rate2-1))*tblOT[[#This Row],[Base rate]]*(1+Burden)))</f>
        <v>0</v>
      </c>
      <c r="P85" s="42" t="str">
        <f>IF(tblOT[[#This Row],[Week starting]]="","",IF(OR(tblOT[[#This Row],[Overtime hours (h)]]&gt;OTLimit,tblOT[[#This Row],[Total hours (h)]]&gt;TotalLimit),"Out of limits","Within limits"))</f>
        <v>Within limits</v>
      </c>
      <c r="Q85" s="43">
        <f>IF(tblOT[[#This Row],[Week starting]]="","",IF(AND(tblOT[[#This Row],[Week starting]]&gt;=FFrom,tblOT[[#This Row],[Week starting]]&lt;=FTo,OR(DashDept="",tblOT[[#This Row],[Department]]=DashDept)),tblOT[[#This Row],[Week starting]],""))</f>
        <v>46265</v>
      </c>
      <c r="R8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5" s="28" t="s">
        <v>144</v>
      </c>
    </row>
    <row r="86" spans="2:19" x14ac:dyDescent="0.25">
      <c r="B86" s="37">
        <v>46265</v>
      </c>
      <c r="C86" s="28" t="s">
        <v>114</v>
      </c>
      <c r="D86" s="29">
        <v>40</v>
      </c>
      <c r="E86" s="29">
        <v>3</v>
      </c>
      <c r="F86" s="29">
        <v>0</v>
      </c>
      <c r="G86" s="28" t="s">
        <v>118</v>
      </c>
      <c r="H86" s="28" t="s">
        <v>146</v>
      </c>
      <c r="I86" s="38" t="str">
        <f>IF(tblOT[[#This Row],[Week starting]]="","",IFERROR(INDEX(tblEmployees[Department],MATCH(tblOT[[#This Row],[Employee]],tblEmployees[Employee],0)),""))</f>
        <v>Warehouse</v>
      </c>
      <c r="J86" s="39">
        <f>IF(tblOT[[#This Row],[Week starting]]="","",IFERROR(INDEX(tblEmployees[Base rate],MATCH(tblOT[[#This Row],[Employee]],tblEmployees[Employee],0)),""))</f>
        <v>25.75</v>
      </c>
      <c r="K86" s="40">
        <f>IF(tblOT[[#This Row],[Week starting]]="","",tblOT[[#This Row],[OT at rate 1 (h)]]+tblOT[[#This Row],[OT at rate 2 (h)]])</f>
        <v>3</v>
      </c>
      <c r="L86" s="40">
        <f>IF(tblOT[[#This Row],[Week starting]]="","",tblOT[[#This Row],[Regular hours (h)]]+tblOT[[#This Row],[Overtime hours (h)]])</f>
        <v>43</v>
      </c>
      <c r="M86" s="41">
        <f>IF(tblOT[[#This Row],[Week starting]]="","",IF(tblOT[[#This Row],[Total hours (h)]]&gt;0,tblOT[[#This Row],[Overtime hours (h)]]/tblOT[[#This Row],[Total hours (h)]],""))</f>
        <v>0.0697674418604651</v>
      </c>
      <c r="N86" s="39">
        <f>IF(tblOT[[#This Row],[Week starting]]="","",IF(tblOT[[#This Row],[Base rate]]="","",(tblOT[[#This Row],[OT at rate 1 (h)]]*Rate1+tblOT[[#This Row],[OT at rate 2 (h)]]*Rate2)*tblOT[[#This Row],[Base rate]]*(1+Burden)))</f>
        <v>129.78</v>
      </c>
      <c r="O86" s="39">
        <f>IF(tblOT[[#This Row],[Week starting]]="","",IF(tblOT[[#This Row],[Base rate]]="","",(tblOT[[#This Row],[OT at rate 1 (h)]]*(Rate1-1)+tblOT[[#This Row],[OT at rate 2 (h)]]*(Rate2-1))*tblOT[[#This Row],[Base rate]]*(1+Burden)))</f>
        <v>43.26</v>
      </c>
      <c r="P86" s="42" t="str">
        <f>IF(tblOT[[#This Row],[Week starting]]="","",IF(OR(tblOT[[#This Row],[Overtime hours (h)]]&gt;OTLimit,tblOT[[#This Row],[Total hours (h)]]&gt;TotalLimit),"Out of limits","Within limits"))</f>
        <v>Within limits</v>
      </c>
      <c r="Q86" s="43">
        <f>IF(tblOT[[#This Row],[Week starting]]="","",IF(AND(tblOT[[#This Row],[Week starting]]&gt;=FFrom,tblOT[[#This Row],[Week starting]]&lt;=FTo,OR(DashDept="",tblOT[[#This Row],[Department]]=DashDept)),tblOT[[#This Row],[Week starting]],""))</f>
        <v>46265</v>
      </c>
      <c r="R8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6" s="28" t="s">
        <v>144</v>
      </c>
    </row>
    <row r="87" spans="2:19" x14ac:dyDescent="0.25">
      <c r="B87" s="37">
        <v>46272</v>
      </c>
      <c r="C87" s="28" t="s">
        <v>99</v>
      </c>
      <c r="D87" s="29">
        <v>32</v>
      </c>
      <c r="E87" s="29">
        <v>4.5</v>
      </c>
      <c r="F87" s="29">
        <v>0</v>
      </c>
      <c r="G87" s="28" t="s">
        <v>116</v>
      </c>
      <c r="H87" s="28" t="s">
        <v>145</v>
      </c>
      <c r="I87" s="38" t="str">
        <f>IF(tblOT[[#This Row],[Week starting]]="","",IFERROR(INDEX(tblEmployees[Department],MATCH(tblOT[[#This Row],[Employee]],tblEmployees[Employee],0)),""))</f>
        <v>Processing</v>
      </c>
      <c r="J87" s="39">
        <f>IF(tblOT[[#This Row],[Week starting]]="","",IFERROR(INDEX(tblEmployees[Base rate],MATCH(tblOT[[#This Row],[Employee]],tblEmployees[Employee],0)),""))</f>
        <v>27.5</v>
      </c>
      <c r="K87" s="40">
        <f>IF(tblOT[[#This Row],[Week starting]]="","",tblOT[[#This Row],[OT at rate 1 (h)]]+tblOT[[#This Row],[OT at rate 2 (h)]])</f>
        <v>4.5</v>
      </c>
      <c r="L87" s="40">
        <f>IF(tblOT[[#This Row],[Week starting]]="","",tblOT[[#This Row],[Regular hours (h)]]+tblOT[[#This Row],[Overtime hours (h)]])</f>
        <v>36.5</v>
      </c>
      <c r="M87" s="41">
        <f>IF(tblOT[[#This Row],[Week starting]]="","",IF(tblOT[[#This Row],[Total hours (h)]]&gt;0,tblOT[[#This Row],[Overtime hours (h)]]/tblOT[[#This Row],[Total hours (h)]],""))</f>
        <v>0.123287671232877</v>
      </c>
      <c r="N87" s="39">
        <f>IF(tblOT[[#This Row],[Week starting]]="","",IF(tblOT[[#This Row],[Base rate]]="","",(tblOT[[#This Row],[OT at rate 1 (h)]]*Rate1+tblOT[[#This Row],[OT at rate 2 (h)]]*Rate2)*tblOT[[#This Row],[Base rate]]*(1+Burden)))</f>
        <v>207.9</v>
      </c>
      <c r="O87" s="39">
        <f>IF(tblOT[[#This Row],[Week starting]]="","",IF(tblOT[[#This Row],[Base rate]]="","",(tblOT[[#This Row],[OT at rate 1 (h)]]*(Rate1-1)+tblOT[[#This Row],[OT at rate 2 (h)]]*(Rate2-1))*tblOT[[#This Row],[Base rate]]*(1+Burden)))</f>
        <v>69.3</v>
      </c>
      <c r="P87" s="42" t="str">
        <f>IF(tblOT[[#This Row],[Week starting]]="","",IF(OR(tblOT[[#This Row],[Overtime hours (h)]]&gt;OTLimit,tblOT[[#This Row],[Total hours (h)]]&gt;TotalLimit),"Out of limits","Within limits"))</f>
        <v>Within limits</v>
      </c>
      <c r="Q87" s="43">
        <f>IF(tblOT[[#This Row],[Week starting]]="","",IF(AND(tblOT[[#This Row],[Week starting]]&gt;=FFrom,tblOT[[#This Row],[Week starting]]&lt;=FTo,OR(DashDept="",tblOT[[#This Row],[Department]]=DashDept)),tblOT[[#This Row],[Week starting]],""))</f>
        <v>46272</v>
      </c>
      <c r="R8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7" s="28" t="s">
        <v>144</v>
      </c>
    </row>
    <row r="88" spans="2:19" x14ac:dyDescent="0.25">
      <c r="B88" s="37">
        <v>46272</v>
      </c>
      <c r="C88" s="28" t="s">
        <v>100</v>
      </c>
      <c r="D88" s="29">
        <v>32</v>
      </c>
      <c r="E88" s="29">
        <v>5.5</v>
      </c>
      <c r="F88" s="29">
        <v>0</v>
      </c>
      <c r="G88" s="28" t="s">
        <v>116</v>
      </c>
      <c r="H88" s="28" t="s">
        <v>145</v>
      </c>
      <c r="I88" s="38" t="str">
        <f>IF(tblOT[[#This Row],[Week starting]]="","",IFERROR(INDEX(tblEmployees[Department],MATCH(tblOT[[#This Row],[Employee]],tblEmployees[Employee],0)),""))</f>
        <v>Processing</v>
      </c>
      <c r="J88" s="39">
        <f>IF(tblOT[[#This Row],[Week starting]]="","",IFERROR(INDEX(tblEmployees[Base rate],MATCH(tblOT[[#This Row],[Employee]],tblEmployees[Employee],0)),""))</f>
        <v>28.25</v>
      </c>
      <c r="K88" s="40">
        <f>IF(tblOT[[#This Row],[Week starting]]="","",tblOT[[#This Row],[OT at rate 1 (h)]]+tblOT[[#This Row],[OT at rate 2 (h)]])</f>
        <v>5.5</v>
      </c>
      <c r="L88" s="40">
        <f>IF(tblOT[[#This Row],[Week starting]]="","",tblOT[[#This Row],[Regular hours (h)]]+tblOT[[#This Row],[Overtime hours (h)]])</f>
        <v>37.5</v>
      </c>
      <c r="M88" s="41">
        <f>IF(tblOT[[#This Row],[Week starting]]="","",IF(tblOT[[#This Row],[Total hours (h)]]&gt;0,tblOT[[#This Row],[Overtime hours (h)]]/tblOT[[#This Row],[Total hours (h)]],""))</f>
        <v>0.146666666666667</v>
      </c>
      <c r="N88" s="39">
        <f>IF(tblOT[[#This Row],[Week starting]]="","",IF(tblOT[[#This Row],[Base rate]]="","",(tblOT[[#This Row],[OT at rate 1 (h)]]*Rate1+tblOT[[#This Row],[OT at rate 2 (h)]]*Rate2)*tblOT[[#This Row],[Base rate]]*(1+Burden)))</f>
        <v>261.03</v>
      </c>
      <c r="O88" s="39">
        <f>IF(tblOT[[#This Row],[Week starting]]="","",IF(tblOT[[#This Row],[Base rate]]="","",(tblOT[[#This Row],[OT at rate 1 (h)]]*(Rate1-1)+tblOT[[#This Row],[OT at rate 2 (h)]]*(Rate2-1))*tblOT[[#This Row],[Base rate]]*(1+Burden)))</f>
        <v>87.01</v>
      </c>
      <c r="P88" s="42" t="str">
        <f>IF(tblOT[[#This Row],[Week starting]]="","",IF(OR(tblOT[[#This Row],[Overtime hours (h)]]&gt;OTLimit,tblOT[[#This Row],[Total hours (h)]]&gt;TotalLimit),"Out of limits","Within limits"))</f>
        <v>Within limits</v>
      </c>
      <c r="Q88" s="43">
        <f>IF(tblOT[[#This Row],[Week starting]]="","",IF(AND(tblOT[[#This Row],[Week starting]]&gt;=FFrom,tblOT[[#This Row],[Week starting]]&lt;=FTo,OR(DashDept="",tblOT[[#This Row],[Department]]=DashDept)),tblOT[[#This Row],[Week starting]],""))</f>
        <v>46272</v>
      </c>
      <c r="R8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8" s="28" t="s">
        <v>144</v>
      </c>
    </row>
    <row r="89" spans="2:19" x14ac:dyDescent="0.25">
      <c r="B89" s="37">
        <v>46272</v>
      </c>
      <c r="C89" s="28" t="s">
        <v>101</v>
      </c>
      <c r="D89" s="29">
        <v>32</v>
      </c>
      <c r="E89" s="29">
        <v>5</v>
      </c>
      <c r="F89" s="29">
        <v>0</v>
      </c>
      <c r="G89" s="28" t="s">
        <v>116</v>
      </c>
      <c r="H89" s="28" t="s">
        <v>145</v>
      </c>
      <c r="I89" s="38" t="str">
        <f>IF(tblOT[[#This Row],[Week starting]]="","",IFERROR(INDEX(tblEmployees[Department],MATCH(tblOT[[#This Row],[Employee]],tblEmployees[Employee],0)),""))</f>
        <v>Processing</v>
      </c>
      <c r="J89" s="39">
        <f>IF(tblOT[[#This Row],[Week starting]]="","",IFERROR(INDEX(tblEmployees[Base rate],MATCH(tblOT[[#This Row],[Employee]],tblEmployees[Employee],0)),""))</f>
        <v>26.75</v>
      </c>
      <c r="K89" s="40">
        <f>IF(tblOT[[#This Row],[Week starting]]="","",tblOT[[#This Row],[OT at rate 1 (h)]]+tblOT[[#This Row],[OT at rate 2 (h)]])</f>
        <v>5</v>
      </c>
      <c r="L89" s="40">
        <f>IF(tblOT[[#This Row],[Week starting]]="","",tblOT[[#This Row],[Regular hours (h)]]+tblOT[[#This Row],[Overtime hours (h)]])</f>
        <v>37</v>
      </c>
      <c r="M89" s="41">
        <f>IF(tblOT[[#This Row],[Week starting]]="","",IF(tblOT[[#This Row],[Total hours (h)]]&gt;0,tblOT[[#This Row],[Overtime hours (h)]]/tblOT[[#This Row],[Total hours (h)]],""))</f>
        <v>0.135135135135135</v>
      </c>
      <c r="N89" s="39">
        <f>IF(tblOT[[#This Row],[Week starting]]="","",IF(tblOT[[#This Row],[Base rate]]="","",(tblOT[[#This Row],[OT at rate 1 (h)]]*Rate1+tblOT[[#This Row],[OT at rate 2 (h)]]*Rate2)*tblOT[[#This Row],[Base rate]]*(1+Burden)))</f>
        <v>224.7</v>
      </c>
      <c r="O89" s="39">
        <f>IF(tblOT[[#This Row],[Week starting]]="","",IF(tblOT[[#This Row],[Base rate]]="","",(tblOT[[#This Row],[OT at rate 1 (h)]]*(Rate1-1)+tblOT[[#This Row],[OT at rate 2 (h)]]*(Rate2-1))*tblOT[[#This Row],[Base rate]]*(1+Burden)))</f>
        <v>74.9</v>
      </c>
      <c r="P89" s="42" t="str">
        <f>IF(tblOT[[#This Row],[Week starting]]="","",IF(OR(tblOT[[#This Row],[Overtime hours (h)]]&gt;OTLimit,tblOT[[#This Row],[Total hours (h)]]&gt;TotalLimit),"Out of limits","Within limits"))</f>
        <v>Within limits</v>
      </c>
      <c r="Q89" s="43">
        <f>IF(tblOT[[#This Row],[Week starting]]="","",IF(AND(tblOT[[#This Row],[Week starting]]&gt;=FFrom,tblOT[[#This Row],[Week starting]]&lt;=FTo,OR(DashDept="",tblOT[[#This Row],[Department]]=DashDept)),tblOT[[#This Row],[Week starting]],""))</f>
        <v>46272</v>
      </c>
      <c r="R8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89" s="28" t="s">
        <v>144</v>
      </c>
    </row>
    <row r="90" spans="2:19" x14ac:dyDescent="0.25">
      <c r="B90" s="37">
        <v>46272</v>
      </c>
      <c r="C90" s="28" t="s">
        <v>102</v>
      </c>
      <c r="D90" s="29">
        <v>32</v>
      </c>
      <c r="E90" s="29">
        <v>5</v>
      </c>
      <c r="F90" s="29">
        <v>0</v>
      </c>
      <c r="G90" s="28" t="s">
        <v>116</v>
      </c>
      <c r="H90" s="28" t="s">
        <v>145</v>
      </c>
      <c r="I90" s="38" t="str">
        <f>IF(tblOT[[#This Row],[Week starting]]="","",IFERROR(INDEX(tblEmployees[Department],MATCH(tblOT[[#This Row],[Employee]],tblEmployees[Employee],0)),""))</f>
        <v>Processing</v>
      </c>
      <c r="J90" s="39">
        <f>IF(tblOT[[#This Row],[Week starting]]="","",IFERROR(INDEX(tblEmployees[Base rate],MATCH(tblOT[[#This Row],[Employee]],tblEmployees[Employee],0)),""))</f>
        <v>27</v>
      </c>
      <c r="K90" s="40">
        <f>IF(tblOT[[#This Row],[Week starting]]="","",tblOT[[#This Row],[OT at rate 1 (h)]]+tblOT[[#This Row],[OT at rate 2 (h)]])</f>
        <v>5</v>
      </c>
      <c r="L90" s="40">
        <f>IF(tblOT[[#This Row],[Week starting]]="","",tblOT[[#This Row],[Regular hours (h)]]+tblOT[[#This Row],[Overtime hours (h)]])</f>
        <v>37</v>
      </c>
      <c r="M90" s="41">
        <f>IF(tblOT[[#This Row],[Week starting]]="","",IF(tblOT[[#This Row],[Total hours (h)]]&gt;0,tblOT[[#This Row],[Overtime hours (h)]]/tblOT[[#This Row],[Total hours (h)]],""))</f>
        <v>0.135135135135135</v>
      </c>
      <c r="N90" s="39">
        <f>IF(tblOT[[#This Row],[Week starting]]="","",IF(tblOT[[#This Row],[Base rate]]="","",(tblOT[[#This Row],[OT at rate 1 (h)]]*Rate1+tblOT[[#This Row],[OT at rate 2 (h)]]*Rate2)*tblOT[[#This Row],[Base rate]]*(1+Burden)))</f>
        <v>226.8</v>
      </c>
      <c r="O90" s="39">
        <f>IF(tblOT[[#This Row],[Week starting]]="","",IF(tblOT[[#This Row],[Base rate]]="","",(tblOT[[#This Row],[OT at rate 1 (h)]]*(Rate1-1)+tblOT[[#This Row],[OT at rate 2 (h)]]*(Rate2-1))*tblOT[[#This Row],[Base rate]]*(1+Burden)))</f>
        <v>75.6</v>
      </c>
      <c r="P90" s="42" t="str">
        <f>IF(tblOT[[#This Row],[Week starting]]="","",IF(OR(tblOT[[#This Row],[Overtime hours (h)]]&gt;OTLimit,tblOT[[#This Row],[Total hours (h)]]&gt;TotalLimit),"Out of limits","Within limits"))</f>
        <v>Within limits</v>
      </c>
      <c r="Q90" s="43">
        <f>IF(tblOT[[#This Row],[Week starting]]="","",IF(AND(tblOT[[#This Row],[Week starting]]&gt;=FFrom,tblOT[[#This Row],[Week starting]]&lt;=FTo,OR(DashDept="",tblOT[[#This Row],[Department]]=DashDept)),tblOT[[#This Row],[Week starting]],""))</f>
        <v>46272</v>
      </c>
      <c r="R9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0" s="28" t="s">
        <v>144</v>
      </c>
    </row>
    <row r="91" spans="2:19" x14ac:dyDescent="0.25">
      <c r="B91" s="37">
        <v>46272</v>
      </c>
      <c r="C91" s="28" t="s">
        <v>103</v>
      </c>
      <c r="D91" s="29">
        <v>32</v>
      </c>
      <c r="E91" s="29">
        <v>13</v>
      </c>
      <c r="F91" s="29">
        <v>8</v>
      </c>
      <c r="G91" s="28" t="s">
        <v>118</v>
      </c>
      <c r="H91" s="28" t="s">
        <v>145</v>
      </c>
      <c r="I91" s="38" t="str">
        <f>IF(tblOT[[#This Row],[Week starting]]="","",IFERROR(INDEX(tblEmployees[Department],MATCH(tblOT[[#This Row],[Employee]],tblEmployees[Employee],0)),""))</f>
        <v>Packaging</v>
      </c>
      <c r="J91" s="39">
        <f>IF(tblOT[[#This Row],[Week starting]]="","",IFERROR(INDEX(tblEmployees[Base rate],MATCH(tblOT[[#This Row],[Employee]],tblEmployees[Employee],0)),""))</f>
        <v>25.5</v>
      </c>
      <c r="K91" s="40">
        <f>IF(tblOT[[#This Row],[Week starting]]="","",tblOT[[#This Row],[OT at rate 1 (h)]]+tblOT[[#This Row],[OT at rate 2 (h)]])</f>
        <v>21</v>
      </c>
      <c r="L91" s="40">
        <f>IF(tblOT[[#This Row],[Week starting]]="","",tblOT[[#This Row],[Regular hours (h)]]+tblOT[[#This Row],[Overtime hours (h)]])</f>
        <v>53</v>
      </c>
      <c r="M91" s="41">
        <f>IF(tblOT[[#This Row],[Week starting]]="","",IF(tblOT[[#This Row],[Total hours (h)]]&gt;0,tblOT[[#This Row],[Overtime hours (h)]]/tblOT[[#This Row],[Total hours (h)]],""))</f>
        <v>0.39622641509434</v>
      </c>
      <c r="N91" s="39">
        <f>IF(tblOT[[#This Row],[Week starting]]="","",IF(tblOT[[#This Row],[Base rate]]="","",(tblOT[[#This Row],[OT at rate 1 (h)]]*Rate1+tblOT[[#This Row],[OT at rate 2 (h)]]*Rate2)*tblOT[[#This Row],[Base rate]]*(1+Burden)))</f>
        <v>1013.88</v>
      </c>
      <c r="O91" s="39">
        <f>IF(tblOT[[#This Row],[Week starting]]="","",IF(tblOT[[#This Row],[Base rate]]="","",(tblOT[[#This Row],[OT at rate 1 (h)]]*(Rate1-1)+tblOT[[#This Row],[OT at rate 2 (h)]]*(Rate2-1))*tblOT[[#This Row],[Base rate]]*(1+Burden)))</f>
        <v>414.12</v>
      </c>
      <c r="P91" s="42" t="str">
        <f>IF(tblOT[[#This Row],[Week starting]]="","",IF(OR(tblOT[[#This Row],[Overtime hours (h)]]&gt;OTLimit,tblOT[[#This Row],[Total hours (h)]]&gt;TotalLimit),"Out of limits","Within limits"))</f>
        <v>Out of limits</v>
      </c>
      <c r="Q91" s="43">
        <f>IF(tblOT[[#This Row],[Week starting]]="","",IF(AND(tblOT[[#This Row],[Week starting]]&gt;=FFrom,tblOT[[#This Row],[Week starting]]&lt;=FTo,OR(DashDept="",tblOT[[#This Row],[Department]]=DashDept)),tblOT[[#This Row],[Week starting]],""))</f>
        <v>46272</v>
      </c>
      <c r="R9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1" s="28" t="s">
        <v>151</v>
      </c>
    </row>
    <row r="92" spans="2:19" x14ac:dyDescent="0.25">
      <c r="B92" s="37">
        <v>46272</v>
      </c>
      <c r="C92" s="28" t="s">
        <v>104</v>
      </c>
      <c r="D92" s="29">
        <v>32</v>
      </c>
      <c r="E92" s="29">
        <v>12</v>
      </c>
      <c r="F92" s="29">
        <v>8</v>
      </c>
      <c r="G92" s="28" t="s">
        <v>118</v>
      </c>
      <c r="H92" s="28" t="s">
        <v>145</v>
      </c>
      <c r="I92" s="38" t="str">
        <f>IF(tblOT[[#This Row],[Week starting]]="","",IFERROR(INDEX(tblEmployees[Department],MATCH(tblOT[[#This Row],[Employee]],tblEmployees[Employee],0)),""))</f>
        <v>Packaging</v>
      </c>
      <c r="J92" s="39">
        <f>IF(tblOT[[#This Row],[Week starting]]="","",IFERROR(INDEX(tblEmployees[Base rate],MATCH(tblOT[[#This Row],[Employee]],tblEmployees[Employee],0)),""))</f>
        <v>24.75</v>
      </c>
      <c r="K92" s="40">
        <f>IF(tblOT[[#This Row],[Week starting]]="","",tblOT[[#This Row],[OT at rate 1 (h)]]+tblOT[[#This Row],[OT at rate 2 (h)]])</f>
        <v>20</v>
      </c>
      <c r="L92" s="40">
        <f>IF(tblOT[[#This Row],[Week starting]]="","",tblOT[[#This Row],[Regular hours (h)]]+tblOT[[#This Row],[Overtime hours (h)]])</f>
        <v>52</v>
      </c>
      <c r="M92" s="41">
        <f>IF(tblOT[[#This Row],[Week starting]]="","",IF(tblOT[[#This Row],[Total hours (h)]]&gt;0,tblOT[[#This Row],[Overtime hours (h)]]/tblOT[[#This Row],[Total hours (h)]],""))</f>
        <v>0.384615384615385</v>
      </c>
      <c r="N92" s="39">
        <f>IF(tblOT[[#This Row],[Week starting]]="","",IF(tblOT[[#This Row],[Base rate]]="","",(tblOT[[#This Row],[OT at rate 1 (h)]]*Rate1+tblOT[[#This Row],[OT at rate 2 (h)]]*Rate2)*tblOT[[#This Row],[Base rate]]*(1+Burden)))</f>
        <v>942.48</v>
      </c>
      <c r="O92" s="39">
        <f>IF(tblOT[[#This Row],[Week starting]]="","",IF(tblOT[[#This Row],[Base rate]]="","",(tblOT[[#This Row],[OT at rate 1 (h)]]*(Rate1-1)+tblOT[[#This Row],[OT at rate 2 (h)]]*(Rate2-1))*tblOT[[#This Row],[Base rate]]*(1+Burden)))</f>
        <v>388.08</v>
      </c>
      <c r="P92" s="42" t="str">
        <f>IF(tblOT[[#This Row],[Week starting]]="","",IF(OR(tblOT[[#This Row],[Overtime hours (h)]]&gt;OTLimit,tblOT[[#This Row],[Total hours (h)]]&gt;TotalLimit),"Out of limits","Within limits"))</f>
        <v>Out of limits</v>
      </c>
      <c r="Q92" s="43">
        <f>IF(tblOT[[#This Row],[Week starting]]="","",IF(AND(tblOT[[#This Row],[Week starting]]&gt;=FFrom,tblOT[[#This Row],[Week starting]]&lt;=FTo,OR(DashDept="",tblOT[[#This Row],[Department]]=DashDept)),tblOT[[#This Row],[Week starting]],""))</f>
        <v>46272</v>
      </c>
      <c r="R9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2" s="28" t="s">
        <v>151</v>
      </c>
    </row>
    <row r="93" spans="2:19" x14ac:dyDescent="0.25">
      <c r="B93" s="37">
        <v>46272</v>
      </c>
      <c r="C93" s="28" t="s">
        <v>105</v>
      </c>
      <c r="D93" s="29">
        <v>32</v>
      </c>
      <c r="E93" s="29">
        <v>15.5</v>
      </c>
      <c r="F93" s="29">
        <v>8</v>
      </c>
      <c r="G93" s="28" t="s">
        <v>118</v>
      </c>
      <c r="H93" s="28" t="s">
        <v>145</v>
      </c>
      <c r="I93" s="38" t="str">
        <f>IF(tblOT[[#This Row],[Week starting]]="","",IFERROR(INDEX(tblEmployees[Department],MATCH(tblOT[[#This Row],[Employee]],tblEmployees[Employee],0)),""))</f>
        <v>Packaging</v>
      </c>
      <c r="J93" s="39">
        <f>IF(tblOT[[#This Row],[Week starting]]="","",IFERROR(INDEX(tblEmployees[Base rate],MATCH(tblOT[[#This Row],[Employee]],tblEmployees[Employee],0)),""))</f>
        <v>25</v>
      </c>
      <c r="K93" s="40">
        <f>IF(tblOT[[#This Row],[Week starting]]="","",tblOT[[#This Row],[OT at rate 1 (h)]]+tblOT[[#This Row],[OT at rate 2 (h)]])</f>
        <v>23.5</v>
      </c>
      <c r="L93" s="40">
        <f>IF(tblOT[[#This Row],[Week starting]]="","",tblOT[[#This Row],[Regular hours (h)]]+tblOT[[#This Row],[Overtime hours (h)]])</f>
        <v>55.5</v>
      </c>
      <c r="M93" s="41">
        <f>IF(tblOT[[#This Row],[Week starting]]="","",IF(tblOT[[#This Row],[Total hours (h)]]&gt;0,tblOT[[#This Row],[Overtime hours (h)]]/tblOT[[#This Row],[Total hours (h)]],""))</f>
        <v>0.423423423423423</v>
      </c>
      <c r="N93" s="39">
        <f>IF(tblOT[[#This Row],[Week starting]]="","",IF(tblOT[[#This Row],[Base rate]]="","",(tblOT[[#This Row],[OT at rate 1 (h)]]*Rate1+tblOT[[#This Row],[OT at rate 2 (h)]]*Rate2)*tblOT[[#This Row],[Base rate]]*(1+Burden)))</f>
        <v>1099</v>
      </c>
      <c r="O93" s="39">
        <f>IF(tblOT[[#This Row],[Week starting]]="","",IF(tblOT[[#This Row],[Base rate]]="","",(tblOT[[#This Row],[OT at rate 1 (h)]]*(Rate1-1)+tblOT[[#This Row],[OT at rate 2 (h)]]*(Rate2-1))*tblOT[[#This Row],[Base rate]]*(1+Burden)))</f>
        <v>441</v>
      </c>
      <c r="P93" s="42" t="str">
        <f>IF(tblOT[[#This Row],[Week starting]]="","",IF(OR(tblOT[[#This Row],[Overtime hours (h)]]&gt;OTLimit,tblOT[[#This Row],[Total hours (h)]]&gt;TotalLimit),"Out of limits","Within limits"))</f>
        <v>Out of limits</v>
      </c>
      <c r="Q93" s="43">
        <f>IF(tblOT[[#This Row],[Week starting]]="","",IF(AND(tblOT[[#This Row],[Week starting]]&gt;=FFrom,tblOT[[#This Row],[Week starting]]&lt;=FTo,OR(DashDept="",tblOT[[#This Row],[Department]]=DashDept)),tblOT[[#This Row],[Week starting]],""))</f>
        <v>46272</v>
      </c>
      <c r="R9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3" s="28" t="s">
        <v>151</v>
      </c>
    </row>
    <row r="94" spans="2:19" x14ac:dyDescent="0.25">
      <c r="B94" s="37">
        <v>46272</v>
      </c>
      <c r="C94" s="28" t="s">
        <v>106</v>
      </c>
      <c r="D94" s="29">
        <v>32</v>
      </c>
      <c r="E94" s="29">
        <v>9</v>
      </c>
      <c r="F94" s="29">
        <v>8</v>
      </c>
      <c r="G94" s="28" t="s">
        <v>118</v>
      </c>
      <c r="H94" s="28" t="s">
        <v>145</v>
      </c>
      <c r="I94" s="38" t="str">
        <f>IF(tblOT[[#This Row],[Week starting]]="","",IFERROR(INDEX(tblEmployees[Department],MATCH(tblOT[[#This Row],[Employee]],tblEmployees[Employee],0)),""))</f>
        <v>Packaging</v>
      </c>
      <c r="J94" s="39">
        <f>IF(tblOT[[#This Row],[Week starting]]="","",IFERROR(INDEX(tblEmployees[Base rate],MATCH(tblOT[[#This Row],[Employee]],tblEmployees[Employee],0)),""))</f>
        <v>24.5</v>
      </c>
      <c r="K94" s="40">
        <f>IF(tblOT[[#This Row],[Week starting]]="","",tblOT[[#This Row],[OT at rate 1 (h)]]+tblOT[[#This Row],[OT at rate 2 (h)]])</f>
        <v>17</v>
      </c>
      <c r="L94" s="40">
        <f>IF(tblOT[[#This Row],[Week starting]]="","",tblOT[[#This Row],[Regular hours (h)]]+tblOT[[#This Row],[Overtime hours (h)]])</f>
        <v>49</v>
      </c>
      <c r="M94" s="41">
        <f>IF(tblOT[[#This Row],[Week starting]]="","",IF(tblOT[[#This Row],[Total hours (h)]]&gt;0,tblOT[[#This Row],[Overtime hours (h)]]/tblOT[[#This Row],[Total hours (h)]],""))</f>
        <v>0.346938775510204</v>
      </c>
      <c r="N94" s="39">
        <f>IF(tblOT[[#This Row],[Week starting]]="","",IF(tblOT[[#This Row],[Base rate]]="","",(tblOT[[#This Row],[OT at rate 1 (h)]]*Rate1+tblOT[[#This Row],[OT at rate 2 (h)]]*Rate2)*tblOT[[#This Row],[Base rate]]*(1+Burden)))</f>
        <v>809.48</v>
      </c>
      <c r="O94" s="39">
        <f>IF(tblOT[[#This Row],[Week starting]]="","",IF(tblOT[[#This Row],[Base rate]]="","",(tblOT[[#This Row],[OT at rate 1 (h)]]*(Rate1-1)+tblOT[[#This Row],[OT at rate 2 (h)]]*(Rate2-1))*tblOT[[#This Row],[Base rate]]*(1+Burden)))</f>
        <v>343</v>
      </c>
      <c r="P94" s="42" t="str">
        <f>IF(tblOT[[#This Row],[Week starting]]="","",IF(OR(tblOT[[#This Row],[Overtime hours (h)]]&gt;OTLimit,tblOT[[#This Row],[Total hours (h)]]&gt;TotalLimit),"Out of limits","Within limits"))</f>
        <v>Out of limits</v>
      </c>
      <c r="Q94" s="43">
        <f>IF(tblOT[[#This Row],[Week starting]]="","",IF(AND(tblOT[[#This Row],[Week starting]]&gt;=FFrom,tblOT[[#This Row],[Week starting]]&lt;=FTo,OR(DashDept="",tblOT[[#This Row],[Department]]=DashDept)),tblOT[[#This Row],[Week starting]],""))</f>
        <v>46272</v>
      </c>
      <c r="R9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4" s="28" t="s">
        <v>151</v>
      </c>
    </row>
    <row r="95" spans="2:19" x14ac:dyDescent="0.25">
      <c r="B95" s="37">
        <v>46272</v>
      </c>
      <c r="C95" s="28" t="s">
        <v>107</v>
      </c>
      <c r="D95" s="29">
        <v>32</v>
      </c>
      <c r="E95" s="29">
        <v>0</v>
      </c>
      <c r="F95" s="29">
        <v>0</v>
      </c>
      <c r="G95" s="28" t="s">
        <v>144</v>
      </c>
      <c r="H95" s="28" t="s">
        <v>144</v>
      </c>
      <c r="I95" s="38" t="str">
        <f>IF(tblOT[[#This Row],[Week starting]]="","",IFERROR(INDEX(tblEmployees[Department],MATCH(tblOT[[#This Row],[Employee]],tblEmployees[Employee],0)),""))</f>
        <v>Sanitation</v>
      </c>
      <c r="J95" s="39">
        <f>IF(tblOT[[#This Row],[Week starting]]="","",IFERROR(INDEX(tblEmployees[Base rate],MATCH(tblOT[[#This Row],[Employee]],tblEmployees[Employee],0)),""))</f>
        <v>24</v>
      </c>
      <c r="K95" s="40">
        <f>IF(tblOT[[#This Row],[Week starting]]="","",tblOT[[#This Row],[OT at rate 1 (h)]]+tblOT[[#This Row],[OT at rate 2 (h)]])</f>
        <v>0</v>
      </c>
      <c r="L95" s="40">
        <f>IF(tblOT[[#This Row],[Week starting]]="","",tblOT[[#This Row],[Regular hours (h)]]+tblOT[[#This Row],[Overtime hours (h)]])</f>
        <v>32</v>
      </c>
      <c r="M95" s="41">
        <f>IF(tblOT[[#This Row],[Week starting]]="","",IF(tblOT[[#This Row],[Total hours (h)]]&gt;0,tblOT[[#This Row],[Overtime hours (h)]]/tblOT[[#This Row],[Total hours (h)]],""))</f>
        <v>0</v>
      </c>
      <c r="N95" s="39">
        <f>IF(tblOT[[#This Row],[Week starting]]="","",IF(tblOT[[#This Row],[Base rate]]="","",(tblOT[[#This Row],[OT at rate 1 (h)]]*Rate1+tblOT[[#This Row],[OT at rate 2 (h)]]*Rate2)*tblOT[[#This Row],[Base rate]]*(1+Burden)))</f>
        <v>0</v>
      </c>
      <c r="O95" s="39">
        <f>IF(tblOT[[#This Row],[Week starting]]="","",IF(tblOT[[#This Row],[Base rate]]="","",(tblOT[[#This Row],[OT at rate 1 (h)]]*(Rate1-1)+tblOT[[#This Row],[OT at rate 2 (h)]]*(Rate2-1))*tblOT[[#This Row],[Base rate]]*(1+Burden)))</f>
        <v>0</v>
      </c>
      <c r="P95" s="42" t="str">
        <f>IF(tblOT[[#This Row],[Week starting]]="","",IF(OR(tblOT[[#This Row],[Overtime hours (h)]]&gt;OTLimit,tblOT[[#This Row],[Total hours (h)]]&gt;TotalLimit),"Out of limits","Within limits"))</f>
        <v>Within limits</v>
      </c>
      <c r="Q95" s="43">
        <f>IF(tblOT[[#This Row],[Week starting]]="","",IF(AND(tblOT[[#This Row],[Week starting]]&gt;=FFrom,tblOT[[#This Row],[Week starting]]&lt;=FTo,OR(DashDept="",tblOT[[#This Row],[Department]]=DashDept)),tblOT[[#This Row],[Week starting]],""))</f>
        <v>46272</v>
      </c>
      <c r="R9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5" s="28" t="s">
        <v>144</v>
      </c>
    </row>
    <row r="96" spans="2:19" x14ac:dyDescent="0.25">
      <c r="B96" s="37">
        <v>46272</v>
      </c>
      <c r="C96" s="28" t="s">
        <v>108</v>
      </c>
      <c r="D96" s="29">
        <v>32</v>
      </c>
      <c r="E96" s="29">
        <v>0</v>
      </c>
      <c r="F96" s="29">
        <v>0</v>
      </c>
      <c r="G96" s="28" t="s">
        <v>144</v>
      </c>
      <c r="H96" s="28" t="s">
        <v>144</v>
      </c>
      <c r="I96" s="38" t="str">
        <f>IF(tblOT[[#This Row],[Week starting]]="","",IFERROR(INDEX(tblEmployees[Department],MATCH(tblOT[[#This Row],[Employee]],tblEmployees[Employee],0)),""))</f>
        <v>Sanitation</v>
      </c>
      <c r="J96" s="39">
        <f>IF(tblOT[[#This Row],[Week starting]]="","",IFERROR(INDEX(tblEmployees[Base rate],MATCH(tblOT[[#This Row],[Employee]],tblEmployees[Employee],0)),""))</f>
        <v>23.75</v>
      </c>
      <c r="K96" s="40">
        <f>IF(tblOT[[#This Row],[Week starting]]="","",tblOT[[#This Row],[OT at rate 1 (h)]]+tblOT[[#This Row],[OT at rate 2 (h)]])</f>
        <v>0</v>
      </c>
      <c r="L96" s="40">
        <f>IF(tblOT[[#This Row],[Week starting]]="","",tblOT[[#This Row],[Regular hours (h)]]+tblOT[[#This Row],[Overtime hours (h)]])</f>
        <v>32</v>
      </c>
      <c r="M96" s="41">
        <f>IF(tblOT[[#This Row],[Week starting]]="","",IF(tblOT[[#This Row],[Total hours (h)]]&gt;0,tblOT[[#This Row],[Overtime hours (h)]]/tblOT[[#This Row],[Total hours (h)]],""))</f>
        <v>0</v>
      </c>
      <c r="N96" s="39">
        <f>IF(tblOT[[#This Row],[Week starting]]="","",IF(tblOT[[#This Row],[Base rate]]="","",(tblOT[[#This Row],[OT at rate 1 (h)]]*Rate1+tblOT[[#This Row],[OT at rate 2 (h)]]*Rate2)*tblOT[[#This Row],[Base rate]]*(1+Burden)))</f>
        <v>0</v>
      </c>
      <c r="O96" s="39">
        <f>IF(tblOT[[#This Row],[Week starting]]="","",IF(tblOT[[#This Row],[Base rate]]="","",(tblOT[[#This Row],[OT at rate 1 (h)]]*(Rate1-1)+tblOT[[#This Row],[OT at rate 2 (h)]]*(Rate2-1))*tblOT[[#This Row],[Base rate]]*(1+Burden)))</f>
        <v>0</v>
      </c>
      <c r="P96" s="42" t="str">
        <f>IF(tblOT[[#This Row],[Week starting]]="","",IF(OR(tblOT[[#This Row],[Overtime hours (h)]]&gt;OTLimit,tblOT[[#This Row],[Total hours (h)]]&gt;TotalLimit),"Out of limits","Within limits"))</f>
        <v>Within limits</v>
      </c>
      <c r="Q96" s="43">
        <f>IF(tblOT[[#This Row],[Week starting]]="","",IF(AND(tblOT[[#This Row],[Week starting]]&gt;=FFrom,tblOT[[#This Row],[Week starting]]&lt;=FTo,OR(DashDept="",tblOT[[#This Row],[Department]]=DashDept)),tblOT[[#This Row],[Week starting]],""))</f>
        <v>46272</v>
      </c>
      <c r="R9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6" s="28" t="s">
        <v>144</v>
      </c>
    </row>
    <row r="97" spans="2:19" x14ac:dyDescent="0.25">
      <c r="B97" s="37">
        <v>46272</v>
      </c>
      <c r="C97" s="28" t="s">
        <v>109</v>
      </c>
      <c r="D97" s="29">
        <v>32</v>
      </c>
      <c r="E97" s="29">
        <v>0</v>
      </c>
      <c r="F97" s="29">
        <v>0</v>
      </c>
      <c r="G97" s="28" t="s">
        <v>144</v>
      </c>
      <c r="H97" s="28" t="s">
        <v>144</v>
      </c>
      <c r="I97" s="38" t="str">
        <f>IF(tblOT[[#This Row],[Week starting]]="","",IFERROR(INDEX(tblEmployees[Department],MATCH(tblOT[[#This Row],[Employee]],tblEmployees[Employee],0)),""))</f>
        <v>Sanitation</v>
      </c>
      <c r="J97" s="39">
        <f>IF(tblOT[[#This Row],[Week starting]]="","",IFERROR(INDEX(tblEmployees[Base rate],MATCH(tblOT[[#This Row],[Employee]],tblEmployees[Employee],0)),""))</f>
        <v>24.25</v>
      </c>
      <c r="K97" s="40">
        <f>IF(tblOT[[#This Row],[Week starting]]="","",tblOT[[#This Row],[OT at rate 1 (h)]]+tblOT[[#This Row],[OT at rate 2 (h)]])</f>
        <v>0</v>
      </c>
      <c r="L97" s="40">
        <f>IF(tblOT[[#This Row],[Week starting]]="","",tblOT[[#This Row],[Regular hours (h)]]+tblOT[[#This Row],[Overtime hours (h)]])</f>
        <v>32</v>
      </c>
      <c r="M97" s="41">
        <f>IF(tblOT[[#This Row],[Week starting]]="","",IF(tblOT[[#This Row],[Total hours (h)]]&gt;0,tblOT[[#This Row],[Overtime hours (h)]]/tblOT[[#This Row],[Total hours (h)]],""))</f>
        <v>0</v>
      </c>
      <c r="N97" s="39">
        <f>IF(tblOT[[#This Row],[Week starting]]="","",IF(tblOT[[#This Row],[Base rate]]="","",(tblOT[[#This Row],[OT at rate 1 (h)]]*Rate1+tblOT[[#This Row],[OT at rate 2 (h)]]*Rate2)*tblOT[[#This Row],[Base rate]]*(1+Burden)))</f>
        <v>0</v>
      </c>
      <c r="O97" s="39">
        <f>IF(tblOT[[#This Row],[Week starting]]="","",IF(tblOT[[#This Row],[Base rate]]="","",(tblOT[[#This Row],[OT at rate 1 (h)]]*(Rate1-1)+tblOT[[#This Row],[OT at rate 2 (h)]]*(Rate2-1))*tblOT[[#This Row],[Base rate]]*(1+Burden)))</f>
        <v>0</v>
      </c>
      <c r="P97" s="42" t="str">
        <f>IF(tblOT[[#This Row],[Week starting]]="","",IF(OR(tblOT[[#This Row],[Overtime hours (h)]]&gt;OTLimit,tblOT[[#This Row],[Total hours (h)]]&gt;TotalLimit),"Out of limits","Within limits"))</f>
        <v>Within limits</v>
      </c>
      <c r="Q97" s="43">
        <f>IF(tblOT[[#This Row],[Week starting]]="","",IF(AND(tblOT[[#This Row],[Week starting]]&gt;=FFrom,tblOT[[#This Row],[Week starting]]&lt;=FTo,OR(DashDept="",tblOT[[#This Row],[Department]]=DashDept)),tblOT[[#This Row],[Week starting]],""))</f>
        <v>46272</v>
      </c>
      <c r="R9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7" s="28" t="s">
        <v>144</v>
      </c>
    </row>
    <row r="98" spans="2:19" x14ac:dyDescent="0.25">
      <c r="B98" s="37">
        <v>46272</v>
      </c>
      <c r="C98" s="28" t="s">
        <v>110</v>
      </c>
      <c r="D98" s="29">
        <v>32</v>
      </c>
      <c r="E98" s="29">
        <v>3.5</v>
      </c>
      <c r="F98" s="29">
        <v>0</v>
      </c>
      <c r="G98" s="28" t="s">
        <v>124</v>
      </c>
      <c r="H98" s="28" t="s">
        <v>149</v>
      </c>
      <c r="I98" s="38" t="str">
        <f>IF(tblOT[[#This Row],[Week starting]]="","",IFERROR(INDEX(tblEmployees[Department],MATCH(tblOT[[#This Row],[Employee]],tblEmployees[Employee],0)),""))</f>
        <v>Maintenance</v>
      </c>
      <c r="J98" s="39">
        <f>IF(tblOT[[#This Row],[Week starting]]="","",IFERROR(INDEX(tblEmployees[Base rate],MATCH(tblOT[[#This Row],[Employee]],tblEmployees[Employee],0)),""))</f>
        <v>38.5</v>
      </c>
      <c r="K98" s="40">
        <f>IF(tblOT[[#This Row],[Week starting]]="","",tblOT[[#This Row],[OT at rate 1 (h)]]+tblOT[[#This Row],[OT at rate 2 (h)]])</f>
        <v>3.5</v>
      </c>
      <c r="L98" s="40">
        <f>IF(tblOT[[#This Row],[Week starting]]="","",tblOT[[#This Row],[Regular hours (h)]]+tblOT[[#This Row],[Overtime hours (h)]])</f>
        <v>35.5</v>
      </c>
      <c r="M98" s="41">
        <f>IF(tblOT[[#This Row],[Week starting]]="","",IF(tblOT[[#This Row],[Total hours (h)]]&gt;0,tblOT[[#This Row],[Overtime hours (h)]]/tblOT[[#This Row],[Total hours (h)]],""))</f>
        <v>0.0985915492957746</v>
      </c>
      <c r="N98" s="39">
        <f>IF(tblOT[[#This Row],[Week starting]]="","",IF(tblOT[[#This Row],[Base rate]]="","",(tblOT[[#This Row],[OT at rate 1 (h)]]*Rate1+tblOT[[#This Row],[OT at rate 2 (h)]]*Rate2)*tblOT[[#This Row],[Base rate]]*(1+Burden)))</f>
        <v>226.38</v>
      </c>
      <c r="O98" s="39">
        <f>IF(tblOT[[#This Row],[Week starting]]="","",IF(tblOT[[#This Row],[Base rate]]="","",(tblOT[[#This Row],[OT at rate 1 (h)]]*(Rate1-1)+tblOT[[#This Row],[OT at rate 2 (h)]]*(Rate2-1))*tblOT[[#This Row],[Base rate]]*(1+Burden)))</f>
        <v>75.46</v>
      </c>
      <c r="P98" s="42" t="str">
        <f>IF(tblOT[[#This Row],[Week starting]]="","",IF(OR(tblOT[[#This Row],[Overtime hours (h)]]&gt;OTLimit,tblOT[[#This Row],[Total hours (h)]]&gt;TotalLimit),"Out of limits","Within limits"))</f>
        <v>Within limits</v>
      </c>
      <c r="Q98" s="43">
        <f>IF(tblOT[[#This Row],[Week starting]]="","",IF(AND(tblOT[[#This Row],[Week starting]]&gt;=FFrom,tblOT[[#This Row],[Week starting]]&lt;=FTo,OR(DashDept="",tblOT[[#This Row],[Department]]=DashDept)),tblOT[[#This Row],[Week starting]],""))</f>
        <v>46272</v>
      </c>
      <c r="R9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8" s="28" t="s">
        <v>144</v>
      </c>
    </row>
    <row r="99" spans="2:19" x14ac:dyDescent="0.25">
      <c r="B99" s="37">
        <v>46272</v>
      </c>
      <c r="C99" s="28" t="s">
        <v>111</v>
      </c>
      <c r="D99" s="29">
        <v>32</v>
      </c>
      <c r="E99" s="29">
        <v>0</v>
      </c>
      <c r="F99" s="29">
        <v>0</v>
      </c>
      <c r="G99" s="28" t="s">
        <v>144</v>
      </c>
      <c r="H99" s="28" t="s">
        <v>144</v>
      </c>
      <c r="I99" s="38" t="str">
        <f>IF(tblOT[[#This Row],[Week starting]]="","",IFERROR(INDEX(tblEmployees[Department],MATCH(tblOT[[#This Row],[Employee]],tblEmployees[Employee],0)),""))</f>
        <v>Maintenance</v>
      </c>
      <c r="J99" s="39">
        <f>IF(tblOT[[#This Row],[Week starting]]="","",IFERROR(INDEX(tblEmployees[Base rate],MATCH(tblOT[[#This Row],[Employee]],tblEmployees[Employee],0)),""))</f>
        <v>37</v>
      </c>
      <c r="K99" s="40">
        <f>IF(tblOT[[#This Row],[Week starting]]="","",tblOT[[#This Row],[OT at rate 1 (h)]]+tblOT[[#This Row],[OT at rate 2 (h)]])</f>
        <v>0</v>
      </c>
      <c r="L99" s="40">
        <f>IF(tblOT[[#This Row],[Week starting]]="","",tblOT[[#This Row],[Regular hours (h)]]+tblOT[[#This Row],[Overtime hours (h)]])</f>
        <v>32</v>
      </c>
      <c r="M99" s="41">
        <f>IF(tblOT[[#This Row],[Week starting]]="","",IF(tblOT[[#This Row],[Total hours (h)]]&gt;0,tblOT[[#This Row],[Overtime hours (h)]]/tblOT[[#This Row],[Total hours (h)]],""))</f>
        <v>0</v>
      </c>
      <c r="N99" s="39">
        <f>IF(tblOT[[#This Row],[Week starting]]="","",IF(tblOT[[#This Row],[Base rate]]="","",(tblOT[[#This Row],[OT at rate 1 (h)]]*Rate1+tblOT[[#This Row],[OT at rate 2 (h)]]*Rate2)*tblOT[[#This Row],[Base rate]]*(1+Burden)))</f>
        <v>0</v>
      </c>
      <c r="O99" s="39">
        <f>IF(tblOT[[#This Row],[Week starting]]="","",IF(tblOT[[#This Row],[Base rate]]="","",(tblOT[[#This Row],[OT at rate 1 (h)]]*(Rate1-1)+tblOT[[#This Row],[OT at rate 2 (h)]]*(Rate2-1))*tblOT[[#This Row],[Base rate]]*(1+Burden)))</f>
        <v>0</v>
      </c>
      <c r="P99" s="42" t="str">
        <f>IF(tblOT[[#This Row],[Week starting]]="","",IF(OR(tblOT[[#This Row],[Overtime hours (h)]]&gt;OTLimit,tblOT[[#This Row],[Total hours (h)]]&gt;TotalLimit),"Out of limits","Within limits"))</f>
        <v>Within limits</v>
      </c>
      <c r="Q99" s="43">
        <f>IF(tblOT[[#This Row],[Week starting]]="","",IF(AND(tblOT[[#This Row],[Week starting]]&gt;=FFrom,tblOT[[#This Row],[Week starting]]&lt;=FTo,OR(DashDept="",tblOT[[#This Row],[Department]]=DashDept)),tblOT[[#This Row],[Week starting]],""))</f>
        <v>46272</v>
      </c>
      <c r="R9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99" s="28" t="s">
        <v>144</v>
      </c>
    </row>
    <row r="100" spans="2:19" x14ac:dyDescent="0.25">
      <c r="B100" s="37">
        <v>46272</v>
      </c>
      <c r="C100" s="28" t="s">
        <v>112</v>
      </c>
      <c r="D100" s="29">
        <v>32</v>
      </c>
      <c r="E100" s="29">
        <v>0</v>
      </c>
      <c r="F100" s="29">
        <v>0</v>
      </c>
      <c r="G100" s="28" t="s">
        <v>144</v>
      </c>
      <c r="H100" s="28" t="s">
        <v>144</v>
      </c>
      <c r="I100" s="38" t="str">
        <f>IF(tblOT[[#This Row],[Week starting]]="","",IFERROR(INDEX(tblEmployees[Department],MATCH(tblOT[[#This Row],[Employee]],tblEmployees[Employee],0)),""))</f>
        <v>Maintenance</v>
      </c>
      <c r="J100" s="39">
        <f>IF(tblOT[[#This Row],[Week starting]]="","",IFERROR(INDEX(tblEmployees[Base rate],MATCH(tblOT[[#This Row],[Employee]],tblEmployees[Employee],0)),""))</f>
        <v>36.25</v>
      </c>
      <c r="K100" s="40">
        <f>IF(tblOT[[#This Row],[Week starting]]="","",tblOT[[#This Row],[OT at rate 1 (h)]]+tblOT[[#This Row],[OT at rate 2 (h)]])</f>
        <v>0</v>
      </c>
      <c r="L100" s="40">
        <f>IF(tblOT[[#This Row],[Week starting]]="","",tblOT[[#This Row],[Regular hours (h)]]+tblOT[[#This Row],[Overtime hours (h)]])</f>
        <v>32</v>
      </c>
      <c r="M100" s="41">
        <f>IF(tblOT[[#This Row],[Week starting]]="","",IF(tblOT[[#This Row],[Total hours (h)]]&gt;0,tblOT[[#This Row],[Overtime hours (h)]]/tblOT[[#This Row],[Total hours (h)]],""))</f>
        <v>0</v>
      </c>
      <c r="N100" s="39">
        <f>IF(tblOT[[#This Row],[Week starting]]="","",IF(tblOT[[#This Row],[Base rate]]="","",(tblOT[[#This Row],[OT at rate 1 (h)]]*Rate1+tblOT[[#This Row],[OT at rate 2 (h)]]*Rate2)*tblOT[[#This Row],[Base rate]]*(1+Burden)))</f>
        <v>0</v>
      </c>
      <c r="O100" s="39">
        <f>IF(tblOT[[#This Row],[Week starting]]="","",IF(tblOT[[#This Row],[Base rate]]="","",(tblOT[[#This Row],[OT at rate 1 (h)]]*(Rate1-1)+tblOT[[#This Row],[OT at rate 2 (h)]]*(Rate2-1))*tblOT[[#This Row],[Base rate]]*(1+Burden)))</f>
        <v>0</v>
      </c>
      <c r="P100" s="42" t="str">
        <f>IF(tblOT[[#This Row],[Week starting]]="","",IF(OR(tblOT[[#This Row],[Overtime hours (h)]]&gt;OTLimit,tblOT[[#This Row],[Total hours (h)]]&gt;TotalLimit),"Out of limits","Within limits"))</f>
        <v>Within limits</v>
      </c>
      <c r="Q100" s="43">
        <f>IF(tblOT[[#This Row],[Week starting]]="","",IF(AND(tblOT[[#This Row],[Week starting]]&gt;=FFrom,tblOT[[#This Row],[Week starting]]&lt;=FTo,OR(DashDept="",tblOT[[#This Row],[Department]]=DashDept)),tblOT[[#This Row],[Week starting]],""))</f>
        <v>46272</v>
      </c>
      <c r="R10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0" s="28" t="s">
        <v>144</v>
      </c>
    </row>
    <row r="101" spans="2:19" x14ac:dyDescent="0.25">
      <c r="B101" s="37">
        <v>46272</v>
      </c>
      <c r="C101" s="28" t="s">
        <v>113</v>
      </c>
      <c r="D101" s="29">
        <v>32</v>
      </c>
      <c r="E101" s="29">
        <v>0</v>
      </c>
      <c r="F101" s="29">
        <v>0</v>
      </c>
      <c r="G101" s="28" t="s">
        <v>144</v>
      </c>
      <c r="H101" s="28" t="s">
        <v>144</v>
      </c>
      <c r="I101" s="38" t="str">
        <f>IF(tblOT[[#This Row],[Week starting]]="","",IFERROR(INDEX(tblEmployees[Department],MATCH(tblOT[[#This Row],[Employee]],tblEmployees[Employee],0)),""))</f>
        <v>Warehouse</v>
      </c>
      <c r="J101" s="39">
        <f>IF(tblOT[[#This Row],[Week starting]]="","",IFERROR(INDEX(tblEmployees[Base rate],MATCH(tblOT[[#This Row],[Employee]],tblEmployees[Employee],0)),""))</f>
        <v>26</v>
      </c>
      <c r="K101" s="40">
        <f>IF(tblOT[[#This Row],[Week starting]]="","",tblOT[[#This Row],[OT at rate 1 (h)]]+tblOT[[#This Row],[OT at rate 2 (h)]])</f>
        <v>0</v>
      </c>
      <c r="L101" s="40">
        <f>IF(tblOT[[#This Row],[Week starting]]="","",tblOT[[#This Row],[Regular hours (h)]]+tblOT[[#This Row],[Overtime hours (h)]])</f>
        <v>32</v>
      </c>
      <c r="M101" s="41">
        <f>IF(tblOT[[#This Row],[Week starting]]="","",IF(tblOT[[#This Row],[Total hours (h)]]&gt;0,tblOT[[#This Row],[Overtime hours (h)]]/tblOT[[#This Row],[Total hours (h)]],""))</f>
        <v>0</v>
      </c>
      <c r="N101" s="39">
        <f>IF(tblOT[[#This Row],[Week starting]]="","",IF(tblOT[[#This Row],[Base rate]]="","",(tblOT[[#This Row],[OT at rate 1 (h)]]*Rate1+tblOT[[#This Row],[OT at rate 2 (h)]]*Rate2)*tblOT[[#This Row],[Base rate]]*(1+Burden)))</f>
        <v>0</v>
      </c>
      <c r="O101" s="39">
        <f>IF(tblOT[[#This Row],[Week starting]]="","",IF(tblOT[[#This Row],[Base rate]]="","",(tblOT[[#This Row],[OT at rate 1 (h)]]*(Rate1-1)+tblOT[[#This Row],[OT at rate 2 (h)]]*(Rate2-1))*tblOT[[#This Row],[Base rate]]*(1+Burden)))</f>
        <v>0</v>
      </c>
      <c r="P101" s="42" t="str">
        <f>IF(tblOT[[#This Row],[Week starting]]="","",IF(OR(tblOT[[#This Row],[Overtime hours (h)]]&gt;OTLimit,tblOT[[#This Row],[Total hours (h)]]&gt;TotalLimit),"Out of limits","Within limits"))</f>
        <v>Within limits</v>
      </c>
      <c r="Q101" s="43">
        <f>IF(tblOT[[#This Row],[Week starting]]="","",IF(AND(tblOT[[#This Row],[Week starting]]&gt;=FFrom,tblOT[[#This Row],[Week starting]]&lt;=FTo,OR(DashDept="",tblOT[[#This Row],[Department]]=DashDept)),tblOT[[#This Row],[Week starting]],""))</f>
        <v>46272</v>
      </c>
      <c r="R10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1" s="28" t="s">
        <v>144</v>
      </c>
    </row>
    <row r="102" spans="2:19" x14ac:dyDescent="0.25">
      <c r="B102" s="37">
        <v>46272</v>
      </c>
      <c r="C102" s="28" t="s">
        <v>114</v>
      </c>
      <c r="D102" s="29">
        <v>32</v>
      </c>
      <c r="E102" s="29">
        <v>0</v>
      </c>
      <c r="F102" s="29">
        <v>0</v>
      </c>
      <c r="G102" s="28" t="s">
        <v>144</v>
      </c>
      <c r="H102" s="28" t="s">
        <v>144</v>
      </c>
      <c r="I102" s="38" t="str">
        <f>IF(tblOT[[#This Row],[Week starting]]="","",IFERROR(INDEX(tblEmployees[Department],MATCH(tblOT[[#This Row],[Employee]],tblEmployees[Employee],0)),""))</f>
        <v>Warehouse</v>
      </c>
      <c r="J102" s="39">
        <f>IF(tblOT[[#This Row],[Week starting]]="","",IFERROR(INDEX(tblEmployees[Base rate],MATCH(tblOT[[#This Row],[Employee]],tblEmployees[Employee],0)),""))</f>
        <v>25.75</v>
      </c>
      <c r="K102" s="40">
        <f>IF(tblOT[[#This Row],[Week starting]]="","",tblOT[[#This Row],[OT at rate 1 (h)]]+tblOT[[#This Row],[OT at rate 2 (h)]])</f>
        <v>0</v>
      </c>
      <c r="L102" s="40">
        <f>IF(tblOT[[#This Row],[Week starting]]="","",tblOT[[#This Row],[Regular hours (h)]]+tblOT[[#This Row],[Overtime hours (h)]])</f>
        <v>32</v>
      </c>
      <c r="M102" s="41">
        <f>IF(tblOT[[#This Row],[Week starting]]="","",IF(tblOT[[#This Row],[Total hours (h)]]&gt;0,tblOT[[#This Row],[Overtime hours (h)]]/tblOT[[#This Row],[Total hours (h)]],""))</f>
        <v>0</v>
      </c>
      <c r="N102" s="39">
        <f>IF(tblOT[[#This Row],[Week starting]]="","",IF(tblOT[[#This Row],[Base rate]]="","",(tblOT[[#This Row],[OT at rate 1 (h)]]*Rate1+tblOT[[#This Row],[OT at rate 2 (h)]]*Rate2)*tblOT[[#This Row],[Base rate]]*(1+Burden)))</f>
        <v>0</v>
      </c>
      <c r="O102" s="39">
        <f>IF(tblOT[[#This Row],[Week starting]]="","",IF(tblOT[[#This Row],[Base rate]]="","",(tblOT[[#This Row],[OT at rate 1 (h)]]*(Rate1-1)+tblOT[[#This Row],[OT at rate 2 (h)]]*(Rate2-1))*tblOT[[#This Row],[Base rate]]*(1+Burden)))</f>
        <v>0</v>
      </c>
      <c r="P102" s="42" t="str">
        <f>IF(tblOT[[#This Row],[Week starting]]="","",IF(OR(tblOT[[#This Row],[Overtime hours (h)]]&gt;OTLimit,tblOT[[#This Row],[Total hours (h)]]&gt;TotalLimit),"Out of limits","Within limits"))</f>
        <v>Within limits</v>
      </c>
      <c r="Q102" s="43">
        <f>IF(tblOT[[#This Row],[Week starting]]="","",IF(AND(tblOT[[#This Row],[Week starting]]&gt;=FFrom,tblOT[[#This Row],[Week starting]]&lt;=FTo,OR(DashDept="",tblOT[[#This Row],[Department]]=DashDept)),tblOT[[#This Row],[Week starting]],""))</f>
        <v>46272</v>
      </c>
      <c r="R10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2" s="28" t="s">
        <v>144</v>
      </c>
    </row>
    <row r="103" spans="2:19" x14ac:dyDescent="0.25">
      <c r="B103" s="37">
        <v>46279</v>
      </c>
      <c r="C103" s="28" t="s">
        <v>99</v>
      </c>
      <c r="D103" s="29">
        <v>40</v>
      </c>
      <c r="E103" s="29">
        <v>0</v>
      </c>
      <c r="F103" s="29">
        <v>0</v>
      </c>
      <c r="G103" s="28" t="s">
        <v>144</v>
      </c>
      <c r="H103" s="28" t="s">
        <v>144</v>
      </c>
      <c r="I103" s="38" t="str">
        <f>IF(tblOT[[#This Row],[Week starting]]="","",IFERROR(INDEX(tblEmployees[Department],MATCH(tblOT[[#This Row],[Employee]],tblEmployees[Employee],0)),""))</f>
        <v>Processing</v>
      </c>
      <c r="J103" s="39">
        <f>IF(tblOT[[#This Row],[Week starting]]="","",IFERROR(INDEX(tblEmployees[Base rate],MATCH(tblOT[[#This Row],[Employee]],tblEmployees[Employee],0)),""))</f>
        <v>27.5</v>
      </c>
      <c r="K103" s="40">
        <f>IF(tblOT[[#This Row],[Week starting]]="","",tblOT[[#This Row],[OT at rate 1 (h)]]+tblOT[[#This Row],[OT at rate 2 (h)]])</f>
        <v>0</v>
      </c>
      <c r="L103" s="40">
        <f>IF(tblOT[[#This Row],[Week starting]]="","",tblOT[[#This Row],[Regular hours (h)]]+tblOT[[#This Row],[Overtime hours (h)]])</f>
        <v>40</v>
      </c>
      <c r="M103" s="41">
        <f>IF(tblOT[[#This Row],[Week starting]]="","",IF(tblOT[[#This Row],[Total hours (h)]]&gt;0,tblOT[[#This Row],[Overtime hours (h)]]/tblOT[[#This Row],[Total hours (h)]],""))</f>
        <v>0</v>
      </c>
      <c r="N103" s="39">
        <f>IF(tblOT[[#This Row],[Week starting]]="","",IF(tblOT[[#This Row],[Base rate]]="","",(tblOT[[#This Row],[OT at rate 1 (h)]]*Rate1+tblOT[[#This Row],[OT at rate 2 (h)]]*Rate2)*tblOT[[#This Row],[Base rate]]*(1+Burden)))</f>
        <v>0</v>
      </c>
      <c r="O103" s="39">
        <f>IF(tblOT[[#This Row],[Week starting]]="","",IF(tblOT[[#This Row],[Base rate]]="","",(tblOT[[#This Row],[OT at rate 1 (h)]]*(Rate1-1)+tblOT[[#This Row],[OT at rate 2 (h)]]*(Rate2-1))*tblOT[[#This Row],[Base rate]]*(1+Burden)))</f>
        <v>0</v>
      </c>
      <c r="P103" s="42" t="str">
        <f>IF(tblOT[[#This Row],[Week starting]]="","",IF(OR(tblOT[[#This Row],[Overtime hours (h)]]&gt;OTLimit,tblOT[[#This Row],[Total hours (h)]]&gt;TotalLimit),"Out of limits","Within limits"))</f>
        <v>Within limits</v>
      </c>
      <c r="Q103" s="43">
        <f>IF(tblOT[[#This Row],[Week starting]]="","",IF(AND(tblOT[[#This Row],[Week starting]]&gt;=FFrom,tblOT[[#This Row],[Week starting]]&lt;=FTo,OR(DashDept="",tblOT[[#This Row],[Department]]=DashDept)),tblOT[[#This Row],[Week starting]],""))</f>
        <v>46279</v>
      </c>
      <c r="R10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3" s="28" t="s">
        <v>144</v>
      </c>
    </row>
    <row r="104" spans="2:19" x14ac:dyDescent="0.25">
      <c r="B104" s="37">
        <v>46279</v>
      </c>
      <c r="C104" s="28" t="s">
        <v>100</v>
      </c>
      <c r="D104" s="29">
        <v>40</v>
      </c>
      <c r="E104" s="29">
        <v>0</v>
      </c>
      <c r="F104" s="29">
        <v>0</v>
      </c>
      <c r="G104" s="28" t="s">
        <v>144</v>
      </c>
      <c r="H104" s="28" t="s">
        <v>144</v>
      </c>
      <c r="I104" s="38" t="str">
        <f>IF(tblOT[[#This Row],[Week starting]]="","",IFERROR(INDEX(tblEmployees[Department],MATCH(tblOT[[#This Row],[Employee]],tblEmployees[Employee],0)),""))</f>
        <v>Processing</v>
      </c>
      <c r="J104" s="39">
        <f>IF(tblOT[[#This Row],[Week starting]]="","",IFERROR(INDEX(tblEmployees[Base rate],MATCH(tblOT[[#This Row],[Employee]],tblEmployees[Employee],0)),""))</f>
        <v>28.25</v>
      </c>
      <c r="K104" s="40">
        <f>IF(tblOT[[#This Row],[Week starting]]="","",tblOT[[#This Row],[OT at rate 1 (h)]]+tblOT[[#This Row],[OT at rate 2 (h)]])</f>
        <v>0</v>
      </c>
      <c r="L104" s="40">
        <f>IF(tblOT[[#This Row],[Week starting]]="","",tblOT[[#This Row],[Regular hours (h)]]+tblOT[[#This Row],[Overtime hours (h)]])</f>
        <v>40</v>
      </c>
      <c r="M104" s="41">
        <f>IF(tblOT[[#This Row],[Week starting]]="","",IF(tblOT[[#This Row],[Total hours (h)]]&gt;0,tblOT[[#This Row],[Overtime hours (h)]]/tblOT[[#This Row],[Total hours (h)]],""))</f>
        <v>0</v>
      </c>
      <c r="N104" s="39">
        <f>IF(tblOT[[#This Row],[Week starting]]="","",IF(tblOT[[#This Row],[Base rate]]="","",(tblOT[[#This Row],[OT at rate 1 (h)]]*Rate1+tblOT[[#This Row],[OT at rate 2 (h)]]*Rate2)*tblOT[[#This Row],[Base rate]]*(1+Burden)))</f>
        <v>0</v>
      </c>
      <c r="O104" s="39">
        <f>IF(tblOT[[#This Row],[Week starting]]="","",IF(tblOT[[#This Row],[Base rate]]="","",(tblOT[[#This Row],[OT at rate 1 (h)]]*(Rate1-1)+tblOT[[#This Row],[OT at rate 2 (h)]]*(Rate2-1))*tblOT[[#This Row],[Base rate]]*(1+Burden)))</f>
        <v>0</v>
      </c>
      <c r="P104" s="42" t="str">
        <f>IF(tblOT[[#This Row],[Week starting]]="","",IF(OR(tblOT[[#This Row],[Overtime hours (h)]]&gt;OTLimit,tblOT[[#This Row],[Total hours (h)]]&gt;TotalLimit),"Out of limits","Within limits"))</f>
        <v>Within limits</v>
      </c>
      <c r="Q104" s="43">
        <f>IF(tblOT[[#This Row],[Week starting]]="","",IF(AND(tblOT[[#This Row],[Week starting]]&gt;=FFrom,tblOT[[#This Row],[Week starting]]&lt;=FTo,OR(DashDept="",tblOT[[#This Row],[Department]]=DashDept)),tblOT[[#This Row],[Week starting]],""))</f>
        <v>46279</v>
      </c>
      <c r="R10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4" s="28" t="s">
        <v>144</v>
      </c>
    </row>
    <row r="105" spans="2:19" x14ac:dyDescent="0.25">
      <c r="B105" s="37">
        <v>46279</v>
      </c>
      <c r="C105" s="28" t="s">
        <v>101</v>
      </c>
      <c r="D105" s="29">
        <v>40</v>
      </c>
      <c r="E105" s="29">
        <v>0</v>
      </c>
      <c r="F105" s="29">
        <v>0</v>
      </c>
      <c r="G105" s="28" t="s">
        <v>144</v>
      </c>
      <c r="H105" s="28" t="s">
        <v>144</v>
      </c>
      <c r="I105" s="38" t="str">
        <f>IF(tblOT[[#This Row],[Week starting]]="","",IFERROR(INDEX(tblEmployees[Department],MATCH(tblOT[[#This Row],[Employee]],tblEmployees[Employee],0)),""))</f>
        <v>Processing</v>
      </c>
      <c r="J105" s="39">
        <f>IF(tblOT[[#This Row],[Week starting]]="","",IFERROR(INDEX(tblEmployees[Base rate],MATCH(tblOT[[#This Row],[Employee]],tblEmployees[Employee],0)),""))</f>
        <v>26.75</v>
      </c>
      <c r="K105" s="40">
        <f>IF(tblOT[[#This Row],[Week starting]]="","",tblOT[[#This Row],[OT at rate 1 (h)]]+tblOT[[#This Row],[OT at rate 2 (h)]])</f>
        <v>0</v>
      </c>
      <c r="L105" s="40">
        <f>IF(tblOT[[#This Row],[Week starting]]="","",tblOT[[#This Row],[Regular hours (h)]]+tblOT[[#This Row],[Overtime hours (h)]])</f>
        <v>40</v>
      </c>
      <c r="M105" s="41">
        <f>IF(tblOT[[#This Row],[Week starting]]="","",IF(tblOT[[#This Row],[Total hours (h)]]&gt;0,tblOT[[#This Row],[Overtime hours (h)]]/tblOT[[#This Row],[Total hours (h)]],""))</f>
        <v>0</v>
      </c>
      <c r="N105" s="39">
        <f>IF(tblOT[[#This Row],[Week starting]]="","",IF(tblOT[[#This Row],[Base rate]]="","",(tblOT[[#This Row],[OT at rate 1 (h)]]*Rate1+tblOT[[#This Row],[OT at rate 2 (h)]]*Rate2)*tblOT[[#This Row],[Base rate]]*(1+Burden)))</f>
        <v>0</v>
      </c>
      <c r="O105" s="39">
        <f>IF(tblOT[[#This Row],[Week starting]]="","",IF(tblOT[[#This Row],[Base rate]]="","",(tblOT[[#This Row],[OT at rate 1 (h)]]*(Rate1-1)+tblOT[[#This Row],[OT at rate 2 (h)]]*(Rate2-1))*tblOT[[#This Row],[Base rate]]*(1+Burden)))</f>
        <v>0</v>
      </c>
      <c r="P105" s="42" t="str">
        <f>IF(tblOT[[#This Row],[Week starting]]="","",IF(OR(tblOT[[#This Row],[Overtime hours (h)]]&gt;OTLimit,tblOT[[#This Row],[Total hours (h)]]&gt;TotalLimit),"Out of limits","Within limits"))</f>
        <v>Within limits</v>
      </c>
      <c r="Q105" s="43">
        <f>IF(tblOT[[#This Row],[Week starting]]="","",IF(AND(tblOT[[#This Row],[Week starting]]&gt;=FFrom,tblOT[[#This Row],[Week starting]]&lt;=FTo,OR(DashDept="",tblOT[[#This Row],[Department]]=DashDept)),tblOT[[#This Row],[Week starting]],""))</f>
        <v>46279</v>
      </c>
      <c r="R10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5" s="28" t="s">
        <v>144</v>
      </c>
    </row>
    <row r="106" spans="2:19" x14ac:dyDescent="0.25">
      <c r="B106" s="37">
        <v>46279</v>
      </c>
      <c r="C106" s="28" t="s">
        <v>102</v>
      </c>
      <c r="D106" s="29">
        <v>40</v>
      </c>
      <c r="E106" s="29">
        <v>2</v>
      </c>
      <c r="F106" s="29">
        <v>0</v>
      </c>
      <c r="G106" s="28" t="s">
        <v>116</v>
      </c>
      <c r="H106" s="28" t="s">
        <v>145</v>
      </c>
      <c r="I106" s="38" t="str">
        <f>IF(tblOT[[#This Row],[Week starting]]="","",IFERROR(INDEX(tblEmployees[Department],MATCH(tblOT[[#This Row],[Employee]],tblEmployees[Employee],0)),""))</f>
        <v>Processing</v>
      </c>
      <c r="J106" s="39">
        <f>IF(tblOT[[#This Row],[Week starting]]="","",IFERROR(INDEX(tblEmployees[Base rate],MATCH(tblOT[[#This Row],[Employee]],tblEmployees[Employee],0)),""))</f>
        <v>27</v>
      </c>
      <c r="K106" s="40">
        <f>IF(tblOT[[#This Row],[Week starting]]="","",tblOT[[#This Row],[OT at rate 1 (h)]]+tblOT[[#This Row],[OT at rate 2 (h)]])</f>
        <v>2</v>
      </c>
      <c r="L106" s="40">
        <f>IF(tblOT[[#This Row],[Week starting]]="","",tblOT[[#This Row],[Regular hours (h)]]+tblOT[[#This Row],[Overtime hours (h)]])</f>
        <v>42</v>
      </c>
      <c r="M106" s="41">
        <f>IF(tblOT[[#This Row],[Week starting]]="","",IF(tblOT[[#This Row],[Total hours (h)]]&gt;0,tblOT[[#This Row],[Overtime hours (h)]]/tblOT[[#This Row],[Total hours (h)]],""))</f>
        <v>0.0476190476190476</v>
      </c>
      <c r="N106" s="39">
        <f>IF(tblOT[[#This Row],[Week starting]]="","",IF(tblOT[[#This Row],[Base rate]]="","",(tblOT[[#This Row],[OT at rate 1 (h)]]*Rate1+tblOT[[#This Row],[OT at rate 2 (h)]]*Rate2)*tblOT[[#This Row],[Base rate]]*(1+Burden)))</f>
        <v>90.72</v>
      </c>
      <c r="O106" s="39">
        <f>IF(tblOT[[#This Row],[Week starting]]="","",IF(tblOT[[#This Row],[Base rate]]="","",(tblOT[[#This Row],[OT at rate 1 (h)]]*(Rate1-1)+tblOT[[#This Row],[OT at rate 2 (h)]]*(Rate2-1))*tblOT[[#This Row],[Base rate]]*(1+Burden)))</f>
        <v>30.24</v>
      </c>
      <c r="P106" s="42" t="str">
        <f>IF(tblOT[[#This Row],[Week starting]]="","",IF(OR(tblOT[[#This Row],[Overtime hours (h)]]&gt;OTLimit,tblOT[[#This Row],[Total hours (h)]]&gt;TotalLimit),"Out of limits","Within limits"))</f>
        <v>Within limits</v>
      </c>
      <c r="Q106" s="43">
        <f>IF(tblOT[[#This Row],[Week starting]]="","",IF(AND(tblOT[[#This Row],[Week starting]]&gt;=FFrom,tblOT[[#This Row],[Week starting]]&lt;=FTo,OR(DashDept="",tblOT[[#This Row],[Department]]=DashDept)),tblOT[[#This Row],[Week starting]],""))</f>
        <v>46279</v>
      </c>
      <c r="R10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6" s="28" t="s">
        <v>144</v>
      </c>
    </row>
    <row r="107" spans="2:19" x14ac:dyDescent="0.25">
      <c r="B107" s="37">
        <v>46279</v>
      </c>
      <c r="C107" s="28" t="s">
        <v>103</v>
      </c>
      <c r="D107" s="29">
        <v>40</v>
      </c>
      <c r="E107" s="29">
        <v>0</v>
      </c>
      <c r="F107" s="29">
        <v>0</v>
      </c>
      <c r="G107" s="28" t="s">
        <v>144</v>
      </c>
      <c r="H107" s="28" t="s">
        <v>144</v>
      </c>
      <c r="I107" s="38" t="str">
        <f>IF(tblOT[[#This Row],[Week starting]]="","",IFERROR(INDEX(tblEmployees[Department],MATCH(tblOT[[#This Row],[Employee]],tblEmployees[Employee],0)),""))</f>
        <v>Packaging</v>
      </c>
      <c r="J107" s="39">
        <f>IF(tblOT[[#This Row],[Week starting]]="","",IFERROR(INDEX(tblEmployees[Base rate],MATCH(tblOT[[#This Row],[Employee]],tblEmployees[Employee],0)),""))</f>
        <v>25.5</v>
      </c>
      <c r="K107" s="40">
        <f>IF(tblOT[[#This Row],[Week starting]]="","",tblOT[[#This Row],[OT at rate 1 (h)]]+tblOT[[#This Row],[OT at rate 2 (h)]])</f>
        <v>0</v>
      </c>
      <c r="L107" s="40">
        <f>IF(tblOT[[#This Row],[Week starting]]="","",tblOT[[#This Row],[Regular hours (h)]]+tblOT[[#This Row],[Overtime hours (h)]])</f>
        <v>40</v>
      </c>
      <c r="M107" s="41">
        <f>IF(tblOT[[#This Row],[Week starting]]="","",IF(tblOT[[#This Row],[Total hours (h)]]&gt;0,tblOT[[#This Row],[Overtime hours (h)]]/tblOT[[#This Row],[Total hours (h)]],""))</f>
        <v>0</v>
      </c>
      <c r="N107" s="39">
        <f>IF(tblOT[[#This Row],[Week starting]]="","",IF(tblOT[[#This Row],[Base rate]]="","",(tblOT[[#This Row],[OT at rate 1 (h)]]*Rate1+tblOT[[#This Row],[OT at rate 2 (h)]]*Rate2)*tblOT[[#This Row],[Base rate]]*(1+Burden)))</f>
        <v>0</v>
      </c>
      <c r="O107" s="39">
        <f>IF(tblOT[[#This Row],[Week starting]]="","",IF(tblOT[[#This Row],[Base rate]]="","",(tblOT[[#This Row],[OT at rate 1 (h)]]*(Rate1-1)+tblOT[[#This Row],[OT at rate 2 (h)]]*(Rate2-1))*tblOT[[#This Row],[Base rate]]*(1+Burden)))</f>
        <v>0</v>
      </c>
      <c r="P107" s="42" t="str">
        <f>IF(tblOT[[#This Row],[Week starting]]="","",IF(OR(tblOT[[#This Row],[Overtime hours (h)]]&gt;OTLimit,tblOT[[#This Row],[Total hours (h)]]&gt;TotalLimit),"Out of limits","Within limits"))</f>
        <v>Within limits</v>
      </c>
      <c r="Q107" s="43">
        <f>IF(tblOT[[#This Row],[Week starting]]="","",IF(AND(tblOT[[#This Row],[Week starting]]&gt;=FFrom,tblOT[[#This Row],[Week starting]]&lt;=FTo,OR(DashDept="",tblOT[[#This Row],[Department]]=DashDept)),tblOT[[#This Row],[Week starting]],""))</f>
        <v>46279</v>
      </c>
      <c r="R10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7" s="28" t="s">
        <v>144</v>
      </c>
    </row>
    <row r="108" spans="2:19" x14ac:dyDescent="0.25">
      <c r="B108" s="37">
        <v>46279</v>
      </c>
      <c r="C108" s="28" t="s">
        <v>104</v>
      </c>
      <c r="D108" s="29">
        <v>40</v>
      </c>
      <c r="E108" s="29">
        <v>0</v>
      </c>
      <c r="F108" s="29">
        <v>0</v>
      </c>
      <c r="G108" s="28" t="s">
        <v>144</v>
      </c>
      <c r="H108" s="28" t="s">
        <v>144</v>
      </c>
      <c r="I108" s="38" t="str">
        <f>IF(tblOT[[#This Row],[Week starting]]="","",IFERROR(INDEX(tblEmployees[Department],MATCH(tblOT[[#This Row],[Employee]],tblEmployees[Employee],0)),""))</f>
        <v>Packaging</v>
      </c>
      <c r="J108" s="39">
        <f>IF(tblOT[[#This Row],[Week starting]]="","",IFERROR(INDEX(tblEmployees[Base rate],MATCH(tblOT[[#This Row],[Employee]],tblEmployees[Employee],0)),""))</f>
        <v>24.75</v>
      </c>
      <c r="K108" s="40">
        <f>IF(tblOT[[#This Row],[Week starting]]="","",tblOT[[#This Row],[OT at rate 1 (h)]]+tblOT[[#This Row],[OT at rate 2 (h)]])</f>
        <v>0</v>
      </c>
      <c r="L108" s="40">
        <f>IF(tblOT[[#This Row],[Week starting]]="","",tblOT[[#This Row],[Regular hours (h)]]+tblOT[[#This Row],[Overtime hours (h)]])</f>
        <v>40</v>
      </c>
      <c r="M108" s="41">
        <f>IF(tblOT[[#This Row],[Week starting]]="","",IF(tblOT[[#This Row],[Total hours (h)]]&gt;0,tblOT[[#This Row],[Overtime hours (h)]]/tblOT[[#This Row],[Total hours (h)]],""))</f>
        <v>0</v>
      </c>
      <c r="N108" s="39">
        <f>IF(tblOT[[#This Row],[Week starting]]="","",IF(tblOT[[#This Row],[Base rate]]="","",(tblOT[[#This Row],[OT at rate 1 (h)]]*Rate1+tblOT[[#This Row],[OT at rate 2 (h)]]*Rate2)*tblOT[[#This Row],[Base rate]]*(1+Burden)))</f>
        <v>0</v>
      </c>
      <c r="O108" s="39">
        <f>IF(tblOT[[#This Row],[Week starting]]="","",IF(tblOT[[#This Row],[Base rate]]="","",(tblOT[[#This Row],[OT at rate 1 (h)]]*(Rate1-1)+tblOT[[#This Row],[OT at rate 2 (h)]]*(Rate2-1))*tblOT[[#This Row],[Base rate]]*(1+Burden)))</f>
        <v>0</v>
      </c>
      <c r="P108" s="42" t="str">
        <f>IF(tblOT[[#This Row],[Week starting]]="","",IF(OR(tblOT[[#This Row],[Overtime hours (h)]]&gt;OTLimit,tblOT[[#This Row],[Total hours (h)]]&gt;TotalLimit),"Out of limits","Within limits"))</f>
        <v>Within limits</v>
      </c>
      <c r="Q108" s="43">
        <f>IF(tblOT[[#This Row],[Week starting]]="","",IF(AND(tblOT[[#This Row],[Week starting]]&gt;=FFrom,tblOT[[#This Row],[Week starting]]&lt;=FTo,OR(DashDept="",tblOT[[#This Row],[Department]]=DashDept)),tblOT[[#This Row],[Week starting]],""))</f>
        <v>46279</v>
      </c>
      <c r="R10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8" s="28" t="s">
        <v>144</v>
      </c>
    </row>
    <row r="109" spans="2:19" x14ac:dyDescent="0.25">
      <c r="B109" s="37">
        <v>46279</v>
      </c>
      <c r="C109" s="28" t="s">
        <v>105</v>
      </c>
      <c r="D109" s="29">
        <v>40</v>
      </c>
      <c r="E109" s="29">
        <v>0</v>
      </c>
      <c r="F109" s="29">
        <v>0</v>
      </c>
      <c r="G109" s="28" t="s">
        <v>144</v>
      </c>
      <c r="H109" s="28" t="s">
        <v>144</v>
      </c>
      <c r="I109" s="38" t="str">
        <f>IF(tblOT[[#This Row],[Week starting]]="","",IFERROR(INDEX(tblEmployees[Department],MATCH(tblOT[[#This Row],[Employee]],tblEmployees[Employee],0)),""))</f>
        <v>Packaging</v>
      </c>
      <c r="J109" s="39">
        <f>IF(tblOT[[#This Row],[Week starting]]="","",IFERROR(INDEX(tblEmployees[Base rate],MATCH(tblOT[[#This Row],[Employee]],tblEmployees[Employee],0)),""))</f>
        <v>25</v>
      </c>
      <c r="K109" s="40">
        <f>IF(tblOT[[#This Row],[Week starting]]="","",tblOT[[#This Row],[OT at rate 1 (h)]]+tblOT[[#This Row],[OT at rate 2 (h)]])</f>
        <v>0</v>
      </c>
      <c r="L109" s="40">
        <f>IF(tblOT[[#This Row],[Week starting]]="","",tblOT[[#This Row],[Regular hours (h)]]+tblOT[[#This Row],[Overtime hours (h)]])</f>
        <v>40</v>
      </c>
      <c r="M109" s="41">
        <f>IF(tblOT[[#This Row],[Week starting]]="","",IF(tblOT[[#This Row],[Total hours (h)]]&gt;0,tblOT[[#This Row],[Overtime hours (h)]]/tblOT[[#This Row],[Total hours (h)]],""))</f>
        <v>0</v>
      </c>
      <c r="N109" s="39">
        <f>IF(tblOT[[#This Row],[Week starting]]="","",IF(tblOT[[#This Row],[Base rate]]="","",(tblOT[[#This Row],[OT at rate 1 (h)]]*Rate1+tblOT[[#This Row],[OT at rate 2 (h)]]*Rate2)*tblOT[[#This Row],[Base rate]]*(1+Burden)))</f>
        <v>0</v>
      </c>
      <c r="O109" s="39">
        <f>IF(tblOT[[#This Row],[Week starting]]="","",IF(tblOT[[#This Row],[Base rate]]="","",(tblOT[[#This Row],[OT at rate 1 (h)]]*(Rate1-1)+tblOT[[#This Row],[OT at rate 2 (h)]]*(Rate2-1))*tblOT[[#This Row],[Base rate]]*(1+Burden)))</f>
        <v>0</v>
      </c>
      <c r="P109" s="42" t="str">
        <f>IF(tblOT[[#This Row],[Week starting]]="","",IF(OR(tblOT[[#This Row],[Overtime hours (h)]]&gt;OTLimit,tblOT[[#This Row],[Total hours (h)]]&gt;TotalLimit),"Out of limits","Within limits"))</f>
        <v>Within limits</v>
      </c>
      <c r="Q109" s="43">
        <f>IF(tblOT[[#This Row],[Week starting]]="","",IF(AND(tblOT[[#This Row],[Week starting]]&gt;=FFrom,tblOT[[#This Row],[Week starting]]&lt;=FTo,OR(DashDept="",tblOT[[#This Row],[Department]]=DashDept)),tblOT[[#This Row],[Week starting]],""))</f>
        <v>46279</v>
      </c>
      <c r="R10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09" s="28" t="s">
        <v>144</v>
      </c>
    </row>
    <row r="110" spans="2:19" x14ac:dyDescent="0.25">
      <c r="B110" s="37">
        <v>46279</v>
      </c>
      <c r="C110" s="28" t="s">
        <v>106</v>
      </c>
      <c r="D110" s="29">
        <v>40</v>
      </c>
      <c r="E110" s="29">
        <v>0</v>
      </c>
      <c r="F110" s="29">
        <v>0</v>
      </c>
      <c r="G110" s="28" t="s">
        <v>144</v>
      </c>
      <c r="H110" s="28" t="s">
        <v>144</v>
      </c>
      <c r="I110" s="38" t="str">
        <f>IF(tblOT[[#This Row],[Week starting]]="","",IFERROR(INDEX(tblEmployees[Department],MATCH(tblOT[[#This Row],[Employee]],tblEmployees[Employee],0)),""))</f>
        <v>Packaging</v>
      </c>
      <c r="J110" s="39">
        <f>IF(tblOT[[#This Row],[Week starting]]="","",IFERROR(INDEX(tblEmployees[Base rate],MATCH(tblOT[[#This Row],[Employee]],tblEmployees[Employee],0)),""))</f>
        <v>24.5</v>
      </c>
      <c r="K110" s="40">
        <f>IF(tblOT[[#This Row],[Week starting]]="","",tblOT[[#This Row],[OT at rate 1 (h)]]+tblOT[[#This Row],[OT at rate 2 (h)]])</f>
        <v>0</v>
      </c>
      <c r="L110" s="40">
        <f>IF(tblOT[[#This Row],[Week starting]]="","",tblOT[[#This Row],[Regular hours (h)]]+tblOT[[#This Row],[Overtime hours (h)]])</f>
        <v>40</v>
      </c>
      <c r="M110" s="41">
        <f>IF(tblOT[[#This Row],[Week starting]]="","",IF(tblOT[[#This Row],[Total hours (h)]]&gt;0,tblOT[[#This Row],[Overtime hours (h)]]/tblOT[[#This Row],[Total hours (h)]],""))</f>
        <v>0</v>
      </c>
      <c r="N110" s="39">
        <f>IF(tblOT[[#This Row],[Week starting]]="","",IF(tblOT[[#This Row],[Base rate]]="","",(tblOT[[#This Row],[OT at rate 1 (h)]]*Rate1+tblOT[[#This Row],[OT at rate 2 (h)]]*Rate2)*tblOT[[#This Row],[Base rate]]*(1+Burden)))</f>
        <v>0</v>
      </c>
      <c r="O110" s="39">
        <f>IF(tblOT[[#This Row],[Week starting]]="","",IF(tblOT[[#This Row],[Base rate]]="","",(tblOT[[#This Row],[OT at rate 1 (h)]]*(Rate1-1)+tblOT[[#This Row],[OT at rate 2 (h)]]*(Rate2-1))*tblOT[[#This Row],[Base rate]]*(1+Burden)))</f>
        <v>0</v>
      </c>
      <c r="P110" s="42" t="str">
        <f>IF(tblOT[[#This Row],[Week starting]]="","",IF(OR(tblOT[[#This Row],[Overtime hours (h)]]&gt;OTLimit,tblOT[[#This Row],[Total hours (h)]]&gt;TotalLimit),"Out of limits","Within limits"))</f>
        <v>Within limits</v>
      </c>
      <c r="Q110" s="43">
        <f>IF(tblOT[[#This Row],[Week starting]]="","",IF(AND(tblOT[[#This Row],[Week starting]]&gt;=FFrom,tblOT[[#This Row],[Week starting]]&lt;=FTo,OR(DashDept="",tblOT[[#This Row],[Department]]=DashDept)),tblOT[[#This Row],[Week starting]],""))</f>
        <v>46279</v>
      </c>
      <c r="R11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0" s="28" t="s">
        <v>144</v>
      </c>
    </row>
    <row r="111" spans="2:19" x14ac:dyDescent="0.25">
      <c r="B111" s="37">
        <v>46279</v>
      </c>
      <c r="C111" s="28" t="s">
        <v>107</v>
      </c>
      <c r="D111" s="29">
        <v>40</v>
      </c>
      <c r="E111" s="29">
        <v>4</v>
      </c>
      <c r="F111" s="29">
        <v>0</v>
      </c>
      <c r="G111" s="28" t="s">
        <v>120</v>
      </c>
      <c r="H111" s="28" t="s">
        <v>146</v>
      </c>
      <c r="I111" s="38" t="str">
        <f>IF(tblOT[[#This Row],[Week starting]]="","",IFERROR(INDEX(tblEmployees[Department],MATCH(tblOT[[#This Row],[Employee]],tblEmployees[Employee],0)),""))</f>
        <v>Sanitation</v>
      </c>
      <c r="J111" s="39">
        <f>IF(tblOT[[#This Row],[Week starting]]="","",IFERROR(INDEX(tblEmployees[Base rate],MATCH(tblOT[[#This Row],[Employee]],tblEmployees[Employee],0)),""))</f>
        <v>24</v>
      </c>
      <c r="K111" s="40">
        <f>IF(tblOT[[#This Row],[Week starting]]="","",tblOT[[#This Row],[OT at rate 1 (h)]]+tblOT[[#This Row],[OT at rate 2 (h)]])</f>
        <v>4</v>
      </c>
      <c r="L111" s="40">
        <f>IF(tblOT[[#This Row],[Week starting]]="","",tblOT[[#This Row],[Regular hours (h)]]+tblOT[[#This Row],[Overtime hours (h)]])</f>
        <v>44</v>
      </c>
      <c r="M111" s="41">
        <f>IF(tblOT[[#This Row],[Week starting]]="","",IF(tblOT[[#This Row],[Total hours (h)]]&gt;0,tblOT[[#This Row],[Overtime hours (h)]]/tblOT[[#This Row],[Total hours (h)]],""))</f>
        <v>0.0909090909090909</v>
      </c>
      <c r="N111" s="39">
        <f>IF(tblOT[[#This Row],[Week starting]]="","",IF(tblOT[[#This Row],[Base rate]]="","",(tblOT[[#This Row],[OT at rate 1 (h)]]*Rate1+tblOT[[#This Row],[OT at rate 2 (h)]]*Rate2)*tblOT[[#This Row],[Base rate]]*(1+Burden)))</f>
        <v>161.28</v>
      </c>
      <c r="O111" s="39">
        <f>IF(tblOT[[#This Row],[Week starting]]="","",IF(tblOT[[#This Row],[Base rate]]="","",(tblOT[[#This Row],[OT at rate 1 (h)]]*(Rate1-1)+tblOT[[#This Row],[OT at rate 2 (h)]]*(Rate2-1))*tblOT[[#This Row],[Base rate]]*(1+Burden)))</f>
        <v>53.76</v>
      </c>
      <c r="P111" s="42" t="str">
        <f>IF(tblOT[[#This Row],[Week starting]]="","",IF(OR(tblOT[[#This Row],[Overtime hours (h)]]&gt;OTLimit,tblOT[[#This Row],[Total hours (h)]]&gt;TotalLimit),"Out of limits","Within limits"))</f>
        <v>Within limits</v>
      </c>
      <c r="Q111" s="43">
        <f>IF(tblOT[[#This Row],[Week starting]]="","",IF(AND(tblOT[[#This Row],[Week starting]]&gt;=FFrom,tblOT[[#This Row],[Week starting]]&lt;=FTo,OR(DashDept="",tblOT[[#This Row],[Department]]=DashDept)),tblOT[[#This Row],[Week starting]],""))</f>
        <v>46279</v>
      </c>
      <c r="R11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1" s="28" t="s">
        <v>144</v>
      </c>
    </row>
    <row r="112" spans="2:19" x14ac:dyDescent="0.25">
      <c r="B112" s="37">
        <v>46279</v>
      </c>
      <c r="C112" s="28" t="s">
        <v>108</v>
      </c>
      <c r="D112" s="29">
        <v>40</v>
      </c>
      <c r="E112" s="29">
        <v>0</v>
      </c>
      <c r="F112" s="29">
        <v>0</v>
      </c>
      <c r="G112" s="28" t="s">
        <v>144</v>
      </c>
      <c r="H112" s="28" t="s">
        <v>144</v>
      </c>
      <c r="I112" s="38" t="str">
        <f>IF(tblOT[[#This Row],[Week starting]]="","",IFERROR(INDEX(tblEmployees[Department],MATCH(tblOT[[#This Row],[Employee]],tblEmployees[Employee],0)),""))</f>
        <v>Sanitation</v>
      </c>
      <c r="J112" s="39">
        <f>IF(tblOT[[#This Row],[Week starting]]="","",IFERROR(INDEX(tblEmployees[Base rate],MATCH(tblOT[[#This Row],[Employee]],tblEmployees[Employee],0)),""))</f>
        <v>23.75</v>
      </c>
      <c r="K112" s="40">
        <f>IF(tblOT[[#This Row],[Week starting]]="","",tblOT[[#This Row],[OT at rate 1 (h)]]+tblOT[[#This Row],[OT at rate 2 (h)]])</f>
        <v>0</v>
      </c>
      <c r="L112" s="40">
        <f>IF(tblOT[[#This Row],[Week starting]]="","",tblOT[[#This Row],[Regular hours (h)]]+tblOT[[#This Row],[Overtime hours (h)]])</f>
        <v>40</v>
      </c>
      <c r="M112" s="41">
        <f>IF(tblOT[[#This Row],[Week starting]]="","",IF(tblOT[[#This Row],[Total hours (h)]]&gt;0,tblOT[[#This Row],[Overtime hours (h)]]/tblOT[[#This Row],[Total hours (h)]],""))</f>
        <v>0</v>
      </c>
      <c r="N112" s="39">
        <f>IF(tblOT[[#This Row],[Week starting]]="","",IF(tblOT[[#This Row],[Base rate]]="","",(tblOT[[#This Row],[OT at rate 1 (h)]]*Rate1+tblOT[[#This Row],[OT at rate 2 (h)]]*Rate2)*tblOT[[#This Row],[Base rate]]*(1+Burden)))</f>
        <v>0</v>
      </c>
      <c r="O112" s="39">
        <f>IF(tblOT[[#This Row],[Week starting]]="","",IF(tblOT[[#This Row],[Base rate]]="","",(tblOT[[#This Row],[OT at rate 1 (h)]]*(Rate1-1)+tblOT[[#This Row],[OT at rate 2 (h)]]*(Rate2-1))*tblOT[[#This Row],[Base rate]]*(1+Burden)))</f>
        <v>0</v>
      </c>
      <c r="P112" s="42" t="str">
        <f>IF(tblOT[[#This Row],[Week starting]]="","",IF(OR(tblOT[[#This Row],[Overtime hours (h)]]&gt;OTLimit,tblOT[[#This Row],[Total hours (h)]]&gt;TotalLimit),"Out of limits","Within limits"))</f>
        <v>Within limits</v>
      </c>
      <c r="Q112" s="43">
        <f>IF(tblOT[[#This Row],[Week starting]]="","",IF(AND(tblOT[[#This Row],[Week starting]]&gt;=FFrom,tblOT[[#This Row],[Week starting]]&lt;=FTo,OR(DashDept="",tblOT[[#This Row],[Department]]=DashDept)),tblOT[[#This Row],[Week starting]],""))</f>
        <v>46279</v>
      </c>
      <c r="R11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2" s="28" t="s">
        <v>144</v>
      </c>
    </row>
    <row r="113" spans="2:19" x14ac:dyDescent="0.25">
      <c r="B113" s="37">
        <v>46279</v>
      </c>
      <c r="C113" s="28" t="s">
        <v>109</v>
      </c>
      <c r="D113" s="29">
        <v>40</v>
      </c>
      <c r="E113" s="29">
        <v>0</v>
      </c>
      <c r="F113" s="29">
        <v>0</v>
      </c>
      <c r="G113" s="28" t="s">
        <v>144</v>
      </c>
      <c r="H113" s="28" t="s">
        <v>144</v>
      </c>
      <c r="I113" s="38" t="str">
        <f>IF(tblOT[[#This Row],[Week starting]]="","",IFERROR(INDEX(tblEmployees[Department],MATCH(tblOT[[#This Row],[Employee]],tblEmployees[Employee],0)),""))</f>
        <v>Sanitation</v>
      </c>
      <c r="J113" s="39">
        <f>IF(tblOT[[#This Row],[Week starting]]="","",IFERROR(INDEX(tblEmployees[Base rate],MATCH(tblOT[[#This Row],[Employee]],tblEmployees[Employee],0)),""))</f>
        <v>24.25</v>
      </c>
      <c r="K113" s="40">
        <f>IF(tblOT[[#This Row],[Week starting]]="","",tblOT[[#This Row],[OT at rate 1 (h)]]+tblOT[[#This Row],[OT at rate 2 (h)]])</f>
        <v>0</v>
      </c>
      <c r="L113" s="40">
        <f>IF(tblOT[[#This Row],[Week starting]]="","",tblOT[[#This Row],[Regular hours (h)]]+tblOT[[#This Row],[Overtime hours (h)]])</f>
        <v>40</v>
      </c>
      <c r="M113" s="41">
        <f>IF(tblOT[[#This Row],[Week starting]]="","",IF(tblOT[[#This Row],[Total hours (h)]]&gt;0,tblOT[[#This Row],[Overtime hours (h)]]/tblOT[[#This Row],[Total hours (h)]],""))</f>
        <v>0</v>
      </c>
      <c r="N113" s="39">
        <f>IF(tblOT[[#This Row],[Week starting]]="","",IF(tblOT[[#This Row],[Base rate]]="","",(tblOT[[#This Row],[OT at rate 1 (h)]]*Rate1+tblOT[[#This Row],[OT at rate 2 (h)]]*Rate2)*tblOT[[#This Row],[Base rate]]*(1+Burden)))</f>
        <v>0</v>
      </c>
      <c r="O113" s="39">
        <f>IF(tblOT[[#This Row],[Week starting]]="","",IF(tblOT[[#This Row],[Base rate]]="","",(tblOT[[#This Row],[OT at rate 1 (h)]]*(Rate1-1)+tblOT[[#This Row],[OT at rate 2 (h)]]*(Rate2-1))*tblOT[[#This Row],[Base rate]]*(1+Burden)))</f>
        <v>0</v>
      </c>
      <c r="P113" s="42" t="str">
        <f>IF(tblOT[[#This Row],[Week starting]]="","",IF(OR(tblOT[[#This Row],[Overtime hours (h)]]&gt;OTLimit,tblOT[[#This Row],[Total hours (h)]]&gt;TotalLimit),"Out of limits","Within limits"))</f>
        <v>Within limits</v>
      </c>
      <c r="Q113" s="43">
        <f>IF(tblOT[[#This Row],[Week starting]]="","",IF(AND(tblOT[[#This Row],[Week starting]]&gt;=FFrom,tblOT[[#This Row],[Week starting]]&lt;=FTo,OR(DashDept="",tblOT[[#This Row],[Department]]=DashDept)),tblOT[[#This Row],[Week starting]],""))</f>
        <v>46279</v>
      </c>
      <c r="R11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3" s="28" t="s">
        <v>144</v>
      </c>
    </row>
    <row r="114" spans="2:19" x14ac:dyDescent="0.25">
      <c r="B114" s="37">
        <v>46279</v>
      </c>
      <c r="C114" s="28" t="s">
        <v>110</v>
      </c>
      <c r="D114" s="29">
        <v>40</v>
      </c>
      <c r="E114" s="29">
        <v>0</v>
      </c>
      <c r="F114" s="29">
        <v>0</v>
      </c>
      <c r="G114" s="28" t="s">
        <v>144</v>
      </c>
      <c r="H114" s="28" t="s">
        <v>144</v>
      </c>
      <c r="I114" s="38" t="str">
        <f>IF(tblOT[[#This Row],[Week starting]]="","",IFERROR(INDEX(tblEmployees[Department],MATCH(tblOT[[#This Row],[Employee]],tblEmployees[Employee],0)),""))</f>
        <v>Maintenance</v>
      </c>
      <c r="J114" s="39">
        <f>IF(tblOT[[#This Row],[Week starting]]="","",IFERROR(INDEX(tblEmployees[Base rate],MATCH(tblOT[[#This Row],[Employee]],tblEmployees[Employee],0)),""))</f>
        <v>38.5</v>
      </c>
      <c r="K114" s="40">
        <f>IF(tblOT[[#This Row],[Week starting]]="","",tblOT[[#This Row],[OT at rate 1 (h)]]+tblOT[[#This Row],[OT at rate 2 (h)]])</f>
        <v>0</v>
      </c>
      <c r="L114" s="40">
        <f>IF(tblOT[[#This Row],[Week starting]]="","",tblOT[[#This Row],[Regular hours (h)]]+tblOT[[#This Row],[Overtime hours (h)]])</f>
        <v>40</v>
      </c>
      <c r="M114" s="41">
        <f>IF(tblOT[[#This Row],[Week starting]]="","",IF(tblOT[[#This Row],[Total hours (h)]]&gt;0,tblOT[[#This Row],[Overtime hours (h)]]/tblOT[[#This Row],[Total hours (h)]],""))</f>
        <v>0</v>
      </c>
      <c r="N114" s="39">
        <f>IF(tblOT[[#This Row],[Week starting]]="","",IF(tblOT[[#This Row],[Base rate]]="","",(tblOT[[#This Row],[OT at rate 1 (h)]]*Rate1+tblOT[[#This Row],[OT at rate 2 (h)]]*Rate2)*tblOT[[#This Row],[Base rate]]*(1+Burden)))</f>
        <v>0</v>
      </c>
      <c r="O114" s="39">
        <f>IF(tblOT[[#This Row],[Week starting]]="","",IF(tblOT[[#This Row],[Base rate]]="","",(tblOT[[#This Row],[OT at rate 1 (h)]]*(Rate1-1)+tblOT[[#This Row],[OT at rate 2 (h)]]*(Rate2-1))*tblOT[[#This Row],[Base rate]]*(1+Burden)))</f>
        <v>0</v>
      </c>
      <c r="P114" s="42" t="str">
        <f>IF(tblOT[[#This Row],[Week starting]]="","",IF(OR(tblOT[[#This Row],[Overtime hours (h)]]&gt;OTLimit,tblOT[[#This Row],[Total hours (h)]]&gt;TotalLimit),"Out of limits","Within limits"))</f>
        <v>Within limits</v>
      </c>
      <c r="Q114" s="43">
        <f>IF(tblOT[[#This Row],[Week starting]]="","",IF(AND(tblOT[[#This Row],[Week starting]]&gt;=FFrom,tblOT[[#This Row],[Week starting]]&lt;=FTo,OR(DashDept="",tblOT[[#This Row],[Department]]=DashDept)),tblOT[[#This Row],[Week starting]],""))</f>
        <v>46279</v>
      </c>
      <c r="R11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4" s="28" t="s">
        <v>144</v>
      </c>
    </row>
    <row r="115" spans="2:19" x14ac:dyDescent="0.25">
      <c r="B115" s="37">
        <v>46279</v>
      </c>
      <c r="C115" s="28" t="s">
        <v>111</v>
      </c>
      <c r="D115" s="29">
        <v>40</v>
      </c>
      <c r="E115" s="29">
        <v>0</v>
      </c>
      <c r="F115" s="29">
        <v>0</v>
      </c>
      <c r="G115" s="28" t="s">
        <v>144</v>
      </c>
      <c r="H115" s="28" t="s">
        <v>144</v>
      </c>
      <c r="I115" s="38" t="str">
        <f>IF(tblOT[[#This Row],[Week starting]]="","",IFERROR(INDEX(tblEmployees[Department],MATCH(tblOT[[#This Row],[Employee]],tblEmployees[Employee],0)),""))</f>
        <v>Maintenance</v>
      </c>
      <c r="J115" s="39">
        <f>IF(tblOT[[#This Row],[Week starting]]="","",IFERROR(INDEX(tblEmployees[Base rate],MATCH(tblOT[[#This Row],[Employee]],tblEmployees[Employee],0)),""))</f>
        <v>37</v>
      </c>
      <c r="K115" s="40">
        <f>IF(tblOT[[#This Row],[Week starting]]="","",tblOT[[#This Row],[OT at rate 1 (h)]]+tblOT[[#This Row],[OT at rate 2 (h)]])</f>
        <v>0</v>
      </c>
      <c r="L115" s="40">
        <f>IF(tblOT[[#This Row],[Week starting]]="","",tblOT[[#This Row],[Regular hours (h)]]+tblOT[[#This Row],[Overtime hours (h)]])</f>
        <v>40</v>
      </c>
      <c r="M115" s="41">
        <f>IF(tblOT[[#This Row],[Week starting]]="","",IF(tblOT[[#This Row],[Total hours (h)]]&gt;0,tblOT[[#This Row],[Overtime hours (h)]]/tblOT[[#This Row],[Total hours (h)]],""))</f>
        <v>0</v>
      </c>
      <c r="N115" s="39">
        <f>IF(tblOT[[#This Row],[Week starting]]="","",IF(tblOT[[#This Row],[Base rate]]="","",(tblOT[[#This Row],[OT at rate 1 (h)]]*Rate1+tblOT[[#This Row],[OT at rate 2 (h)]]*Rate2)*tblOT[[#This Row],[Base rate]]*(1+Burden)))</f>
        <v>0</v>
      </c>
      <c r="O115" s="39">
        <f>IF(tblOT[[#This Row],[Week starting]]="","",IF(tblOT[[#This Row],[Base rate]]="","",(tblOT[[#This Row],[OT at rate 1 (h)]]*(Rate1-1)+tblOT[[#This Row],[OT at rate 2 (h)]]*(Rate2-1))*tblOT[[#This Row],[Base rate]]*(1+Burden)))</f>
        <v>0</v>
      </c>
      <c r="P115" s="42" t="str">
        <f>IF(tblOT[[#This Row],[Week starting]]="","",IF(OR(tblOT[[#This Row],[Overtime hours (h)]]&gt;OTLimit,tblOT[[#This Row],[Total hours (h)]]&gt;TotalLimit),"Out of limits","Within limits"))</f>
        <v>Within limits</v>
      </c>
      <c r="Q115" s="43">
        <f>IF(tblOT[[#This Row],[Week starting]]="","",IF(AND(tblOT[[#This Row],[Week starting]]&gt;=FFrom,tblOT[[#This Row],[Week starting]]&lt;=FTo,OR(DashDept="",tblOT[[#This Row],[Department]]=DashDept)),tblOT[[#This Row],[Week starting]],""))</f>
        <v>46279</v>
      </c>
      <c r="R11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5" s="28" t="s">
        <v>144</v>
      </c>
    </row>
    <row r="116" spans="2:19" x14ac:dyDescent="0.25">
      <c r="B116" s="37">
        <v>46279</v>
      </c>
      <c r="C116" s="28" t="s">
        <v>112</v>
      </c>
      <c r="D116" s="29">
        <v>40</v>
      </c>
      <c r="E116" s="29">
        <v>6</v>
      </c>
      <c r="F116" s="29">
        <v>0</v>
      </c>
      <c r="G116" s="28" t="s">
        <v>124</v>
      </c>
      <c r="H116" s="28" t="s">
        <v>149</v>
      </c>
      <c r="I116" s="38" t="str">
        <f>IF(tblOT[[#This Row],[Week starting]]="","",IFERROR(INDEX(tblEmployees[Department],MATCH(tblOT[[#This Row],[Employee]],tblEmployees[Employee],0)),""))</f>
        <v>Maintenance</v>
      </c>
      <c r="J116" s="39">
        <f>IF(tblOT[[#This Row],[Week starting]]="","",IFERROR(INDEX(tblEmployees[Base rate],MATCH(tblOT[[#This Row],[Employee]],tblEmployees[Employee],0)),""))</f>
        <v>36.25</v>
      </c>
      <c r="K116" s="40">
        <f>IF(tblOT[[#This Row],[Week starting]]="","",tblOT[[#This Row],[OT at rate 1 (h)]]+tblOT[[#This Row],[OT at rate 2 (h)]])</f>
        <v>6</v>
      </c>
      <c r="L116" s="40">
        <f>IF(tblOT[[#This Row],[Week starting]]="","",tblOT[[#This Row],[Regular hours (h)]]+tblOT[[#This Row],[Overtime hours (h)]])</f>
        <v>46</v>
      </c>
      <c r="M116" s="41">
        <f>IF(tblOT[[#This Row],[Week starting]]="","",IF(tblOT[[#This Row],[Total hours (h)]]&gt;0,tblOT[[#This Row],[Overtime hours (h)]]/tblOT[[#This Row],[Total hours (h)]],""))</f>
        <v>0.130434782608696</v>
      </c>
      <c r="N116" s="39">
        <f>IF(tblOT[[#This Row],[Week starting]]="","",IF(tblOT[[#This Row],[Base rate]]="","",(tblOT[[#This Row],[OT at rate 1 (h)]]*Rate1+tblOT[[#This Row],[OT at rate 2 (h)]]*Rate2)*tblOT[[#This Row],[Base rate]]*(1+Burden)))</f>
        <v>365.4</v>
      </c>
      <c r="O116" s="39">
        <f>IF(tblOT[[#This Row],[Week starting]]="","",IF(tblOT[[#This Row],[Base rate]]="","",(tblOT[[#This Row],[OT at rate 1 (h)]]*(Rate1-1)+tblOT[[#This Row],[OT at rate 2 (h)]]*(Rate2-1))*tblOT[[#This Row],[Base rate]]*(1+Burden)))</f>
        <v>121.8</v>
      </c>
      <c r="P116" s="42" t="str">
        <f>IF(tblOT[[#This Row],[Week starting]]="","",IF(OR(tblOT[[#This Row],[Overtime hours (h)]]&gt;OTLimit,tblOT[[#This Row],[Total hours (h)]]&gt;TotalLimit),"Out of limits","Within limits"))</f>
        <v>Within limits</v>
      </c>
      <c r="Q116" s="43">
        <f>IF(tblOT[[#This Row],[Week starting]]="","",IF(AND(tblOT[[#This Row],[Week starting]]&gt;=FFrom,tblOT[[#This Row],[Week starting]]&lt;=FTo,OR(DashDept="",tblOT[[#This Row],[Department]]=DashDept)),tblOT[[#This Row],[Week starting]],""))</f>
        <v>46279</v>
      </c>
      <c r="R11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6" s="28" t="s">
        <v>144</v>
      </c>
    </row>
    <row r="117" spans="2:19" x14ac:dyDescent="0.25">
      <c r="B117" s="37">
        <v>46279</v>
      </c>
      <c r="C117" s="28" t="s">
        <v>113</v>
      </c>
      <c r="D117" s="29">
        <v>40</v>
      </c>
      <c r="E117" s="29">
        <v>0</v>
      </c>
      <c r="F117" s="29">
        <v>0</v>
      </c>
      <c r="G117" s="28" t="s">
        <v>144</v>
      </c>
      <c r="H117" s="28" t="s">
        <v>144</v>
      </c>
      <c r="I117" s="38" t="str">
        <f>IF(tblOT[[#This Row],[Week starting]]="","",IFERROR(INDEX(tblEmployees[Department],MATCH(tblOT[[#This Row],[Employee]],tblEmployees[Employee],0)),""))</f>
        <v>Warehouse</v>
      </c>
      <c r="J117" s="39">
        <f>IF(tblOT[[#This Row],[Week starting]]="","",IFERROR(INDEX(tblEmployees[Base rate],MATCH(tblOT[[#This Row],[Employee]],tblEmployees[Employee],0)),""))</f>
        <v>26</v>
      </c>
      <c r="K117" s="40">
        <f>IF(tblOT[[#This Row],[Week starting]]="","",tblOT[[#This Row],[OT at rate 1 (h)]]+tblOT[[#This Row],[OT at rate 2 (h)]])</f>
        <v>0</v>
      </c>
      <c r="L117" s="40">
        <f>IF(tblOT[[#This Row],[Week starting]]="","",tblOT[[#This Row],[Regular hours (h)]]+tblOT[[#This Row],[Overtime hours (h)]])</f>
        <v>40</v>
      </c>
      <c r="M117" s="41">
        <f>IF(tblOT[[#This Row],[Week starting]]="","",IF(tblOT[[#This Row],[Total hours (h)]]&gt;0,tblOT[[#This Row],[Overtime hours (h)]]/tblOT[[#This Row],[Total hours (h)]],""))</f>
        <v>0</v>
      </c>
      <c r="N117" s="39">
        <f>IF(tblOT[[#This Row],[Week starting]]="","",IF(tblOT[[#This Row],[Base rate]]="","",(tblOT[[#This Row],[OT at rate 1 (h)]]*Rate1+tblOT[[#This Row],[OT at rate 2 (h)]]*Rate2)*tblOT[[#This Row],[Base rate]]*(1+Burden)))</f>
        <v>0</v>
      </c>
      <c r="O117" s="39">
        <f>IF(tblOT[[#This Row],[Week starting]]="","",IF(tblOT[[#This Row],[Base rate]]="","",(tblOT[[#This Row],[OT at rate 1 (h)]]*(Rate1-1)+tblOT[[#This Row],[OT at rate 2 (h)]]*(Rate2-1))*tblOT[[#This Row],[Base rate]]*(1+Burden)))</f>
        <v>0</v>
      </c>
      <c r="P117" s="42" t="str">
        <f>IF(tblOT[[#This Row],[Week starting]]="","",IF(OR(tblOT[[#This Row],[Overtime hours (h)]]&gt;OTLimit,tblOT[[#This Row],[Total hours (h)]]&gt;TotalLimit),"Out of limits","Within limits"))</f>
        <v>Within limits</v>
      </c>
      <c r="Q117" s="43">
        <f>IF(tblOT[[#This Row],[Week starting]]="","",IF(AND(tblOT[[#This Row],[Week starting]]&gt;=FFrom,tblOT[[#This Row],[Week starting]]&lt;=FTo,OR(DashDept="",tblOT[[#This Row],[Department]]=DashDept)),tblOT[[#This Row],[Week starting]],""))</f>
        <v>46279</v>
      </c>
      <c r="R11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7" s="28" t="s">
        <v>144</v>
      </c>
    </row>
    <row r="118" spans="2:19" x14ac:dyDescent="0.25">
      <c r="B118" s="37">
        <v>46279</v>
      </c>
      <c r="C118" s="28" t="s">
        <v>114</v>
      </c>
      <c r="D118" s="29">
        <v>40</v>
      </c>
      <c r="E118" s="29">
        <v>0</v>
      </c>
      <c r="F118" s="29">
        <v>0</v>
      </c>
      <c r="G118" s="28" t="s">
        <v>144</v>
      </c>
      <c r="H118" s="28" t="s">
        <v>144</v>
      </c>
      <c r="I118" s="38" t="str">
        <f>IF(tblOT[[#This Row],[Week starting]]="","",IFERROR(INDEX(tblEmployees[Department],MATCH(tblOT[[#This Row],[Employee]],tblEmployees[Employee],0)),""))</f>
        <v>Warehouse</v>
      </c>
      <c r="J118" s="39">
        <f>IF(tblOT[[#This Row],[Week starting]]="","",IFERROR(INDEX(tblEmployees[Base rate],MATCH(tblOT[[#This Row],[Employee]],tblEmployees[Employee],0)),""))</f>
        <v>25.75</v>
      </c>
      <c r="K118" s="40">
        <f>IF(tblOT[[#This Row],[Week starting]]="","",tblOT[[#This Row],[OT at rate 1 (h)]]+tblOT[[#This Row],[OT at rate 2 (h)]])</f>
        <v>0</v>
      </c>
      <c r="L118" s="40">
        <f>IF(tblOT[[#This Row],[Week starting]]="","",tblOT[[#This Row],[Regular hours (h)]]+tblOT[[#This Row],[Overtime hours (h)]])</f>
        <v>40</v>
      </c>
      <c r="M118" s="41">
        <f>IF(tblOT[[#This Row],[Week starting]]="","",IF(tblOT[[#This Row],[Total hours (h)]]&gt;0,tblOT[[#This Row],[Overtime hours (h)]]/tblOT[[#This Row],[Total hours (h)]],""))</f>
        <v>0</v>
      </c>
      <c r="N118" s="39">
        <f>IF(tblOT[[#This Row],[Week starting]]="","",IF(tblOT[[#This Row],[Base rate]]="","",(tblOT[[#This Row],[OT at rate 1 (h)]]*Rate1+tblOT[[#This Row],[OT at rate 2 (h)]]*Rate2)*tblOT[[#This Row],[Base rate]]*(1+Burden)))</f>
        <v>0</v>
      </c>
      <c r="O118" s="39">
        <f>IF(tblOT[[#This Row],[Week starting]]="","",IF(tblOT[[#This Row],[Base rate]]="","",(tblOT[[#This Row],[OT at rate 1 (h)]]*(Rate1-1)+tblOT[[#This Row],[OT at rate 2 (h)]]*(Rate2-1))*tblOT[[#This Row],[Base rate]]*(1+Burden)))</f>
        <v>0</v>
      </c>
      <c r="P118" s="42" t="str">
        <f>IF(tblOT[[#This Row],[Week starting]]="","",IF(OR(tblOT[[#This Row],[Overtime hours (h)]]&gt;OTLimit,tblOT[[#This Row],[Total hours (h)]]&gt;TotalLimit),"Out of limits","Within limits"))</f>
        <v>Within limits</v>
      </c>
      <c r="Q118" s="43">
        <f>IF(tblOT[[#This Row],[Week starting]]="","",IF(AND(tblOT[[#This Row],[Week starting]]&gt;=FFrom,tblOT[[#This Row],[Week starting]]&lt;=FTo,OR(DashDept="",tblOT[[#This Row],[Department]]=DashDept)),tblOT[[#This Row],[Week starting]],""))</f>
        <v>46279</v>
      </c>
      <c r="R11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8" s="28" t="s">
        <v>144</v>
      </c>
    </row>
    <row r="119" spans="2:19" x14ac:dyDescent="0.25">
      <c r="B119" s="37">
        <v>46286</v>
      </c>
      <c r="C119" s="28" t="s">
        <v>99</v>
      </c>
      <c r="D119" s="29">
        <v>40</v>
      </c>
      <c r="E119" s="29">
        <v>4.5</v>
      </c>
      <c r="F119" s="29">
        <v>0</v>
      </c>
      <c r="G119" s="28" t="s">
        <v>116</v>
      </c>
      <c r="H119" s="28" t="s">
        <v>145</v>
      </c>
      <c r="I119" s="38" t="str">
        <f>IF(tblOT[[#This Row],[Week starting]]="","",IFERROR(INDEX(tblEmployees[Department],MATCH(tblOT[[#This Row],[Employee]],tblEmployees[Employee],0)),""))</f>
        <v>Processing</v>
      </c>
      <c r="J119" s="39">
        <f>IF(tblOT[[#This Row],[Week starting]]="","",IFERROR(INDEX(tblEmployees[Base rate],MATCH(tblOT[[#This Row],[Employee]],tblEmployees[Employee],0)),""))</f>
        <v>27.5</v>
      </c>
      <c r="K119" s="40">
        <f>IF(tblOT[[#This Row],[Week starting]]="","",tblOT[[#This Row],[OT at rate 1 (h)]]+tblOT[[#This Row],[OT at rate 2 (h)]])</f>
        <v>4.5</v>
      </c>
      <c r="L119" s="40">
        <f>IF(tblOT[[#This Row],[Week starting]]="","",tblOT[[#This Row],[Regular hours (h)]]+tblOT[[#This Row],[Overtime hours (h)]])</f>
        <v>44.5</v>
      </c>
      <c r="M119" s="41">
        <f>IF(tblOT[[#This Row],[Week starting]]="","",IF(tblOT[[#This Row],[Total hours (h)]]&gt;0,tblOT[[#This Row],[Overtime hours (h)]]/tblOT[[#This Row],[Total hours (h)]],""))</f>
        <v>0.101123595505618</v>
      </c>
      <c r="N119" s="39">
        <f>IF(tblOT[[#This Row],[Week starting]]="","",IF(tblOT[[#This Row],[Base rate]]="","",(tblOT[[#This Row],[OT at rate 1 (h)]]*Rate1+tblOT[[#This Row],[OT at rate 2 (h)]]*Rate2)*tblOT[[#This Row],[Base rate]]*(1+Burden)))</f>
        <v>207.9</v>
      </c>
      <c r="O119" s="39">
        <f>IF(tblOT[[#This Row],[Week starting]]="","",IF(tblOT[[#This Row],[Base rate]]="","",(tblOT[[#This Row],[OT at rate 1 (h)]]*(Rate1-1)+tblOT[[#This Row],[OT at rate 2 (h)]]*(Rate2-1))*tblOT[[#This Row],[Base rate]]*(1+Burden)))</f>
        <v>69.3</v>
      </c>
      <c r="P119" s="42" t="str">
        <f>IF(tblOT[[#This Row],[Week starting]]="","",IF(OR(tblOT[[#This Row],[Overtime hours (h)]]&gt;OTLimit,tblOT[[#This Row],[Total hours (h)]]&gt;TotalLimit),"Out of limits","Within limits"))</f>
        <v>Within limits</v>
      </c>
      <c r="Q119" s="43">
        <f>IF(tblOT[[#This Row],[Week starting]]="","",IF(AND(tblOT[[#This Row],[Week starting]]&gt;=FFrom,tblOT[[#This Row],[Week starting]]&lt;=FTo,OR(DashDept="",tblOT[[#This Row],[Department]]=DashDept)),tblOT[[#This Row],[Week starting]],""))</f>
        <v>46286</v>
      </c>
      <c r="R11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19" s="28" t="s">
        <v>144</v>
      </c>
    </row>
    <row r="120" spans="2:19" x14ac:dyDescent="0.25">
      <c r="B120" s="37">
        <v>46286</v>
      </c>
      <c r="C120" s="28" t="s">
        <v>100</v>
      </c>
      <c r="D120" s="29">
        <v>40</v>
      </c>
      <c r="E120" s="29">
        <v>7</v>
      </c>
      <c r="F120" s="29">
        <v>0</v>
      </c>
      <c r="G120" s="28" t="s">
        <v>116</v>
      </c>
      <c r="H120" s="28" t="s">
        <v>145</v>
      </c>
      <c r="I120" s="38" t="str">
        <f>IF(tblOT[[#This Row],[Week starting]]="","",IFERROR(INDEX(tblEmployees[Department],MATCH(tblOT[[#This Row],[Employee]],tblEmployees[Employee],0)),""))</f>
        <v>Processing</v>
      </c>
      <c r="J120" s="39">
        <f>IF(tblOT[[#This Row],[Week starting]]="","",IFERROR(INDEX(tblEmployees[Base rate],MATCH(tblOT[[#This Row],[Employee]],tblEmployees[Employee],0)),""))</f>
        <v>28.25</v>
      </c>
      <c r="K120" s="40">
        <f>IF(tblOT[[#This Row],[Week starting]]="","",tblOT[[#This Row],[OT at rate 1 (h)]]+tblOT[[#This Row],[OT at rate 2 (h)]])</f>
        <v>7</v>
      </c>
      <c r="L120" s="40">
        <f>IF(tblOT[[#This Row],[Week starting]]="","",tblOT[[#This Row],[Regular hours (h)]]+tblOT[[#This Row],[Overtime hours (h)]])</f>
        <v>47</v>
      </c>
      <c r="M120" s="41">
        <f>IF(tblOT[[#This Row],[Week starting]]="","",IF(tblOT[[#This Row],[Total hours (h)]]&gt;0,tblOT[[#This Row],[Overtime hours (h)]]/tblOT[[#This Row],[Total hours (h)]],""))</f>
        <v>0.148936170212766</v>
      </c>
      <c r="N120" s="39">
        <f>IF(tblOT[[#This Row],[Week starting]]="","",IF(tblOT[[#This Row],[Base rate]]="","",(tblOT[[#This Row],[OT at rate 1 (h)]]*Rate1+tblOT[[#This Row],[OT at rate 2 (h)]]*Rate2)*tblOT[[#This Row],[Base rate]]*(1+Burden)))</f>
        <v>332.22</v>
      </c>
      <c r="O120" s="39">
        <f>IF(tblOT[[#This Row],[Week starting]]="","",IF(tblOT[[#This Row],[Base rate]]="","",(tblOT[[#This Row],[OT at rate 1 (h)]]*(Rate1-1)+tblOT[[#This Row],[OT at rate 2 (h)]]*(Rate2-1))*tblOT[[#This Row],[Base rate]]*(1+Burden)))</f>
        <v>110.74</v>
      </c>
      <c r="P120" s="42" t="str">
        <f>IF(tblOT[[#This Row],[Week starting]]="","",IF(OR(tblOT[[#This Row],[Overtime hours (h)]]&gt;OTLimit,tblOT[[#This Row],[Total hours (h)]]&gt;TotalLimit),"Out of limits","Within limits"))</f>
        <v>Within limits</v>
      </c>
      <c r="Q120" s="43">
        <f>IF(tblOT[[#This Row],[Week starting]]="","",IF(AND(tblOT[[#This Row],[Week starting]]&gt;=FFrom,tblOT[[#This Row],[Week starting]]&lt;=FTo,OR(DashDept="",tblOT[[#This Row],[Department]]=DashDept)),tblOT[[#This Row],[Week starting]],""))</f>
        <v>46286</v>
      </c>
      <c r="R12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0" s="28" t="s">
        <v>144</v>
      </c>
    </row>
    <row r="121" spans="2:19" x14ac:dyDescent="0.25">
      <c r="B121" s="37">
        <v>46286</v>
      </c>
      <c r="C121" s="28" t="s">
        <v>101</v>
      </c>
      <c r="D121" s="29">
        <v>40</v>
      </c>
      <c r="E121" s="29">
        <v>0</v>
      </c>
      <c r="F121" s="29">
        <v>0</v>
      </c>
      <c r="G121" s="28" t="s">
        <v>144</v>
      </c>
      <c r="H121" s="28" t="s">
        <v>144</v>
      </c>
      <c r="I121" s="38" t="str">
        <f>IF(tblOT[[#This Row],[Week starting]]="","",IFERROR(INDEX(tblEmployees[Department],MATCH(tblOT[[#This Row],[Employee]],tblEmployees[Employee],0)),""))</f>
        <v>Processing</v>
      </c>
      <c r="J121" s="39">
        <f>IF(tblOT[[#This Row],[Week starting]]="","",IFERROR(INDEX(tblEmployees[Base rate],MATCH(tblOT[[#This Row],[Employee]],tblEmployees[Employee],0)),""))</f>
        <v>26.75</v>
      </c>
      <c r="K121" s="40">
        <f>IF(tblOT[[#This Row],[Week starting]]="","",tblOT[[#This Row],[OT at rate 1 (h)]]+tblOT[[#This Row],[OT at rate 2 (h)]])</f>
        <v>0</v>
      </c>
      <c r="L121" s="40">
        <f>IF(tblOT[[#This Row],[Week starting]]="","",tblOT[[#This Row],[Regular hours (h)]]+tblOT[[#This Row],[Overtime hours (h)]])</f>
        <v>40</v>
      </c>
      <c r="M121" s="41">
        <f>IF(tblOT[[#This Row],[Week starting]]="","",IF(tblOT[[#This Row],[Total hours (h)]]&gt;0,tblOT[[#This Row],[Overtime hours (h)]]/tblOT[[#This Row],[Total hours (h)]],""))</f>
        <v>0</v>
      </c>
      <c r="N121" s="39">
        <f>IF(tblOT[[#This Row],[Week starting]]="","",IF(tblOT[[#This Row],[Base rate]]="","",(tblOT[[#This Row],[OT at rate 1 (h)]]*Rate1+tblOT[[#This Row],[OT at rate 2 (h)]]*Rate2)*tblOT[[#This Row],[Base rate]]*(1+Burden)))</f>
        <v>0</v>
      </c>
      <c r="O121" s="39">
        <f>IF(tblOT[[#This Row],[Week starting]]="","",IF(tblOT[[#This Row],[Base rate]]="","",(tblOT[[#This Row],[OT at rate 1 (h)]]*(Rate1-1)+tblOT[[#This Row],[OT at rate 2 (h)]]*(Rate2-1))*tblOT[[#This Row],[Base rate]]*(1+Burden)))</f>
        <v>0</v>
      </c>
      <c r="P121" s="42" t="str">
        <f>IF(tblOT[[#This Row],[Week starting]]="","",IF(OR(tblOT[[#This Row],[Overtime hours (h)]]&gt;OTLimit,tblOT[[#This Row],[Total hours (h)]]&gt;TotalLimit),"Out of limits","Within limits"))</f>
        <v>Within limits</v>
      </c>
      <c r="Q121" s="43">
        <f>IF(tblOT[[#This Row],[Week starting]]="","",IF(AND(tblOT[[#This Row],[Week starting]]&gt;=FFrom,tblOT[[#This Row],[Week starting]]&lt;=FTo,OR(DashDept="",tblOT[[#This Row],[Department]]=DashDept)),tblOT[[#This Row],[Week starting]],""))</f>
        <v>46286</v>
      </c>
      <c r="R12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1" s="28" t="s">
        <v>144</v>
      </c>
    </row>
    <row r="122" spans="2:19" x14ac:dyDescent="0.25">
      <c r="B122" s="37">
        <v>46286</v>
      </c>
      <c r="C122" s="28" t="s">
        <v>102</v>
      </c>
      <c r="D122" s="29">
        <v>40</v>
      </c>
      <c r="E122" s="29">
        <v>0</v>
      </c>
      <c r="F122" s="29">
        <v>0</v>
      </c>
      <c r="G122" s="28" t="s">
        <v>144</v>
      </c>
      <c r="H122" s="28" t="s">
        <v>144</v>
      </c>
      <c r="I122" s="38" t="str">
        <f>IF(tblOT[[#This Row],[Week starting]]="","",IFERROR(INDEX(tblEmployees[Department],MATCH(tblOT[[#This Row],[Employee]],tblEmployees[Employee],0)),""))</f>
        <v>Processing</v>
      </c>
      <c r="J122" s="39">
        <f>IF(tblOT[[#This Row],[Week starting]]="","",IFERROR(INDEX(tblEmployees[Base rate],MATCH(tblOT[[#This Row],[Employee]],tblEmployees[Employee],0)),""))</f>
        <v>27</v>
      </c>
      <c r="K122" s="40">
        <f>IF(tblOT[[#This Row],[Week starting]]="","",tblOT[[#This Row],[OT at rate 1 (h)]]+tblOT[[#This Row],[OT at rate 2 (h)]])</f>
        <v>0</v>
      </c>
      <c r="L122" s="40">
        <f>IF(tblOT[[#This Row],[Week starting]]="","",tblOT[[#This Row],[Regular hours (h)]]+tblOT[[#This Row],[Overtime hours (h)]])</f>
        <v>40</v>
      </c>
      <c r="M122" s="41">
        <f>IF(tblOT[[#This Row],[Week starting]]="","",IF(tblOT[[#This Row],[Total hours (h)]]&gt;0,tblOT[[#This Row],[Overtime hours (h)]]/tblOT[[#This Row],[Total hours (h)]],""))</f>
        <v>0</v>
      </c>
      <c r="N122" s="39">
        <f>IF(tblOT[[#This Row],[Week starting]]="","",IF(tblOT[[#This Row],[Base rate]]="","",(tblOT[[#This Row],[OT at rate 1 (h)]]*Rate1+tblOT[[#This Row],[OT at rate 2 (h)]]*Rate2)*tblOT[[#This Row],[Base rate]]*(1+Burden)))</f>
        <v>0</v>
      </c>
      <c r="O122" s="39">
        <f>IF(tblOT[[#This Row],[Week starting]]="","",IF(tblOT[[#This Row],[Base rate]]="","",(tblOT[[#This Row],[OT at rate 1 (h)]]*(Rate1-1)+tblOT[[#This Row],[OT at rate 2 (h)]]*(Rate2-1))*tblOT[[#This Row],[Base rate]]*(1+Burden)))</f>
        <v>0</v>
      </c>
      <c r="P122" s="42" t="str">
        <f>IF(tblOT[[#This Row],[Week starting]]="","",IF(OR(tblOT[[#This Row],[Overtime hours (h)]]&gt;OTLimit,tblOT[[#This Row],[Total hours (h)]]&gt;TotalLimit),"Out of limits","Within limits"))</f>
        <v>Within limits</v>
      </c>
      <c r="Q122" s="43">
        <f>IF(tblOT[[#This Row],[Week starting]]="","",IF(AND(tblOT[[#This Row],[Week starting]]&gt;=FFrom,tblOT[[#This Row],[Week starting]]&lt;=FTo,OR(DashDept="",tblOT[[#This Row],[Department]]=DashDept)),tblOT[[#This Row],[Week starting]],""))</f>
        <v>46286</v>
      </c>
      <c r="R12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2" s="28" t="s">
        <v>144</v>
      </c>
    </row>
    <row r="123" spans="2:19" x14ac:dyDescent="0.25">
      <c r="B123" s="37">
        <v>46286</v>
      </c>
      <c r="C123" s="28" t="s">
        <v>103</v>
      </c>
      <c r="D123" s="29">
        <v>40</v>
      </c>
      <c r="E123" s="29">
        <v>0</v>
      </c>
      <c r="F123" s="29">
        <v>0</v>
      </c>
      <c r="G123" s="28" t="s">
        <v>144</v>
      </c>
      <c r="H123" s="28" t="s">
        <v>144</v>
      </c>
      <c r="I123" s="38" t="str">
        <f>IF(tblOT[[#This Row],[Week starting]]="","",IFERROR(INDEX(tblEmployees[Department],MATCH(tblOT[[#This Row],[Employee]],tblEmployees[Employee],0)),""))</f>
        <v>Packaging</v>
      </c>
      <c r="J123" s="39">
        <f>IF(tblOT[[#This Row],[Week starting]]="","",IFERROR(INDEX(tblEmployees[Base rate],MATCH(tblOT[[#This Row],[Employee]],tblEmployees[Employee],0)),""))</f>
        <v>25.5</v>
      </c>
      <c r="K123" s="40">
        <f>IF(tblOT[[#This Row],[Week starting]]="","",tblOT[[#This Row],[OT at rate 1 (h)]]+tblOT[[#This Row],[OT at rate 2 (h)]])</f>
        <v>0</v>
      </c>
      <c r="L123" s="40">
        <f>IF(tblOT[[#This Row],[Week starting]]="","",tblOT[[#This Row],[Regular hours (h)]]+tblOT[[#This Row],[Overtime hours (h)]])</f>
        <v>40</v>
      </c>
      <c r="M123" s="41">
        <f>IF(tblOT[[#This Row],[Week starting]]="","",IF(tblOT[[#This Row],[Total hours (h)]]&gt;0,tblOT[[#This Row],[Overtime hours (h)]]/tblOT[[#This Row],[Total hours (h)]],""))</f>
        <v>0</v>
      </c>
      <c r="N123" s="39">
        <f>IF(tblOT[[#This Row],[Week starting]]="","",IF(tblOT[[#This Row],[Base rate]]="","",(tblOT[[#This Row],[OT at rate 1 (h)]]*Rate1+tblOT[[#This Row],[OT at rate 2 (h)]]*Rate2)*tblOT[[#This Row],[Base rate]]*(1+Burden)))</f>
        <v>0</v>
      </c>
      <c r="O123" s="39">
        <f>IF(tblOT[[#This Row],[Week starting]]="","",IF(tblOT[[#This Row],[Base rate]]="","",(tblOT[[#This Row],[OT at rate 1 (h)]]*(Rate1-1)+tblOT[[#This Row],[OT at rate 2 (h)]]*(Rate2-1))*tblOT[[#This Row],[Base rate]]*(1+Burden)))</f>
        <v>0</v>
      </c>
      <c r="P123" s="42" t="str">
        <f>IF(tblOT[[#This Row],[Week starting]]="","",IF(OR(tblOT[[#This Row],[Overtime hours (h)]]&gt;OTLimit,tblOT[[#This Row],[Total hours (h)]]&gt;TotalLimit),"Out of limits","Within limits"))</f>
        <v>Within limits</v>
      </c>
      <c r="Q123" s="43">
        <f>IF(tblOT[[#This Row],[Week starting]]="","",IF(AND(tblOT[[#This Row],[Week starting]]&gt;=FFrom,tblOT[[#This Row],[Week starting]]&lt;=FTo,OR(DashDept="",tblOT[[#This Row],[Department]]=DashDept)),tblOT[[#This Row],[Week starting]],""))</f>
        <v>46286</v>
      </c>
      <c r="R12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3" s="28" t="s">
        <v>144</v>
      </c>
    </row>
    <row r="124" spans="2:19" x14ac:dyDescent="0.25">
      <c r="B124" s="37">
        <v>46286</v>
      </c>
      <c r="C124" s="28" t="s">
        <v>104</v>
      </c>
      <c r="D124" s="29">
        <v>40</v>
      </c>
      <c r="E124" s="29">
        <v>2</v>
      </c>
      <c r="F124" s="29">
        <v>0</v>
      </c>
      <c r="G124" s="28" t="s">
        <v>116</v>
      </c>
      <c r="H124" s="28" t="s">
        <v>145</v>
      </c>
      <c r="I124" s="38" t="str">
        <f>IF(tblOT[[#This Row],[Week starting]]="","",IFERROR(INDEX(tblEmployees[Department],MATCH(tblOT[[#This Row],[Employee]],tblEmployees[Employee],0)),""))</f>
        <v>Packaging</v>
      </c>
      <c r="J124" s="39">
        <f>IF(tblOT[[#This Row],[Week starting]]="","",IFERROR(INDEX(tblEmployees[Base rate],MATCH(tblOT[[#This Row],[Employee]],tblEmployees[Employee],0)),""))</f>
        <v>24.75</v>
      </c>
      <c r="K124" s="40">
        <f>IF(tblOT[[#This Row],[Week starting]]="","",tblOT[[#This Row],[OT at rate 1 (h)]]+tblOT[[#This Row],[OT at rate 2 (h)]])</f>
        <v>2</v>
      </c>
      <c r="L124" s="40">
        <f>IF(tblOT[[#This Row],[Week starting]]="","",tblOT[[#This Row],[Regular hours (h)]]+tblOT[[#This Row],[Overtime hours (h)]])</f>
        <v>42</v>
      </c>
      <c r="M124" s="41">
        <f>IF(tblOT[[#This Row],[Week starting]]="","",IF(tblOT[[#This Row],[Total hours (h)]]&gt;0,tblOT[[#This Row],[Overtime hours (h)]]/tblOT[[#This Row],[Total hours (h)]],""))</f>
        <v>0.0476190476190476</v>
      </c>
      <c r="N124" s="39">
        <f>IF(tblOT[[#This Row],[Week starting]]="","",IF(tblOT[[#This Row],[Base rate]]="","",(tblOT[[#This Row],[OT at rate 1 (h)]]*Rate1+tblOT[[#This Row],[OT at rate 2 (h)]]*Rate2)*tblOT[[#This Row],[Base rate]]*(1+Burden)))</f>
        <v>83.16</v>
      </c>
      <c r="O124" s="39">
        <f>IF(tblOT[[#This Row],[Week starting]]="","",IF(tblOT[[#This Row],[Base rate]]="","",(tblOT[[#This Row],[OT at rate 1 (h)]]*(Rate1-1)+tblOT[[#This Row],[OT at rate 2 (h)]]*(Rate2-1))*tblOT[[#This Row],[Base rate]]*(1+Burden)))</f>
        <v>27.72</v>
      </c>
      <c r="P124" s="42" t="str">
        <f>IF(tblOT[[#This Row],[Week starting]]="","",IF(OR(tblOT[[#This Row],[Overtime hours (h)]]&gt;OTLimit,tblOT[[#This Row],[Total hours (h)]]&gt;TotalLimit),"Out of limits","Within limits"))</f>
        <v>Within limits</v>
      </c>
      <c r="Q124" s="43">
        <f>IF(tblOT[[#This Row],[Week starting]]="","",IF(AND(tblOT[[#This Row],[Week starting]]&gt;=FFrom,tblOT[[#This Row],[Week starting]]&lt;=FTo,OR(DashDept="",tblOT[[#This Row],[Department]]=DashDept)),tblOT[[#This Row],[Week starting]],""))</f>
        <v>46286</v>
      </c>
      <c r="R12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4" s="28" t="s">
        <v>144</v>
      </c>
    </row>
    <row r="125" spans="2:19" x14ac:dyDescent="0.25">
      <c r="B125" s="37">
        <v>46286</v>
      </c>
      <c r="C125" s="28" t="s">
        <v>105</v>
      </c>
      <c r="D125" s="29">
        <v>40</v>
      </c>
      <c r="E125" s="29">
        <v>6</v>
      </c>
      <c r="F125" s="29">
        <v>0</v>
      </c>
      <c r="G125" s="28" t="s">
        <v>116</v>
      </c>
      <c r="H125" s="28" t="s">
        <v>145</v>
      </c>
      <c r="I125" s="38" t="str">
        <f>IF(tblOT[[#This Row],[Week starting]]="","",IFERROR(INDEX(tblEmployees[Department],MATCH(tblOT[[#This Row],[Employee]],tblEmployees[Employee],0)),""))</f>
        <v>Packaging</v>
      </c>
      <c r="J125" s="39">
        <f>IF(tblOT[[#This Row],[Week starting]]="","",IFERROR(INDEX(tblEmployees[Base rate],MATCH(tblOT[[#This Row],[Employee]],tblEmployees[Employee],0)),""))</f>
        <v>25</v>
      </c>
      <c r="K125" s="40">
        <f>IF(tblOT[[#This Row],[Week starting]]="","",tblOT[[#This Row],[OT at rate 1 (h)]]+tblOT[[#This Row],[OT at rate 2 (h)]])</f>
        <v>6</v>
      </c>
      <c r="L125" s="40">
        <f>IF(tblOT[[#This Row],[Week starting]]="","",tblOT[[#This Row],[Regular hours (h)]]+tblOT[[#This Row],[Overtime hours (h)]])</f>
        <v>46</v>
      </c>
      <c r="M125" s="41">
        <f>IF(tblOT[[#This Row],[Week starting]]="","",IF(tblOT[[#This Row],[Total hours (h)]]&gt;0,tblOT[[#This Row],[Overtime hours (h)]]/tblOT[[#This Row],[Total hours (h)]],""))</f>
        <v>0.130434782608696</v>
      </c>
      <c r="N125" s="39">
        <f>IF(tblOT[[#This Row],[Week starting]]="","",IF(tblOT[[#This Row],[Base rate]]="","",(tblOT[[#This Row],[OT at rate 1 (h)]]*Rate1+tblOT[[#This Row],[OT at rate 2 (h)]]*Rate2)*tblOT[[#This Row],[Base rate]]*(1+Burden)))</f>
        <v>252</v>
      </c>
      <c r="O125" s="39">
        <f>IF(tblOT[[#This Row],[Week starting]]="","",IF(tblOT[[#This Row],[Base rate]]="","",(tblOT[[#This Row],[OT at rate 1 (h)]]*(Rate1-1)+tblOT[[#This Row],[OT at rate 2 (h)]]*(Rate2-1))*tblOT[[#This Row],[Base rate]]*(1+Burden)))</f>
        <v>84</v>
      </c>
      <c r="P125" s="42" t="str">
        <f>IF(tblOT[[#This Row],[Week starting]]="","",IF(OR(tblOT[[#This Row],[Overtime hours (h)]]&gt;OTLimit,tblOT[[#This Row],[Total hours (h)]]&gt;TotalLimit),"Out of limits","Within limits"))</f>
        <v>Within limits</v>
      </c>
      <c r="Q125" s="43">
        <f>IF(tblOT[[#This Row],[Week starting]]="","",IF(AND(tblOT[[#This Row],[Week starting]]&gt;=FFrom,tblOT[[#This Row],[Week starting]]&lt;=FTo,OR(DashDept="",tblOT[[#This Row],[Department]]=DashDept)),tblOT[[#This Row],[Week starting]],""))</f>
        <v>46286</v>
      </c>
      <c r="R125"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5" s="28" t="s">
        <v>144</v>
      </c>
    </row>
    <row r="126" spans="2:19" x14ac:dyDescent="0.25">
      <c r="B126" s="37">
        <v>46286</v>
      </c>
      <c r="C126" s="28" t="s">
        <v>106</v>
      </c>
      <c r="D126" s="29">
        <v>40</v>
      </c>
      <c r="E126" s="29">
        <v>0</v>
      </c>
      <c r="F126" s="29">
        <v>0</v>
      </c>
      <c r="G126" s="28" t="s">
        <v>144</v>
      </c>
      <c r="H126" s="28" t="s">
        <v>144</v>
      </c>
      <c r="I126" s="38" t="str">
        <f>IF(tblOT[[#This Row],[Week starting]]="","",IFERROR(INDEX(tblEmployees[Department],MATCH(tblOT[[#This Row],[Employee]],tblEmployees[Employee],0)),""))</f>
        <v>Packaging</v>
      </c>
      <c r="J126" s="39">
        <f>IF(tblOT[[#This Row],[Week starting]]="","",IFERROR(INDEX(tblEmployees[Base rate],MATCH(tblOT[[#This Row],[Employee]],tblEmployees[Employee],0)),""))</f>
        <v>24.5</v>
      </c>
      <c r="K126" s="40">
        <f>IF(tblOT[[#This Row],[Week starting]]="","",tblOT[[#This Row],[OT at rate 1 (h)]]+tblOT[[#This Row],[OT at rate 2 (h)]])</f>
        <v>0</v>
      </c>
      <c r="L126" s="40">
        <f>IF(tblOT[[#This Row],[Week starting]]="","",tblOT[[#This Row],[Regular hours (h)]]+tblOT[[#This Row],[Overtime hours (h)]])</f>
        <v>40</v>
      </c>
      <c r="M126" s="41">
        <f>IF(tblOT[[#This Row],[Week starting]]="","",IF(tblOT[[#This Row],[Total hours (h)]]&gt;0,tblOT[[#This Row],[Overtime hours (h)]]/tblOT[[#This Row],[Total hours (h)]],""))</f>
        <v>0</v>
      </c>
      <c r="N126" s="39">
        <f>IF(tblOT[[#This Row],[Week starting]]="","",IF(tblOT[[#This Row],[Base rate]]="","",(tblOT[[#This Row],[OT at rate 1 (h)]]*Rate1+tblOT[[#This Row],[OT at rate 2 (h)]]*Rate2)*tblOT[[#This Row],[Base rate]]*(1+Burden)))</f>
        <v>0</v>
      </c>
      <c r="O126" s="39">
        <f>IF(tblOT[[#This Row],[Week starting]]="","",IF(tblOT[[#This Row],[Base rate]]="","",(tblOT[[#This Row],[OT at rate 1 (h)]]*(Rate1-1)+tblOT[[#This Row],[OT at rate 2 (h)]]*(Rate2-1))*tblOT[[#This Row],[Base rate]]*(1+Burden)))</f>
        <v>0</v>
      </c>
      <c r="P126" s="42" t="str">
        <f>IF(tblOT[[#This Row],[Week starting]]="","",IF(OR(tblOT[[#This Row],[Overtime hours (h)]]&gt;OTLimit,tblOT[[#This Row],[Total hours (h)]]&gt;TotalLimit),"Out of limits","Within limits"))</f>
        <v>Within limits</v>
      </c>
      <c r="Q126" s="43">
        <f>IF(tblOT[[#This Row],[Week starting]]="","",IF(AND(tblOT[[#This Row],[Week starting]]&gt;=FFrom,tblOT[[#This Row],[Week starting]]&lt;=FTo,OR(DashDept="",tblOT[[#This Row],[Department]]=DashDept)),tblOT[[#This Row],[Week starting]],""))</f>
        <v>46286</v>
      </c>
      <c r="R126"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6" s="28" t="s">
        <v>144</v>
      </c>
    </row>
    <row r="127" spans="2:19" x14ac:dyDescent="0.25">
      <c r="B127" s="37">
        <v>46286</v>
      </c>
      <c r="C127" s="28" t="s">
        <v>107</v>
      </c>
      <c r="D127" s="29">
        <v>40</v>
      </c>
      <c r="E127" s="29">
        <v>0</v>
      </c>
      <c r="F127" s="29">
        <v>0</v>
      </c>
      <c r="G127" s="28" t="s">
        <v>144</v>
      </c>
      <c r="H127" s="28" t="s">
        <v>144</v>
      </c>
      <c r="I127" s="38" t="str">
        <f>IF(tblOT[[#This Row],[Week starting]]="","",IFERROR(INDEX(tblEmployees[Department],MATCH(tblOT[[#This Row],[Employee]],tblEmployees[Employee],0)),""))</f>
        <v>Sanitation</v>
      </c>
      <c r="J127" s="39">
        <f>IF(tblOT[[#This Row],[Week starting]]="","",IFERROR(INDEX(tblEmployees[Base rate],MATCH(tblOT[[#This Row],[Employee]],tblEmployees[Employee],0)),""))</f>
        <v>24</v>
      </c>
      <c r="K127" s="40">
        <f>IF(tblOT[[#This Row],[Week starting]]="","",tblOT[[#This Row],[OT at rate 1 (h)]]+tblOT[[#This Row],[OT at rate 2 (h)]])</f>
        <v>0</v>
      </c>
      <c r="L127" s="40">
        <f>IF(tblOT[[#This Row],[Week starting]]="","",tblOT[[#This Row],[Regular hours (h)]]+tblOT[[#This Row],[Overtime hours (h)]])</f>
        <v>40</v>
      </c>
      <c r="M127" s="41">
        <f>IF(tblOT[[#This Row],[Week starting]]="","",IF(tblOT[[#This Row],[Total hours (h)]]&gt;0,tblOT[[#This Row],[Overtime hours (h)]]/tblOT[[#This Row],[Total hours (h)]],""))</f>
        <v>0</v>
      </c>
      <c r="N127" s="39">
        <f>IF(tblOT[[#This Row],[Week starting]]="","",IF(tblOT[[#This Row],[Base rate]]="","",(tblOT[[#This Row],[OT at rate 1 (h)]]*Rate1+tblOT[[#This Row],[OT at rate 2 (h)]]*Rate2)*tblOT[[#This Row],[Base rate]]*(1+Burden)))</f>
        <v>0</v>
      </c>
      <c r="O127" s="39">
        <f>IF(tblOT[[#This Row],[Week starting]]="","",IF(tblOT[[#This Row],[Base rate]]="","",(tblOT[[#This Row],[OT at rate 1 (h)]]*(Rate1-1)+tblOT[[#This Row],[OT at rate 2 (h)]]*(Rate2-1))*tblOT[[#This Row],[Base rate]]*(1+Burden)))</f>
        <v>0</v>
      </c>
      <c r="P127" s="42" t="str">
        <f>IF(tblOT[[#This Row],[Week starting]]="","",IF(OR(tblOT[[#This Row],[Overtime hours (h)]]&gt;OTLimit,tblOT[[#This Row],[Total hours (h)]]&gt;TotalLimit),"Out of limits","Within limits"))</f>
        <v>Within limits</v>
      </c>
      <c r="Q127" s="43">
        <f>IF(tblOT[[#This Row],[Week starting]]="","",IF(AND(tblOT[[#This Row],[Week starting]]&gt;=FFrom,tblOT[[#This Row],[Week starting]]&lt;=FTo,OR(DashDept="",tblOT[[#This Row],[Department]]=DashDept)),tblOT[[#This Row],[Week starting]],""))</f>
        <v>46286</v>
      </c>
      <c r="R127"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7" s="28" t="s">
        <v>144</v>
      </c>
    </row>
    <row r="128" spans="2:19" x14ac:dyDescent="0.25">
      <c r="B128" s="37">
        <v>46286</v>
      </c>
      <c r="C128" s="28" t="s">
        <v>108</v>
      </c>
      <c r="D128" s="29">
        <v>40</v>
      </c>
      <c r="E128" s="29">
        <v>2</v>
      </c>
      <c r="F128" s="29">
        <v>0</v>
      </c>
      <c r="G128" s="28" t="s">
        <v>120</v>
      </c>
      <c r="H128" s="28" t="s">
        <v>146</v>
      </c>
      <c r="I128" s="38" t="str">
        <f>IF(tblOT[[#This Row],[Week starting]]="","",IFERROR(INDEX(tblEmployees[Department],MATCH(tblOT[[#This Row],[Employee]],tblEmployees[Employee],0)),""))</f>
        <v>Sanitation</v>
      </c>
      <c r="J128" s="39">
        <f>IF(tblOT[[#This Row],[Week starting]]="","",IFERROR(INDEX(tblEmployees[Base rate],MATCH(tblOT[[#This Row],[Employee]],tblEmployees[Employee],0)),""))</f>
        <v>23.75</v>
      </c>
      <c r="K128" s="40">
        <f>IF(tblOT[[#This Row],[Week starting]]="","",tblOT[[#This Row],[OT at rate 1 (h)]]+tblOT[[#This Row],[OT at rate 2 (h)]])</f>
        <v>2</v>
      </c>
      <c r="L128" s="40">
        <f>IF(tblOT[[#This Row],[Week starting]]="","",tblOT[[#This Row],[Regular hours (h)]]+tblOT[[#This Row],[Overtime hours (h)]])</f>
        <v>42</v>
      </c>
      <c r="M128" s="41">
        <f>IF(tblOT[[#This Row],[Week starting]]="","",IF(tblOT[[#This Row],[Total hours (h)]]&gt;0,tblOT[[#This Row],[Overtime hours (h)]]/tblOT[[#This Row],[Total hours (h)]],""))</f>
        <v>0.0476190476190476</v>
      </c>
      <c r="N128" s="39">
        <f>IF(tblOT[[#This Row],[Week starting]]="","",IF(tblOT[[#This Row],[Base rate]]="","",(tblOT[[#This Row],[OT at rate 1 (h)]]*Rate1+tblOT[[#This Row],[OT at rate 2 (h)]]*Rate2)*tblOT[[#This Row],[Base rate]]*(1+Burden)))</f>
        <v>79.8</v>
      </c>
      <c r="O128" s="39">
        <f>IF(tblOT[[#This Row],[Week starting]]="","",IF(tblOT[[#This Row],[Base rate]]="","",(tblOT[[#This Row],[OT at rate 1 (h)]]*(Rate1-1)+tblOT[[#This Row],[OT at rate 2 (h)]]*(Rate2-1))*tblOT[[#This Row],[Base rate]]*(1+Burden)))</f>
        <v>26.6</v>
      </c>
      <c r="P128" s="42" t="str">
        <f>IF(tblOT[[#This Row],[Week starting]]="","",IF(OR(tblOT[[#This Row],[Overtime hours (h)]]&gt;OTLimit,tblOT[[#This Row],[Total hours (h)]]&gt;TotalLimit),"Out of limits","Within limits"))</f>
        <v>Within limits</v>
      </c>
      <c r="Q128" s="43">
        <f>IF(tblOT[[#This Row],[Week starting]]="","",IF(AND(tblOT[[#This Row],[Week starting]]&gt;=FFrom,tblOT[[#This Row],[Week starting]]&lt;=FTo,OR(DashDept="",tblOT[[#This Row],[Department]]=DashDept)),tblOT[[#This Row],[Week starting]],""))</f>
        <v>46286</v>
      </c>
      <c r="R128"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8" s="28" t="s">
        <v>144</v>
      </c>
    </row>
    <row r="129" spans="2:19" x14ac:dyDescent="0.25">
      <c r="B129" s="37">
        <v>46286</v>
      </c>
      <c r="C129" s="28" t="s">
        <v>109</v>
      </c>
      <c r="D129" s="29">
        <v>40</v>
      </c>
      <c r="E129" s="29">
        <v>0</v>
      </c>
      <c r="F129" s="29">
        <v>0</v>
      </c>
      <c r="G129" s="28" t="s">
        <v>144</v>
      </c>
      <c r="H129" s="28" t="s">
        <v>144</v>
      </c>
      <c r="I129" s="38" t="str">
        <f>IF(tblOT[[#This Row],[Week starting]]="","",IFERROR(INDEX(tblEmployees[Department],MATCH(tblOT[[#This Row],[Employee]],tblEmployees[Employee],0)),""))</f>
        <v>Sanitation</v>
      </c>
      <c r="J129" s="39">
        <f>IF(tblOT[[#This Row],[Week starting]]="","",IFERROR(INDEX(tblEmployees[Base rate],MATCH(tblOT[[#This Row],[Employee]],tblEmployees[Employee],0)),""))</f>
        <v>24.25</v>
      </c>
      <c r="K129" s="40">
        <f>IF(tblOT[[#This Row],[Week starting]]="","",tblOT[[#This Row],[OT at rate 1 (h)]]+tblOT[[#This Row],[OT at rate 2 (h)]])</f>
        <v>0</v>
      </c>
      <c r="L129" s="40">
        <f>IF(tblOT[[#This Row],[Week starting]]="","",tblOT[[#This Row],[Regular hours (h)]]+tblOT[[#This Row],[Overtime hours (h)]])</f>
        <v>40</v>
      </c>
      <c r="M129" s="41">
        <f>IF(tblOT[[#This Row],[Week starting]]="","",IF(tblOT[[#This Row],[Total hours (h)]]&gt;0,tblOT[[#This Row],[Overtime hours (h)]]/tblOT[[#This Row],[Total hours (h)]],""))</f>
        <v>0</v>
      </c>
      <c r="N129" s="39">
        <f>IF(tblOT[[#This Row],[Week starting]]="","",IF(tblOT[[#This Row],[Base rate]]="","",(tblOT[[#This Row],[OT at rate 1 (h)]]*Rate1+tblOT[[#This Row],[OT at rate 2 (h)]]*Rate2)*tblOT[[#This Row],[Base rate]]*(1+Burden)))</f>
        <v>0</v>
      </c>
      <c r="O129" s="39">
        <f>IF(tblOT[[#This Row],[Week starting]]="","",IF(tblOT[[#This Row],[Base rate]]="","",(tblOT[[#This Row],[OT at rate 1 (h)]]*(Rate1-1)+tblOT[[#This Row],[OT at rate 2 (h)]]*(Rate2-1))*tblOT[[#This Row],[Base rate]]*(1+Burden)))</f>
        <v>0</v>
      </c>
      <c r="P129" s="42" t="str">
        <f>IF(tblOT[[#This Row],[Week starting]]="","",IF(OR(tblOT[[#This Row],[Overtime hours (h)]]&gt;OTLimit,tblOT[[#This Row],[Total hours (h)]]&gt;TotalLimit),"Out of limits","Within limits"))</f>
        <v>Within limits</v>
      </c>
      <c r="Q129" s="43">
        <f>IF(tblOT[[#This Row],[Week starting]]="","",IF(AND(tblOT[[#This Row],[Week starting]]&gt;=FFrom,tblOT[[#This Row],[Week starting]]&lt;=FTo,OR(DashDept="",tblOT[[#This Row],[Department]]=DashDept)),tblOT[[#This Row],[Week starting]],""))</f>
        <v>46286</v>
      </c>
      <c r="R129"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29" s="28" t="s">
        <v>144</v>
      </c>
    </row>
    <row r="130" spans="2:19" x14ac:dyDescent="0.25">
      <c r="B130" s="37">
        <v>46286</v>
      </c>
      <c r="C130" s="28" t="s">
        <v>110</v>
      </c>
      <c r="D130" s="29">
        <v>40</v>
      </c>
      <c r="E130" s="29">
        <v>0</v>
      </c>
      <c r="F130" s="29">
        <v>10</v>
      </c>
      <c r="G130" s="28" t="s">
        <v>126</v>
      </c>
      <c r="H130" s="28" t="s">
        <v>149</v>
      </c>
      <c r="I130" s="38" t="str">
        <f>IF(tblOT[[#This Row],[Week starting]]="","",IFERROR(INDEX(tblEmployees[Department],MATCH(tblOT[[#This Row],[Employee]],tblEmployees[Employee],0)),""))</f>
        <v>Maintenance</v>
      </c>
      <c r="J130" s="39">
        <f>IF(tblOT[[#This Row],[Week starting]]="","",IFERROR(INDEX(tblEmployees[Base rate],MATCH(tblOT[[#This Row],[Employee]],tblEmployees[Employee],0)),""))</f>
        <v>38.5</v>
      </c>
      <c r="K130" s="40">
        <f>IF(tblOT[[#This Row],[Week starting]]="","",tblOT[[#This Row],[OT at rate 1 (h)]]+tblOT[[#This Row],[OT at rate 2 (h)]])</f>
        <v>10</v>
      </c>
      <c r="L130" s="40">
        <f>IF(tblOT[[#This Row],[Week starting]]="","",tblOT[[#This Row],[Regular hours (h)]]+tblOT[[#This Row],[Overtime hours (h)]])</f>
        <v>50</v>
      </c>
      <c r="M130" s="41">
        <f>IF(tblOT[[#This Row],[Week starting]]="","",IF(tblOT[[#This Row],[Total hours (h)]]&gt;0,tblOT[[#This Row],[Overtime hours (h)]]/tblOT[[#This Row],[Total hours (h)]],""))</f>
        <v>0.2</v>
      </c>
      <c r="N130" s="39">
        <f>IF(tblOT[[#This Row],[Week starting]]="","",IF(tblOT[[#This Row],[Base rate]]="","",(tblOT[[#This Row],[OT at rate 1 (h)]]*Rate1+tblOT[[#This Row],[OT at rate 2 (h)]]*Rate2)*tblOT[[#This Row],[Base rate]]*(1+Burden)))</f>
        <v>862.4</v>
      </c>
      <c r="O130" s="39">
        <f>IF(tblOT[[#This Row],[Week starting]]="","",IF(tblOT[[#This Row],[Base rate]]="","",(tblOT[[#This Row],[OT at rate 1 (h)]]*(Rate1-1)+tblOT[[#This Row],[OT at rate 2 (h)]]*(Rate2-1))*tblOT[[#This Row],[Base rate]]*(1+Burden)))</f>
        <v>431.2</v>
      </c>
      <c r="P130" s="42" t="str">
        <f>IF(tblOT[[#This Row],[Week starting]]="","",IF(OR(tblOT[[#This Row],[Overtime hours (h)]]&gt;OTLimit,tblOT[[#This Row],[Total hours (h)]]&gt;TotalLimit),"Out of limits","Within limits"))</f>
        <v>Within limits</v>
      </c>
      <c r="Q130" s="43">
        <f>IF(tblOT[[#This Row],[Week starting]]="","",IF(AND(tblOT[[#This Row],[Week starting]]&gt;=FFrom,tblOT[[#This Row],[Week starting]]&lt;=FTo,OR(DashDept="",tblOT[[#This Row],[Department]]=DashDept)),tblOT[[#This Row],[Week starting]],""))</f>
        <v>46286</v>
      </c>
      <c r="R130"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30" s="28" t="s">
        <v>152</v>
      </c>
    </row>
    <row r="131" spans="2:19" x14ac:dyDescent="0.25">
      <c r="B131" s="37">
        <v>46286</v>
      </c>
      <c r="C131" s="28" t="s">
        <v>111</v>
      </c>
      <c r="D131" s="29">
        <v>40</v>
      </c>
      <c r="E131" s="29">
        <v>0</v>
      </c>
      <c r="F131" s="29">
        <v>10</v>
      </c>
      <c r="G131" s="28" t="s">
        <v>126</v>
      </c>
      <c r="H131" s="28" t="s">
        <v>149</v>
      </c>
      <c r="I131" s="38" t="str">
        <f>IF(tblOT[[#This Row],[Week starting]]="","",IFERROR(INDEX(tblEmployees[Department],MATCH(tblOT[[#This Row],[Employee]],tblEmployees[Employee],0)),""))</f>
        <v>Maintenance</v>
      </c>
      <c r="J131" s="39">
        <f>IF(tblOT[[#This Row],[Week starting]]="","",IFERROR(INDEX(tblEmployees[Base rate],MATCH(tblOT[[#This Row],[Employee]],tblEmployees[Employee],0)),""))</f>
        <v>37</v>
      </c>
      <c r="K131" s="40">
        <f>IF(tblOT[[#This Row],[Week starting]]="","",tblOT[[#This Row],[OT at rate 1 (h)]]+tblOT[[#This Row],[OT at rate 2 (h)]])</f>
        <v>10</v>
      </c>
      <c r="L131" s="40">
        <f>IF(tblOT[[#This Row],[Week starting]]="","",tblOT[[#This Row],[Regular hours (h)]]+tblOT[[#This Row],[Overtime hours (h)]])</f>
        <v>50</v>
      </c>
      <c r="M131" s="41">
        <f>IF(tblOT[[#This Row],[Week starting]]="","",IF(tblOT[[#This Row],[Total hours (h)]]&gt;0,tblOT[[#This Row],[Overtime hours (h)]]/tblOT[[#This Row],[Total hours (h)]],""))</f>
        <v>0.2</v>
      </c>
      <c r="N131" s="39">
        <f>IF(tblOT[[#This Row],[Week starting]]="","",IF(tblOT[[#This Row],[Base rate]]="","",(tblOT[[#This Row],[OT at rate 1 (h)]]*Rate1+tblOT[[#This Row],[OT at rate 2 (h)]]*Rate2)*tblOT[[#This Row],[Base rate]]*(1+Burden)))</f>
        <v>828.8</v>
      </c>
      <c r="O131" s="39">
        <f>IF(tblOT[[#This Row],[Week starting]]="","",IF(tblOT[[#This Row],[Base rate]]="","",(tblOT[[#This Row],[OT at rate 1 (h)]]*(Rate1-1)+tblOT[[#This Row],[OT at rate 2 (h)]]*(Rate2-1))*tblOT[[#This Row],[Base rate]]*(1+Burden)))</f>
        <v>414.4</v>
      </c>
      <c r="P131" s="42" t="str">
        <f>IF(tblOT[[#This Row],[Week starting]]="","",IF(OR(tblOT[[#This Row],[Overtime hours (h)]]&gt;OTLimit,tblOT[[#This Row],[Total hours (h)]]&gt;TotalLimit),"Out of limits","Within limits"))</f>
        <v>Within limits</v>
      </c>
      <c r="Q131" s="43">
        <f>IF(tblOT[[#This Row],[Week starting]]="","",IF(AND(tblOT[[#This Row],[Week starting]]&gt;=FFrom,tblOT[[#This Row],[Week starting]]&lt;=FTo,OR(DashDept="",tblOT[[#This Row],[Department]]=DashDept)),tblOT[[#This Row],[Week starting]],""))</f>
        <v>46286</v>
      </c>
      <c r="R131"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31" s="28" t="s">
        <v>152</v>
      </c>
    </row>
    <row r="132" spans="2:19" x14ac:dyDescent="0.25">
      <c r="B132" s="37">
        <v>46286</v>
      </c>
      <c r="C132" s="28" t="s">
        <v>112</v>
      </c>
      <c r="D132" s="29">
        <v>40</v>
      </c>
      <c r="E132" s="29">
        <v>0</v>
      </c>
      <c r="F132" s="29">
        <v>10</v>
      </c>
      <c r="G132" s="28" t="s">
        <v>126</v>
      </c>
      <c r="H132" s="28" t="s">
        <v>149</v>
      </c>
      <c r="I132" s="38" t="str">
        <f>IF(tblOT[[#This Row],[Week starting]]="","",IFERROR(INDEX(tblEmployees[Department],MATCH(tblOT[[#This Row],[Employee]],tblEmployees[Employee],0)),""))</f>
        <v>Maintenance</v>
      </c>
      <c r="J132" s="39">
        <f>IF(tblOT[[#This Row],[Week starting]]="","",IFERROR(INDEX(tblEmployees[Base rate],MATCH(tblOT[[#This Row],[Employee]],tblEmployees[Employee],0)),""))</f>
        <v>36.25</v>
      </c>
      <c r="K132" s="40">
        <f>IF(tblOT[[#This Row],[Week starting]]="","",tblOT[[#This Row],[OT at rate 1 (h)]]+tblOT[[#This Row],[OT at rate 2 (h)]])</f>
        <v>10</v>
      </c>
      <c r="L132" s="40">
        <f>IF(tblOT[[#This Row],[Week starting]]="","",tblOT[[#This Row],[Regular hours (h)]]+tblOT[[#This Row],[Overtime hours (h)]])</f>
        <v>50</v>
      </c>
      <c r="M132" s="41">
        <f>IF(tblOT[[#This Row],[Week starting]]="","",IF(tblOT[[#This Row],[Total hours (h)]]&gt;0,tblOT[[#This Row],[Overtime hours (h)]]/tblOT[[#This Row],[Total hours (h)]],""))</f>
        <v>0.2</v>
      </c>
      <c r="N132" s="39">
        <f>IF(tblOT[[#This Row],[Week starting]]="","",IF(tblOT[[#This Row],[Base rate]]="","",(tblOT[[#This Row],[OT at rate 1 (h)]]*Rate1+tblOT[[#This Row],[OT at rate 2 (h)]]*Rate2)*tblOT[[#This Row],[Base rate]]*(1+Burden)))</f>
        <v>812</v>
      </c>
      <c r="O132" s="39">
        <f>IF(tblOT[[#This Row],[Week starting]]="","",IF(tblOT[[#This Row],[Base rate]]="","",(tblOT[[#This Row],[OT at rate 1 (h)]]*(Rate1-1)+tblOT[[#This Row],[OT at rate 2 (h)]]*(Rate2-1))*tblOT[[#This Row],[Base rate]]*(1+Burden)))</f>
        <v>406</v>
      </c>
      <c r="P132" s="42" t="str">
        <f>IF(tblOT[[#This Row],[Week starting]]="","",IF(OR(tblOT[[#This Row],[Overtime hours (h)]]&gt;OTLimit,tblOT[[#This Row],[Total hours (h)]]&gt;TotalLimit),"Out of limits","Within limits"))</f>
        <v>Within limits</v>
      </c>
      <c r="Q132" s="43">
        <f>IF(tblOT[[#This Row],[Week starting]]="","",IF(AND(tblOT[[#This Row],[Week starting]]&gt;=FFrom,tblOT[[#This Row],[Week starting]]&lt;=FTo,OR(DashDept="",tblOT[[#This Row],[Department]]=DashDept)),tblOT[[#This Row],[Week starting]],""))</f>
        <v>46286</v>
      </c>
      <c r="R132"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32" s="28" t="s">
        <v>152</v>
      </c>
    </row>
    <row r="133" spans="2:19" x14ac:dyDescent="0.25">
      <c r="B133" s="37">
        <v>46286</v>
      </c>
      <c r="C133" s="28" t="s">
        <v>113</v>
      </c>
      <c r="D133" s="29">
        <v>40</v>
      </c>
      <c r="E133" s="29">
        <v>0</v>
      </c>
      <c r="F133" s="29">
        <v>0</v>
      </c>
      <c r="G133" s="28" t="s">
        <v>144</v>
      </c>
      <c r="H133" s="28" t="s">
        <v>144</v>
      </c>
      <c r="I133" s="38" t="str">
        <f>IF(tblOT[[#This Row],[Week starting]]="","",IFERROR(INDEX(tblEmployees[Department],MATCH(tblOT[[#This Row],[Employee]],tblEmployees[Employee],0)),""))</f>
        <v>Warehouse</v>
      </c>
      <c r="J133" s="39">
        <f>IF(tblOT[[#This Row],[Week starting]]="","",IFERROR(INDEX(tblEmployees[Base rate],MATCH(tblOT[[#This Row],[Employee]],tblEmployees[Employee],0)),""))</f>
        <v>26</v>
      </c>
      <c r="K133" s="40">
        <f>IF(tblOT[[#This Row],[Week starting]]="","",tblOT[[#This Row],[OT at rate 1 (h)]]+tblOT[[#This Row],[OT at rate 2 (h)]])</f>
        <v>0</v>
      </c>
      <c r="L133" s="40">
        <f>IF(tblOT[[#This Row],[Week starting]]="","",tblOT[[#This Row],[Regular hours (h)]]+tblOT[[#This Row],[Overtime hours (h)]])</f>
        <v>40</v>
      </c>
      <c r="M133" s="41">
        <f>IF(tblOT[[#This Row],[Week starting]]="","",IF(tblOT[[#This Row],[Total hours (h)]]&gt;0,tblOT[[#This Row],[Overtime hours (h)]]/tblOT[[#This Row],[Total hours (h)]],""))</f>
        <v>0</v>
      </c>
      <c r="N133" s="39">
        <f>IF(tblOT[[#This Row],[Week starting]]="","",IF(tblOT[[#This Row],[Base rate]]="","",(tblOT[[#This Row],[OT at rate 1 (h)]]*Rate1+tblOT[[#This Row],[OT at rate 2 (h)]]*Rate2)*tblOT[[#This Row],[Base rate]]*(1+Burden)))</f>
        <v>0</v>
      </c>
      <c r="O133" s="39">
        <f>IF(tblOT[[#This Row],[Week starting]]="","",IF(tblOT[[#This Row],[Base rate]]="","",(tblOT[[#This Row],[OT at rate 1 (h)]]*(Rate1-1)+tblOT[[#This Row],[OT at rate 2 (h)]]*(Rate2-1))*tblOT[[#This Row],[Base rate]]*(1+Burden)))</f>
        <v>0</v>
      </c>
      <c r="P133" s="42" t="str">
        <f>IF(tblOT[[#This Row],[Week starting]]="","",IF(OR(tblOT[[#This Row],[Overtime hours (h)]]&gt;OTLimit,tblOT[[#This Row],[Total hours (h)]]&gt;TotalLimit),"Out of limits","Within limits"))</f>
        <v>Within limits</v>
      </c>
      <c r="Q133" s="43">
        <f>IF(tblOT[[#This Row],[Week starting]]="","",IF(AND(tblOT[[#This Row],[Week starting]]&gt;=FFrom,tblOT[[#This Row],[Week starting]]&lt;=FTo,OR(DashDept="",tblOT[[#This Row],[Department]]=DashDept)),tblOT[[#This Row],[Week starting]],""))</f>
        <v>46286</v>
      </c>
      <c r="R133"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33" s="28" t="s">
        <v>144</v>
      </c>
    </row>
    <row r="134" spans="2:19" x14ac:dyDescent="0.25">
      <c r="B134" s="37">
        <v>46286</v>
      </c>
      <c r="C134" s="28" t="s">
        <v>114</v>
      </c>
      <c r="D134" s="29">
        <v>40</v>
      </c>
      <c r="E134" s="29">
        <v>0</v>
      </c>
      <c r="F134" s="29">
        <v>0</v>
      </c>
      <c r="G134" s="28" t="s">
        <v>144</v>
      </c>
      <c r="H134" s="28" t="s">
        <v>144</v>
      </c>
      <c r="I134" s="38" t="str">
        <f>IF(tblOT[[#This Row],[Week starting]]="","",IFERROR(INDEX(tblEmployees[Department],MATCH(tblOT[[#This Row],[Employee]],tblEmployees[Employee],0)),""))</f>
        <v>Warehouse</v>
      </c>
      <c r="J134" s="39">
        <f>IF(tblOT[[#This Row],[Week starting]]="","",IFERROR(INDEX(tblEmployees[Base rate],MATCH(tblOT[[#This Row],[Employee]],tblEmployees[Employee],0)),""))</f>
        <v>25.75</v>
      </c>
      <c r="K134" s="40">
        <f>IF(tblOT[[#This Row],[Week starting]]="","",tblOT[[#This Row],[OT at rate 1 (h)]]+tblOT[[#This Row],[OT at rate 2 (h)]])</f>
        <v>0</v>
      </c>
      <c r="L134" s="40">
        <f>IF(tblOT[[#This Row],[Week starting]]="","",tblOT[[#This Row],[Regular hours (h)]]+tblOT[[#This Row],[Overtime hours (h)]])</f>
        <v>40</v>
      </c>
      <c r="M134" s="41">
        <f>IF(tblOT[[#This Row],[Week starting]]="","",IF(tblOT[[#This Row],[Total hours (h)]]&gt;0,tblOT[[#This Row],[Overtime hours (h)]]/tblOT[[#This Row],[Total hours (h)]],""))</f>
        <v>0</v>
      </c>
      <c r="N134" s="39">
        <f>IF(tblOT[[#This Row],[Week starting]]="","",IF(tblOT[[#This Row],[Base rate]]="","",(tblOT[[#This Row],[OT at rate 1 (h)]]*Rate1+tblOT[[#This Row],[OT at rate 2 (h)]]*Rate2)*tblOT[[#This Row],[Base rate]]*(1+Burden)))</f>
        <v>0</v>
      </c>
      <c r="O134" s="39">
        <f>IF(tblOT[[#This Row],[Week starting]]="","",IF(tblOT[[#This Row],[Base rate]]="","",(tblOT[[#This Row],[OT at rate 1 (h)]]*(Rate1-1)+tblOT[[#This Row],[OT at rate 2 (h)]]*(Rate2-1))*tblOT[[#This Row],[Base rate]]*(1+Burden)))</f>
        <v>0</v>
      </c>
      <c r="P134" s="42" t="str">
        <f>IF(tblOT[[#This Row],[Week starting]]="","",IF(OR(tblOT[[#This Row],[Overtime hours (h)]]&gt;OTLimit,tblOT[[#This Row],[Total hours (h)]]&gt;TotalLimit),"Out of limits","Within limits"))</f>
        <v>Within limits</v>
      </c>
      <c r="Q134" s="43">
        <f>IF(tblOT[[#This Row],[Week starting]]="","",IF(AND(tblOT[[#This Row],[Week starting]]&gt;=FFrom,tblOT[[#This Row],[Week starting]]&lt;=FTo,OR(DashDept="",tblOT[[#This Row],[Department]]=DashDept)),tblOT[[#This Row],[Week starting]],""))</f>
        <v>46286</v>
      </c>
      <c r="R134" s="44" t="str">
        <f>IF(tblOT[[#This Row],[Week starting]]="","",IF(tblOT[[#This Row],[Employee]]="","Missing employee",IF(tblOT[[#This Row],[Regular hours (h)]]="","Missing regular hours",IF(tblOT[[#This Row],[Department]]="","Employee not on Setup list",IF(WEEKDAY(tblOT[[#This Row],[Week starting]],2)&lt;&gt;1,"Week does not start on a Monday",IF(tblOT[[#This Row],[Regular hours (h)]]&gt;StdWeek,"Regular hours above the normal week",IF(AND(tblOT[[#This Row],[Overtime hours (h)]]&gt;0,tblOT[[#This Row],[Reason]]=""),"Overtime with no reason",IF(COUNTIFS(tblOT[Week starting],tblOT[[#This Row],[Week starting]],tblOT[Employee],tblOT[[#This Row],[Employee]])&gt;1,"Duplicate person-week","OK"))))))))</f>
        <v>OK</v>
      </c>
      <c r="S134" s="28" t="s">
        <v>144</v>
      </c>
    </row>
  </sheetData>
  <mergeCells count="3">
    <mergeCell ref="A1:S1"/>
    <mergeCell ref="B2:R2"/>
    <mergeCell ref="B4:S4"/>
  </mergeCells>
  <conditionalFormatting sqref="M7:M634">
    <cfRule type="expression" dxfId="3" priority="1" stopIfTrue="1">
      <formula>AND(ISNUMBER(M7),M7&lt;=(TargetShare))</formula>
    </cfRule>
    <cfRule type="expression" dxfId="4" priority="2" stopIfTrue="1">
      <formula>AND(ISNUMBER(M7),M7&lt;=(TargetShare)*(1+0.05))</formula>
    </cfRule>
    <cfRule type="expression" dxfId="5" priority="3">
      <formula>ISNUMBER(M7)</formula>
    </cfRule>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P7:P634">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R7:R634">
    <cfRule type="expression" dxfId="3" priority="25">
      <formula>$R7="OK"</formula>
    </cfRule>
    <cfRule type="expression" dxfId="1" priority="26">
      <formula>AND($R7&lt;&gt;"",$R7&lt;&gt;"OK")</formula>
    </cfRule>
  </conditionalFormatting>
  <dataValidations count="8">
    <dataValidation type="date" allowBlank="1" showInputMessage="1" showErrorMessage="1" errorTitle="Check this entry" error="Enter a date between 01 Jan 2000 and 31 Dec 2100." promptTitle="Week starting" prompt="Monday of the pay week. Enter a date between 01 Jan 2000 and 31 Dec 2100." sqref="B7:B634">
      <formula1>36526</formula1>
      <formula2>73415</formula2>
    </dataValidation>
    <dataValidation type="list" allowBlank="1" showInputMessage="1" showErrorMessage="1" errorTitle="Check this entry" error="Pick from the list (edit the list on Setup: Employees)." promptTitle="Employee" prompt="Pick from the list (edit the list on Setup: Employees)." sqref="C7:C634">
      <formula1>Employees</formula1>
    </dataValidation>
    <dataValidation type="decimal" allowBlank="1" showInputMessage="1" showErrorMessage="1" errorTitle="Check this entry" error="Enter a number from 0 to 168." promptTitle="Regular hours (h)" prompt="Straight-time hours worked this week. Paid leave and holidays not worked are not hours worked. Enter a number from 0 to 168." sqref="D7:D634">
      <formula1>0</formula1>
      <formula2>168</formula2>
    </dataValidation>
    <dataValidation type="decimal" allowBlank="1" showInputMessage="1" showErrorMessage="1" errorTitle="Check this entry" error="Enter a number from 0 to 168." promptTitle="OT at rate 1 (h)" prompt="Overtime hours paid at rate 1 (Setup). Enter a number from 0 to 168." sqref="E7:E634">
      <formula1>0</formula1>
      <formula2>168</formula2>
    </dataValidation>
    <dataValidation type="decimal" allowBlank="1" showInputMessage="1" showErrorMessage="1" errorTitle="Check this entry" error="Enter a number from 0 to 168." promptTitle="OT at rate 2 (h)" prompt="Overtime hours paid at rate 2 (Setup), if any. Enter a number from 0 to 168." sqref="F7:F634">
      <formula1>0</formula1>
      <formula2>168</formula2>
    </dataValidation>
    <dataValidation type="list" allowBlank="1" showInputMessage="1" showErrorMessage="1" errorTitle="Check this entry" error="Pick from the list (edit the list on Setup: Reasons)." promptTitle="Reason" prompt="Pick from the list (edit the list on Setup: Reasons)." sqref="G7:G634">
      <formula1>Reasons</formula1>
    </dataValidation>
    <dataValidation type="textLength" allowBlank="1" showInputMessage="1" showErrorMessage="1" errorTitle="Check this entry" error="Text up to 60 characters." promptTitle="Approved by" prompt="Text up to 60 characters." sqref="H7:H634">
      <formula1>0</formula1>
      <formula2>60</formula2>
    </dataValidation>
    <dataValidation type="textLength" allowBlank="1" showInputMessage="1" showErrorMessage="1" errorTitle="Check this entry" error="Text up to 255 characters." promptTitle="Notes" prompt="Text up to 255 characters." sqref="S7:S634">
      <formula1>0</formula1>
      <formula2>255</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Overtime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M7:M634</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E25"/>
  <sheetViews>
    <sheetView showGridLines="0" workbookViewId="0"/>
  </sheetViews>
  <sheetFormatPr defaultRowHeight="15"/>
  <cols>
    <col min="1" max="1" width="2.7109375" customWidth="1"/>
    <col min="2" max="2" width="34.7109375" customWidth="1"/>
    <col min="3" max="3" width="16.7109375" customWidth="1"/>
    <col min="4" max="4" width="22.7109375" customWidth="1"/>
    <col min="5" max="5" width="30.7109375" customWidth="1"/>
  </cols>
  <sheetData>
    <row r="1" spans="1:5" ht="30" customHeight="1">
      <c r="A1" s="1" t="s">
        <v>0</v>
      </c>
      <c r="B1" s="1"/>
      <c r="C1" s="1"/>
      <c r="D1" s="1"/>
      <c r="E1" s="1"/>
    </row>
    <row r="2" spans="1:5" ht="21" customHeight="1">
      <c r="B2" s="2" t="s">
        <v>24</v>
      </c>
      <c r="C2" s="2"/>
      <c r="D2" s="2"/>
      <c r="E2" s="3" t="s">
        <v>2</v>
      </c>
    </row>
    <row r="3" spans="1:5" ht="6" customHeight="1"/>
    <row r="4" spans="1:5" ht="21" customHeight="1">
      <c r="B4" s="8" t="s">
        <v>153</v>
      </c>
      <c r="C4" s="8"/>
      <c r="D4" s="8"/>
      <c r="E4" s="8"/>
    </row>
    <row r="5" spans="1:5" ht="5" customHeight="1"/>
    <row r="6" spans="1:5">
      <c r="B6" s="27" t="s">
        <v>64</v>
      </c>
      <c r="C6" s="28" t="s">
        <v>90</v>
      </c>
      <c r="D6" s="28"/>
    </row>
    <row r="7" spans="1:5">
      <c r="B7" s="27" t="s">
        <v>154</v>
      </c>
      <c r="C7" s="45">
        <v>2400</v>
      </c>
      <c r="D7" s="7" t="s">
        <v>155</v>
      </c>
    </row>
    <row r="8" spans="1:5">
      <c r="B8" s="27" t="s">
        <v>156</v>
      </c>
      <c r="C8" s="29">
        <v>600</v>
      </c>
      <c r="D8" s="7" t="s">
        <v>157</v>
      </c>
    </row>
    <row r="9" spans="1:5">
      <c r="B9" s="27" t="s">
        <v>158</v>
      </c>
      <c r="C9" s="31">
        <v>0.1</v>
      </c>
      <c r="D9" s="7"/>
    </row>
    <row r="10" spans="1:5">
      <c r="B10" s="27" t="s">
        <v>159</v>
      </c>
      <c r="C10" s="45">
        <v>7</v>
      </c>
      <c r="D10" s="7" t="s">
        <v>160</v>
      </c>
    </row>
    <row r="11" spans="1:5">
      <c r="B11" s="27" t="s">
        <v>161</v>
      </c>
      <c r="C11" s="35">
        <v>25</v>
      </c>
      <c r="D11" s="7" t="str">
        <f>Currency&amp;"/h"</f>
        <v>CAD/h</v>
      </c>
    </row>
    <row r="12" spans="1:5">
      <c r="B12" s="27" t="s">
        <v>162</v>
      </c>
      <c r="C12" s="28" t="s">
        <v>163</v>
      </c>
      <c r="D12" s="28"/>
    </row>
    <row r="14" spans="1:5" ht="21" customHeight="1">
      <c r="B14" s="8" t="s">
        <v>164</v>
      </c>
      <c r="C14" s="8"/>
      <c r="D14" s="8"/>
      <c r="E14" s="8"/>
    </row>
    <row r="15" spans="1:5" ht="5" customHeight="1"/>
    <row r="16" spans="1:5">
      <c r="B16" s="27" t="s">
        <v>165</v>
      </c>
      <c r="C16" s="39">
        <f>IF(ReqPerHour&gt;0,ReqUnits/ReqPerHour,"")</f>
        <v>4</v>
      </c>
      <c r="D16" s="7" t="s">
        <v>166</v>
      </c>
    </row>
    <row r="17" spans="2:5">
      <c r="B17" s="17" t="s">
        <v>167</v>
      </c>
      <c r="C17" s="46">
        <f>IF(ISNUMBER(ReqBase),ReqBase*(1+ReqAllow),"")</f>
        <v>4.4</v>
      </c>
      <c r="D17" s="7" t="s">
        <v>166</v>
      </c>
    </row>
    <row r="18" spans="2:5">
      <c r="B18" s="27" t="s">
        <v>168</v>
      </c>
      <c r="C18" s="47">
        <f>IF(ISNUMBER(ReqLine),ReqLine*60,"")</f>
        <v>264</v>
      </c>
      <c r="D18" s="7" t="s">
        <v>169</v>
      </c>
    </row>
    <row r="19" spans="2:5">
      <c r="B19" s="27" t="s">
        <v>170</v>
      </c>
      <c r="C19" s="40">
        <f>IF(ISNUMBER(ReqLine),ReqLine*ReqCrew,"")</f>
        <v>30.8</v>
      </c>
      <c r="D19" s="7" t="s">
        <v>171</v>
      </c>
    </row>
    <row r="20" spans="2:5">
      <c r="B20" s="27" t="s">
        <v>172</v>
      </c>
      <c r="C20" s="48">
        <f>IF(ReqBand="Rate 2",Rate2,Rate1)</f>
        <v>1.5</v>
      </c>
      <c r="D20" s="7" t="s">
        <v>78</v>
      </c>
    </row>
    <row r="21" spans="2:5">
      <c r="B21" s="17" t="s">
        <v>173</v>
      </c>
      <c r="C21" s="46">
        <f>IF(ISNUMBER(ReqPerson),ReqPerson*ReqRate*ReqMult*(1+Burden),"")</f>
        <v>1293.6</v>
      </c>
      <c r="D21" s="7" t="str">
        <f>Currency</f>
        <v>CAD</v>
      </c>
    </row>
    <row r="22" spans="2:5">
      <c r="B22" s="27" t="s">
        <v>174</v>
      </c>
      <c r="C22" s="39">
        <f>IF(ISNUMBER(ReqPerson),ReqPerson*ReqRate*(ReqMult-1)*(1+Burden),"")</f>
        <v>431.2</v>
      </c>
      <c r="D22" s="7" t="str">
        <f>Currency</f>
        <v>CAD</v>
      </c>
    </row>
    <row r="23" spans="2:5">
      <c r="B23" s="27" t="s">
        <v>175</v>
      </c>
      <c r="C23" s="38" t="str">
        <f>IF(NOT(ISNUMBER(ReqLine)),"",IF(ReqLine&gt;OTLimit,"Out of limits","Within limits"))</f>
        <v>Within limits</v>
      </c>
      <c r="D23" s="38"/>
    </row>
    <row r="25" spans="2:5" ht="48.6" customHeight="1">
      <c r="B25" s="25" t="s">
        <v>176</v>
      </c>
      <c r="C25" s="25"/>
      <c r="D25" s="25"/>
      <c r="E25" s="25"/>
    </row>
  </sheetData>
  <mergeCells count="8">
    <mergeCell ref="A1:E1"/>
    <mergeCell ref="B2:D2"/>
    <mergeCell ref="B4:E4"/>
    <mergeCell ref="C6:D6"/>
    <mergeCell ref="C12:D12"/>
    <mergeCell ref="B14:E14"/>
    <mergeCell ref="C23:D23"/>
    <mergeCell ref="B25:E25"/>
  </mergeCells>
  <conditionalFormatting sqref="C2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7">
    <dataValidation type="list" allowBlank="1" showInputMessage="1" showErrorMessage="1" errorTitle="Check this entry" error="Pick from the list (edit the list on Setup: Departments)." promptTitle="Department" prompt="Who would work the overtime. Pick from the list (edit the list on Setup: Departments)." sqref="C6">
      <formula1>Departments</formula1>
    </dataValidation>
    <dataValidation type="decimal" allowBlank="1" showInputMessage="1" showErrorMessage="1" errorTitle="Check this entry" error="Enter a number of at least 0." promptTitle="Good units to recover" prompt="Good units behind plan (or the extra order) that the overtime must make. Enter a number of at least 0." sqref="C7">
      <formula1>0</formula1>
      <formula2>1000000000.0</formula2>
    </dataValidation>
    <dataValidation type="decimal" allowBlank="1" showInputMessage="1" showErrorMessage="1" errorTitle="Check this entry" error="Enter a number of at least 0.01." promptTitle="Demonstrated good output" prompt="What the line has actually made per hour recently, good units only; not the nameplate speed. Enter a number of at least 0.01." sqref="C8">
      <formula1>0.01</formula1>
      <formula2>1000000000.0</formula2>
    </dataValidation>
    <dataValidation type="decimal" allowBlank="1" showInputMessage="1" showErrorMessage="1" errorTitle="Check this entry" error="Enter a percentage from 0% to 500% (type 85% or 0.85)." promptTitle="Setup and delay allowance" prompt="Start-up, changeover and delay time on top of run time, as a share of run time. Enter a percentage from 0% to 500% (type 85% or 0.85)." sqref="C9">
      <formula1>0</formula1>
      <formula2>5</formula2>
    </dataValidation>
    <dataValidation type="decimal" allowBlank="1" showInputMessage="1" showErrorMessage="1" errorTitle="Check this entry" error="Enter a number from 1 to 1,000." promptTitle="Crew on the line" prompt="Enter a number from 1 to 1,000." sqref="C10">
      <formula1>1</formula1>
      <formula2>1000</formula2>
    </dataValidation>
    <dataValidation type="decimal" allowBlank="1" showInputMessage="1" showErrorMessage="1" errorTitle="Check this entry" error="Enter a number from 0 to 10,000." promptTitle="Average base rate of the crew" prompt="Enter a number from 0 to 10,000." sqref="C11">
      <formula1>0</formula1>
      <formula2>10000</formula2>
    </dataValidation>
    <dataValidation type="list" allowBlank="1" showInputMessage="1" showErrorMessage="1" errorTitle="Check this entry" error="Pick one of: Rate 1, Rate 2." promptTitle="Overtime rate band" prompt="Which Setup rate this overtime would be paid at. Pick one of: Rate 1, Rate 2." sqref="C12">
      <formula1>"Rate 1,Rate 2"</formula1>
    </dataValidation>
  </dataValidations>
  <hyperlinks>
    <hyperlink ref="E2" r:id="rId1" tooltip="Free manufacturing calculators and templates"/>
  </hyperlinks>
  <pageMargins left="0.4" right="0.4" top="0.7" bottom="0.65" header="0.3" footer="0.3"/>
  <pageSetup fitToHeight="0" orientation="portrait"/>
  <headerFooter>
    <oddHeader>&amp;L&amp;8MFG Calcs - Overtime Tracker&amp;R&amp;8&amp;A</oddHeader>
    <oddFooter>&amp;L&amp;8mfgcalcs.com - free manufacturing templates&amp;R&amp;8Page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89"/>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64</v>
      </c>
      <c r="C4" s="28"/>
      <c r="D4" s="28"/>
      <c r="F4" s="27" t="s">
        <v>177</v>
      </c>
      <c r="G4" s="49"/>
      <c r="H4" s="49"/>
      <c r="J4" s="27" t="s">
        <v>178</v>
      </c>
      <c r="K4" s="49"/>
      <c r="L4" s="49"/>
    </row>
    <row r="5" spans="1:12" x14ac:dyDescent="0.25">
      <c r="B5" s="50" t="str">
        <f>"Showing "&amp;COUNTIFS(tblOT[View date],"&gt;0")&amp;" person-weeks. Leave the filters blank to include everything; weeks are inclusive."</f>
        <v>Showing 128 person-weeks. Leave the filters blank to include everything; weeks are inclusive.</v>
      </c>
      <c r="C5" s="50"/>
      <c r="D5" s="50"/>
      <c r="E5" s="50"/>
      <c r="F5" s="50"/>
      <c r="G5" s="50"/>
      <c r="H5" s="50"/>
      <c r="I5" s="50"/>
      <c r="J5" s="50"/>
      <c r="K5" s="50"/>
      <c r="L5" s="50"/>
    </row>
    <row r="7" spans="1:12" ht="18" customHeight="1" x14ac:dyDescent="0.25">
      <c r="B7" s="51" t="s">
        <v>179</v>
      </c>
      <c r="C7" s="51"/>
      <c r="D7" s="51" t="s">
        <v>180</v>
      </c>
      <c r="E7" s="51"/>
      <c r="F7" s="51"/>
      <c r="G7" s="51" t="str">
        <f>"OVERTIME COST ("&amp;Currency&amp;", EST.)"</f>
        <v>OVERTIME COST (CAD, EST.)</v>
      </c>
      <c r="H7" s="51"/>
      <c r="I7" s="51"/>
      <c r="J7" s="51" t="s">
        <v>181</v>
      </c>
      <c r="K7" s="51"/>
      <c r="L7" s="51"/>
    </row>
    <row r="8" spans="1:12" ht="21" customHeight="1" x14ac:dyDescent="0.25">
      <c r="B8" s="52">
        <f>SUMIFS(tblOT[Overtime hours (h)],tblOT[View date],"&gt;0")</f>
        <v>389.5</v>
      </c>
      <c r="C8" s="52"/>
      <c r="D8" s="53">
        <f>IF((SUMIFS(tblOT[Total hours (h)],tblOT[View date],"&gt;0"))=0,"",(SUMIFS(tblOT[Overtime hours (h)],tblOT[View date],"&gt;0"))/(SUMIFS(tblOT[Total hours (h)],tblOT[View date],"&gt;0")))</f>
        <v>0.0740283189204599</v>
      </c>
      <c r="E8" s="53"/>
      <c r="F8" s="53"/>
      <c r="G8" s="54">
        <f>SUMIFS(tblOT[OT cost (est.)],tblOT[View date],"&gt;0")</f>
        <v>19365.78</v>
      </c>
      <c r="H8" s="54"/>
      <c r="I8" s="54"/>
      <c r="J8" s="54">
        <f>COUNTIFS(tblOT[Limits],"Out of limits",tblOT[View date],"&gt;0")</f>
        <v>6</v>
      </c>
      <c r="K8" s="54"/>
      <c r="L8" s="54"/>
    </row>
    <row r="9" spans="1:12" ht="21" customHeight="1" x14ac:dyDescent="0.25">
      <c r="B9" s="52"/>
      <c r="C9" s="52"/>
      <c r="D9" s="53"/>
      <c r="E9" s="53"/>
      <c r="F9" s="53"/>
      <c r="G9" s="54"/>
      <c r="H9" s="54"/>
      <c r="I9" s="54"/>
      <c r="J9" s="54"/>
      <c r="K9" s="54"/>
      <c r="L9" s="54"/>
    </row>
    <row r="10" spans="1:12" x14ac:dyDescent="0.25">
      <c r="B10" s="55">
        <f>IF(COUNT(tblOT[View date])=0,0,(MAX(tblOT[View date])-MIN(tblOT[View date]))/7+1)*IF(DashDept="",SUM(tblDepartments[Weekly OT budget (h)]),SUMIFS(tblDepartments[Weekly OT budget (h)],tblDepartments[Department],DashDept))</f>
        <v>800</v>
      </c>
      <c r="C10" s="55"/>
      <c r="D10" s="56">
        <f>TargetShare</f>
        <v>0.08</v>
      </c>
      <c r="E10" s="56"/>
      <c r="F10" s="56"/>
      <c r="G10" s="57" t="s">
        <v>182</v>
      </c>
      <c r="H10" s="57"/>
      <c r="I10" s="57"/>
      <c r="J10" s="58">
        <f>0</f>
        <v>0</v>
      </c>
      <c r="K10" s="58"/>
      <c r="L10" s="58"/>
    </row>
    <row r="11" spans="1:12" ht="18" customHeight="1" x14ac:dyDescent="0.25">
      <c r="B11" s="59" t="str">
        <f>IF(NOT(ISNUMBER(KpiOT)),"No data",IF(KpiOT&lt;=(IF(COUNT(tblOT[View date])=0,0,(MAX(tblOT[View date])-MIN(tblOT[View date]))/7+1)*IF(DashDept="",SUM(tblDepartments[Weekly OT budget (h)]),SUMIFS(tblDepartments[Weekly OT budget (h)],tblDepartments[Department],DashDept))),"On target",IF(KpiOT&lt;=(IF(COUNT(tblOT[View date])=0,0,(MAX(tblOT[View date])-MIN(tblOT[View date]))/7+1)*IF(DashDept="",SUM(tblDepartments[Weekly OT budget (h)]),SUMIFS(tblDepartments[Weekly OT budget (h)],tblDepartments[Department],DashDept)))*(1+0.05),"Near target","Above target")))</f>
        <v>On target</v>
      </c>
      <c r="C11" s="59"/>
      <c r="D11" s="59" t="str">
        <f>IF(NOT(ISNUMBER(KpiShare)),"No data",IF(KpiShare&lt;=(TargetShare),"On target",IF(KpiShare&lt;=(TargetShare)*(1+0.05),"Near target","Above target")))</f>
        <v>On target</v>
      </c>
      <c r="E11" s="59"/>
      <c r="F11" s="59"/>
      <c r="G11" s="59"/>
      <c r="H11" s="59"/>
      <c r="I11" s="59"/>
      <c r="J11" s="59" t="str">
        <f>IF(NOT(ISNUMBER(KpiOut)),"No data",IF(KpiOut&lt;=(0),"Within limits",IF(KpiOut&lt;=(0),"Check","Out of limits")))</f>
        <v>Out of limits</v>
      </c>
      <c r="K11" s="59"/>
      <c r="L11" s="59"/>
    </row>
    <row r="29" spans="2:12" ht="18" customHeight="1" x14ac:dyDescent="0.25">
      <c r="B29" s="51" t="str">
        <f>"PREMIUM OVER STRAIGHT TIME ("&amp;Currency&amp;")"</f>
        <v>PREMIUM OVER STRAIGHT TIME (CAD)</v>
      </c>
      <c r="C29" s="51"/>
      <c r="D29" s="51" t="s">
        <v>183</v>
      </c>
      <c r="E29" s="51"/>
      <c r="F29" s="51"/>
      <c r="G29" s="51" t="s">
        <v>184</v>
      </c>
      <c r="H29" s="51"/>
      <c r="I29" s="51"/>
      <c r="J29" s="51" t="s">
        <v>185</v>
      </c>
      <c r="K29" s="51"/>
      <c r="L29" s="51"/>
    </row>
    <row r="30" spans="2:12" ht="21" customHeight="1" x14ac:dyDescent="0.25">
      <c r="B30" s="54">
        <f>SUMIFS(tblOT[OT premium (est.)],tblOT[View date],"&gt;0")</f>
        <v>7170.38</v>
      </c>
      <c r="C30" s="54"/>
      <c r="D30" s="60">
        <f>IF((IF(COUNT(tblOT[View date])=0,0,(MAX(tblOT[View date])-MIN(tblOT[View date]))/7+1)*IF(DashDept="",SUM(tblDepartments[Weekly OT budget (h)]),SUMIFS(tblDepartments[Weekly OT budget (h)],tblDepartments[Department],DashDept)))=0,"",(SUMIFS(tblOT[Overtime hours (h)],tblOT[View date],"&gt;0"))/(IF(COUNT(tblOT[View date])=0,0,(MAX(tblOT[View date])-MIN(tblOT[View date]))/7+1)*IF(DashDept="",SUM(tblDepartments[Weekly OT budget (h)]),SUMIFS(tblDepartments[Weekly OT budget (h)],tblDepartments[Department],DashDept))))</f>
        <v>0.486875</v>
      </c>
      <c r="E30" s="60"/>
      <c r="F30" s="60"/>
      <c r="G30" s="61" t="str">
        <f>IF(INDEX($E$59:$E$65,1)&gt;0,INDEX($C$59:$C$65,1),"None logged")</f>
        <v>Customer rush order</v>
      </c>
      <c r="H30" s="61"/>
      <c r="I30" s="61"/>
      <c r="J30" s="54">
        <f>COUNTIF($E$71:$E$86,"&gt;0")</f>
        <v>15</v>
      </c>
      <c r="K30" s="54"/>
      <c r="L30" s="54"/>
    </row>
    <row r="31" spans="2:12" ht="21" customHeight="1" x14ac:dyDescent="0.25">
      <c r="B31" s="54"/>
      <c r="C31" s="54"/>
      <c r="D31" s="60"/>
      <c r="E31" s="60"/>
      <c r="F31" s="60"/>
      <c r="G31" s="61"/>
      <c r="H31" s="61"/>
      <c r="I31" s="61"/>
      <c r="J31" s="54"/>
      <c r="K31" s="54"/>
      <c r="L31" s="54"/>
    </row>
    <row r="32" spans="2:12" x14ac:dyDescent="0.25">
      <c r="B32" s="57" t="s">
        <v>186</v>
      </c>
      <c r="C32" s="57"/>
      <c r="D32" s="57" t="s">
        <v>187</v>
      </c>
      <c r="E32" s="57"/>
      <c r="F32" s="57"/>
      <c r="G32" s="57" t="s">
        <v>188</v>
      </c>
      <c r="H32" s="57"/>
      <c r="I32" s="57"/>
      <c r="J32" s="57" t="s">
        <v>189</v>
      </c>
      <c r="K32" s="57"/>
      <c r="L32" s="57"/>
    </row>
    <row r="33" spans="2:12" ht="18" customHeight="1" x14ac:dyDescent="0.25">
      <c r="B33" s="59"/>
      <c r="C33" s="59"/>
      <c r="D33" s="59"/>
      <c r="E33" s="59"/>
      <c r="F33" s="59"/>
      <c r="G33" s="59"/>
      <c r="H33" s="59"/>
      <c r="I33" s="59"/>
      <c r="J33" s="59"/>
      <c r="K33" s="59"/>
      <c r="L33" s="59"/>
    </row>
    <row r="35" spans="2:12" x14ac:dyDescent="0.25">
      <c r="B35" s="32" t="s">
        <v>190</v>
      </c>
      <c r="C35" s="32"/>
      <c r="D35" s="32"/>
      <c r="E35" s="32"/>
      <c r="F35" s="32"/>
      <c r="G35" s="32"/>
      <c r="H35" s="32"/>
      <c r="I35" s="32"/>
      <c r="J35" s="32"/>
    </row>
    <row r="36" spans="2:12" ht="32" customHeight="1" x14ac:dyDescent="0.25">
      <c r="B36" s="62" t="s">
        <v>191</v>
      </c>
      <c r="C36" s="33" t="s">
        <v>192</v>
      </c>
      <c r="D36" s="33" t="s">
        <v>193</v>
      </c>
      <c r="E36" s="33" t="s">
        <v>137</v>
      </c>
      <c r="F36" s="33" t="s">
        <v>138</v>
      </c>
      <c r="G36" s="33" t="s">
        <v>194</v>
      </c>
      <c r="H36" s="33" t="s">
        <v>195</v>
      </c>
      <c r="I36" s="33" t="s">
        <v>196</v>
      </c>
      <c r="J36" s="33"/>
    </row>
    <row r="37" spans="2:12" ht="14" customHeight="1" x14ac:dyDescent="0.25">
      <c r="B37" s="34"/>
      <c r="C37" s="34"/>
      <c r="D37" s="34"/>
      <c r="E37" s="34"/>
      <c r="F37" s="34" t="str">
        <f>Currency</f>
        <v>CAD</v>
      </c>
      <c r="G37" s="34"/>
      <c r="H37" s="34"/>
      <c r="I37" s="34"/>
      <c r="J37" s="34"/>
    </row>
    <row r="38" spans="2:12" x14ac:dyDescent="0.25">
      <c r="B38" s="63">
        <f>IF($B$39="","",IF($B$39-7&lt;MIN(tblOT[View date]),"",$B$39-7))</f>
        <v>46237</v>
      </c>
      <c r="C38" s="40">
        <f>IF($B$38="","",SUMIFS(tblOT[Regular hours (h)],tblOT[View date],$B$38))</f>
        <v>640</v>
      </c>
      <c r="D38" s="40">
        <f>IF($B$38="","",SUMIFS(tblOT[Overtime hours (h)],tblOT[View date],$B$38))</f>
        <v>11</v>
      </c>
      <c r="E38" s="41">
        <f>IF($B$38="","",IF((SUMIFS(tblOT[Total hours (h)],tblOT[View date],$B$38))=0,"",(SUMIFS(tblOT[Overtime hours (h)],tblOT[View date],$B$38))/(SUMIFS(tblOT[Total hours (h)],tblOT[View date],$B$38))))</f>
        <v>0.0168970814132104</v>
      </c>
      <c r="F38" s="47">
        <f>IF($B$38="","",SUMIFS(tblOT[OT cost (est.)],tblOT[View date],$B$38))</f>
        <v>495.39</v>
      </c>
      <c r="G38" s="64">
        <f>IF(DashDept="",SUM(tblDepartments[Weekly OT budget (h)]),SUMIFS(tblDepartments[Weekly OT budget (h)],tblDepartments[Department],DashDept))</f>
        <v>100</v>
      </c>
      <c r="H38" s="47">
        <f>IF($B$38="","",COUNTIFS(tblOT[Limits],"Out of limits",tblOT[View date],$B$38))</f>
        <v>0</v>
      </c>
      <c r="I38" s="42" t="str">
        <f>IF($B$38="","",IF($B$38="","",IF($D$38&lt;=$G$38,"On target",IF($D$38&lt;=$G$38*1.05,"Near target","Above target"))))</f>
        <v>On target</v>
      </c>
      <c r="J38" s="42"/>
    </row>
    <row r="39" spans="2:12" x14ac:dyDescent="0.25">
      <c r="B39" s="63">
        <f>IF($B$40="","",IF($B$40-7&lt;MIN(tblOT[View date]),"",$B$40-7))</f>
        <v>46244</v>
      </c>
      <c r="C39" s="40">
        <f>IF($B$39="","",SUMIFS(tblOT[Regular hours (h)],tblOT[View date],$B$39))</f>
        <v>600</v>
      </c>
      <c r="D39" s="40">
        <f>IF($B$39="","",SUMIFS(tblOT[Overtime hours (h)],tblOT[View date],$B$39))</f>
        <v>40</v>
      </c>
      <c r="E39" s="41">
        <f>IF($B$39="","",IF((SUMIFS(tblOT[Total hours (h)],tblOT[View date],$B$39))=0,"",(SUMIFS(tblOT[Overtime hours (h)],tblOT[View date],$B$39))/(SUMIFS(tblOT[Total hours (h)],tblOT[View date],$B$39))))</f>
        <v>0.0625</v>
      </c>
      <c r="F39" s="47">
        <f>IF($B$39="","",SUMIFS(tblOT[OT cost (est.)],tblOT[View date],$B$39))</f>
        <v>1777.65</v>
      </c>
      <c r="G39" s="64">
        <f>IF(DashDept="",SUM(tblDepartments[Weekly OT budget (h)]),SUMIFS(tblDepartments[Weekly OT budget (h)],tblDepartments[Department],DashDept))</f>
        <v>100</v>
      </c>
      <c r="H39" s="47">
        <f>IF($B$39="","",COUNTIFS(tblOT[Limits],"Out of limits",tblOT[View date],$B$39))</f>
        <v>0</v>
      </c>
      <c r="I39" s="42" t="str">
        <f>IF($B$39="","",IF($B$39="","",IF($D$39&lt;=$G$39,"On target",IF($D$39&lt;=$G$39*1.05,"Near target","Above target"))))</f>
        <v>On target</v>
      </c>
      <c r="J39" s="42"/>
    </row>
    <row r="40" spans="2:12" x14ac:dyDescent="0.25">
      <c r="B40" s="63">
        <f>IF($B$41="","",IF($B$41-7&lt;MIN(tblOT[View date]),"",$B$41-7))</f>
        <v>46251</v>
      </c>
      <c r="C40" s="40">
        <f>IF($B$40="","",SUMIFS(tblOT[Regular hours (h)],tblOT[View date],$B$40))</f>
        <v>600</v>
      </c>
      <c r="D40" s="40">
        <f>IF($B$40="","",SUMIFS(tblOT[Overtime hours (h)],tblOT[View date],$B$40))</f>
        <v>56</v>
      </c>
      <c r="E40" s="41">
        <f>IF($B$40="","",IF((SUMIFS(tblOT[Total hours (h)],tblOT[View date],$B$40))=0,"",(SUMIFS(tblOT[Overtime hours (h)],tblOT[View date],$B$40))/(SUMIFS(tblOT[Total hours (h)],tblOT[View date],$B$40))))</f>
        <v>0.0853658536585366</v>
      </c>
      <c r="F40" s="47">
        <f>IF($B$40="","",SUMIFS(tblOT[OT cost (est.)],tblOT[View date],$B$40))</f>
        <v>2916.69</v>
      </c>
      <c r="G40" s="64">
        <f>IF(DashDept="",SUM(tblDepartments[Weekly OT budget (h)]),SUMIFS(tblDepartments[Weekly OT budget (h)],tblDepartments[Department],DashDept))</f>
        <v>100</v>
      </c>
      <c r="H40" s="47">
        <f>IF($B$40="","",COUNTIFS(tblOT[Limits],"Out of limits",tblOT[View date],$B$40))</f>
        <v>0</v>
      </c>
      <c r="I40" s="42" t="str">
        <f>IF($B$40="","",IF($B$40="","",IF($D$40&lt;=$G$40,"On target",IF($D$40&lt;=$G$40*1.05,"Near target","Above target"))))</f>
        <v>On target</v>
      </c>
      <c r="J40" s="42"/>
    </row>
    <row r="41" spans="2:12" x14ac:dyDescent="0.25">
      <c r="B41" s="63">
        <f>IF($B$42="","",IF($B$42-7&lt;MIN(tblOT[View date]),"",$B$42-7))</f>
        <v>46258</v>
      </c>
      <c r="C41" s="40">
        <f>IF($B$41="","",SUMIFS(tblOT[Regular hours (h)],tblOT[View date],$B$41))</f>
        <v>600</v>
      </c>
      <c r="D41" s="40">
        <f>IF($B$41="","",SUMIFS(tblOT[Overtime hours (h)],tblOT[View date],$B$41))</f>
        <v>42.5</v>
      </c>
      <c r="E41" s="41">
        <f>IF($B$41="","",IF((SUMIFS(tblOT[Total hours (h)],tblOT[View date],$B$41))=0,"",(SUMIFS(tblOT[Overtime hours (h)],tblOT[View date],$B$41))/(SUMIFS(tblOT[Total hours (h)],tblOT[View date],$B$41))))</f>
        <v>0.066147859922179</v>
      </c>
      <c r="F41" s="47">
        <f>IF($B$41="","",SUMIFS(tblOT[OT cost (est.)],tblOT[View date],$B$41))</f>
        <v>1873.83</v>
      </c>
      <c r="G41" s="64">
        <f>IF(DashDept="",SUM(tblDepartments[Weekly OT budget (h)]),SUMIFS(tblDepartments[Weekly OT budget (h)],tblDepartments[Department],DashDept))</f>
        <v>100</v>
      </c>
      <c r="H41" s="47">
        <f>IF($B$41="","",COUNTIFS(tblOT[Limits],"Out of limits",tblOT[View date],$B$41))</f>
        <v>0</v>
      </c>
      <c r="I41" s="42" t="str">
        <f>IF($B$41="","",IF($B$41="","",IF($D$41&lt;=$G$41,"On target",IF($D$41&lt;=$G$41*1.05,"Near target","Above target"))))</f>
        <v>On target</v>
      </c>
      <c r="J41" s="42"/>
    </row>
    <row r="42" spans="2:12" x14ac:dyDescent="0.25">
      <c r="B42" s="63">
        <f>IF($B$43="","",IF($B$43-7&lt;MIN(tblOT[View date]),"",$B$43-7))</f>
        <v>46265</v>
      </c>
      <c r="C42" s="40">
        <f>IF($B$42="","",SUMIFS(tblOT[Regular hours (h)],tblOT[View date],$B$42))</f>
        <v>640</v>
      </c>
      <c r="D42" s="40">
        <f>IF($B$42="","",SUMIFS(tblOT[Overtime hours (h)],tblOT[View date],$B$42))</f>
        <v>71.5</v>
      </c>
      <c r="E42" s="41">
        <f>IF($B$42="","",IF((SUMIFS(tblOT[Total hours (h)],tblOT[View date],$B$42))=0,"",(SUMIFS(tblOT[Overtime hours (h)],tblOT[View date],$B$42))/(SUMIFS(tblOT[Total hours (h)],tblOT[View date],$B$42))))</f>
        <v>0.10049191848208</v>
      </c>
      <c r="F42" s="47">
        <f>IF($B$42="","",SUMIFS(tblOT[OT cost (est.)],tblOT[View date],$B$42))</f>
        <v>3214.89</v>
      </c>
      <c r="G42" s="64">
        <f>IF(DashDept="",SUM(tblDepartments[Weekly OT budget (h)]),SUMIFS(tblDepartments[Weekly OT budget (h)],tblDepartments[Department],DashDept))</f>
        <v>100</v>
      </c>
      <c r="H42" s="47">
        <f>IF($B$42="","",COUNTIFS(tblOT[Limits],"Out of limits",tblOT[View date],$B$42))</f>
        <v>2</v>
      </c>
      <c r="I42" s="42" t="str">
        <f>IF($B$42="","",IF($B$42="","",IF($D$42&lt;=$G$42,"On target",IF($D$42&lt;=$G$42*1.05,"Near target","Above target"))))</f>
        <v>On target</v>
      </c>
      <c r="J42" s="42"/>
    </row>
    <row r="43" spans="2:12" x14ac:dyDescent="0.25">
      <c r="B43" s="63">
        <f>IF($B$44="","",IF($B$44-7&lt;MIN(tblOT[View date]),"",$B$44-7))</f>
        <v>46272</v>
      </c>
      <c r="C43" s="40">
        <f>IF($B$43="","",SUMIFS(tblOT[Regular hours (h)],tblOT[View date],$B$43))</f>
        <v>512</v>
      </c>
      <c r="D43" s="40">
        <f>IF($B$43="","",SUMIFS(tblOT[Overtime hours (h)],tblOT[View date],$B$43))</f>
        <v>105</v>
      </c>
      <c r="E43" s="41">
        <f>IF($B$43="","",IF((SUMIFS(tblOT[Total hours (h)],tblOT[View date],$B$43))=0,"",(SUMIFS(tblOT[Overtime hours (h)],tblOT[View date],$B$43))/(SUMIFS(tblOT[Total hours (h)],tblOT[View date],$B$43))))</f>
        <v>0.170178282009724</v>
      </c>
      <c r="F43" s="47">
        <f>IF($B$43="","",SUMIFS(tblOT[OT cost (est.)],tblOT[View date],$B$43))</f>
        <v>5011.65</v>
      </c>
      <c r="G43" s="64">
        <f>IF(DashDept="",SUM(tblDepartments[Weekly OT budget (h)]),SUMIFS(tblDepartments[Weekly OT budget (h)],tblDepartments[Department],DashDept))</f>
        <v>100</v>
      </c>
      <c r="H43" s="47">
        <f>IF($B$43="","",COUNTIFS(tblOT[Limits],"Out of limits",tblOT[View date],$B$43))</f>
        <v>4</v>
      </c>
      <c r="I43" s="42" t="str">
        <f>IF($B$43="","",IF($B$43="","",IF($D$43&lt;=$G$43,"On target",IF($D$43&lt;=$G$43*1.05,"Near target","Above target"))))</f>
        <v>Near target</v>
      </c>
      <c r="J43" s="42"/>
    </row>
    <row r="44" spans="2:12" x14ac:dyDescent="0.25">
      <c r="B44" s="63">
        <f>IF($B$45="","",IF($B$45-7&lt;MIN(tblOT[View date]),"",$B$45-7))</f>
        <v>46279</v>
      </c>
      <c r="C44" s="40">
        <f>IF($B$44="","",SUMIFS(tblOT[Regular hours (h)],tblOT[View date],$B$44))</f>
        <v>640</v>
      </c>
      <c r="D44" s="40">
        <f>IF($B$44="","",SUMIFS(tblOT[Overtime hours (h)],tblOT[View date],$B$44))</f>
        <v>12</v>
      </c>
      <c r="E44" s="41">
        <f>IF($B$44="","",IF((SUMIFS(tblOT[Total hours (h)],tblOT[View date],$B$44))=0,"",(SUMIFS(tblOT[Overtime hours (h)],tblOT[View date],$B$44))/(SUMIFS(tblOT[Total hours (h)],tblOT[View date],$B$44))))</f>
        <v>0.0184049079754601</v>
      </c>
      <c r="F44" s="47">
        <f>IF($B$44="","",SUMIFS(tblOT[OT cost (est.)],tblOT[View date],$B$44))</f>
        <v>617.4</v>
      </c>
      <c r="G44" s="64">
        <f>IF(DashDept="",SUM(tblDepartments[Weekly OT budget (h)]),SUMIFS(tblDepartments[Weekly OT budget (h)],tblDepartments[Department],DashDept))</f>
        <v>100</v>
      </c>
      <c r="H44" s="47">
        <f>IF($B$44="","",COUNTIFS(tblOT[Limits],"Out of limits",tblOT[View date],$B$44))</f>
        <v>0</v>
      </c>
      <c r="I44" s="42" t="str">
        <f>IF($B$44="","",IF($B$44="","",IF($D$44&lt;=$G$44,"On target",IF($D$44&lt;=$G$44*1.05,"Near target","Above target"))))</f>
        <v>On target</v>
      </c>
      <c r="J44" s="42"/>
    </row>
    <row r="45" spans="2:12" x14ac:dyDescent="0.25">
      <c r="B45" s="63">
        <f>IF(COUNT(tblOT[View date])=0,"",MAX(tblOT[View date]))</f>
        <v>46286</v>
      </c>
      <c r="C45" s="40">
        <f>IF($B$45="","",SUMIFS(tblOT[Regular hours (h)],tblOT[View date],$B$45))</f>
        <v>640</v>
      </c>
      <c r="D45" s="40">
        <f>IF($B$45="","",SUMIFS(tblOT[Overtime hours (h)],tblOT[View date],$B$45))</f>
        <v>51.5</v>
      </c>
      <c r="E45" s="41">
        <f>IF($B$45="","",IF((SUMIFS(tblOT[Total hours (h)],tblOT[View date],$B$45))=0,"",(SUMIFS(tblOT[Overtime hours (h)],tblOT[View date],$B$45))/(SUMIFS(tblOT[Total hours (h)],tblOT[View date],$B$45))))</f>
        <v>0.0744757772957339</v>
      </c>
      <c r="F45" s="47">
        <f>IF($B$45="","",SUMIFS(tblOT[OT cost (est.)],tblOT[View date],$B$45))</f>
        <v>3458.28</v>
      </c>
      <c r="G45" s="64">
        <f>IF(DashDept="",SUM(tblDepartments[Weekly OT budget (h)]),SUMIFS(tblDepartments[Weekly OT budget (h)],tblDepartments[Department],DashDept))</f>
        <v>100</v>
      </c>
      <c r="H45" s="47">
        <f>IF($B$45="","",COUNTIFS(tblOT[Limits],"Out of limits",tblOT[View date],$B$45))</f>
        <v>0</v>
      </c>
      <c r="I45" s="42" t="str">
        <f>IF($B$45="","",IF($B$45="","",IF($D$45&lt;=$G$45,"On target",IF($D$45&lt;=$G$45*1.05,"Near target","Above target"))))</f>
        <v>On target</v>
      </c>
      <c r="J45" s="42"/>
    </row>
    <row r="47" spans="2:12" x14ac:dyDescent="0.25">
      <c r="B47" s="32" t="s">
        <v>197</v>
      </c>
      <c r="C47" s="32"/>
      <c r="D47" s="32"/>
      <c r="E47" s="32"/>
      <c r="F47" s="32"/>
      <c r="G47" s="32"/>
      <c r="H47" s="32"/>
      <c r="I47" s="32"/>
      <c r="J47" s="32"/>
      <c r="K47" s="32"/>
    </row>
    <row r="48" spans="2:12" ht="32" customHeight="1" x14ac:dyDescent="0.25">
      <c r="B48" s="62" t="s">
        <v>64</v>
      </c>
      <c r="C48" s="33" t="s">
        <v>193</v>
      </c>
      <c r="D48" s="33" t="s">
        <v>194</v>
      </c>
      <c r="E48" s="33" t="s">
        <v>198</v>
      </c>
      <c r="F48" s="33" t="s">
        <v>137</v>
      </c>
      <c r="G48" s="33" t="s">
        <v>138</v>
      </c>
      <c r="H48" s="33" t="s">
        <v>199</v>
      </c>
      <c r="I48" s="33" t="s">
        <v>195</v>
      </c>
      <c r="J48" s="33" t="s">
        <v>196</v>
      </c>
      <c r="K48" s="33"/>
    </row>
    <row r="49" spans="2:43" ht="14" customHeight="1" x14ac:dyDescent="0.25">
      <c r="B49" s="34"/>
      <c r="C49" s="34"/>
      <c r="D49" s="34"/>
      <c r="E49" s="34"/>
      <c r="F49" s="34"/>
      <c r="G49" s="34" t="str">
        <f>Currency</f>
        <v>CAD</v>
      </c>
      <c r="H49" s="34" t="str">
        <f>Currency</f>
        <v>CAD</v>
      </c>
      <c r="I49" s="34"/>
      <c r="J49" s="34"/>
      <c r="K49" s="34"/>
    </row>
    <row r="50" spans="2:43" x14ac:dyDescent="0.25">
      <c r="B50" s="65" t="str">
        <f>IFERROR(INDEX(tblDepartments[Department],1)&amp;"","")</f>
        <v>Processing</v>
      </c>
      <c r="C50" s="40">
        <f>IF($B$50="","",SUMIFS(tblOT[Overtime hours (h)],tblOT[Department],$B$50,tblOT[View date],"&gt;0"))</f>
        <v>91</v>
      </c>
      <c r="D50" s="40">
        <f>IF($B$50="","",IF(AND(DashDept&lt;&gt;"",DashDept&lt;&gt;$B$50),"",IF(COUNT(tblOT[View date])=0,0,(MAX(tblOT[View date])-MIN(tblOT[View date]))/7+1)*SUMIFS(tblDepartments[Weekly OT budget (h)],tblDepartments[Department],$B$50)))</f>
        <v>240</v>
      </c>
      <c r="E50" s="66">
        <f>IF($B$50="","",IF(NOT(ISNUMBER($D$50)),"",IF($D$50=0,"",$C$50/$D$50)))</f>
        <v>0.379166666666667</v>
      </c>
      <c r="F50" s="41">
        <f>IF($B$50="","",IF((SUMIFS(tblOT[Total hours (h)],tblOT[Department],$B$50,tblOT[View date],"&gt;0"))=0,"",(SUMIFS(tblOT[Overtime hours (h)],tblOT[Department],$B$50,tblOT[View date],"&gt;0"))/(SUMIFS(tblOT[Total hours (h)],tblOT[Department],$B$50,tblOT[View date],"&gt;0"))))</f>
        <v>0.0679611650485437</v>
      </c>
      <c r="G50" s="47">
        <f>IF($B$50="","",SUMIFS(tblOT[OT cost (est.)],tblOT[Department],$B$50,tblOT[View date],"&gt;0"))</f>
        <v>4201.47</v>
      </c>
      <c r="H50" s="47">
        <f>IF($B$50="","",SUMIFS(tblOT[OT premium (est.)],tblOT[Department],$B$50,tblOT[View date],"&gt;0"))</f>
        <v>1400.49</v>
      </c>
      <c r="I50" s="47">
        <f>IF($B$50="","",COUNTIFS(tblOT[Limits],"Out of limits",tblOT[Department],$B$50,tblOT[View date],"&gt;0"))</f>
        <v>0</v>
      </c>
      <c r="J50" s="42" t="str">
        <f>IF($B$50="","",IF(NOT(ISNUMBER($D$50)),"",IF($C$50&lt;=$D$50,"On target",IF($C$50&lt;=$D$50*1.05,"Near target","Above target"))))</f>
        <v>On target</v>
      </c>
      <c r="K50" s="42"/>
    </row>
    <row r="51" spans="2:43" x14ac:dyDescent="0.25">
      <c r="B51" s="65" t="str">
        <f>IFERROR(INDEX(tblDepartments[Department],2)&amp;"","")</f>
        <v>Packaging</v>
      </c>
      <c r="C51" s="40">
        <f>IF($B$51="","",SUMIFS(tblOT[Overtime hours (h)],tblOT[Department],$B$51,tblOT[View date],"&gt;0"))</f>
        <v>156.5</v>
      </c>
      <c r="D51" s="40">
        <f>IF($B$51="","",IF(AND(DashDept&lt;&gt;"",DashDept&lt;&gt;$B$51),"",IF(COUNT(tblOT[View date])=0,0,(MAX(tblOT[View date])-MIN(tblOT[View date]))/7+1)*SUMIFS(tblDepartments[Weekly OT budget (h)],tblDepartments[Department],$B$51)))</f>
        <v>240</v>
      </c>
      <c r="E51" s="66">
        <f>IF($B$51="","",IF(NOT(ISNUMBER($D$51)),"",IF($D$51=0,"",$C$51/$D$51)))</f>
        <v>0.652083333333333</v>
      </c>
      <c r="F51" s="41">
        <f>IF($B$51="","",IF((SUMIFS(tblOT[Total hours (h)],tblOT[Department],$B$51,tblOT[View date],"&gt;0"))=0,"",(SUMIFS(tblOT[Overtime hours (h)],tblOT[Department],$B$51,tblOT[View date],"&gt;0"))/(SUMIFS(tblOT[Total hours (h)],tblOT[Department],$B$51,tblOT[View date],"&gt;0"))))</f>
        <v>0.111427554289783</v>
      </c>
      <c r="G51" s="47">
        <f>IF($B$51="","",SUMIFS(tblOT[OT cost (est.)],tblOT[Department],$B$51,tblOT[View date],"&gt;0"))</f>
        <v>7004.13</v>
      </c>
      <c r="H51" s="47">
        <f>IF($B$51="","",SUMIFS(tblOT[OT premium (est.)],tblOT[Department],$B$51,tblOT[View date],"&gt;0"))</f>
        <v>2632.63</v>
      </c>
      <c r="I51" s="47">
        <f>IF($B$51="","",COUNTIFS(tblOT[Limits],"Out of limits",tblOT[Department],$B$51,tblOT[View date],"&gt;0"))</f>
        <v>6</v>
      </c>
      <c r="J51" s="42" t="str">
        <f>IF($B$51="","",IF(NOT(ISNUMBER($D$51)),"",IF($C$51&lt;=$D$51,"On target",IF($C$51&lt;=$D$51*1.05,"Near target","Above target"))))</f>
        <v>On target</v>
      </c>
      <c r="K51" s="42"/>
    </row>
    <row r="52" spans="2:43" x14ac:dyDescent="0.25">
      <c r="B52" s="65" t="str">
        <f>IFERROR(INDEX(tblDepartments[Department],3)&amp;"","")</f>
        <v>Sanitation</v>
      </c>
      <c r="C52" s="40">
        <f>IF($B$52="","",SUMIFS(tblOT[Overtime hours (h)],tblOT[Department],$B$52,tblOT[View date],"&gt;0"))</f>
        <v>58</v>
      </c>
      <c r="D52" s="40">
        <f>IF($B$52="","",IF(AND(DashDept&lt;&gt;"",DashDept&lt;&gt;$B$52),"",IF(COUNT(tblOT[View date])=0,0,(MAX(tblOT[View date])-MIN(tblOT[View date]))/7+1)*SUMIFS(tblDepartments[Weekly OT budget (h)],tblDepartments[Department],$B$52)))</f>
        <v>96</v>
      </c>
      <c r="E52" s="66">
        <f>IF($B$52="","",IF(NOT(ISNUMBER($D$52)),"",IF($D$52=0,"",$C$52/$D$52)))</f>
        <v>0.604166666666667</v>
      </c>
      <c r="F52" s="41">
        <f>IF($B$52="","",IF((SUMIFS(tblOT[Total hours (h)],tblOT[Department],$B$52,tblOT[View date],"&gt;0"))=0,"",(SUMIFS(tblOT[Overtime hours (h)],tblOT[Department],$B$52,tblOT[View date],"&gt;0"))/(SUMIFS(tblOT[Total hours (h)],tblOT[Department],$B$52,tblOT[View date],"&gt;0"))))</f>
        <v>0.0663615560640732</v>
      </c>
      <c r="G52" s="47">
        <f>IF($B$52="","",SUMIFS(tblOT[OT cost (est.)],tblOT[Department],$B$52,tblOT[View date],"&gt;0"))</f>
        <v>2346.96</v>
      </c>
      <c r="H52" s="47">
        <f>IF($B$52="","",SUMIFS(tblOT[OT premium (est.)],tblOT[Department],$B$52,tblOT[View date],"&gt;0"))</f>
        <v>782.32</v>
      </c>
      <c r="I52" s="47">
        <f>IF($B$52="","",COUNTIFS(tblOT[Limits],"Out of limits",tblOT[Department],$B$52,tblOT[View date],"&gt;0"))</f>
        <v>0</v>
      </c>
      <c r="J52" s="42" t="str">
        <f>IF($B$52="","",IF(NOT(ISNUMBER($D$52)),"",IF($C$52&lt;=$D$52,"On target",IF($C$52&lt;=$D$52*1.05,"Near target","Above target"))))</f>
        <v>On target</v>
      </c>
      <c r="K52" s="42"/>
    </row>
    <row r="53" spans="2:43" x14ac:dyDescent="0.25">
      <c r="B53" s="65" t="str">
        <f>IFERROR(INDEX(tblDepartments[Department],4)&amp;"","")</f>
        <v>Maintenance</v>
      </c>
      <c r="C53" s="40">
        <f>IF($B$53="","",SUMIFS(tblOT[Overtime hours (h)],tblOT[Department],$B$53,tblOT[View date],"&gt;0"))</f>
        <v>81</v>
      </c>
      <c r="D53" s="40">
        <f>IF($B$53="","",IF(AND(DashDept&lt;&gt;"",DashDept&lt;&gt;$B$53),"",IF(COUNT(tblOT[View date])=0,0,(MAX(tblOT[View date])-MIN(tblOT[View date]))/7+1)*SUMIFS(tblDepartments[Weekly OT budget (h)],tblDepartments[Department],$B$53)))</f>
        <v>144</v>
      </c>
      <c r="E53" s="66">
        <f>IF($B$53="","",IF(NOT(ISNUMBER($D$53)),"",IF($D$53=0,"",$C$53/$D$53)))</f>
        <v>0.5625</v>
      </c>
      <c r="F53" s="41">
        <f>IF($B$53="","",IF((SUMIFS(tblOT[Total hours (h)],tblOT[Department],$B$53,tblOT[View date],"&gt;0"))=0,"",(SUMIFS(tblOT[Overtime hours (h)],tblOT[Department],$B$53,tblOT[View date],"&gt;0"))/(SUMIFS(tblOT[Total hours (h)],tblOT[Department],$B$53,tblOT[View date],"&gt;0"))))</f>
        <v>0.079646017699115</v>
      </c>
      <c r="G53" s="47">
        <f>IF($B$53="","",SUMIFS(tblOT[OT cost (est.)],tblOT[Department],$B$53,tblOT[View date],"&gt;0"))</f>
        <v>5683.44</v>
      </c>
      <c r="H53" s="47">
        <f>IF($B$53="","",SUMIFS(tblOT[OT premium (est.)],tblOT[Department],$B$53,tblOT[View date],"&gt;0"))</f>
        <v>2311.68</v>
      </c>
      <c r="I53" s="47">
        <f>IF($B$53="","",COUNTIFS(tblOT[Limits],"Out of limits",tblOT[Department],$B$53,tblOT[View date],"&gt;0"))</f>
        <v>0</v>
      </c>
      <c r="J53" s="42" t="str">
        <f>IF($B$53="","",IF(NOT(ISNUMBER($D$53)),"",IF($C$53&lt;=$D$53,"On target",IF($C$53&lt;=$D$53*1.05,"Near target","Above target"))))</f>
        <v>On target</v>
      </c>
      <c r="K53" s="42"/>
    </row>
    <row r="54" spans="2:43" x14ac:dyDescent="0.25">
      <c r="B54" s="65" t="str">
        <f>IFERROR(INDEX(tblDepartments[Department],5)&amp;"","")</f>
        <v>Warehouse</v>
      </c>
      <c r="C54" s="40">
        <f>IF($B$54="","",SUMIFS(tblOT[Overtime hours (h)],tblOT[Department],$B$54,tblOT[View date],"&gt;0"))</f>
        <v>3</v>
      </c>
      <c r="D54" s="40">
        <f>IF($B$54="","",IF(AND(DashDept&lt;&gt;"",DashDept&lt;&gt;$B$54),"",IF(COUNT(tblOT[View date])=0,0,(MAX(tblOT[View date])-MIN(tblOT[View date]))/7+1)*SUMIFS(tblDepartments[Weekly OT budget (h)],tblDepartments[Department],$B$54)))</f>
        <v>80</v>
      </c>
      <c r="E54" s="66">
        <f>IF($B$54="","",IF(NOT(ISNUMBER($D$54)),"",IF($D$54=0,"",$C$54/$D$54)))</f>
        <v>0.0375</v>
      </c>
      <c r="F54" s="41">
        <f>IF($B$54="","",IF((SUMIFS(tblOT[Total hours (h)],tblOT[Department],$B$54,tblOT[View date],"&gt;0"))=0,"",(SUMIFS(tblOT[Overtime hours (h)],tblOT[Department],$B$54,tblOT[View date],"&gt;0"))/(SUMIFS(tblOT[Total hours (h)],tblOT[Department],$B$54,tblOT[View date],"&gt;0"))))</f>
        <v>0.00478468899521531</v>
      </c>
      <c r="G54" s="47">
        <f>IF($B$54="","",SUMIFS(tblOT[OT cost (est.)],tblOT[Department],$B$54,tblOT[View date],"&gt;0"))</f>
        <v>129.78</v>
      </c>
      <c r="H54" s="47">
        <f>IF($B$54="","",SUMIFS(tblOT[OT premium (est.)],tblOT[Department],$B$54,tblOT[View date],"&gt;0"))</f>
        <v>43.26</v>
      </c>
      <c r="I54" s="47">
        <f>IF($B$54="","",COUNTIFS(tblOT[Limits],"Out of limits",tblOT[Department],$B$54,tblOT[View date],"&gt;0"))</f>
        <v>0</v>
      </c>
      <c r="J54" s="42" t="str">
        <f>IF($B$54="","",IF(NOT(ISNUMBER($D$54)),"",IF($C$54&lt;=$D$54,"On target",IF($C$54&lt;=$D$54*1.05,"Near target","Above target"))))</f>
        <v>On target</v>
      </c>
      <c r="K54" s="42"/>
    </row>
    <row r="56" spans="2:43" x14ac:dyDescent="0.25">
      <c r="B56" s="32" t="s">
        <v>200</v>
      </c>
      <c r="C56" s="32"/>
      <c r="D56" s="32"/>
      <c r="E56" s="32"/>
      <c r="F56" s="32"/>
      <c r="G56" s="32"/>
    </row>
    <row r="57" spans="2:43" ht="20" customHeight="1" x14ac:dyDescent="0.25">
      <c r="B57" s="33" t="s">
        <v>201</v>
      </c>
      <c r="C57" s="62" t="s">
        <v>69</v>
      </c>
      <c r="D57" s="62"/>
      <c r="E57" s="33" t="s">
        <v>202</v>
      </c>
      <c r="F57" s="33" t="s">
        <v>203</v>
      </c>
      <c r="G57" s="33" t="s">
        <v>204</v>
      </c>
      <c r="AO57" s="7" t="s">
        <v>205</v>
      </c>
      <c r="AP57" s="7" t="s">
        <v>206</v>
      </c>
      <c r="AQ57" s="7" t="s">
        <v>207</v>
      </c>
    </row>
    <row r="58" spans="2:43" x14ac:dyDescent="0.25">
      <c r="B58" s="34"/>
      <c r="C58" s="34"/>
      <c r="D58" s="34"/>
      <c r="E58" s="34" t="s">
        <v>208</v>
      </c>
      <c r="F58" s="34" t="s">
        <v>209</v>
      </c>
      <c r="G58" s="34" t="s">
        <v>209</v>
      </c>
    </row>
    <row r="59" spans="2:43" x14ac:dyDescent="0.25">
      <c r="B59" s="67">
        <v>1</v>
      </c>
      <c r="C59" s="38" t="str">
        <f>IF(INDEX($AP$59:$AP$65,MATCH(1,$AQ$59:$AQ$65,0))&lt;0,"",INDEX($AO$59:$AO$65,MATCH(1,$AQ$59:$AQ$65,0)))</f>
        <v>Customer rush order</v>
      </c>
      <c r="D59" s="38"/>
      <c r="E59" s="40">
        <f>IF($C$59="","",INDEX($AP$59:$AP$65,MATCH(1,$AQ$59:$AQ$65,0)))</f>
        <v>133.5</v>
      </c>
      <c r="F59" s="41">
        <f>IF(OR($C$59="",$E$66=0),"",$E$59/$E$66)</f>
        <v>0.342747111681643</v>
      </c>
      <c r="G59" s="41">
        <f>IF(OR($C$59="",$E$66=0),"",SUM($E$59:$E$59)/$E$66)</f>
        <v>0.342747111681643</v>
      </c>
      <c r="AO59" s="11" t="str">
        <f>IFERROR(INDEX(tblReasons[Reason],1)&amp;"","")</f>
        <v>Backlog recovery</v>
      </c>
      <c r="AP59" s="68">
        <f>IF($AO$59="",-1,SUMIFS(tblOT[Overtime hours (h)],tblOT[Reason],$AO$59,tblOT[View date],"&gt;0"))</f>
        <v>117</v>
      </c>
      <c r="AQ59" s="69">
        <f>COUNTIF($AP$59:$AP$65,"&gt;"&amp;$AP$59)+COUNTIF($AP$59:$AP$59,$AP$59)</f>
        <v>2</v>
      </c>
    </row>
    <row r="60" spans="2:43" x14ac:dyDescent="0.25">
      <c r="B60" s="67">
        <v>2</v>
      </c>
      <c r="C60" s="38" t="str">
        <f>IF(INDEX($AP$59:$AP$65,MATCH(2,$AQ$59:$AQ$65,0))&lt;0,"",INDEX($AO$59:$AO$65,MATCH(2,$AQ$59:$AQ$65,0)))</f>
        <v>Backlog recovery</v>
      </c>
      <c r="D60" s="38"/>
      <c r="E60" s="40">
        <f>IF($C$60="","",INDEX($AP$59:$AP$65,MATCH(2,$AQ$59:$AQ$65,0)))</f>
        <v>117</v>
      </c>
      <c r="F60" s="41">
        <f>IF(OR($C$60="",$E$66=0),"",$E$60/$E$66)</f>
        <v>0.300385109114249</v>
      </c>
      <c r="G60" s="41">
        <f>IF(OR($C$60="",$E$66=0),"",SUM($E$59:$E$60)/$E$66)</f>
        <v>0.643132220795892</v>
      </c>
      <c r="AO60" s="11" t="str">
        <f>IFERROR(INDEX(tblReasons[Reason],2)&amp;"","")</f>
        <v>Customer rush order</v>
      </c>
      <c r="AP60" s="68">
        <f>IF($AO$60="",-1,SUMIFS(tblOT[Overtime hours (h)],tblOT[Reason],$AO$60,tblOT[View date],"&gt;0"))</f>
        <v>133.5</v>
      </c>
      <c r="AQ60" s="69">
        <f>COUNTIF($AP$59:$AP$65,"&gt;"&amp;$AP$60)+COUNTIF($AP$59:$AP$60,$AP$60)</f>
        <v>1</v>
      </c>
    </row>
    <row r="61" spans="2:43" x14ac:dyDescent="0.25">
      <c r="B61" s="67">
        <v>3</v>
      </c>
      <c r="C61" s="38" t="str">
        <f>IF(INDEX($AP$59:$AP$65,MATCH(3,$AQ$59:$AQ$65,0))&lt;0,"",INDEX($AO$59:$AO$65,MATCH(3,$AQ$59:$AQ$65,0)))</f>
        <v>Absence cover</v>
      </c>
      <c r="D61" s="38"/>
      <c r="E61" s="40">
        <f>IF($C$61="","",INDEX($AP$59:$AP$65,MATCH(3,$AQ$59:$AQ$65,0)))</f>
        <v>58</v>
      </c>
      <c r="F61" s="41">
        <f>IF(OR($C$61="",$E$66=0),"",$E$61/$E$66)</f>
        <v>0.148908857509628</v>
      </c>
      <c r="G61" s="41">
        <f>IF(OR($C$61="",$E$66=0),"",SUM($E$59:$E$61)/$E$66)</f>
        <v>0.79204107830552</v>
      </c>
      <c r="AO61" s="11" t="str">
        <f>IFERROR(INDEX(tblReasons[Reason],3)&amp;"","")</f>
        <v>Absence cover</v>
      </c>
      <c r="AP61" s="68">
        <f>IF($AO$61="",-1,SUMIFS(tblOT[Overtime hours (h)],tblOT[Reason],$AO$61,tblOT[View date],"&gt;0"))</f>
        <v>58</v>
      </c>
      <c r="AQ61" s="69">
        <f>COUNTIF($AP$59:$AP$65,"&gt;"&amp;$AP$61)+COUNTIF($AP$59:$AP$61,$AP$61)</f>
        <v>3</v>
      </c>
    </row>
    <row r="62" spans="2:43" x14ac:dyDescent="0.25">
      <c r="B62" s="67">
        <v>4</v>
      </c>
      <c r="C62" s="38" t="str">
        <f>IF(INDEX($AP$59:$AP$65,MATCH(4,$AQ$59:$AQ$65,0))&lt;0,"",INDEX($AO$59:$AO$65,MATCH(4,$AQ$59:$AQ$65,0)))</f>
        <v>Breakdown recovery</v>
      </c>
      <c r="D62" s="38"/>
      <c r="E62" s="40">
        <f>IF($C$62="","",INDEX($AP$59:$AP$65,MATCH(4,$AQ$59:$AQ$65,0)))</f>
        <v>51</v>
      </c>
      <c r="F62" s="41">
        <f>IF(OR($C$62="",$E$66=0),"",$E$62/$E$66)</f>
        <v>0.130937098844673</v>
      </c>
      <c r="G62" s="41">
        <f>IF(OR($C$62="",$E$66=0),"",SUM($E$59:$E$62)/$E$66)</f>
        <v>0.922978177150193</v>
      </c>
      <c r="AO62" s="11" t="str">
        <f>IFERROR(INDEX(tblReasons[Reason],4)&amp;"","")</f>
        <v>Vacancy cover</v>
      </c>
      <c r="AP62" s="68">
        <f>IF($AO$62="",-1,SUMIFS(tblOT[Overtime hours (h)],tblOT[Reason],$AO$62,tblOT[View date],"&gt;0"))</f>
        <v>0</v>
      </c>
      <c r="AQ62" s="69">
        <f>COUNTIF($AP$59:$AP$65,"&gt;"&amp;$AP$62)+COUNTIF($AP$59:$AP$62,$AP$62)</f>
        <v>6</v>
      </c>
    </row>
    <row r="63" spans="2:43" x14ac:dyDescent="0.25">
      <c r="B63" s="67">
        <v>5</v>
      </c>
      <c r="C63" s="38" t="str">
        <f>IF(INDEX($AP$59:$AP$65,MATCH(5,$AQ$59:$AQ$65,0))&lt;0,"",INDEX($AO$59:$AO$65,MATCH(5,$AQ$59:$AQ$65,0)))</f>
        <v>Planned maintenance</v>
      </c>
      <c r="D63" s="38"/>
      <c r="E63" s="40">
        <f>IF($C$63="","",INDEX($AP$59:$AP$65,MATCH(5,$AQ$59:$AQ$65,0)))</f>
        <v>30</v>
      </c>
      <c r="F63" s="41">
        <f>IF(OR($C$63="",$E$66=0),"",$E$63/$E$66)</f>
        <v>0.0770218228498075</v>
      </c>
      <c r="G63" s="41">
        <f>IF(OR($C$63="",$E$66=0),"",SUM($E$59:$E$63)/$E$66)</f>
        <v>1</v>
      </c>
      <c r="AO63" s="11" t="str">
        <f>IFERROR(INDEX(tblReasons[Reason],5)&amp;"","")</f>
        <v>Breakdown recovery</v>
      </c>
      <c r="AP63" s="68">
        <f>IF($AO$63="",-1,SUMIFS(tblOT[Overtime hours (h)],tblOT[Reason],$AO$63,tblOT[View date],"&gt;0"))</f>
        <v>51</v>
      </c>
      <c r="AQ63" s="69">
        <f>COUNTIF($AP$59:$AP$65,"&gt;"&amp;$AP$63)+COUNTIF($AP$59:$AP$63,$AP$63)</f>
        <v>4</v>
      </c>
    </row>
    <row r="64" spans="2:43" x14ac:dyDescent="0.25">
      <c r="B64" s="67">
        <v>6</v>
      </c>
      <c r="C64" s="38" t="str">
        <f>IF(INDEX($AP$59:$AP$65,MATCH(6,$AQ$59:$AQ$65,0))&lt;0,"",INDEX($AO$59:$AO$65,MATCH(6,$AQ$59:$AQ$65,0)))</f>
        <v>Vacancy cover</v>
      </c>
      <c r="D64" s="38"/>
      <c r="E64" s="40">
        <f>IF($C$64="","",INDEX($AP$59:$AP$65,MATCH(6,$AQ$59:$AQ$65,0)))</f>
        <v>0</v>
      </c>
      <c r="F64" s="41">
        <f>IF(OR($C$64="",$E$66=0),"",$E$64/$E$66)</f>
        <v>0</v>
      </c>
      <c r="G64" s="41">
        <f>IF(OR($C$64="",$E$66=0),"",SUM($E$59:$E$64)/$E$66)</f>
        <v>1</v>
      </c>
      <c r="AO64" s="11" t="str">
        <f>IFERROR(INDEX(tblReasons[Reason],6)&amp;"","")</f>
        <v>Planned maintenance</v>
      </c>
      <c r="AP64" s="68">
        <f>IF($AO$64="",-1,SUMIFS(tblOT[Overtime hours (h)],tblOT[Reason],$AO$64,tblOT[View date],"&gt;0"))</f>
        <v>30</v>
      </c>
      <c r="AQ64" s="69">
        <f>COUNTIF($AP$59:$AP$65,"&gt;"&amp;$AP$64)+COUNTIF($AP$59:$AP$64,$AP$64)</f>
        <v>5</v>
      </c>
    </row>
    <row r="65" spans="2:43" x14ac:dyDescent="0.25">
      <c r="B65" s="67">
        <v>7</v>
      </c>
      <c r="C65" s="38" t="str">
        <f>IF(INDEX($AP$59:$AP$65,MATCH(7,$AQ$59:$AQ$65,0))&lt;0,"",INDEX($AO$59:$AO$65,MATCH(7,$AQ$59:$AQ$65,0)))</f>
        <v>Training</v>
      </c>
      <c r="D65" s="38"/>
      <c r="E65" s="40">
        <f>IF($C$65="","",INDEX($AP$59:$AP$65,MATCH(7,$AQ$59:$AQ$65,0)))</f>
        <v>0</v>
      </c>
      <c r="F65" s="41">
        <f>IF(OR($C$65="",$E$66=0),"",$E$65/$E$66)</f>
        <v>0</v>
      </c>
      <c r="G65" s="41">
        <f>IF(OR($C$65="",$E$66=0),"",SUM($E$59:$E$65)/$E$66)</f>
        <v>1</v>
      </c>
      <c r="AO65" s="11" t="str">
        <f>IFERROR(INDEX(tblReasons[Reason],7)&amp;"","")</f>
        <v>Training</v>
      </c>
      <c r="AP65" s="68">
        <f>IF($AO$65="",-1,SUMIFS(tblOT[Overtime hours (h)],tblOT[Reason],$AO$65,tblOT[View date],"&gt;0"))</f>
        <v>0</v>
      </c>
      <c r="AQ65" s="69">
        <f>COUNTIF($AP$59:$AP$65,"&gt;"&amp;$AP$65)+COUNTIF($AP$59:$AP$65,$AP$65)</f>
        <v>7</v>
      </c>
    </row>
    <row r="66" spans="2:43" x14ac:dyDescent="0.25">
      <c r="B66" s="70"/>
      <c r="C66" s="70" t="s">
        <v>210</v>
      </c>
      <c r="D66" s="70"/>
      <c r="E66" s="71">
        <f>SUMIF($AP$59:$AP$65,"&gt;0")</f>
        <v>389.5</v>
      </c>
      <c r="F66" s="70"/>
      <c r="G66" s="70"/>
    </row>
    <row r="68" spans="2:43" x14ac:dyDescent="0.25">
      <c r="B68" s="32" t="s">
        <v>211</v>
      </c>
      <c r="C68" s="32"/>
      <c r="D68" s="32"/>
      <c r="E68" s="32"/>
      <c r="F68" s="32"/>
      <c r="G68" s="32"/>
      <c r="H68" s="32"/>
      <c r="I68" s="32"/>
      <c r="J68" s="32"/>
      <c r="K68" s="32"/>
    </row>
    <row r="69" spans="2:43" ht="32" customHeight="1" x14ac:dyDescent="0.25">
      <c r="B69" s="62" t="s">
        <v>67</v>
      </c>
      <c r="C69" s="33" t="s">
        <v>64</v>
      </c>
      <c r="D69" s="33"/>
      <c r="E69" s="33" t="s">
        <v>193</v>
      </c>
      <c r="F69" s="33" t="s">
        <v>212</v>
      </c>
      <c r="G69" s="33" t="s">
        <v>213</v>
      </c>
      <c r="H69" s="33" t="s">
        <v>214</v>
      </c>
      <c r="I69" s="33" t="s">
        <v>138</v>
      </c>
      <c r="J69" s="33" t="s">
        <v>140</v>
      </c>
      <c r="K69" s="33"/>
    </row>
    <row r="70" spans="2:43" ht="14" customHeight="1" x14ac:dyDescent="0.25">
      <c r="B70" s="34"/>
      <c r="C70" s="34"/>
      <c r="D70" s="34"/>
      <c r="E70" s="34"/>
      <c r="F70" s="34"/>
      <c r="G70" s="34"/>
      <c r="H70" s="34"/>
      <c r="I70" s="34" t="str">
        <f>Currency</f>
        <v>CAD</v>
      </c>
      <c r="J70" s="34"/>
      <c r="K70" s="34"/>
    </row>
    <row r="71" spans="2:43" x14ac:dyDescent="0.25">
      <c r="B71" s="65" t="str">
        <f>IFERROR(INDEX(tblEmployees[Employee],1)&amp;"","")</f>
        <v>A. Kowalski</v>
      </c>
      <c r="C71" s="38" t="str">
        <f>IF($B$71="","",IFERROR(INDEX(tblEmployees[Department],MATCH($B$71,tblEmployees[Employee],0)),""))</f>
        <v>Processing</v>
      </c>
      <c r="D71" s="38"/>
      <c r="E71" s="40">
        <f>IF($B$71="","",SUMIFS(tblOT[Overtime hours (h)],tblOT[Employee],$B$71,tblOT[View date],"&gt;0"))</f>
        <v>19</v>
      </c>
      <c r="F71" s="47">
        <f>IF($B$71="","",COUNTIFS(tblOT[Employee],$B$71,tblOT[Overtime hours (h)],"&gt;0",tblOT[View date],"&gt;0"))</f>
        <v>5</v>
      </c>
      <c r="G71" s="40">
        <f>IF($B$71="","",IF((COUNTIFS(tblOT[Employee],$B$71,tblOT[Total hours (h)],"&gt;0",tblOT[View date],"&gt;0"))=0,"",(SUMIFS(tblOT[Overtime hours (h)],tblOT[Employee],$B$71,tblOT[View date],"&gt;0"))/(COUNTIFS(tblOT[Employee],$B$71,tblOT[Total hours (h)],"&gt;0",tblOT[View date],"&gt;0"))))</f>
        <v>2.375</v>
      </c>
      <c r="H71" s="47">
        <f>IF($B$71="","",COUNTIFS(tblOT[Employee],$B$71,tblOT[Limits],"Out of limits",tblOT[View date],"&gt;0"))</f>
        <v>0</v>
      </c>
      <c r="I71" s="47">
        <f>IF($B$71="","",SUMIFS(tblOT[OT cost (est.)],tblOT[Employee],$B$71,tblOT[View date],"&gt;0"))</f>
        <v>877.8</v>
      </c>
      <c r="J71" s="42" t="str">
        <f>IF($B$71="","",IF($B$71="","",IF($H$71&gt;0,"Out of limits","Within limits")))</f>
        <v>Within limits</v>
      </c>
      <c r="K71" s="42"/>
    </row>
    <row r="72" spans="2:43" x14ac:dyDescent="0.25">
      <c r="B72" s="65" t="str">
        <f>IFERROR(INDEX(tblEmployees[Employee],2)&amp;"","")</f>
        <v>M. Tremblay</v>
      </c>
      <c r="C72" s="38" t="str">
        <f>IF($B$72="","",IFERROR(INDEX(tblEmployees[Department],MATCH($B$72,tblEmployees[Employee],0)),""))</f>
        <v>Processing</v>
      </c>
      <c r="D72" s="38"/>
      <c r="E72" s="40">
        <f>IF($B$72="","",SUMIFS(tblOT[Overtime hours (h)],tblOT[Employee],$B$72,tblOT[View date],"&gt;0"))</f>
        <v>33</v>
      </c>
      <c r="F72" s="47">
        <f>IF($B$72="","",COUNTIFS(tblOT[Employee],$B$72,tblOT[Overtime hours (h)],"&gt;0",tblOT[View date],"&gt;0"))</f>
        <v>7</v>
      </c>
      <c r="G72" s="40">
        <f>IF($B$72="","",IF((COUNTIFS(tblOT[Employee],$B$72,tblOT[Total hours (h)],"&gt;0",tblOT[View date],"&gt;0"))=0,"",(SUMIFS(tblOT[Overtime hours (h)],tblOT[Employee],$B$72,tblOT[View date],"&gt;0"))/(COUNTIFS(tblOT[Employee],$B$72,tblOT[Total hours (h)],"&gt;0",tblOT[View date],"&gt;0"))))</f>
        <v>4.125</v>
      </c>
      <c r="H72" s="47">
        <f>IF($B$72="","",COUNTIFS(tblOT[Employee],$B$72,tblOT[Limits],"Out of limits",tblOT[View date],"&gt;0"))</f>
        <v>0</v>
      </c>
      <c r="I72" s="47">
        <f>IF($B$72="","",SUMIFS(tblOT[OT cost (est.)],tblOT[Employee],$B$72,tblOT[View date],"&gt;0"))</f>
        <v>1566.18</v>
      </c>
      <c r="J72" s="42" t="str">
        <f>IF($B$72="","",IF($B$72="","",IF($H$72&gt;0,"Out of limits","Within limits")))</f>
        <v>Within limits</v>
      </c>
      <c r="K72" s="42"/>
    </row>
    <row r="73" spans="2:43" x14ac:dyDescent="0.25">
      <c r="B73" s="65" t="str">
        <f>IFERROR(INDEX(tblEmployees[Employee],3)&amp;"","")</f>
        <v>S. Nguyen</v>
      </c>
      <c r="C73" s="38" t="str">
        <f>IF($B$73="","",IFERROR(INDEX(tblEmployees[Department],MATCH($B$73,tblEmployees[Employee],0)),""))</f>
        <v>Processing</v>
      </c>
      <c r="D73" s="38"/>
      <c r="E73" s="40">
        <f>IF($B$73="","",SUMIFS(tblOT[Overtime hours (h)],tblOT[Employee],$B$73,tblOT[View date],"&gt;0"))</f>
        <v>27.5</v>
      </c>
      <c r="F73" s="47">
        <f>IF($B$73="","",COUNTIFS(tblOT[Employee],$B$73,tblOT[Overtime hours (h)],"&gt;0",tblOT[View date],"&gt;0"))</f>
        <v>5</v>
      </c>
      <c r="G73" s="40">
        <f>IF($B$73="","",IF((COUNTIFS(tblOT[Employee],$B$73,tblOT[Total hours (h)],"&gt;0",tblOT[View date],"&gt;0"))=0,"",(SUMIFS(tblOT[Overtime hours (h)],tblOT[Employee],$B$73,tblOT[View date],"&gt;0"))/(COUNTIFS(tblOT[Employee],$B$73,tblOT[Total hours (h)],"&gt;0",tblOT[View date],"&gt;0"))))</f>
        <v>3.4375</v>
      </c>
      <c r="H73" s="47">
        <f>IF($B$73="","",COUNTIFS(tblOT[Employee],$B$73,tblOT[Limits],"Out of limits",tblOT[View date],"&gt;0"))</f>
        <v>0</v>
      </c>
      <c r="I73" s="47">
        <f>IF($B$73="","",SUMIFS(tblOT[OT cost (est.)],tblOT[Employee],$B$73,tblOT[View date],"&gt;0"))</f>
        <v>1235.85</v>
      </c>
      <c r="J73" s="42" t="str">
        <f>IF($B$73="","",IF($B$73="","",IF($H$73&gt;0,"Out of limits","Within limits")))</f>
        <v>Within limits</v>
      </c>
      <c r="K73" s="42"/>
    </row>
    <row r="74" spans="2:43" x14ac:dyDescent="0.25">
      <c r="B74" s="65" t="str">
        <f>IFERROR(INDEX(tblEmployees[Employee],4)&amp;"","")</f>
        <v>R. Patel</v>
      </c>
      <c r="C74" s="38" t="str">
        <f>IF($B$74="","",IFERROR(INDEX(tblEmployees[Department],MATCH($B$74,tblEmployees[Employee],0)),""))</f>
        <v>Processing</v>
      </c>
      <c r="D74" s="38"/>
      <c r="E74" s="40">
        <f>IF($B$74="","",SUMIFS(tblOT[Overtime hours (h)],tblOT[Employee],$B$74,tblOT[View date],"&gt;0"))</f>
        <v>11.5</v>
      </c>
      <c r="F74" s="47">
        <f>IF($B$74="","",COUNTIFS(tblOT[Employee],$B$74,tblOT[Overtime hours (h)],"&gt;0",tblOT[View date],"&gt;0"))</f>
        <v>3</v>
      </c>
      <c r="G74" s="40">
        <f>IF($B$74="","",IF((COUNTIFS(tblOT[Employee],$B$74,tblOT[Total hours (h)],"&gt;0",tblOT[View date],"&gt;0"))=0,"",(SUMIFS(tblOT[Overtime hours (h)],tblOT[Employee],$B$74,tblOT[View date],"&gt;0"))/(COUNTIFS(tblOT[Employee],$B$74,tblOT[Total hours (h)],"&gt;0",tblOT[View date],"&gt;0"))))</f>
        <v>1.4375</v>
      </c>
      <c r="H74" s="47">
        <f>IF($B$74="","",COUNTIFS(tblOT[Employee],$B$74,tblOT[Limits],"Out of limits",tblOT[View date],"&gt;0"))</f>
        <v>0</v>
      </c>
      <c r="I74" s="47">
        <f>IF($B$74="","",SUMIFS(tblOT[OT cost (est.)],tblOT[Employee],$B$74,tblOT[View date],"&gt;0"))</f>
        <v>521.64</v>
      </c>
      <c r="J74" s="42" t="str">
        <f>IF($B$74="","",IF($B$74="","",IF($H$74&gt;0,"Out of limits","Within limits")))</f>
        <v>Within limits</v>
      </c>
      <c r="K74" s="42"/>
    </row>
    <row r="75" spans="2:43" x14ac:dyDescent="0.25">
      <c r="B75" s="65" t="str">
        <f>IFERROR(INDEX(tblEmployees[Employee],5)&amp;"","")</f>
        <v>J. Okafor</v>
      </c>
      <c r="C75" s="38" t="str">
        <f>IF($B$75="","",IFERROR(INDEX(tblEmployees[Department],MATCH($B$75,tblEmployees[Employee],0)),""))</f>
        <v>Packaging</v>
      </c>
      <c r="D75" s="38"/>
      <c r="E75" s="40">
        <f>IF($B$75="","",SUMIFS(tblOT[Overtime hours (h)],tblOT[Employee],$B$75,tblOT[View date],"&gt;0"))</f>
        <v>35</v>
      </c>
      <c r="F75" s="47">
        <f>IF($B$75="","",COUNTIFS(tblOT[Employee],$B$75,tblOT[Overtime hours (h)],"&gt;0",tblOT[View date],"&gt;0"))</f>
        <v>2</v>
      </c>
      <c r="G75" s="40">
        <f>IF($B$75="","",IF((COUNTIFS(tblOT[Employee],$B$75,tblOT[Total hours (h)],"&gt;0",tblOT[View date],"&gt;0"))=0,"",(SUMIFS(tblOT[Overtime hours (h)],tblOT[Employee],$B$75,tblOT[View date],"&gt;0"))/(COUNTIFS(tblOT[Employee],$B$75,tblOT[Total hours (h)],"&gt;0",tblOT[View date],"&gt;0"))))</f>
        <v>4.375</v>
      </c>
      <c r="H75" s="47">
        <f>IF($B$75="","",COUNTIFS(tblOT[Employee],$B$75,tblOT[Limits],"Out of limits",tblOT[View date],"&gt;0"))</f>
        <v>2</v>
      </c>
      <c r="I75" s="47">
        <f>IF($B$75="","",SUMIFS(tblOT[OT cost (est.)],tblOT[Employee],$B$75,tblOT[View date],"&gt;0"))</f>
        <v>1613.64</v>
      </c>
      <c r="J75" s="42" t="str">
        <f>IF($B$75="","",IF($B$75="","",IF($H$75&gt;0,"Out of limits","Within limits")))</f>
        <v>Out of limits</v>
      </c>
      <c r="K75" s="42"/>
    </row>
    <row r="76" spans="2:43" x14ac:dyDescent="0.25">
      <c r="B76" s="65" t="str">
        <f>IFERROR(INDEX(tblEmployees[Employee],6)&amp;"","")</f>
        <v>L. Moreau</v>
      </c>
      <c r="C76" s="38" t="str">
        <f>IF($B$76="","",IFERROR(INDEX(tblEmployees[Department],MATCH($B$76,tblEmployees[Employee],0)),""))</f>
        <v>Packaging</v>
      </c>
      <c r="D76" s="38"/>
      <c r="E76" s="40">
        <f>IF($B$76="","",SUMIFS(tblOT[Overtime hours (h)],tblOT[Employee],$B$76,tblOT[View date],"&gt;0"))</f>
        <v>37.5</v>
      </c>
      <c r="F76" s="47">
        <f>IF($B$76="","",COUNTIFS(tblOT[Employee],$B$76,tblOT[Overtime hours (h)],"&gt;0",tblOT[View date],"&gt;0"))</f>
        <v>4</v>
      </c>
      <c r="G76" s="40">
        <f>IF($B$76="","",IF((COUNTIFS(tblOT[Employee],$B$76,tblOT[Total hours (h)],"&gt;0",tblOT[View date],"&gt;0"))=0,"",(SUMIFS(tblOT[Overtime hours (h)],tblOT[Employee],$B$76,tblOT[View date],"&gt;0"))/(COUNTIFS(tblOT[Employee],$B$76,tblOT[Total hours (h)],"&gt;0",tblOT[View date],"&gt;0"))))</f>
        <v>4.6875</v>
      </c>
      <c r="H76" s="47">
        <f>IF($B$76="","",COUNTIFS(tblOT[Employee],$B$76,tblOT[Limits],"Out of limits",tblOT[View date],"&gt;0"))</f>
        <v>1</v>
      </c>
      <c r="I76" s="47">
        <f>IF($B$76="","",SUMIFS(tblOT[OT cost (est.)],tblOT[Employee],$B$76,tblOT[View date],"&gt;0"))</f>
        <v>1670.13</v>
      </c>
      <c r="J76" s="42" t="str">
        <f>IF($B$76="","",IF($B$76="","",IF($H$76&gt;0,"Out of limits","Within limits")))</f>
        <v>Out of limits</v>
      </c>
      <c r="K76" s="42"/>
    </row>
    <row r="77" spans="2:43" x14ac:dyDescent="0.25">
      <c r="B77" s="65" t="str">
        <f>IFERROR(INDEX(tblEmployees[Employee],7)&amp;"","")</f>
        <v>D. Singh</v>
      </c>
      <c r="C77" s="38" t="str">
        <f>IF($B$77="","",IFERROR(INDEX(tblEmployees[Department],MATCH($B$77,tblEmployees[Employee],0)),""))</f>
        <v>Packaging</v>
      </c>
      <c r="D77" s="38"/>
      <c r="E77" s="40">
        <f>IF($B$77="","",SUMIFS(tblOT[Overtime hours (h)],tblOT[Employee],$B$77,tblOT[View date],"&gt;0"))</f>
        <v>49</v>
      </c>
      <c r="F77" s="47">
        <f>IF($B$77="","",COUNTIFS(tblOT[Employee],$B$77,tblOT[Overtime hours (h)],"&gt;0",tblOT[View date],"&gt;0"))</f>
        <v>4</v>
      </c>
      <c r="G77" s="40">
        <f>IF($B$77="","",IF((COUNTIFS(tblOT[Employee],$B$77,tblOT[Total hours (h)],"&gt;0",tblOT[View date],"&gt;0"))=0,"",(SUMIFS(tblOT[Overtime hours (h)],tblOT[Employee],$B$77,tblOT[View date],"&gt;0"))/(COUNTIFS(tblOT[Employee],$B$77,tblOT[Total hours (h)],"&gt;0",tblOT[View date],"&gt;0"))))</f>
        <v>6.125</v>
      </c>
      <c r="H77" s="47">
        <f>IF($B$77="","",COUNTIFS(tblOT[Employee],$B$77,tblOT[Limits],"Out of limits",tblOT[View date],"&gt;0"))</f>
        <v>2</v>
      </c>
      <c r="I77" s="47">
        <f>IF($B$77="","",SUMIFS(tblOT[OT cost (est.)],tblOT[Employee],$B$77,tblOT[View date],"&gt;0"))</f>
        <v>2170</v>
      </c>
      <c r="J77" s="42" t="str">
        <f>IF($B$77="","",IF($B$77="","",IF($H$77&gt;0,"Out of limits","Within limits")))</f>
        <v>Out of limits</v>
      </c>
      <c r="K77" s="42"/>
    </row>
    <row r="78" spans="2:43" x14ac:dyDescent="0.25">
      <c r="B78" s="65" t="str">
        <f>IFERROR(INDEX(tblEmployees[Employee],8)&amp;"","")</f>
        <v>K. Lee</v>
      </c>
      <c r="C78" s="38" t="str">
        <f>IF($B$78="","",IFERROR(INDEX(tblEmployees[Department],MATCH($B$78,tblEmployees[Employee],0)),""))</f>
        <v>Packaging</v>
      </c>
      <c r="D78" s="38"/>
      <c r="E78" s="40">
        <f>IF($B$78="","",SUMIFS(tblOT[Overtime hours (h)],tblOT[Employee],$B$78,tblOT[View date],"&gt;0"))</f>
        <v>35</v>
      </c>
      <c r="F78" s="47">
        <f>IF($B$78="","",COUNTIFS(tblOT[Employee],$B$78,tblOT[Overtime hours (h)],"&gt;0",tblOT[View date],"&gt;0"))</f>
        <v>4</v>
      </c>
      <c r="G78" s="40">
        <f>IF($B$78="","",IF((COUNTIFS(tblOT[Employee],$B$78,tblOT[Total hours (h)],"&gt;0",tblOT[View date],"&gt;0"))=0,"",(SUMIFS(tblOT[Overtime hours (h)],tblOT[Employee],$B$78,tblOT[View date],"&gt;0"))/(COUNTIFS(tblOT[Employee],$B$78,tblOT[Total hours (h)],"&gt;0",tblOT[View date],"&gt;0"))))</f>
        <v>4.375</v>
      </c>
      <c r="H78" s="47">
        <f>IF($B$78="","",COUNTIFS(tblOT[Employee],$B$78,tblOT[Limits],"Out of limits",tblOT[View date],"&gt;0"))</f>
        <v>1</v>
      </c>
      <c r="I78" s="47">
        <f>IF($B$78="","",SUMIFS(tblOT[OT cost (est.)],tblOT[Employee],$B$78,tblOT[View date],"&gt;0"))</f>
        <v>1550.36</v>
      </c>
      <c r="J78" s="42" t="str">
        <f>IF($B$78="","",IF($B$78="","",IF($H$78&gt;0,"Out of limits","Within limits")))</f>
        <v>Out of limits</v>
      </c>
      <c r="K78" s="42"/>
    </row>
    <row r="79" spans="2:43" x14ac:dyDescent="0.25">
      <c r="B79" s="65" t="str">
        <f>IFERROR(INDEX(tblEmployees[Employee],9)&amp;"","")</f>
        <v>E. Martin</v>
      </c>
      <c r="C79" s="38" t="str">
        <f>IF($B$79="","",IFERROR(INDEX(tblEmployees[Department],MATCH($B$79,tblEmployees[Employee],0)),""))</f>
        <v>Sanitation</v>
      </c>
      <c r="D79" s="38"/>
      <c r="E79" s="40">
        <f>IF($B$79="","",SUMIFS(tblOT[Overtime hours (h)],tblOT[Employee],$B$79,tblOT[View date],"&gt;0"))</f>
        <v>34</v>
      </c>
      <c r="F79" s="47">
        <f>IF($B$79="","",COUNTIFS(tblOT[Employee],$B$79,tblOT[Overtime hours (h)],"&gt;0",tblOT[View date],"&gt;0"))</f>
        <v>6</v>
      </c>
      <c r="G79" s="40">
        <f>IF($B$79="","",IF((COUNTIFS(tblOT[Employee],$B$79,tblOT[Total hours (h)],"&gt;0",tblOT[View date],"&gt;0"))=0,"",(SUMIFS(tblOT[Overtime hours (h)],tblOT[Employee],$B$79,tblOT[View date],"&gt;0"))/(COUNTIFS(tblOT[Employee],$B$79,tblOT[Total hours (h)],"&gt;0",tblOT[View date],"&gt;0"))))</f>
        <v>4.25</v>
      </c>
      <c r="H79" s="47">
        <f>IF($B$79="","",COUNTIFS(tblOT[Employee],$B$79,tblOT[Limits],"Out of limits",tblOT[View date],"&gt;0"))</f>
        <v>0</v>
      </c>
      <c r="I79" s="47">
        <f>IF($B$79="","",SUMIFS(tblOT[OT cost (est.)],tblOT[Employee],$B$79,tblOT[View date],"&gt;0"))</f>
        <v>1370.88</v>
      </c>
      <c r="J79" s="42" t="str">
        <f>IF($B$79="","",IF($B$79="","",IF($H$79&gt;0,"Out of limits","Within limits")))</f>
        <v>Within limits</v>
      </c>
      <c r="K79" s="42"/>
    </row>
    <row r="80" spans="2:43" x14ac:dyDescent="0.25">
      <c r="B80" s="65" t="str">
        <f>IFERROR(INDEX(tblEmployees[Employee],10)&amp;"","")</f>
        <v>T. Roy</v>
      </c>
      <c r="C80" s="38" t="str">
        <f>IF($B$80="","",IFERROR(INDEX(tblEmployees[Department],MATCH($B$80,tblEmployees[Employee],0)),""))</f>
        <v>Sanitation</v>
      </c>
      <c r="D80" s="38"/>
      <c r="E80" s="40">
        <f>IF($B$80="","",SUMIFS(tblOT[Overtime hours (h)],tblOT[Employee],$B$80,tblOT[View date],"&gt;0"))</f>
        <v>2</v>
      </c>
      <c r="F80" s="47">
        <f>IF($B$80="","",COUNTIFS(tblOT[Employee],$B$80,tblOT[Overtime hours (h)],"&gt;0",tblOT[View date],"&gt;0"))</f>
        <v>1</v>
      </c>
      <c r="G80" s="40">
        <f>IF($B$80="","",IF((COUNTIFS(tblOT[Employee],$B$80,tblOT[Total hours (h)],"&gt;0",tblOT[View date],"&gt;0"))=0,"",(SUMIFS(tblOT[Overtime hours (h)],tblOT[Employee],$B$80,tblOT[View date],"&gt;0"))/(COUNTIFS(tblOT[Employee],$B$80,tblOT[Total hours (h)],"&gt;0",tblOT[View date],"&gt;0"))))</f>
        <v>0.4</v>
      </c>
      <c r="H80" s="47">
        <f>IF($B$80="","",COUNTIFS(tblOT[Employee],$B$80,tblOT[Limits],"Out of limits",tblOT[View date],"&gt;0"))</f>
        <v>0</v>
      </c>
      <c r="I80" s="47">
        <f>IF($B$80="","",SUMIFS(tblOT[OT cost (est.)],tblOT[Employee],$B$80,tblOT[View date],"&gt;0"))</f>
        <v>79.8</v>
      </c>
      <c r="J80" s="42" t="str">
        <f>IF($B$80="","",IF($B$80="","",IF($H$80&gt;0,"Out of limits","Within limits")))</f>
        <v>Within limits</v>
      </c>
      <c r="K80" s="42"/>
    </row>
    <row r="81" spans="2:12" x14ac:dyDescent="0.25">
      <c r="B81" s="65" t="str">
        <f>IFERROR(INDEX(tblEmployees[Employee],11)&amp;"","")</f>
        <v>P. Haddad</v>
      </c>
      <c r="C81" s="38" t="str">
        <f>IF($B$81="","",IFERROR(INDEX(tblEmployees[Department],MATCH($B$81,tblEmployees[Employee],0)),""))</f>
        <v>Sanitation</v>
      </c>
      <c r="D81" s="38"/>
      <c r="E81" s="40">
        <f>IF($B$81="","",SUMIFS(tblOT[Overtime hours (h)],tblOT[Employee],$B$81,tblOT[View date],"&gt;0"))</f>
        <v>22</v>
      </c>
      <c r="F81" s="47">
        <f>IF($B$81="","",COUNTIFS(tblOT[Employee],$B$81,tblOT[Overtime hours (h)],"&gt;0",tblOT[View date],"&gt;0"))</f>
        <v>3</v>
      </c>
      <c r="G81" s="40">
        <f>IF($B$81="","",IF((COUNTIFS(tblOT[Employee],$B$81,tblOT[Total hours (h)],"&gt;0",tblOT[View date],"&gt;0"))=0,"",(SUMIFS(tblOT[Overtime hours (h)],tblOT[Employee],$B$81,tblOT[View date],"&gt;0"))/(COUNTIFS(tblOT[Employee],$B$81,tblOT[Total hours (h)],"&gt;0",tblOT[View date],"&gt;0"))))</f>
        <v>2.75</v>
      </c>
      <c r="H81" s="47">
        <f>IF($B$81="","",COUNTIFS(tblOT[Employee],$B$81,tblOT[Limits],"Out of limits",tblOT[View date],"&gt;0"))</f>
        <v>0</v>
      </c>
      <c r="I81" s="47">
        <f>IF($B$81="","",SUMIFS(tblOT[OT cost (est.)],tblOT[Employee],$B$81,tblOT[View date],"&gt;0"))</f>
        <v>896.28</v>
      </c>
      <c r="J81" s="42" t="str">
        <f>IF($B$81="","",IF($B$81="","",IF($H$81&gt;0,"Out of limits","Within limits")))</f>
        <v>Within limits</v>
      </c>
      <c r="K81" s="42"/>
    </row>
    <row r="82" spans="2:12" x14ac:dyDescent="0.25">
      <c r="B82" s="65" t="str">
        <f>IFERROR(INDEX(tblEmployees[Employee],12)&amp;"","")</f>
        <v>G. Ferreira</v>
      </c>
      <c r="C82" s="38" t="str">
        <f>IF($B$82="","",IFERROR(INDEX(tblEmployees[Department],MATCH($B$82,tblEmployees[Employee],0)),""))</f>
        <v>Maintenance</v>
      </c>
      <c r="D82" s="38"/>
      <c r="E82" s="40">
        <f>IF($B$82="","",SUMIFS(tblOT[Overtime hours (h)],tblOT[Employee],$B$82,tblOT[View date],"&gt;0"))</f>
        <v>25</v>
      </c>
      <c r="F82" s="47">
        <f>IF($B$82="","",COUNTIFS(tblOT[Employee],$B$82,tblOT[Overtime hours (h)],"&gt;0",tblOT[View date],"&gt;0"))</f>
        <v>4</v>
      </c>
      <c r="G82" s="40">
        <f>IF($B$82="","",IF((COUNTIFS(tblOT[Employee],$B$82,tblOT[Total hours (h)],"&gt;0",tblOT[View date],"&gt;0"))=0,"",(SUMIFS(tblOT[Overtime hours (h)],tblOT[Employee],$B$82,tblOT[View date],"&gt;0"))/(COUNTIFS(tblOT[Employee],$B$82,tblOT[Total hours (h)],"&gt;0",tblOT[View date],"&gt;0"))))</f>
        <v>3.125</v>
      </c>
      <c r="H82" s="47">
        <f>IF($B$82="","",COUNTIFS(tblOT[Employee],$B$82,tblOT[Limits],"Out of limits",tblOT[View date],"&gt;0"))</f>
        <v>0</v>
      </c>
      <c r="I82" s="47">
        <f>IF($B$82="","",SUMIFS(tblOT[OT cost (est.)],tblOT[Employee],$B$82,tblOT[View date],"&gt;0"))</f>
        <v>1832.6</v>
      </c>
      <c r="J82" s="42" t="str">
        <f>IF($B$82="","",IF($B$82="","",IF($H$82&gt;0,"Out of limits","Within limits")))</f>
        <v>Within limits</v>
      </c>
      <c r="K82" s="42"/>
    </row>
    <row r="83" spans="2:12" x14ac:dyDescent="0.25">
      <c r="B83" s="65" t="str">
        <f>IFERROR(INDEX(tblEmployees[Employee],13)&amp;"","")</f>
        <v>H. Campbell</v>
      </c>
      <c r="C83" s="38" t="str">
        <f>IF($B$83="","",IFERROR(INDEX(tblEmployees[Department],MATCH($B$83,tblEmployees[Employee],0)),""))</f>
        <v>Maintenance</v>
      </c>
      <c r="D83" s="38"/>
      <c r="E83" s="40">
        <f>IF($B$83="","",SUMIFS(tblOT[Overtime hours (h)],tblOT[Employee],$B$83,tblOT[View date],"&gt;0"))</f>
        <v>24</v>
      </c>
      <c r="F83" s="47">
        <f>IF($B$83="","",COUNTIFS(tblOT[Employee],$B$83,tblOT[Overtime hours (h)],"&gt;0",tblOT[View date],"&gt;0"))</f>
        <v>3</v>
      </c>
      <c r="G83" s="40">
        <f>IF($B$83="","",IF((COUNTIFS(tblOT[Employee],$B$83,tblOT[Total hours (h)],"&gt;0",tblOT[View date],"&gt;0"))=0,"",(SUMIFS(tblOT[Overtime hours (h)],tblOT[Employee],$B$83,tblOT[View date],"&gt;0"))/(COUNTIFS(tblOT[Employee],$B$83,tblOT[Total hours (h)],"&gt;0",tblOT[View date],"&gt;0"))))</f>
        <v>3</v>
      </c>
      <c r="H83" s="47">
        <f>IF($B$83="","",COUNTIFS(tblOT[Employee],$B$83,tblOT[Limits],"Out of limits",tblOT[View date],"&gt;0"))</f>
        <v>0</v>
      </c>
      <c r="I83" s="47">
        <f>IF($B$83="","",SUMIFS(tblOT[OT cost (est.)],tblOT[Employee],$B$83,tblOT[View date],"&gt;0"))</f>
        <v>1699.04</v>
      </c>
      <c r="J83" s="42" t="str">
        <f>IF($B$83="","",IF($B$83="","",IF($H$83&gt;0,"Out of limits","Within limits")))</f>
        <v>Within limits</v>
      </c>
      <c r="K83" s="42"/>
    </row>
    <row r="84" spans="2:12" x14ac:dyDescent="0.25">
      <c r="B84" s="65" t="str">
        <f>IFERROR(INDEX(tblEmployees[Employee],14)&amp;"","")</f>
        <v>B. Leblanc</v>
      </c>
      <c r="C84" s="38" t="str">
        <f>IF($B$84="","",IFERROR(INDEX(tblEmployees[Department],MATCH($B$84,tblEmployees[Employee],0)),""))</f>
        <v>Maintenance</v>
      </c>
      <c r="D84" s="38"/>
      <c r="E84" s="40">
        <f>IF($B$84="","",SUMIFS(tblOT[Overtime hours (h)],tblOT[Employee],$B$84,tblOT[View date],"&gt;0"))</f>
        <v>32</v>
      </c>
      <c r="F84" s="47">
        <f>IF($B$84="","",COUNTIFS(tblOT[Employee],$B$84,tblOT[Overtime hours (h)],"&gt;0",tblOT[View date],"&gt;0"))</f>
        <v>5</v>
      </c>
      <c r="G84" s="40">
        <f>IF($B$84="","",IF((COUNTIFS(tblOT[Employee],$B$84,tblOT[Total hours (h)],"&gt;0",tblOT[View date],"&gt;0"))=0,"",(SUMIFS(tblOT[Overtime hours (h)],tblOT[Employee],$B$84,tblOT[View date],"&gt;0"))/(COUNTIFS(tblOT[Employee],$B$84,tblOT[Total hours (h)],"&gt;0",tblOT[View date],"&gt;0"))))</f>
        <v>4</v>
      </c>
      <c r="H84" s="47">
        <f>IF($B$84="","",COUNTIFS(tblOT[Employee],$B$84,tblOT[Limits],"Out of limits",tblOT[View date],"&gt;0"))</f>
        <v>0</v>
      </c>
      <c r="I84" s="47">
        <f>IF($B$84="","",SUMIFS(tblOT[OT cost (est.)],tblOT[Employee],$B$84,tblOT[View date],"&gt;0"))</f>
        <v>2151.8</v>
      </c>
      <c r="J84" s="42" t="str">
        <f>IF($B$84="","",IF($B$84="","",IF($H$84&gt;0,"Out of limits","Within limits")))</f>
        <v>Within limits</v>
      </c>
      <c r="K84" s="42"/>
    </row>
    <row r="85" spans="2:12" x14ac:dyDescent="0.25">
      <c r="B85" s="65" t="str">
        <f>IFERROR(INDEX(tblEmployees[Employee],15)&amp;"","")</f>
        <v>C. Wong</v>
      </c>
      <c r="C85" s="38" t="str">
        <f>IF($B$85="","",IFERROR(INDEX(tblEmployees[Department],MATCH($B$85,tblEmployees[Employee],0)),""))</f>
        <v>Warehouse</v>
      </c>
      <c r="D85" s="38"/>
      <c r="E85" s="40">
        <f>IF($B$85="","",SUMIFS(tblOT[Overtime hours (h)],tblOT[Employee],$B$85,tblOT[View date],"&gt;0"))</f>
        <v>0</v>
      </c>
      <c r="F85" s="47">
        <f>IF($B$85="","",COUNTIFS(tblOT[Employee],$B$85,tblOT[Overtime hours (h)],"&gt;0",tblOT[View date],"&gt;0"))</f>
        <v>0</v>
      </c>
      <c r="G85" s="40">
        <f>IF($B$85="","",IF((COUNTIFS(tblOT[Employee],$B$85,tblOT[Total hours (h)],"&gt;0",tblOT[View date],"&gt;0"))=0,"",(SUMIFS(tblOT[Overtime hours (h)],tblOT[Employee],$B$85,tblOT[View date],"&gt;0"))/(COUNTIFS(tblOT[Employee],$B$85,tblOT[Total hours (h)],"&gt;0",tblOT[View date],"&gt;0"))))</f>
        <v>0</v>
      </c>
      <c r="H85" s="47">
        <f>IF($B$85="","",COUNTIFS(tblOT[Employee],$B$85,tblOT[Limits],"Out of limits",tblOT[View date],"&gt;0"))</f>
        <v>0</v>
      </c>
      <c r="I85" s="47">
        <f>IF($B$85="","",SUMIFS(tblOT[OT cost (est.)],tblOT[Employee],$B$85,tblOT[View date],"&gt;0"))</f>
        <v>0</v>
      </c>
      <c r="J85" s="42" t="str">
        <f>IF($B$85="","",IF($B$85="","",IF($H$85&gt;0,"Out of limits","Within limits")))</f>
        <v>Within limits</v>
      </c>
      <c r="K85" s="42"/>
    </row>
    <row r="86" spans="2:12" x14ac:dyDescent="0.25">
      <c r="B86" s="65" t="str">
        <f>IFERROR(INDEX(tblEmployees[Employee],16)&amp;"","")</f>
        <v>N. Bouchard</v>
      </c>
      <c r="C86" s="38" t="str">
        <f>IF($B$86="","",IFERROR(INDEX(tblEmployees[Department],MATCH($B$86,tblEmployees[Employee],0)),""))</f>
        <v>Warehouse</v>
      </c>
      <c r="D86" s="38"/>
      <c r="E86" s="40">
        <f>IF($B$86="","",SUMIFS(tblOT[Overtime hours (h)],tblOT[Employee],$B$86,tblOT[View date],"&gt;0"))</f>
        <v>3</v>
      </c>
      <c r="F86" s="47">
        <f>IF($B$86="","",COUNTIFS(tblOT[Employee],$B$86,tblOT[Overtime hours (h)],"&gt;0",tblOT[View date],"&gt;0"))</f>
        <v>1</v>
      </c>
      <c r="G86" s="40">
        <f>IF($B$86="","",IF((COUNTIFS(tblOT[Employee],$B$86,tblOT[Total hours (h)],"&gt;0",tblOT[View date],"&gt;0"))=0,"",(SUMIFS(tblOT[Overtime hours (h)],tblOT[Employee],$B$86,tblOT[View date],"&gt;0"))/(COUNTIFS(tblOT[Employee],$B$86,tblOT[Total hours (h)],"&gt;0",tblOT[View date],"&gt;0"))))</f>
        <v>0.375</v>
      </c>
      <c r="H86" s="47">
        <f>IF($B$86="","",COUNTIFS(tblOT[Employee],$B$86,tblOT[Limits],"Out of limits",tblOT[View date],"&gt;0"))</f>
        <v>0</v>
      </c>
      <c r="I86" s="47">
        <f>IF($B$86="","",SUMIFS(tblOT[OT cost (est.)],tblOT[Employee],$B$86,tblOT[View date],"&gt;0"))</f>
        <v>129.78</v>
      </c>
      <c r="J86" s="42" t="str">
        <f>IF($B$86="","",IF($B$86="","",IF($H$86&gt;0,"Out of limits","Within limits")))</f>
        <v>Within limits</v>
      </c>
      <c r="K86" s="42"/>
    </row>
    <row r="87" spans="2:12" ht="8" customHeight="1" x14ac:dyDescent="0.25"/>
    <row r="88" spans="2:12" ht="26.76" customHeight="1" x14ac:dyDescent="0.25">
      <c r="B88" s="21" t="s">
        <v>215</v>
      </c>
      <c r="C88" s="21"/>
      <c r="D88" s="21"/>
      <c r="E88" s="21"/>
      <c r="F88" s="21"/>
      <c r="G88" s="21"/>
      <c r="H88" s="21"/>
      <c r="I88" s="21"/>
      <c r="J88" s="21"/>
      <c r="K88" s="21"/>
      <c r="L88" s="21"/>
    </row>
    <row r="89" spans="2:12" x14ac:dyDescent="0.25">
      <c r="B89" s="72">
        <f>IF(OR(COUNTA(tblDepartments[Department])&gt;5,COUNTA(tblReasons[Reason])&gt;7,COUNTA(tblEmployees[Employee])&gt;16),"Setup lists are longer than the Dashboard blocks: some departments, reasons or people are not shown.","")</f>
        <v/>
      </c>
      <c r="C89" s="72"/>
      <c r="D89" s="72"/>
      <c r="E89" s="72"/>
      <c r="F89" s="72"/>
      <c r="G89" s="72"/>
      <c r="H89" s="72"/>
      <c r="I89" s="72"/>
      <c r="J89" s="72"/>
      <c r="K89" s="72"/>
      <c r="L89" s="72"/>
    </row>
  </sheetData>
  <sheetProtection sheet="1" formatColumns="0" formatRows="0"/>
  <mergeCells count="108">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J35"/>
    <mergeCell ref="I36:J36"/>
    <mergeCell ref="I37:J37"/>
    <mergeCell ref="I38:J38"/>
    <mergeCell ref="I39:J39"/>
    <mergeCell ref="I40:J40"/>
    <mergeCell ref="I41:J41"/>
    <mergeCell ref="I42:J42"/>
    <mergeCell ref="I43:J43"/>
    <mergeCell ref="I44:J44"/>
    <mergeCell ref="I45:J45"/>
    <mergeCell ref="B47:K47"/>
    <mergeCell ref="J48:K48"/>
    <mergeCell ref="J49:K49"/>
    <mergeCell ref="J50:K50"/>
    <mergeCell ref="J51:K51"/>
    <mergeCell ref="J52:K52"/>
    <mergeCell ref="J53:K53"/>
    <mergeCell ref="J54:K54"/>
    <mergeCell ref="B56:G56"/>
    <mergeCell ref="C57:D57"/>
    <mergeCell ref="C58:D58"/>
    <mergeCell ref="C59:D59"/>
    <mergeCell ref="C60:D60"/>
    <mergeCell ref="C61:D61"/>
    <mergeCell ref="C62:D62"/>
    <mergeCell ref="C63:D63"/>
    <mergeCell ref="C64:D64"/>
    <mergeCell ref="C65:D65"/>
    <mergeCell ref="C66:D66"/>
    <mergeCell ref="B68:K68"/>
    <mergeCell ref="C69:D69"/>
    <mergeCell ref="J69:K69"/>
    <mergeCell ref="C70:D70"/>
    <mergeCell ref="J70:K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B88:L88"/>
    <mergeCell ref="B89:L89"/>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38:E45">
    <cfRule type="expression" dxfId="3" priority="61" stopIfTrue="1">
      <formula>AND(ISNUMBER(E38),E38&lt;=(TargetShare))</formula>
    </cfRule>
    <cfRule type="expression" dxfId="4" priority="62" stopIfTrue="1">
      <formula>AND(ISNUMBER(E38),E38&lt;=(TargetShare)*(1+0.05))</formula>
    </cfRule>
    <cfRule type="expression" dxfId="5" priority="63">
      <formula>ISNUMBER(E38)</formula>
    </cfRule>
  </conditionalFormatting>
  <conditionalFormatting sqref="E50:E54">
    <cfRule type="dataBar" priority="84">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E59:E65">
    <cfRule type="dataBar" priority="108">
      <dataBar>
        <cfvo type="num" val="0"/>
        <cfvo type="max"/>
        <color rgb="FFA8BDF0"/>
      </dataBar>
      <extLst>
        <ext xmlns:x14="http://schemas.microsoft.com/office/spreadsheetml/2009/9/main" uri="{B025F937-C7B1-47D3-B67F-A62EFF666E3E}">
          <x14:id>{DA7ABA51-AAAA-BBBB-0005-000000000002}</x14:id>
        </ext>
      </extLst>
    </cfRule>
  </conditionalFormatting>
  <conditionalFormatting sqref="E71:E86">
    <cfRule type="dataBar" priority="109">
      <dataBar>
        <cfvo type="num" val="0"/>
        <cfvo type="max"/>
        <color rgb="FFA8BDF0"/>
      </dataBar>
      <extLst>
        <ext xmlns:x14="http://schemas.microsoft.com/office/spreadsheetml/2009/9/main" uri="{B025F937-C7B1-47D3-B67F-A62EFF666E3E}">
          <x14:id>{DA7ABA51-AAAA-BBBB-0005-000000000003}</x14:id>
        </ext>
      </extLst>
    </cfRule>
  </conditionalFormatting>
  <conditionalFormatting sqref="F50:F54">
    <cfRule type="expression" dxfId="3" priority="85" stopIfTrue="1">
      <formula>AND(ISNUMBER(F50),F50&lt;=(TargetShare))</formula>
    </cfRule>
    <cfRule type="expression" dxfId="4" priority="86" stopIfTrue="1">
      <formula>AND(ISNUMBER(F50),F50&lt;=(TargetShare)*(1+0.05))</formula>
    </cfRule>
    <cfRule type="expression" dxfId="5" priority="87">
      <formula>ISNUMBER(F50)</formula>
    </cfRule>
  </conditionalFormatting>
  <conditionalFormatting sqref="I38:I45">
    <cfRule type="cellIs" dxfId="0" priority="64" operator="equal">
      <formula>"On target"</formula>
    </cfRule>
    <cfRule type="cellIs" dxfId="0" priority="65" operator="equal">
      <formula>"PASS"</formula>
    </cfRule>
    <cfRule type="cellIs" dxfId="0" priority="66" operator="equal">
      <formula>"OK"</formula>
    </cfRule>
    <cfRule type="cellIs" dxfId="0" priority="67" operator="equal">
      <formula>"Within limits"</formula>
    </cfRule>
    <cfRule type="cellIs" dxfId="0" priority="68" operator="equal">
      <formula>"Under capacity"</formula>
    </cfRule>
    <cfRule type="cellIs" dxfId="0" priority="69" operator="equal">
      <formula>"Complete"</formula>
    </cfRule>
    <cfRule type="cellIs" dxfId="0" priority="70" operator="equal">
      <formula>"Yes"</formula>
    </cfRule>
    <cfRule type="cellIs" dxfId="1" priority="71" operator="equal">
      <formula>"Near target"</formula>
    </cfRule>
    <cfRule type="cellIs" dxfId="1" priority="72" operator="equal">
      <formula>"Check"</formula>
    </cfRule>
    <cfRule type="cellIs" dxfId="1" priority="73" operator="equal">
      <formula>"Due soon"</formula>
    </cfRule>
    <cfRule type="cellIs" dxfId="1" priority="74" operator="equal">
      <formula>"Near capacity"</formula>
    </cfRule>
    <cfRule type="cellIs" dxfId="1" priority="75" operator="equal">
      <formula>"In progress"</formula>
    </cfRule>
    <cfRule type="cellIs" dxfId="1" priority="76" operator="equal">
      <formula>"Partial"</formula>
    </cfRule>
    <cfRule type="cellIs" dxfId="2" priority="77" operator="equal">
      <formula>"Below target"</formula>
    </cfRule>
    <cfRule type="cellIs" dxfId="2" priority="78" operator="equal">
      <formula>"Above target"</formula>
    </cfRule>
    <cfRule type="cellIs" dxfId="2" priority="79" operator="equal">
      <formula>"FAIL"</formula>
    </cfRule>
    <cfRule type="cellIs" dxfId="2" priority="80" operator="equal">
      <formula>"Over capacity"</formula>
    </cfRule>
    <cfRule type="cellIs" dxfId="2" priority="81" operator="equal">
      <formula>"Overdue"</formula>
    </cfRule>
    <cfRule type="cellIs" dxfId="2" priority="82" operator="equal">
      <formula>"Out of limits"</formula>
    </cfRule>
    <cfRule type="cellIs" dxfId="2" priority="83" operator="equal">
      <formula>"No"</formula>
    </cfRule>
  </conditionalFormatting>
  <conditionalFormatting sqref="J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J50:J54">
    <cfRule type="cellIs" dxfId="0" priority="88" operator="equal">
      <formula>"On target"</formula>
    </cfRule>
    <cfRule type="cellIs" dxfId="0" priority="89" operator="equal">
      <formula>"PASS"</formula>
    </cfRule>
    <cfRule type="cellIs" dxfId="0" priority="90" operator="equal">
      <formula>"OK"</formula>
    </cfRule>
    <cfRule type="cellIs" dxfId="0" priority="91" operator="equal">
      <formula>"Within limits"</formula>
    </cfRule>
    <cfRule type="cellIs" dxfId="0" priority="92" operator="equal">
      <formula>"Under capacity"</formula>
    </cfRule>
    <cfRule type="cellIs" dxfId="0" priority="93" operator="equal">
      <formula>"Complete"</formula>
    </cfRule>
    <cfRule type="cellIs" dxfId="0" priority="94" operator="equal">
      <formula>"Yes"</formula>
    </cfRule>
    <cfRule type="cellIs" dxfId="1" priority="95" operator="equal">
      <formula>"Near target"</formula>
    </cfRule>
    <cfRule type="cellIs" dxfId="1" priority="96" operator="equal">
      <formula>"Check"</formula>
    </cfRule>
    <cfRule type="cellIs" dxfId="1" priority="97" operator="equal">
      <formula>"Due soon"</formula>
    </cfRule>
    <cfRule type="cellIs" dxfId="1" priority="98" operator="equal">
      <formula>"Near capacity"</formula>
    </cfRule>
    <cfRule type="cellIs" dxfId="1" priority="99" operator="equal">
      <formula>"In progress"</formula>
    </cfRule>
    <cfRule type="cellIs" dxfId="1" priority="100" operator="equal">
      <formula>"Partial"</formula>
    </cfRule>
    <cfRule type="cellIs" dxfId="2" priority="101" operator="equal">
      <formula>"Below target"</formula>
    </cfRule>
    <cfRule type="cellIs" dxfId="2" priority="102" operator="equal">
      <formula>"Above target"</formula>
    </cfRule>
    <cfRule type="cellIs" dxfId="2" priority="103" operator="equal">
      <formula>"FAIL"</formula>
    </cfRule>
    <cfRule type="cellIs" dxfId="2" priority="104" operator="equal">
      <formula>"Over capacity"</formula>
    </cfRule>
    <cfRule type="cellIs" dxfId="2" priority="105" operator="equal">
      <formula>"Overdue"</formula>
    </cfRule>
    <cfRule type="cellIs" dxfId="2" priority="106" operator="equal">
      <formula>"Out of limits"</formula>
    </cfRule>
    <cfRule type="cellIs" dxfId="2" priority="107" operator="equal">
      <formula>"No"</formula>
    </cfRule>
  </conditionalFormatting>
  <conditionalFormatting sqref="J71:J86">
    <cfRule type="cellIs" dxfId="0" priority="110" operator="equal">
      <formula>"On target"</formula>
    </cfRule>
    <cfRule type="cellIs" dxfId="0" priority="111" operator="equal">
      <formula>"PASS"</formula>
    </cfRule>
    <cfRule type="cellIs" dxfId="0" priority="112" operator="equal">
      <formula>"OK"</formula>
    </cfRule>
    <cfRule type="cellIs" dxfId="0" priority="113" operator="equal">
      <formula>"Within limits"</formula>
    </cfRule>
    <cfRule type="cellIs" dxfId="0" priority="114" operator="equal">
      <formula>"Under capacity"</formula>
    </cfRule>
    <cfRule type="cellIs" dxfId="0" priority="115" operator="equal">
      <formula>"Complete"</formula>
    </cfRule>
    <cfRule type="cellIs" dxfId="0" priority="116" operator="equal">
      <formula>"Yes"</formula>
    </cfRule>
    <cfRule type="cellIs" dxfId="1" priority="117" operator="equal">
      <formula>"Near target"</formula>
    </cfRule>
    <cfRule type="cellIs" dxfId="1" priority="118" operator="equal">
      <formula>"Check"</formula>
    </cfRule>
    <cfRule type="cellIs" dxfId="1" priority="119" operator="equal">
      <formula>"Due soon"</formula>
    </cfRule>
    <cfRule type="cellIs" dxfId="1" priority="120" operator="equal">
      <formula>"Near capacity"</formula>
    </cfRule>
    <cfRule type="cellIs" dxfId="1" priority="121" operator="equal">
      <formula>"In progress"</formula>
    </cfRule>
    <cfRule type="cellIs" dxfId="1" priority="122" operator="equal">
      <formula>"Partial"</formula>
    </cfRule>
    <cfRule type="cellIs" dxfId="2" priority="123" operator="equal">
      <formula>"Below target"</formula>
    </cfRule>
    <cfRule type="cellIs" dxfId="2" priority="124" operator="equal">
      <formula>"Above target"</formula>
    </cfRule>
    <cfRule type="cellIs" dxfId="2" priority="125" operator="equal">
      <formula>"FAIL"</formula>
    </cfRule>
    <cfRule type="cellIs" dxfId="2" priority="126" operator="equal">
      <formula>"Over capacity"</formula>
    </cfRule>
    <cfRule type="cellIs" dxfId="2" priority="127" operator="equal">
      <formula>"Overdue"</formula>
    </cfRule>
    <cfRule type="cellIs" dxfId="2" priority="128" operator="equal">
      <formula>"Out of limits"</formula>
    </cfRule>
    <cfRule type="cellIs" dxfId="2" priority="129" operator="equal">
      <formula>"No"</formula>
    </cfRule>
  </conditionalFormatting>
  <dataValidations count="3">
    <dataValidation type="list" allowBlank="1" showInputMessage="1" showErrorMessage="1" errorTitle="Check this entry" error="Pick from the list (edit the list on Setup: Departments)." promptTitle="Department" prompt="Leave blank for all departments. Pick from the list (edit the list on Setup: Departments)." sqref="C4">
      <formula1>Departments</formula1>
    </dataValidation>
    <dataValidation type="date" allowBlank="1" showInputMessage="1" showErrorMessage="1" errorTitle="Check this entry" error="Enter a date between 01 Jan 2000 and 31 Dec 2100." promptTitle="From week" prompt="First week (Monday)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week" prompt="Last week (Monday)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Overtime Tracker&amp;R&amp;8&amp;A</oddHeader>
    <oddFooter>&amp;L&amp;8mfgcalcs.com - free manufacturing templates&amp;R&amp;8Page &amp;P of &amp;N</oddFooter>
  </headerFooter>
  <rowBreaks count="3" manualBreakCount="3">
    <brk id="28" max="16383" man="1"/>
    <brk id="55" max="16383" man="1"/>
    <brk id="67"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E50:E54</xm:sqref>
        </x14:conditionalFormatting>
        <x14:conditionalFormatting xmlns:xm="http://schemas.microsoft.com/office/excel/2006/main">
          <x14:cfRule type="dataBar" id="{DA7ABA51-AAAA-BBBB-0005-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E59:E65</xm:sqref>
        </x14:conditionalFormatting>
        <x14:conditionalFormatting xmlns:xm="http://schemas.microsoft.com/office/excel/2006/main">
          <x14:cfRule type="dataBar" id="{DA7ABA51-AAAA-BBBB-0005-000000000003}">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E71:E86</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216</v>
      </c>
      <c r="C4" s="8"/>
      <c r="D4" s="8"/>
    </row>
    <row r="5" spans="1:4" ht="5" customHeight="1"/>
    <row r="6" spans="1:4" ht="55.8" customHeight="1">
      <c r="B6" s="10" t="s">
        <v>217</v>
      </c>
      <c r="C6" s="10"/>
      <c r="D6" s="10"/>
    </row>
    <row r="8" spans="1:4" ht="21" customHeight="1">
      <c r="B8" s="8" t="s">
        <v>218</v>
      </c>
      <c r="C8" s="8"/>
      <c r="D8" s="8"/>
    </row>
    <row r="9" spans="1:4" ht="5" customHeight="1"/>
    <row r="10" spans="1:4" ht="20" customHeight="1">
      <c r="B10" s="62" t="s">
        <v>219</v>
      </c>
      <c r="C10" s="62" t="s">
        <v>220</v>
      </c>
      <c r="D10" s="33" t="s">
        <v>221</v>
      </c>
    </row>
    <row r="11" spans="1:4" ht="17.2" customHeight="1">
      <c r="B11" s="73" t="s">
        <v>222</v>
      </c>
      <c r="C11" s="74" t="s">
        <v>223</v>
      </c>
      <c r="D11" s="75" t="s">
        <v>208</v>
      </c>
    </row>
    <row r="12" spans="1:4" ht="17.2" customHeight="1">
      <c r="B12" s="73" t="s">
        <v>224</v>
      </c>
      <c r="C12" s="74" t="s">
        <v>225</v>
      </c>
      <c r="D12" s="75" t="s">
        <v>208</v>
      </c>
    </row>
    <row r="13" spans="1:4" ht="30.4" customHeight="1">
      <c r="B13" s="73" t="s">
        <v>226</v>
      </c>
      <c r="C13" s="74" t="s">
        <v>227</v>
      </c>
      <c r="D13" s="75" t="s">
        <v>209</v>
      </c>
    </row>
    <row r="14" spans="1:4" ht="30.4" customHeight="1">
      <c r="B14" s="73" t="s">
        <v>228</v>
      </c>
      <c r="C14" s="74" t="s">
        <v>229</v>
      </c>
      <c r="D14" s="75" t="s">
        <v>230</v>
      </c>
    </row>
    <row r="15" spans="1:4" ht="30.4" customHeight="1">
      <c r="B15" s="73" t="s">
        <v>199</v>
      </c>
      <c r="C15" s="74" t="s">
        <v>231</v>
      </c>
      <c r="D15" s="75" t="s">
        <v>230</v>
      </c>
    </row>
    <row r="16" spans="1:4" ht="30.4" customHeight="1">
      <c r="B16" s="73" t="s">
        <v>140</v>
      </c>
      <c r="C16" s="74" t="s">
        <v>232</v>
      </c>
      <c r="D16" s="75" t="s">
        <v>233</v>
      </c>
    </row>
    <row r="17" spans="2:4" ht="30.4" customHeight="1">
      <c r="B17" s="73" t="s">
        <v>234</v>
      </c>
      <c r="C17" s="74" t="s">
        <v>235</v>
      </c>
      <c r="D17" s="75" t="s">
        <v>208</v>
      </c>
    </row>
    <row r="18" spans="2:4" ht="30.4" customHeight="1">
      <c r="B18" s="73" t="s">
        <v>236</v>
      </c>
      <c r="C18" s="74" t="s">
        <v>237</v>
      </c>
      <c r="D18" s="75" t="s">
        <v>233</v>
      </c>
    </row>
    <row r="19" spans="2:4" ht="17.2" customHeight="1">
      <c r="B19" s="73" t="s">
        <v>238</v>
      </c>
      <c r="C19" s="74" t="s">
        <v>239</v>
      </c>
      <c r="D19" s="75" t="s">
        <v>240</v>
      </c>
    </row>
    <row r="20" spans="2:4" ht="30.4" customHeight="1">
      <c r="B20" s="73" t="s">
        <v>241</v>
      </c>
      <c r="C20" s="74" t="s">
        <v>242</v>
      </c>
      <c r="D20" s="75" t="s">
        <v>243</v>
      </c>
    </row>
    <row r="21" spans="2:4" ht="43.6" customHeight="1">
      <c r="B21" s="73" t="s">
        <v>244</v>
      </c>
      <c r="C21" s="74" t="s">
        <v>245</v>
      </c>
      <c r="D21" s="75" t="s">
        <v>233</v>
      </c>
    </row>
    <row r="23" spans="2:4" ht="21" customHeight="1">
      <c r="B23" s="8" t="s">
        <v>246</v>
      </c>
      <c r="C23" s="8"/>
      <c r="D23" s="8"/>
    </row>
    <row r="24" spans="2:4" ht="5" customHeight="1"/>
    <row r="25" spans="2:4" ht="29.4" customHeight="1">
      <c r="B25" s="26" t="s">
        <v>57</v>
      </c>
      <c r="C25" s="10" t="s">
        <v>247</v>
      </c>
      <c r="D25" s="10"/>
    </row>
    <row r="26" spans="2:4" ht="29.4" customHeight="1">
      <c r="B26" s="26" t="s">
        <v>57</v>
      </c>
      <c r="C26" s="10" t="s">
        <v>248</v>
      </c>
      <c r="D26" s="10"/>
    </row>
    <row r="27" spans="2:4" ht="29.4" customHeight="1">
      <c r="B27" s="26" t="s">
        <v>57</v>
      </c>
      <c r="C27" s="10" t="s">
        <v>249</v>
      </c>
      <c r="D27" s="10"/>
    </row>
    <row r="28" spans="2:4" ht="16.2" customHeight="1">
      <c r="B28" s="26" t="s">
        <v>57</v>
      </c>
      <c r="C28" s="10" t="s">
        <v>250</v>
      </c>
      <c r="D28" s="10"/>
    </row>
    <row r="30" spans="2:4" ht="21" customHeight="1">
      <c r="B30" s="8" t="s">
        <v>251</v>
      </c>
      <c r="C30" s="8"/>
      <c r="D30" s="8"/>
    </row>
    <row r="31" spans="2:4" ht="5" customHeight="1"/>
    <row r="32" spans="2:4" ht="29.4" customHeight="1">
      <c r="B32" s="26" t="s">
        <v>57</v>
      </c>
      <c r="C32" s="10" t="s">
        <v>252</v>
      </c>
      <c r="D32" s="10"/>
    </row>
    <row r="33" spans="2:4" ht="29.4" customHeight="1">
      <c r="B33" s="26" t="s">
        <v>57</v>
      </c>
      <c r="C33" s="10" t="s">
        <v>253</v>
      </c>
      <c r="D33" s="10"/>
    </row>
    <row r="34" spans="2:4" ht="16.2" customHeight="1">
      <c r="B34" s="26" t="s">
        <v>57</v>
      </c>
      <c r="C34" s="10" t="s">
        <v>254</v>
      </c>
      <c r="D34" s="10"/>
    </row>
    <row r="35" spans="2:4" ht="29.4" customHeight="1">
      <c r="B35" s="26" t="s">
        <v>57</v>
      </c>
      <c r="C35" s="10" t="s">
        <v>255</v>
      </c>
      <c r="D35" s="10"/>
    </row>
    <row r="37" spans="2:4" ht="21" customHeight="1">
      <c r="B37" s="8" t="s">
        <v>256</v>
      </c>
      <c r="C37" s="8"/>
      <c r="D37" s="8"/>
    </row>
    <row r="38" spans="2:4" ht="5" customHeight="1"/>
    <row r="39" spans="2:4" ht="69" customHeight="1">
      <c r="B39" s="10" t="s">
        <v>257</v>
      </c>
      <c r="C39" s="10"/>
      <c r="D39" s="10"/>
    </row>
    <row r="40" spans="2:4">
      <c r="B40" s="24" t="s">
        <v>258</v>
      </c>
      <c r="C40" s="24"/>
      <c r="D40" s="24"/>
    </row>
    <row r="42" spans="2:4" ht="21" customHeight="1">
      <c r="B42" s="8" t="s">
        <v>44</v>
      </c>
      <c r="C42" s="8"/>
      <c r="D42" s="8"/>
    </row>
    <row r="43" spans="2:4" ht="5" customHeight="1"/>
    <row r="44" spans="2:4" ht="42.6" customHeight="1">
      <c r="B44" s="10" t="s">
        <v>259</v>
      </c>
      <c r="C44" s="10"/>
      <c r="D44" s="10"/>
    </row>
    <row r="46" spans="2:4" ht="21" customHeight="1">
      <c r="B46" s="8" t="s">
        <v>260</v>
      </c>
      <c r="C46" s="8"/>
      <c r="D46" s="8"/>
    </row>
    <row r="47" spans="2:4" ht="5" customHeight="1"/>
    <row r="48" spans="2:4" ht="42.6" customHeight="1">
      <c r="B48" s="26" t="s">
        <v>57</v>
      </c>
      <c r="C48" s="10" t="s">
        <v>261</v>
      </c>
      <c r="D48" s="10"/>
    </row>
    <row r="49" spans="2:4" ht="29.4" customHeight="1">
      <c r="B49" s="26" t="s">
        <v>57</v>
      </c>
      <c r="C49" s="10" t="s">
        <v>262</v>
      </c>
      <c r="D49" s="10"/>
    </row>
    <row r="50" spans="2:4">
      <c r="B50" s="21" t="s">
        <v>263</v>
      </c>
      <c r="C50" s="21"/>
      <c r="D50" s="21"/>
    </row>
    <row r="52" spans="2:4" ht="21" customHeight="1">
      <c r="B52" s="8" t="s">
        <v>264</v>
      </c>
      <c r="C52" s="8"/>
      <c r="D52" s="8"/>
    </row>
    <row r="53" spans="2:4" ht="5" customHeight="1"/>
    <row r="54" spans="2:4">
      <c r="B54" s="62" t="s">
        <v>52</v>
      </c>
      <c r="C54" s="62" t="s">
        <v>265</v>
      </c>
      <c r="D54" s="33" t="s">
        <v>266</v>
      </c>
    </row>
    <row r="55" spans="2:4" ht="16.2" customHeight="1">
      <c r="B55" s="76" t="s">
        <v>267</v>
      </c>
      <c r="C55" s="77" t="s">
        <v>268</v>
      </c>
      <c r="D55" s="78" t="s">
        <v>269</v>
      </c>
    </row>
    <row r="57" spans="2:4">
      <c r="B57" s="21" t="s">
        <v>63</v>
      </c>
      <c r="C57" s="21"/>
      <c r="D57" s="21"/>
    </row>
  </sheetData>
  <sheetProtection sheet="1" formatColumns="0" formatRows="0"/>
  <mergeCells count="26">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B50:D50"/>
    <mergeCell ref="B52:D52"/>
    <mergeCell ref="B57:D57"/>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Overtime Tracker&amp;R&amp;8&amp;A</oddHeader>
    <oddFooter>&amp;L&amp;8mfgcalcs.com - free manufacturing templates&amp;R&amp;8Page &amp;P of &amp;N</oddFooter>
  </headerFooter>
  <rowBreaks count="1" manualBreakCount="1">
    <brk id="28"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S77"/>
  <sheetViews>
    <sheetView showGridLines="0" workbookViewId="0"/>
  </sheetViews>
  <sheetFormatPr defaultRowHeight="15"/>
  <cols>
    <col min="1" max="1" width="2.7109375" customWidth="1"/>
    <col min="2" max="19" width="12.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30</v>
      </c>
      <c r="C2" s="2"/>
      <c r="D2" s="2"/>
      <c r="E2" s="2"/>
      <c r="F2" s="2"/>
      <c r="G2" s="2"/>
      <c r="H2" s="2"/>
      <c r="I2" s="2"/>
      <c r="J2" s="2"/>
      <c r="K2" s="2"/>
      <c r="L2" s="2"/>
      <c r="M2" s="2"/>
      <c r="N2" s="2"/>
      <c r="O2" s="2"/>
      <c r="P2" s="2"/>
      <c r="Q2" s="2"/>
      <c r="R2" s="2"/>
      <c r="S2" s="3" t="s">
        <v>2</v>
      </c>
    </row>
    <row r="3" spans="1:19" ht="6" customHeight="1"/>
    <row r="4" spans="1:19" ht="30" customHeight="1">
      <c r="B4" s="79" t="s">
        <v>270</v>
      </c>
      <c r="C4" s="79"/>
      <c r="D4" s="22" t="str">
        <f>IF(COUNTIF($K$11:$K$29,"PASS")=19,"PASS","FAIL")</f>
        <v>PASS</v>
      </c>
      <c r="E4" s="22"/>
      <c r="F4" s="23" t="str">
        <f>COUNTIF($K$11:$K$29,"PASS")&amp;" of 19 checks pass"</f>
        <v>19 of 19 checks pass</v>
      </c>
      <c r="G4" s="23"/>
      <c r="H4" s="23"/>
      <c r="I4" s="23"/>
      <c r="J4" s="23"/>
    </row>
    <row r="6" spans="1:19" ht="29.4" customHeight="1">
      <c r="B6" s="10" t="s">
        <v>271</v>
      </c>
      <c r="C6" s="10"/>
      <c r="D6" s="10"/>
      <c r="E6" s="10"/>
      <c r="F6" s="10"/>
      <c r="G6" s="10"/>
      <c r="H6" s="10"/>
      <c r="I6" s="10"/>
      <c r="J6" s="10"/>
      <c r="K6" s="10"/>
      <c r="L6" s="10"/>
    </row>
    <row r="8" spans="1:19" ht="21" customHeight="1">
      <c r="B8" s="8" t="s">
        <v>272</v>
      </c>
      <c r="C8" s="8"/>
      <c r="D8" s="8"/>
      <c r="E8" s="8"/>
      <c r="F8" s="8"/>
      <c r="G8" s="8"/>
      <c r="H8" s="8"/>
      <c r="I8" s="8"/>
      <c r="J8" s="8"/>
      <c r="K8" s="8"/>
      <c r="L8" s="8"/>
    </row>
    <row r="9" spans="1:19" ht="5" customHeight="1"/>
    <row r="10" spans="1:19" ht="30" customHeight="1">
      <c r="B10" s="33" t="s">
        <v>273</v>
      </c>
      <c r="C10" s="62" t="s">
        <v>142</v>
      </c>
      <c r="D10" s="62"/>
      <c r="E10" s="62"/>
      <c r="F10" s="62"/>
      <c r="G10" s="33" t="s">
        <v>274</v>
      </c>
      <c r="H10" s="33" t="s">
        <v>275</v>
      </c>
      <c r="I10" s="33" t="s">
        <v>276</v>
      </c>
      <c r="J10" s="33" t="s">
        <v>277</v>
      </c>
      <c r="K10" s="33" t="s">
        <v>278</v>
      </c>
    </row>
    <row r="11" spans="1:19" ht="16.2" customHeight="1">
      <c r="B11" s="67">
        <v>1</v>
      </c>
      <c r="C11" s="77" t="s">
        <v>279</v>
      </c>
      <c r="D11" s="77"/>
      <c r="E11" s="77"/>
      <c r="F11" s="77"/>
      <c r="G11" s="80">
        <v>277.2</v>
      </c>
      <c r="H11" s="39">
        <f>$N$54</f>
        <v>277.2</v>
      </c>
      <c r="I11" s="81">
        <f>IF(AND(ISNUMBER($G$11),ISNUMBER($H$11)),ABS($H$11-$G$11),"")</f>
        <v>0</v>
      </c>
      <c r="J11" s="82">
        <v>1E-09</v>
      </c>
      <c r="K11" s="42" t="str">
        <f>IF(AND(ISNUMBER($G$11),ISNUMBER($H$11)),IF(ABS($H$11-$G$11)&lt;=$J$11,"PASS","FAIL"),"FAIL")</f>
        <v>PASS</v>
      </c>
    </row>
    <row r="12" spans="1:19" ht="16.2" customHeight="1">
      <c r="B12" s="67">
        <v>2</v>
      </c>
      <c r="C12" s="77" t="s">
        <v>280</v>
      </c>
      <c r="D12" s="77"/>
      <c r="E12" s="77"/>
      <c r="F12" s="77"/>
      <c r="G12" s="80">
        <v>92.40000000000001</v>
      </c>
      <c r="H12" s="39">
        <f>$O$54</f>
        <v>92.4</v>
      </c>
      <c r="I12" s="81">
        <f>IF(AND(ISNUMBER($G$12),ISNUMBER($H$12)),ABS($H$12-$G$12),"")</f>
        <v>0</v>
      </c>
      <c r="J12" s="82">
        <v>1E-09</v>
      </c>
      <c r="K12" s="42" t="str">
        <f>IF(AND(ISNUMBER($G$12),ISNUMBER($H$12)),IF(ABS($H$12-$G$12)&lt;=$J$12,"PASS","FAIL"),"FAIL")</f>
        <v>PASS</v>
      </c>
    </row>
    <row r="13" spans="1:19" ht="16.2" customHeight="1">
      <c r="B13" s="67">
        <v>3</v>
      </c>
      <c r="C13" s="77" t="s">
        <v>281</v>
      </c>
      <c r="D13" s="77"/>
      <c r="E13" s="77"/>
      <c r="F13" s="77"/>
      <c r="G13" s="83">
        <v>0.1304347826086956</v>
      </c>
      <c r="H13" s="41">
        <f>$M$54</f>
        <v>0.130434782608696</v>
      </c>
      <c r="I13" s="81">
        <f>IF(AND(ISNUMBER($G$13),ISNUMBER($H$13)),ABS($H$13-$G$13),"")</f>
        <v>0</v>
      </c>
      <c r="J13" s="82">
        <v>1E-09</v>
      </c>
      <c r="K13" s="42" t="str">
        <f>IF(AND(ISNUMBER($G$13),ISNUMBER($H$13)),IF(ABS($H$13-$G$13)&lt;=$J$13,"PASS","FAIL"),"FAIL")</f>
        <v>PASS</v>
      </c>
    </row>
    <row r="14" spans="1:19" ht="16.2" customHeight="1">
      <c r="B14" s="67">
        <v>4</v>
      </c>
      <c r="C14" s="77" t="s">
        <v>282</v>
      </c>
      <c r="D14" s="77"/>
      <c r="E14" s="77"/>
      <c r="F14" s="77"/>
      <c r="G14" s="80">
        <v>726.0000000000001</v>
      </c>
      <c r="H14" s="39">
        <f>$N$55</f>
        <v>726</v>
      </c>
      <c r="I14" s="81">
        <f>IF(AND(ISNUMBER($G$14),ISNUMBER($H$14)),ABS($H$14-$G$14),"")</f>
        <v>0</v>
      </c>
      <c r="J14" s="82">
        <v>1E-09</v>
      </c>
      <c r="K14" s="42" t="str">
        <f>IF(AND(ISNUMBER($G$14),ISNUMBER($H$14)),IF(ABS($H$14-$G$14)&lt;=$J$14,"PASS","FAIL"),"FAIL")</f>
        <v>PASS</v>
      </c>
    </row>
    <row r="15" spans="1:19" ht="16.2" customHeight="1">
      <c r="B15" s="67">
        <v>5</v>
      </c>
      <c r="C15" s="77" t="s">
        <v>283</v>
      </c>
      <c r="D15" s="77"/>
      <c r="E15" s="77"/>
      <c r="F15" s="77"/>
      <c r="G15" s="80">
        <v>330</v>
      </c>
      <c r="H15" s="39">
        <f>$O$55</f>
        <v>330</v>
      </c>
      <c r="I15" s="81">
        <f>IF(AND(ISNUMBER($G$15),ISNUMBER($H$15)),ABS($H$15-$G$15),"")</f>
        <v>0</v>
      </c>
      <c r="J15" s="82">
        <v>1E-09</v>
      </c>
      <c r="K15" s="42" t="str">
        <f>IF(AND(ISNUMBER($G$15),ISNUMBER($H$15)),IF(ABS($H$15-$G$15)&lt;=$J$15,"PASS","FAIL"),"FAIL")</f>
        <v>PASS</v>
      </c>
    </row>
    <row r="16" spans="1:19" ht="16.2" customHeight="1">
      <c r="B16" s="67">
        <v>6</v>
      </c>
      <c r="C16" s="77" t="s">
        <v>284</v>
      </c>
      <c r="D16" s="77"/>
      <c r="E16" s="77"/>
      <c r="F16" s="77"/>
      <c r="G16" s="76" t="s">
        <v>285</v>
      </c>
      <c r="H16" s="38" t="str">
        <f>$P$55</f>
        <v>Within limits</v>
      </c>
      <c r="I16" s="38"/>
      <c r="J16" s="78" t="s">
        <v>286</v>
      </c>
      <c r="K16" s="42" t="str">
        <f>IF($H$16&amp;""=$G$16&amp;"","PASS","FAIL")</f>
        <v>PASS</v>
      </c>
    </row>
    <row r="17" spans="2:12" ht="16.2" customHeight="1">
      <c r="B17" s="67">
        <v>7</v>
      </c>
      <c r="C17" s="77" t="s">
        <v>287</v>
      </c>
      <c r="D17" s="77"/>
      <c r="E17" s="77"/>
      <c r="F17" s="77"/>
      <c r="G17" s="76" t="s">
        <v>195</v>
      </c>
      <c r="H17" s="38" t="str">
        <f>$P$56</f>
        <v>Out of limits</v>
      </c>
      <c r="I17" s="38"/>
      <c r="J17" s="78" t="s">
        <v>286</v>
      </c>
      <c r="K17" s="42" t="str">
        <f>IF($H$17&amp;""=$G$17&amp;"","PASS","FAIL")</f>
        <v>PASS</v>
      </c>
    </row>
    <row r="18" spans="2:12" ht="16.2" customHeight="1">
      <c r="B18" s="67">
        <v>8</v>
      </c>
      <c r="C18" s="77" t="s">
        <v>288</v>
      </c>
      <c r="D18" s="77"/>
      <c r="E18" s="77"/>
      <c r="F18" s="77"/>
      <c r="G18" s="83">
        <v>0</v>
      </c>
      <c r="H18" s="41">
        <f>$M$57</f>
        <v>0</v>
      </c>
      <c r="I18" s="81">
        <f>IF(AND(ISNUMBER($G$18),ISNUMBER($H$18)),ABS($H$18-$G$18),"")</f>
        <v>0</v>
      </c>
      <c r="J18" s="82">
        <v>1E-09</v>
      </c>
      <c r="K18" s="42" t="str">
        <f>IF(AND(ISNUMBER($G$18),ISNUMBER($H$18)),IF(ABS($H$18-$G$18)&lt;=$J$18,"PASS","FAIL"),"FAIL")</f>
        <v>PASS</v>
      </c>
    </row>
    <row r="19" spans="2:12" ht="16.2" customHeight="1">
      <c r="B19" s="67">
        <v>9</v>
      </c>
      <c r="C19" s="77" t="s">
        <v>289</v>
      </c>
      <c r="D19" s="77"/>
      <c r="E19" s="77"/>
      <c r="F19" s="77"/>
      <c r="G19" s="76" t="s">
        <v>290</v>
      </c>
      <c r="H19" s="38" t="str">
        <f>$R$58</f>
        <v>Week does not start on a Monday</v>
      </c>
      <c r="I19" s="38"/>
      <c r="J19" s="78" t="s">
        <v>286</v>
      </c>
      <c r="K19" s="42" t="str">
        <f>IF($H$19&amp;""=$G$19&amp;"","PASS","FAIL")</f>
        <v>PASS</v>
      </c>
    </row>
    <row r="20" spans="2:12" ht="16.2" customHeight="1">
      <c r="B20" s="67">
        <v>10</v>
      </c>
      <c r="C20" s="77" t="s">
        <v>291</v>
      </c>
      <c r="D20" s="77"/>
      <c r="E20" s="77"/>
      <c r="F20" s="77"/>
      <c r="G20" s="64">
        <v>34</v>
      </c>
      <c r="H20" s="40">
        <f>SUMIFS(tblVerifyOT[Overtime hours (h)],tblVerifyOT[View date],"&gt;0")</f>
        <v>34</v>
      </c>
      <c r="I20" s="81">
        <f>IF(AND(ISNUMBER($G$20),ISNUMBER($H$20)),ABS($H$20-$G$20),"")</f>
        <v>0</v>
      </c>
      <c r="J20" s="82">
        <v>1E-09</v>
      </c>
      <c r="K20" s="42" t="str">
        <f>IF(AND(ISNUMBER($G$20),ISNUMBER($H$20)),IF(ABS($H$20-$G$20)&lt;=$J$20,"PASS","FAIL"),"FAIL")</f>
        <v>PASS</v>
      </c>
    </row>
    <row r="21" spans="2:12" ht="16.2" customHeight="1">
      <c r="B21" s="67">
        <v>11</v>
      </c>
      <c r="C21" s="77" t="s">
        <v>292</v>
      </c>
      <c r="D21" s="77"/>
      <c r="E21" s="77"/>
      <c r="F21" s="77"/>
      <c r="G21" s="83">
        <v>0.1504424778761062</v>
      </c>
      <c r="H21" s="41">
        <f>IF((SUMIFS(tblVerifyOT[Total hours (h)],tblVerifyOT[View date],"&gt;0"))=0,"",(SUMIFS(tblVerifyOT[Overtime hours (h)],tblVerifyOT[View date],"&gt;0"))/(SUMIFS(tblVerifyOT[Total hours (h)],tblVerifyOT[View date],"&gt;0")))</f>
        <v>0.150442477876106</v>
      </c>
      <c r="I21" s="81">
        <f>IF(AND(ISNUMBER($G$21),ISNUMBER($H$21)),ABS($H$21-$G$21),"")</f>
        <v>0</v>
      </c>
      <c r="J21" s="82">
        <v>1E-09</v>
      </c>
      <c r="K21" s="42" t="str">
        <f>IF(AND(ISNUMBER($G$21),ISNUMBER($H$21)),IF(ABS($H$21-$G$21)&lt;=$J$21,"PASS","FAIL"),"FAIL")</f>
        <v>PASS</v>
      </c>
    </row>
    <row r="22" spans="2:12" ht="16.2" customHeight="1">
      <c r="B22" s="67">
        <v>12</v>
      </c>
      <c r="C22" s="77" t="s">
        <v>293</v>
      </c>
      <c r="D22" s="77"/>
      <c r="E22" s="77"/>
      <c r="F22" s="77"/>
      <c r="G22" s="80">
        <v>1679.7</v>
      </c>
      <c r="H22" s="39">
        <f>SUMIFS(tblVerifyOT[OT cost (est.)],tblVerifyOT[View date],"&gt;0")</f>
        <v>1679.7</v>
      </c>
      <c r="I22" s="81">
        <f>IF(AND(ISNUMBER($G$22),ISNUMBER($H$22)),ABS($H$22-$G$22),"")</f>
        <v>0</v>
      </c>
      <c r="J22" s="82">
        <v>1E-06</v>
      </c>
      <c r="K22" s="42" t="str">
        <f>IF(AND(ISNUMBER($G$22),ISNUMBER($H$22)),IF(ABS($H$22-$G$22)&lt;=$J$22,"PASS","FAIL"),"FAIL")</f>
        <v>PASS</v>
      </c>
    </row>
    <row r="23" spans="2:12" ht="16.2" customHeight="1">
      <c r="B23" s="67">
        <v>13</v>
      </c>
      <c r="C23" s="77" t="s">
        <v>294</v>
      </c>
      <c r="D23" s="77"/>
      <c r="E23" s="77"/>
      <c r="F23" s="77"/>
      <c r="G23" s="84">
        <v>1</v>
      </c>
      <c r="H23" s="47">
        <f>COUNTIFS(tblVerifyOT[Limits],"Out of limits",tblVerifyOT[View date],"&gt;0")</f>
        <v>1</v>
      </c>
      <c r="I23" s="81">
        <f>IF(AND(ISNUMBER($G$23),ISNUMBER($H$23)),ABS($H$23-$G$23),"")</f>
        <v>0</v>
      </c>
      <c r="J23" s="82">
        <v>1E-09</v>
      </c>
      <c r="K23" s="42" t="str">
        <f>IF(AND(ISNUMBER($G$23),ISNUMBER($H$23)),IF(ABS($H$23-$G$23)&lt;=$J$23,"PASS","FAIL"),"FAIL")</f>
        <v>PASS</v>
      </c>
    </row>
    <row r="24" spans="2:12" ht="16.2" customHeight="1">
      <c r="B24" s="67">
        <v>14</v>
      </c>
      <c r="C24" s="77" t="s">
        <v>295</v>
      </c>
      <c r="D24" s="77"/>
      <c r="E24" s="77"/>
      <c r="F24" s="77"/>
      <c r="G24" s="64">
        <v>34.28571428571428</v>
      </c>
      <c r="H24" s="40">
        <f>IF(COUNT(tblVerifyOT[View date])=0,0,(MAX(tblVerifyOT[View date])-MIN(tblVerifyOT[View date]))/7+1)*IF($E$37="",SUM(tblVerifyDepartments[Weekly OT budget (h)]),SUMIFS(tblVerifyDepartments[Weekly OT budget (h)],tblVerifyDepartments[Department],$E$37))</f>
        <v>34.2857142857143</v>
      </c>
      <c r="I24" s="81">
        <f>IF(AND(ISNUMBER($G$24),ISNUMBER($H$24)),ABS($H$24-$G$24),"")</f>
        <v>0</v>
      </c>
      <c r="J24" s="82">
        <v>1E-09</v>
      </c>
      <c r="K24" s="42" t="str">
        <f>IF(AND(ISNUMBER($G$24),ISNUMBER($H$24)),IF(ABS($H$24-$G$24)&lt;=$J$24,"PASS","FAIL"),"FAIL")</f>
        <v>PASS</v>
      </c>
    </row>
    <row r="25" spans="2:12" ht="16.2" customHeight="1">
      <c r="B25" s="67">
        <v>15</v>
      </c>
      <c r="C25" s="77" t="s">
        <v>296</v>
      </c>
      <c r="D25" s="77"/>
      <c r="E25" s="77"/>
      <c r="F25" s="77"/>
      <c r="G25" s="85">
        <v>0.1833333333333333</v>
      </c>
      <c r="H25" s="86">
        <f>$E$71</f>
        <v>0.183333333333333</v>
      </c>
      <c r="I25" s="81">
        <f>IF(AND(ISNUMBER($G$25),ISNUMBER($H$25)),ABS($H$25-$G$25),"")</f>
        <v>0</v>
      </c>
      <c r="J25" s="82">
        <v>1E-09</v>
      </c>
      <c r="K25" s="42" t="str">
        <f>IF(AND(ISNUMBER($G$25),ISNUMBER($H$25)),IF(ABS($H$25-$G$25)&lt;=$J$25,"PASS","FAIL"),"FAIL")</f>
        <v>PASS</v>
      </c>
    </row>
    <row r="26" spans="2:12" ht="16.2" customHeight="1">
      <c r="B26" s="67">
        <v>16</v>
      </c>
      <c r="C26" s="77" t="s">
        <v>297</v>
      </c>
      <c r="D26" s="77"/>
      <c r="E26" s="77"/>
      <c r="F26" s="77"/>
      <c r="G26" s="80">
        <v>11</v>
      </c>
      <c r="H26" s="39">
        <f>$E$72</f>
        <v>11</v>
      </c>
      <c r="I26" s="81">
        <f>IF(AND(ISNUMBER($G$26),ISNUMBER($H$26)),ABS($H$26-$G$26),"")</f>
        <v>0</v>
      </c>
      <c r="J26" s="82">
        <v>1E-09</v>
      </c>
      <c r="K26" s="42" t="str">
        <f>IF(AND(ISNUMBER($G$26),ISNUMBER($H$26)),IF(ABS($H$26-$G$26)&lt;=$J$26,"PASS","FAIL"),"FAIL")</f>
        <v>PASS</v>
      </c>
    </row>
    <row r="27" spans="2:12" ht="16.2" customHeight="1">
      <c r="B27" s="67">
        <v>17</v>
      </c>
      <c r="C27" s="77" t="s">
        <v>298</v>
      </c>
      <c r="D27" s="77"/>
      <c r="E27" s="77"/>
      <c r="F27" s="77"/>
      <c r="G27" s="85">
        <v>1.466666666666667</v>
      </c>
      <c r="H27" s="86">
        <f>$E$73</f>
        <v>1.46666666666667</v>
      </c>
      <c r="I27" s="81">
        <f>IF(AND(ISNUMBER($G$27),ISNUMBER($H$27)),ABS($H$27-$G$27),"")</f>
        <v>0</v>
      </c>
      <c r="J27" s="82">
        <v>1E-09</v>
      </c>
      <c r="K27" s="42" t="str">
        <f>IF(AND(ISNUMBER($G$27),ISNUMBER($H$27)),IF(ABS($H$27-$G$27)&lt;=$J$27,"PASS","FAIL"),"FAIL")</f>
        <v>PASS</v>
      </c>
    </row>
    <row r="28" spans="2:12" ht="16.2" customHeight="1">
      <c r="B28" s="67">
        <v>18</v>
      </c>
      <c r="C28" s="77" t="s">
        <v>299</v>
      </c>
      <c r="D28" s="77"/>
      <c r="E28" s="77"/>
      <c r="F28" s="77"/>
      <c r="G28" s="80">
        <v>67.76000000000002</v>
      </c>
      <c r="H28" s="39">
        <f>$E$75</f>
        <v>67.76</v>
      </c>
      <c r="I28" s="81">
        <f>IF(AND(ISNUMBER($G$28),ISNUMBER($H$28)),ABS($H$28-$G$28),"")</f>
        <v>0</v>
      </c>
      <c r="J28" s="82">
        <v>1E-09</v>
      </c>
      <c r="K28" s="42" t="str">
        <f>IF(AND(ISNUMBER($G$28),ISNUMBER($H$28)),IF(ABS($H$28-$G$28)&lt;=$J$28,"PASS","FAIL"),"FAIL")</f>
        <v>PASS</v>
      </c>
    </row>
    <row r="29" spans="2:12" ht="16.2" customHeight="1">
      <c r="B29" s="67">
        <v>19</v>
      </c>
      <c r="C29" s="77" t="s">
        <v>300</v>
      </c>
      <c r="D29" s="77"/>
      <c r="E29" s="77"/>
      <c r="F29" s="77"/>
      <c r="G29" s="76" t="s">
        <v>285</v>
      </c>
      <c r="H29" s="38" t="str">
        <f>$E$77</f>
        <v>Within limits</v>
      </c>
      <c r="I29" s="38"/>
      <c r="J29" s="78" t="s">
        <v>286</v>
      </c>
      <c r="K29" s="42" t="str">
        <f>IF($H$29&amp;""=$G$29&amp;"","PASS","FAIL")</f>
        <v>PASS</v>
      </c>
    </row>
    <row r="31" spans="2:12" ht="21" customHeight="1">
      <c r="B31" s="8" t="s">
        <v>301</v>
      </c>
      <c r="C31" s="8"/>
      <c r="D31" s="8"/>
      <c r="E31" s="8"/>
      <c r="F31" s="8"/>
      <c r="G31" s="8"/>
      <c r="H31" s="8"/>
      <c r="I31" s="8"/>
      <c r="J31" s="8"/>
      <c r="K31" s="8"/>
      <c r="L31" s="8"/>
    </row>
    <row r="32" spans="2:12" ht="5" customHeight="1"/>
    <row r="33" spans="2:12">
      <c r="B33" s="21" t="s">
        <v>302</v>
      </c>
      <c r="C33" s="21"/>
      <c r="D33" s="21"/>
      <c r="E33" s="21"/>
      <c r="F33" s="21"/>
      <c r="G33" s="21"/>
      <c r="H33" s="21"/>
      <c r="I33" s="21"/>
      <c r="J33" s="21"/>
      <c r="K33" s="21"/>
      <c r="L33" s="21"/>
    </row>
    <row r="34" spans="2:12">
      <c r="B34" s="32" t="s">
        <v>303</v>
      </c>
      <c r="C34" s="32"/>
      <c r="D34" s="32"/>
      <c r="E34" s="32"/>
      <c r="F34" s="32"/>
    </row>
    <row r="35" spans="2:12">
      <c r="B35" s="27" t="s">
        <v>304</v>
      </c>
      <c r="C35" s="27"/>
      <c r="D35" s="27"/>
      <c r="E35" s="84">
        <v>0</v>
      </c>
      <c r="F35" s="7"/>
    </row>
    <row r="36" spans="2:12">
      <c r="B36" s="27" t="s">
        <v>305</v>
      </c>
      <c r="C36" s="27"/>
      <c r="D36" s="27"/>
      <c r="E36" s="84">
        <v>2958465</v>
      </c>
      <c r="F36" s="7"/>
    </row>
    <row r="37" spans="2:12">
      <c r="B37" s="27" t="s">
        <v>306</v>
      </c>
      <c r="C37" s="27"/>
      <c r="D37" s="27"/>
      <c r="E37" s="76" t="s">
        <v>144</v>
      </c>
      <c r="F37" s="76"/>
    </row>
    <row r="38" spans="2:12">
      <c r="B38" s="27" t="s">
        <v>75</v>
      </c>
      <c r="C38" s="27"/>
      <c r="D38" s="27"/>
      <c r="E38" s="64">
        <v>40</v>
      </c>
      <c r="F38" s="7"/>
    </row>
    <row r="39" spans="2:12">
      <c r="B39" s="27" t="s">
        <v>77</v>
      </c>
      <c r="C39" s="27"/>
      <c r="D39" s="27"/>
      <c r="E39" s="87">
        <v>1.5</v>
      </c>
      <c r="F39" s="7"/>
    </row>
    <row r="40" spans="2:12">
      <c r="B40" s="27" t="s">
        <v>79</v>
      </c>
      <c r="C40" s="27"/>
      <c r="D40" s="27"/>
      <c r="E40" s="87">
        <v>2</v>
      </c>
      <c r="F40" s="7"/>
    </row>
    <row r="41" spans="2:12">
      <c r="B41" s="27" t="s">
        <v>307</v>
      </c>
      <c r="C41" s="27"/>
      <c r="D41" s="27"/>
      <c r="E41" s="83">
        <v>0.1</v>
      </c>
      <c r="F41" s="7"/>
    </row>
    <row r="42" spans="2:12">
      <c r="B42" s="27" t="s">
        <v>81</v>
      </c>
      <c r="C42" s="27"/>
      <c r="D42" s="27"/>
      <c r="E42" s="64">
        <v>12</v>
      </c>
      <c r="F42" s="7"/>
    </row>
    <row r="43" spans="2:12">
      <c r="B43" s="27" t="s">
        <v>82</v>
      </c>
      <c r="C43" s="27"/>
      <c r="D43" s="27"/>
      <c r="E43" s="64">
        <v>60</v>
      </c>
      <c r="F43" s="7"/>
    </row>
    <row r="44" spans="2:12">
      <c r="B44" s="27" t="s">
        <v>83</v>
      </c>
      <c r="C44" s="27"/>
      <c r="D44" s="27"/>
      <c r="E44" s="83">
        <v>0.08</v>
      </c>
      <c r="F44" s="7"/>
    </row>
    <row r="46" spans="2:12">
      <c r="B46" s="32" t="s">
        <v>308</v>
      </c>
      <c r="C46" s="32"/>
      <c r="D46" s="32"/>
      <c r="E46" s="32"/>
      <c r="F46" s="32"/>
      <c r="G46" s="32"/>
      <c r="H46" s="32"/>
      <c r="I46" s="32"/>
      <c r="J46" s="32"/>
      <c r="K46" s="32"/>
      <c r="L46" s="32"/>
    </row>
    <row r="47" spans="2:12" ht="32" customHeight="1">
      <c r="B47" s="33" t="s">
        <v>64</v>
      </c>
      <c r="C47" s="33" t="s">
        <v>65</v>
      </c>
      <c r="D47" s="33" t="s">
        <v>66</v>
      </c>
    </row>
    <row r="48" spans="2:12">
      <c r="B48" s="76" t="s">
        <v>309</v>
      </c>
      <c r="C48" s="64">
        <v>10</v>
      </c>
      <c r="D48" s="76" t="s">
        <v>144</v>
      </c>
    </row>
    <row r="49" spans="2:19">
      <c r="B49" s="76" t="s">
        <v>310</v>
      </c>
      <c r="C49" s="64">
        <v>5</v>
      </c>
      <c r="D49" s="76" t="s">
        <v>144</v>
      </c>
    </row>
    <row r="51" spans="2:19">
      <c r="B51" s="32" t="s">
        <v>311</v>
      </c>
      <c r="C51" s="32"/>
      <c r="D51" s="32"/>
      <c r="E51" s="32"/>
      <c r="F51" s="32"/>
      <c r="G51" s="32"/>
      <c r="H51" s="32"/>
      <c r="I51" s="32"/>
      <c r="J51" s="32"/>
      <c r="K51" s="32"/>
      <c r="L51" s="32"/>
    </row>
    <row r="52" spans="2:19" ht="14" customHeight="1">
      <c r="B52" s="34"/>
      <c r="C52" s="34"/>
      <c r="D52" s="34"/>
      <c r="E52" s="34"/>
      <c r="F52" s="34"/>
      <c r="G52" s="34"/>
      <c r="H52" s="34"/>
      <c r="I52" s="34"/>
      <c r="J52" s="34" t="str">
        <f>Currency&amp;"/h"</f>
        <v>CAD/h</v>
      </c>
      <c r="K52" s="34"/>
      <c r="L52" s="34"/>
      <c r="M52" s="34"/>
      <c r="N52" s="34" t="str">
        <f>Currency</f>
        <v>CAD</v>
      </c>
      <c r="O52" s="34" t="str">
        <f>Currency</f>
        <v>CAD</v>
      </c>
      <c r="P52" s="34"/>
      <c r="Q52" s="34"/>
      <c r="R52" s="34"/>
      <c r="S52" s="34"/>
    </row>
    <row r="53" spans="2:19" ht="32" customHeight="1">
      <c r="B53" s="33" t="s">
        <v>130</v>
      </c>
      <c r="C53" s="33" t="s">
        <v>67</v>
      </c>
      <c r="D53" s="33" t="s">
        <v>131</v>
      </c>
      <c r="E53" s="33" t="s">
        <v>132</v>
      </c>
      <c r="F53" s="33" t="s">
        <v>133</v>
      </c>
      <c r="G53" s="33" t="s">
        <v>69</v>
      </c>
      <c r="H53" s="33" t="s">
        <v>134</v>
      </c>
      <c r="I53" s="33" t="s">
        <v>64</v>
      </c>
      <c r="J53" s="33" t="s">
        <v>68</v>
      </c>
      <c r="K53" s="33" t="s">
        <v>135</v>
      </c>
      <c r="L53" s="33" t="s">
        <v>136</v>
      </c>
      <c r="M53" s="33" t="s">
        <v>137</v>
      </c>
      <c r="N53" s="33" t="s">
        <v>138</v>
      </c>
      <c r="O53" s="33" t="s">
        <v>139</v>
      </c>
      <c r="P53" s="33" t="s">
        <v>140</v>
      </c>
      <c r="Q53" s="33" t="s">
        <v>141</v>
      </c>
      <c r="R53" s="33" t="s">
        <v>142</v>
      </c>
      <c r="S53" s="33" t="s">
        <v>66</v>
      </c>
    </row>
    <row r="54" spans="2:19">
      <c r="B54" s="88">
        <v>46027</v>
      </c>
      <c r="C54" s="76" t="s">
        <v>312</v>
      </c>
      <c r="D54" s="64">
        <v>40</v>
      </c>
      <c r="E54" s="64">
        <v>6</v>
      </c>
      <c r="F54" s="64">
        <v>0</v>
      </c>
      <c r="G54" s="76" t="s">
        <v>313</v>
      </c>
      <c r="H54" s="76"/>
      <c r="I54" s="76" t="s">
        <v>309</v>
      </c>
      <c r="J54" s="80">
        <v>28</v>
      </c>
      <c r="K54" s="40">
        <f>IF(tblVerifyOT[[#This Row],[Week starting]]="","",tblVerifyOT[[#This Row],[OT at rate 1 (h)]]+tblVerifyOT[[#This Row],[OT at rate 2 (h)]])</f>
        <v>6</v>
      </c>
      <c r="L54" s="40">
        <f>IF(tblVerifyOT[[#This Row],[Week starting]]="","",tblVerifyOT[[#This Row],[Regular hours (h)]]+tblVerifyOT[[#This Row],[Overtime hours (h)]])</f>
        <v>46</v>
      </c>
      <c r="M54" s="41">
        <f>IF(tblVerifyOT[[#This Row],[Week starting]]="","",IF(tblVerifyOT[[#This Row],[Total hours (h)]]&gt;0,tblVerifyOT[[#This Row],[Overtime hours (h)]]/tblVerifyOT[[#This Row],[Total hours (h)]],""))</f>
        <v>0.130434782608696</v>
      </c>
      <c r="N54" s="39">
        <f>IF(tblVerifyOT[[#This Row],[Week starting]]="","",IF(tblVerifyOT[[#This Row],[Base rate]]="","",(tblVerifyOT[[#This Row],[OT at rate 1 (h)]]*$E$39+tblVerifyOT[[#This Row],[OT at rate 2 (h)]]*$E$40)*tblVerifyOT[[#This Row],[Base rate]]*(1+$E$41)))</f>
        <v>277.2</v>
      </c>
      <c r="O54" s="39">
        <f>IF(tblVerifyOT[[#This Row],[Week starting]]="","",IF(tblVerifyOT[[#This Row],[Base rate]]="","",(tblVerifyOT[[#This Row],[OT at rate 1 (h)]]*($E$39-1)+tblVerifyOT[[#This Row],[OT at rate 2 (h)]]*($E$40-1))*tblVerifyOT[[#This Row],[Base rate]]*(1+$E$41)))</f>
        <v>92.4</v>
      </c>
      <c r="P54" s="42" t="str">
        <f>IF(tblVerifyOT[[#This Row],[Week starting]]="","",IF(OR(tblVerifyOT[[#This Row],[Overtime hours (h)]]&gt;$E$42,tblVerifyOT[[#This Row],[Total hours (h)]]&gt;$E$43),"Out of limits","Within limits"))</f>
        <v>Within limits</v>
      </c>
      <c r="Q54" s="43">
        <f>IF(tblVerifyOT[[#This Row],[Week starting]]="","",IF(AND(tblVerifyOT[[#This Row],[Week starting]]&gt;=$E$35,tblVerifyOT[[#This Row],[Week starting]]&lt;=$E$36,OR($E$37="",tblVerifyOT[[#This Row],[Department]]=$E$37)),tblVerifyOT[[#This Row],[Week starting]],""))</f>
        <v>46027</v>
      </c>
      <c r="R54" s="44" t="str">
        <f>IF(tblVerifyOT[[#This Row],[Week starting]]="","",IF(tblVerifyOT[[#This Row],[Employee]]="","Missing employee",IF(tblVerifyOT[[#This Row],[Regular hours (h)]]="","Missing regular hours",IF(tblVerifyOT[[#This Row],[Department]]="","Employee not on Setup list",IF(WEEKDAY(tblVerifyOT[[#This Row],[Week starting]],2)&lt;&gt;1,"Week does not start on a Monday",IF(tblVerifyOT[[#This Row],[Regular hours (h)]]&gt;$E$38,"Regular hours above the normal week",IF(AND(tblVerifyOT[[#This Row],[Overtime hours (h)]]&gt;0,tblVerifyOT[[#This Row],[Reason]]=""),"Overtime with no reason",IF(COUNTIFS(tblVerifyOT[Week starting],tblVerifyOT[[#This Row],[Week starting]],tblVerifyOT[Employee],tblVerifyOT[[#This Row],[Employee]])&gt;1,"Duplicate person-week","OK"))))))))</f>
        <v>OK</v>
      </c>
      <c r="S54" s="76"/>
    </row>
    <row r="55" spans="2:19">
      <c r="B55" s="88">
        <v>46027</v>
      </c>
      <c r="C55" s="76" t="s">
        <v>314</v>
      </c>
      <c r="D55" s="64">
        <v>32</v>
      </c>
      <c r="E55" s="64">
        <v>4</v>
      </c>
      <c r="F55" s="64">
        <v>8</v>
      </c>
      <c r="G55" s="76" t="s">
        <v>313</v>
      </c>
      <c r="H55" s="76"/>
      <c r="I55" s="76" t="s">
        <v>309</v>
      </c>
      <c r="J55" s="80">
        <v>30</v>
      </c>
      <c r="K55" s="40">
        <f>IF(tblVerifyOT[[#This Row],[Week starting]]="","",tblVerifyOT[[#This Row],[OT at rate 1 (h)]]+tblVerifyOT[[#This Row],[OT at rate 2 (h)]])</f>
        <v>12</v>
      </c>
      <c r="L55" s="40">
        <f>IF(tblVerifyOT[[#This Row],[Week starting]]="","",tblVerifyOT[[#This Row],[Regular hours (h)]]+tblVerifyOT[[#This Row],[Overtime hours (h)]])</f>
        <v>44</v>
      </c>
      <c r="M55" s="41">
        <f>IF(tblVerifyOT[[#This Row],[Week starting]]="","",IF(tblVerifyOT[[#This Row],[Total hours (h)]]&gt;0,tblVerifyOT[[#This Row],[Overtime hours (h)]]/tblVerifyOT[[#This Row],[Total hours (h)]],""))</f>
        <v>0.272727272727273</v>
      </c>
      <c r="N55" s="39">
        <f>IF(tblVerifyOT[[#This Row],[Week starting]]="","",IF(tblVerifyOT[[#This Row],[Base rate]]="","",(tblVerifyOT[[#This Row],[OT at rate 1 (h)]]*$E$39+tblVerifyOT[[#This Row],[OT at rate 2 (h)]]*$E$40)*tblVerifyOT[[#This Row],[Base rate]]*(1+$E$41)))</f>
        <v>726</v>
      </c>
      <c r="O55" s="39">
        <f>IF(tblVerifyOT[[#This Row],[Week starting]]="","",IF(tblVerifyOT[[#This Row],[Base rate]]="","",(tblVerifyOT[[#This Row],[OT at rate 1 (h)]]*($E$39-1)+tblVerifyOT[[#This Row],[OT at rate 2 (h)]]*($E$40-1))*tblVerifyOT[[#This Row],[Base rate]]*(1+$E$41)))</f>
        <v>330</v>
      </c>
      <c r="P55" s="42" t="str">
        <f>IF(tblVerifyOT[[#This Row],[Week starting]]="","",IF(OR(tblVerifyOT[[#This Row],[Overtime hours (h)]]&gt;$E$42,tblVerifyOT[[#This Row],[Total hours (h)]]&gt;$E$43),"Out of limits","Within limits"))</f>
        <v>Within limits</v>
      </c>
      <c r="Q55" s="43">
        <f>IF(tblVerifyOT[[#This Row],[Week starting]]="","",IF(AND(tblVerifyOT[[#This Row],[Week starting]]&gt;=$E$35,tblVerifyOT[[#This Row],[Week starting]]&lt;=$E$36,OR($E$37="",tblVerifyOT[[#This Row],[Department]]=$E$37)),tblVerifyOT[[#This Row],[Week starting]],""))</f>
        <v>46027</v>
      </c>
      <c r="R55" s="44" t="str">
        <f>IF(tblVerifyOT[[#This Row],[Week starting]]="","",IF(tblVerifyOT[[#This Row],[Employee]]="","Missing employee",IF(tblVerifyOT[[#This Row],[Regular hours (h)]]="","Missing regular hours",IF(tblVerifyOT[[#This Row],[Department]]="","Employee not on Setup list",IF(WEEKDAY(tblVerifyOT[[#This Row],[Week starting]],2)&lt;&gt;1,"Week does not start on a Monday",IF(tblVerifyOT[[#This Row],[Regular hours (h)]]&gt;$E$38,"Regular hours above the normal week",IF(AND(tblVerifyOT[[#This Row],[Overtime hours (h)]]&gt;0,tblVerifyOT[[#This Row],[Reason]]=""),"Overtime with no reason",IF(COUNTIFS(tblVerifyOT[Week starting],tblVerifyOT[[#This Row],[Week starting]],tblVerifyOT[Employee],tblVerifyOT[[#This Row],[Employee]])&gt;1,"Duplicate person-week","OK"))))))))</f>
        <v>OK</v>
      </c>
      <c r="S55" s="76"/>
    </row>
    <row r="56" spans="2:19">
      <c r="B56" s="88">
        <v>46027</v>
      </c>
      <c r="C56" s="76" t="s">
        <v>315</v>
      </c>
      <c r="D56" s="64">
        <v>40</v>
      </c>
      <c r="E56" s="64">
        <v>14</v>
      </c>
      <c r="F56" s="64">
        <v>0</v>
      </c>
      <c r="G56" s="76" t="s">
        <v>316</v>
      </c>
      <c r="H56" s="76"/>
      <c r="I56" s="76" t="s">
        <v>310</v>
      </c>
      <c r="J56" s="80">
        <v>25</v>
      </c>
      <c r="K56" s="40">
        <f>IF(tblVerifyOT[[#This Row],[Week starting]]="","",tblVerifyOT[[#This Row],[OT at rate 1 (h)]]+tblVerifyOT[[#This Row],[OT at rate 2 (h)]])</f>
        <v>14</v>
      </c>
      <c r="L56" s="40">
        <f>IF(tblVerifyOT[[#This Row],[Week starting]]="","",tblVerifyOT[[#This Row],[Regular hours (h)]]+tblVerifyOT[[#This Row],[Overtime hours (h)]])</f>
        <v>54</v>
      </c>
      <c r="M56" s="41">
        <f>IF(tblVerifyOT[[#This Row],[Week starting]]="","",IF(tblVerifyOT[[#This Row],[Total hours (h)]]&gt;0,tblVerifyOT[[#This Row],[Overtime hours (h)]]/tblVerifyOT[[#This Row],[Total hours (h)]],""))</f>
        <v>0.259259259259259</v>
      </c>
      <c r="N56" s="39">
        <f>IF(tblVerifyOT[[#This Row],[Week starting]]="","",IF(tblVerifyOT[[#This Row],[Base rate]]="","",(tblVerifyOT[[#This Row],[OT at rate 1 (h)]]*$E$39+tblVerifyOT[[#This Row],[OT at rate 2 (h)]]*$E$40)*tblVerifyOT[[#This Row],[Base rate]]*(1+$E$41)))</f>
        <v>577.5</v>
      </c>
      <c r="O56" s="39">
        <f>IF(tblVerifyOT[[#This Row],[Week starting]]="","",IF(tblVerifyOT[[#This Row],[Base rate]]="","",(tblVerifyOT[[#This Row],[OT at rate 1 (h)]]*($E$39-1)+tblVerifyOT[[#This Row],[OT at rate 2 (h)]]*($E$40-1))*tblVerifyOT[[#This Row],[Base rate]]*(1+$E$41)))</f>
        <v>192.5</v>
      </c>
      <c r="P56" s="42" t="str">
        <f>IF(tblVerifyOT[[#This Row],[Week starting]]="","",IF(OR(tblVerifyOT[[#This Row],[Overtime hours (h)]]&gt;$E$42,tblVerifyOT[[#This Row],[Total hours (h)]]&gt;$E$43),"Out of limits","Within limits"))</f>
        <v>Out of limits</v>
      </c>
      <c r="Q56" s="43">
        <f>IF(tblVerifyOT[[#This Row],[Week starting]]="","",IF(AND(tblVerifyOT[[#This Row],[Week starting]]&gt;=$E$35,tblVerifyOT[[#This Row],[Week starting]]&lt;=$E$36,OR($E$37="",tblVerifyOT[[#This Row],[Department]]=$E$37)),tblVerifyOT[[#This Row],[Week starting]],""))</f>
        <v>46027</v>
      </c>
      <c r="R56" s="44" t="str">
        <f>IF(tblVerifyOT[[#This Row],[Week starting]]="","",IF(tblVerifyOT[[#This Row],[Employee]]="","Missing employee",IF(tblVerifyOT[[#This Row],[Regular hours (h)]]="","Missing regular hours",IF(tblVerifyOT[[#This Row],[Department]]="","Employee not on Setup list",IF(WEEKDAY(tblVerifyOT[[#This Row],[Week starting]],2)&lt;&gt;1,"Week does not start on a Monday",IF(tblVerifyOT[[#This Row],[Regular hours (h)]]&gt;$E$38,"Regular hours above the normal week",IF(AND(tblVerifyOT[[#This Row],[Overtime hours (h)]]&gt;0,tblVerifyOT[[#This Row],[Reason]]=""),"Overtime with no reason",IF(COUNTIFS(tblVerifyOT[Week starting],tblVerifyOT[[#This Row],[Week starting]],tblVerifyOT[Employee],tblVerifyOT[[#This Row],[Employee]])&gt;1,"Duplicate person-week","OK"))))))))</f>
        <v>OK</v>
      </c>
      <c r="S56" s="76"/>
    </row>
    <row r="57" spans="2:19">
      <c r="B57" s="88">
        <v>46034</v>
      </c>
      <c r="C57" s="76" t="s">
        <v>312</v>
      </c>
      <c r="D57" s="64">
        <v>40</v>
      </c>
      <c r="E57" s="64">
        <v>0</v>
      </c>
      <c r="F57" s="64">
        <v>0</v>
      </c>
      <c r="G57" s="76" t="s">
        <v>144</v>
      </c>
      <c r="H57" s="76"/>
      <c r="I57" s="76" t="s">
        <v>309</v>
      </c>
      <c r="J57" s="80">
        <v>28</v>
      </c>
      <c r="K57" s="40">
        <f>IF(tblVerifyOT[[#This Row],[Week starting]]="","",tblVerifyOT[[#This Row],[OT at rate 1 (h)]]+tblVerifyOT[[#This Row],[OT at rate 2 (h)]])</f>
        <v>0</v>
      </c>
      <c r="L57" s="40">
        <f>IF(tblVerifyOT[[#This Row],[Week starting]]="","",tblVerifyOT[[#This Row],[Regular hours (h)]]+tblVerifyOT[[#This Row],[Overtime hours (h)]])</f>
        <v>40</v>
      </c>
      <c r="M57" s="41">
        <f>IF(tblVerifyOT[[#This Row],[Week starting]]="","",IF(tblVerifyOT[[#This Row],[Total hours (h)]]&gt;0,tblVerifyOT[[#This Row],[Overtime hours (h)]]/tblVerifyOT[[#This Row],[Total hours (h)]],""))</f>
        <v>0</v>
      </c>
      <c r="N57" s="39">
        <f>IF(tblVerifyOT[[#This Row],[Week starting]]="","",IF(tblVerifyOT[[#This Row],[Base rate]]="","",(tblVerifyOT[[#This Row],[OT at rate 1 (h)]]*$E$39+tblVerifyOT[[#This Row],[OT at rate 2 (h)]]*$E$40)*tblVerifyOT[[#This Row],[Base rate]]*(1+$E$41)))</f>
        <v>0</v>
      </c>
      <c r="O57" s="39">
        <f>IF(tblVerifyOT[[#This Row],[Week starting]]="","",IF(tblVerifyOT[[#This Row],[Base rate]]="","",(tblVerifyOT[[#This Row],[OT at rate 1 (h)]]*($E$39-1)+tblVerifyOT[[#This Row],[OT at rate 2 (h)]]*($E$40-1))*tblVerifyOT[[#This Row],[Base rate]]*(1+$E$41)))</f>
        <v>0</v>
      </c>
      <c r="P57" s="42" t="str">
        <f>IF(tblVerifyOT[[#This Row],[Week starting]]="","",IF(OR(tblVerifyOT[[#This Row],[Overtime hours (h)]]&gt;$E$42,tblVerifyOT[[#This Row],[Total hours (h)]]&gt;$E$43),"Out of limits","Within limits"))</f>
        <v>Within limits</v>
      </c>
      <c r="Q57" s="43">
        <f>IF(tblVerifyOT[[#This Row],[Week starting]]="","",IF(AND(tblVerifyOT[[#This Row],[Week starting]]&gt;=$E$35,tblVerifyOT[[#This Row],[Week starting]]&lt;=$E$36,OR($E$37="",tblVerifyOT[[#This Row],[Department]]=$E$37)),tblVerifyOT[[#This Row],[Week starting]],""))</f>
        <v>46034</v>
      </c>
      <c r="R57" s="44" t="str">
        <f>IF(tblVerifyOT[[#This Row],[Week starting]]="","",IF(tblVerifyOT[[#This Row],[Employee]]="","Missing employee",IF(tblVerifyOT[[#This Row],[Regular hours (h)]]="","Missing regular hours",IF(tblVerifyOT[[#This Row],[Department]]="","Employee not on Setup list",IF(WEEKDAY(tblVerifyOT[[#This Row],[Week starting]],2)&lt;&gt;1,"Week does not start on a Monday",IF(tblVerifyOT[[#This Row],[Regular hours (h)]]&gt;$E$38,"Regular hours above the normal week",IF(AND(tblVerifyOT[[#This Row],[Overtime hours (h)]]&gt;0,tblVerifyOT[[#This Row],[Reason]]=""),"Overtime with no reason",IF(COUNTIFS(tblVerifyOT[Week starting],tblVerifyOT[[#This Row],[Week starting]],tblVerifyOT[Employee],tblVerifyOT[[#This Row],[Employee]])&gt;1,"Duplicate person-week","OK"))))))))</f>
        <v>OK</v>
      </c>
      <c r="S57" s="76"/>
    </row>
    <row r="58" spans="2:19">
      <c r="B58" s="88">
        <v>46036</v>
      </c>
      <c r="C58" s="76" t="s">
        <v>314</v>
      </c>
      <c r="D58" s="64">
        <v>40</v>
      </c>
      <c r="E58" s="64">
        <v>2</v>
      </c>
      <c r="F58" s="64">
        <v>0</v>
      </c>
      <c r="G58" s="76" t="s">
        <v>313</v>
      </c>
      <c r="H58" s="76"/>
      <c r="I58" s="76" t="s">
        <v>309</v>
      </c>
      <c r="J58" s="80">
        <v>30</v>
      </c>
      <c r="K58" s="40">
        <f>IF(tblVerifyOT[[#This Row],[Week starting]]="","",tblVerifyOT[[#This Row],[OT at rate 1 (h)]]+tblVerifyOT[[#This Row],[OT at rate 2 (h)]])</f>
        <v>2</v>
      </c>
      <c r="L58" s="40">
        <f>IF(tblVerifyOT[[#This Row],[Week starting]]="","",tblVerifyOT[[#This Row],[Regular hours (h)]]+tblVerifyOT[[#This Row],[Overtime hours (h)]])</f>
        <v>42</v>
      </c>
      <c r="M58" s="41">
        <f>IF(tblVerifyOT[[#This Row],[Week starting]]="","",IF(tblVerifyOT[[#This Row],[Total hours (h)]]&gt;0,tblVerifyOT[[#This Row],[Overtime hours (h)]]/tblVerifyOT[[#This Row],[Total hours (h)]],""))</f>
        <v>0.0476190476190476</v>
      </c>
      <c r="N58" s="39">
        <f>IF(tblVerifyOT[[#This Row],[Week starting]]="","",IF(tblVerifyOT[[#This Row],[Base rate]]="","",(tblVerifyOT[[#This Row],[OT at rate 1 (h)]]*$E$39+tblVerifyOT[[#This Row],[OT at rate 2 (h)]]*$E$40)*tblVerifyOT[[#This Row],[Base rate]]*(1+$E$41)))</f>
        <v>99</v>
      </c>
      <c r="O58" s="39">
        <f>IF(tblVerifyOT[[#This Row],[Week starting]]="","",IF(tblVerifyOT[[#This Row],[Base rate]]="","",(tblVerifyOT[[#This Row],[OT at rate 1 (h)]]*($E$39-1)+tblVerifyOT[[#This Row],[OT at rate 2 (h)]]*($E$40-1))*tblVerifyOT[[#This Row],[Base rate]]*(1+$E$41)))</f>
        <v>33</v>
      </c>
      <c r="P58" s="42" t="str">
        <f>IF(tblVerifyOT[[#This Row],[Week starting]]="","",IF(OR(tblVerifyOT[[#This Row],[Overtime hours (h)]]&gt;$E$42,tblVerifyOT[[#This Row],[Total hours (h)]]&gt;$E$43),"Out of limits","Within limits"))</f>
        <v>Within limits</v>
      </c>
      <c r="Q58" s="43">
        <f>IF(tblVerifyOT[[#This Row],[Week starting]]="","",IF(AND(tblVerifyOT[[#This Row],[Week starting]]&gt;=$E$35,tblVerifyOT[[#This Row],[Week starting]]&lt;=$E$36,OR($E$37="",tblVerifyOT[[#This Row],[Department]]=$E$37)),tblVerifyOT[[#This Row],[Week starting]],""))</f>
        <v>46036</v>
      </c>
      <c r="R58" s="44" t="str">
        <f>IF(tblVerifyOT[[#This Row],[Week starting]]="","",IF(tblVerifyOT[[#This Row],[Employee]]="","Missing employee",IF(tblVerifyOT[[#This Row],[Regular hours (h)]]="","Missing regular hours",IF(tblVerifyOT[[#This Row],[Department]]="","Employee not on Setup list",IF(WEEKDAY(tblVerifyOT[[#This Row],[Week starting]],2)&lt;&gt;1,"Week does not start on a Monday",IF(tblVerifyOT[[#This Row],[Regular hours (h)]]&gt;$E$38,"Regular hours above the normal week",IF(AND(tblVerifyOT[[#This Row],[Overtime hours (h)]]&gt;0,tblVerifyOT[[#This Row],[Reason]]=""),"Overtime with no reason",IF(COUNTIFS(tblVerifyOT[Week starting],tblVerifyOT[[#This Row],[Week starting]],tblVerifyOT[Employee],tblVerifyOT[[#This Row],[Employee]])&gt;1,"Duplicate person-week","OK"))))))))</f>
        <v>Week does not start on a Monday</v>
      </c>
      <c r="S58" s="76"/>
    </row>
    <row r="60" spans="2:19">
      <c r="B60" s="32" t="s">
        <v>317</v>
      </c>
      <c r="C60" s="32"/>
      <c r="D60" s="32"/>
      <c r="E60" s="32"/>
      <c r="F60" s="32"/>
      <c r="G60" s="32"/>
      <c r="H60" s="32"/>
      <c r="I60" s="32"/>
      <c r="J60" s="32"/>
      <c r="K60" s="32"/>
      <c r="L60" s="32"/>
    </row>
    <row r="61" spans="2:19">
      <c r="B61" s="27" t="s">
        <v>64</v>
      </c>
      <c r="C61" s="27"/>
      <c r="D61" s="27"/>
      <c r="E61" s="76" t="s">
        <v>309</v>
      </c>
      <c r="F61" s="76"/>
    </row>
    <row r="62" spans="2:19">
      <c r="B62" s="27" t="s">
        <v>154</v>
      </c>
      <c r="C62" s="27"/>
      <c r="D62" s="27"/>
      <c r="E62" s="84">
        <v>120</v>
      </c>
      <c r="F62" s="7" t="s">
        <v>155</v>
      </c>
    </row>
    <row r="63" spans="2:19">
      <c r="B63" s="27" t="s">
        <v>156</v>
      </c>
      <c r="C63" s="27"/>
      <c r="D63" s="27"/>
      <c r="E63" s="64">
        <v>720</v>
      </c>
      <c r="F63" s="7" t="s">
        <v>157</v>
      </c>
    </row>
    <row r="64" spans="2:19">
      <c r="B64" s="27" t="s">
        <v>158</v>
      </c>
      <c r="C64" s="27"/>
      <c r="D64" s="27"/>
      <c r="E64" s="83">
        <v>0.1</v>
      </c>
      <c r="F64" s="7"/>
    </row>
    <row r="65" spans="2:12">
      <c r="B65" s="27" t="s">
        <v>159</v>
      </c>
      <c r="C65" s="27"/>
      <c r="D65" s="27"/>
      <c r="E65" s="84">
        <v>8</v>
      </c>
      <c r="F65" s="7" t="s">
        <v>160</v>
      </c>
    </row>
    <row r="66" spans="2:12">
      <c r="B66" s="27" t="s">
        <v>161</v>
      </c>
      <c r="C66" s="27"/>
      <c r="D66" s="27"/>
      <c r="E66" s="80">
        <v>28</v>
      </c>
      <c r="F66" s="7" t="str">
        <f>Currency&amp;"/h"</f>
        <v>CAD/h</v>
      </c>
    </row>
    <row r="67" spans="2:12">
      <c r="B67" s="27" t="s">
        <v>162</v>
      </c>
      <c r="C67" s="27"/>
      <c r="D67" s="27"/>
      <c r="E67" s="76" t="s">
        <v>163</v>
      </c>
      <c r="F67" s="76"/>
    </row>
    <row r="69" spans="2:12">
      <c r="B69" s="32" t="s">
        <v>318</v>
      </c>
      <c r="C69" s="32"/>
      <c r="D69" s="32"/>
      <c r="E69" s="32"/>
      <c r="F69" s="32"/>
      <c r="G69" s="32"/>
      <c r="H69" s="32"/>
      <c r="I69" s="32"/>
      <c r="J69" s="32"/>
      <c r="K69" s="32"/>
      <c r="L69" s="32"/>
    </row>
    <row r="70" spans="2:12">
      <c r="B70" s="27" t="s">
        <v>165</v>
      </c>
      <c r="C70" s="27"/>
      <c r="D70" s="27"/>
      <c r="E70" s="39">
        <f>IF($E$63&gt;0,$E$62/$E$63,"")</f>
        <v>0.166666666666667</v>
      </c>
      <c r="F70" s="7" t="s">
        <v>166</v>
      </c>
    </row>
    <row r="71" spans="2:12">
      <c r="B71" s="17" t="s">
        <v>167</v>
      </c>
      <c r="C71" s="17"/>
      <c r="D71" s="17"/>
      <c r="E71" s="46">
        <f>IF(ISNUMBER($E$70),$E$70*(1+$E$64),"")</f>
        <v>0.183333333333333</v>
      </c>
      <c r="F71" s="7" t="s">
        <v>166</v>
      </c>
    </row>
    <row r="72" spans="2:12">
      <c r="B72" s="27" t="s">
        <v>168</v>
      </c>
      <c r="C72" s="27"/>
      <c r="D72" s="27"/>
      <c r="E72" s="47">
        <f>IF(ISNUMBER($E$71),$E$71*60,"")</f>
        <v>11</v>
      </c>
      <c r="F72" s="7" t="s">
        <v>169</v>
      </c>
    </row>
    <row r="73" spans="2:12">
      <c r="B73" s="27" t="s">
        <v>170</v>
      </c>
      <c r="C73" s="27"/>
      <c r="D73" s="27"/>
      <c r="E73" s="40">
        <f>IF(ISNUMBER($E$71),$E$71*$E$65,"")</f>
        <v>1.46666666666667</v>
      </c>
      <c r="F73" s="7" t="s">
        <v>171</v>
      </c>
    </row>
    <row r="74" spans="2:12">
      <c r="B74" s="27" t="s">
        <v>172</v>
      </c>
      <c r="C74" s="27"/>
      <c r="D74" s="27"/>
      <c r="E74" s="48">
        <f>IF($E$67="Rate 2",$E$40,$E$39)</f>
        <v>1.5</v>
      </c>
      <c r="F74" s="7" t="s">
        <v>78</v>
      </c>
    </row>
    <row r="75" spans="2:12">
      <c r="B75" s="17" t="s">
        <v>173</v>
      </c>
      <c r="C75" s="17"/>
      <c r="D75" s="17"/>
      <c r="E75" s="46">
        <f>IF(ISNUMBER($E$73),$E$73*$E$66*$E$74*(1+$E$41),"")</f>
        <v>67.76</v>
      </c>
      <c r="F75" s="7" t="str">
        <f>Currency</f>
        <v>CAD</v>
      </c>
    </row>
    <row r="76" spans="2:12">
      <c r="B76" s="27" t="s">
        <v>174</v>
      </c>
      <c r="C76" s="27"/>
      <c r="D76" s="27"/>
      <c r="E76" s="39">
        <f>IF(ISNUMBER($E$73),$E$73*$E$66*($E$74-1)*(1+$E$41),"")</f>
        <v>22.5866666666667</v>
      </c>
      <c r="F76" s="7" t="str">
        <f>Currency</f>
        <v>CAD</v>
      </c>
    </row>
    <row r="77" spans="2:12">
      <c r="B77" s="27" t="s">
        <v>175</v>
      </c>
      <c r="C77" s="27"/>
      <c r="D77" s="27"/>
      <c r="E77" s="38" t="str">
        <f>IF(NOT(ISNUMBER($E$71)),"",IF($E$71&gt;$E$42,"Out of limits","Within limits"))</f>
        <v>Within limits</v>
      </c>
      <c r="F77" s="38"/>
    </row>
  </sheetData>
  <sheetProtection sheet="1" formatColumns="0" formatRows="0"/>
  <mergeCells count="63">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E37:F37"/>
    <mergeCell ref="B38:D38"/>
    <mergeCell ref="B39:D39"/>
    <mergeCell ref="B40:D40"/>
    <mergeCell ref="B41:D41"/>
    <mergeCell ref="B42:D42"/>
    <mergeCell ref="B43:D43"/>
    <mergeCell ref="B44:D44"/>
    <mergeCell ref="B46:L46"/>
    <mergeCell ref="B51:L51"/>
    <mergeCell ref="B60:L60"/>
    <mergeCell ref="B61:D61"/>
    <mergeCell ref="E61:F61"/>
    <mergeCell ref="B62:D62"/>
    <mergeCell ref="B63:D63"/>
    <mergeCell ref="B64:D64"/>
    <mergeCell ref="B65:D65"/>
    <mergeCell ref="B66:D66"/>
    <mergeCell ref="B67:D67"/>
    <mergeCell ref="E67:F67"/>
    <mergeCell ref="B69:L69"/>
    <mergeCell ref="B70:D70"/>
    <mergeCell ref="B71:D71"/>
    <mergeCell ref="B72:D72"/>
    <mergeCell ref="B73:D73"/>
    <mergeCell ref="B74:D74"/>
    <mergeCell ref="B75:D75"/>
    <mergeCell ref="B76:D76"/>
    <mergeCell ref="B77:D77"/>
    <mergeCell ref="E77:F77"/>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54:R58">
    <cfRule type="expression" dxfId="3" priority="41">
      <formula>$R54="OK"</formula>
    </cfRule>
    <cfRule type="expression" dxfId="1" priority="42">
      <formula>AND($R54&lt;&gt;"",$R54&lt;&gt;"OK")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Overtime Tracker&amp;R&amp;8&amp;A</oddHeader>
    <oddFooter>&amp;L&amp;8mfgcalcs.com - free manufacturing templates&amp;R&amp;8Page &amp;P of &amp;N</oddFooter>
  </headerFooter>
  <rowBreaks count="1" manualBreakCount="1">
    <brk id="45"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46</vt:i4>
      </vt:variant>
    </vt:vector>
  </HeadingPairs>
  <TitlesOfParts>
    <vt:vector size="53" baseType="lpstr">
      <vt:lpstr>Start Here</vt:lpstr>
      <vt:lpstr>Setup</vt:lpstr>
      <vt:lpstr>Overtime Log</vt:lpstr>
      <vt:lpstr>OT Request</vt:lpstr>
      <vt:lpstr>Dashboard</vt:lpstr>
      <vt:lpstr>Method</vt:lpstr>
      <vt:lpstr>Verify</vt:lpstr>
      <vt:lpstr>Burden</vt:lpstr>
      <vt:lpstr>Currency</vt:lpstr>
      <vt:lpstr>DashDept</vt:lpstr>
      <vt:lpstr>DashFrom</vt:lpstr>
      <vt:lpstr>DashTo</vt:lpstr>
      <vt:lpstr>KpiCost</vt:lpstr>
      <vt:lpstr>KpiOT</vt:lpstr>
      <vt:lpstr>KpiOut</vt:lpstr>
      <vt:lpstr>KpiPeople</vt:lpstr>
      <vt:lpstr>KpiPrem</vt:lpstr>
      <vt:lpstr>KpiShare</vt:lpstr>
      <vt:lpstr>KpiTopReason</vt:lpstr>
      <vt:lpstr>KpiUsed</vt:lpstr>
      <vt:lpstr>OTLimit</vt:lpstr>
      <vt:lpstr>PlantName</vt:lpstr>
      <vt:lpstr>Dashboard!Print_Area</vt:lpstr>
      <vt:lpstr>Method!Print_Area</vt:lpstr>
      <vt:lpstr>'OT Request'!Print_Area</vt:lpstr>
      <vt:lpstr>'Overtime Log'!Print_Area</vt:lpstr>
      <vt:lpstr>Setup!Print_Area</vt:lpstr>
      <vt:lpstr>'Start Here'!Print_Area</vt:lpstr>
      <vt:lpstr>Verify!Print_Area</vt:lpstr>
      <vt:lpstr>Method!Print_Titles</vt:lpstr>
      <vt:lpstr>'Overtime Log'!Print_Titles</vt:lpstr>
      <vt:lpstr>Rate1</vt:lpstr>
      <vt:lpstr>Rate2</vt:lpstr>
      <vt:lpstr>ReqAllow</vt:lpstr>
      <vt:lpstr>ReqBand</vt:lpstr>
      <vt:lpstr>ReqBase</vt:lpstr>
      <vt:lpstr>ReqCost</vt:lpstr>
      <vt:lpstr>ReqCrew</vt:lpstr>
      <vt:lpstr>ReqDept</vt:lpstr>
      <vt:lpstr>ReqLimit</vt:lpstr>
      <vt:lpstr>ReqLine</vt:lpstr>
      <vt:lpstr>ReqMin</vt:lpstr>
      <vt:lpstr>ReqMult</vt:lpstr>
      <vt:lpstr>ReqPerHour</vt:lpstr>
      <vt:lpstr>ReqPerson</vt:lpstr>
      <vt:lpstr>ReqPremium</vt:lpstr>
      <vt:lpstr>ReqRate</vt:lpstr>
      <vt:lpstr>ReqUnits</vt:lpstr>
      <vt:lpstr>SelfCheck</vt:lpstr>
      <vt:lpstr>SelfCheckSummary</vt:lpstr>
      <vt:lpstr>StdWeek</vt:lpstr>
      <vt:lpstr>TargetShare</vt:lpstr>
      <vt:lpstr>TotalLimit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Overtime Tracker - free Excel template from MFG Calcs</dc:title>
  <dc:subject>Log each person's weekly overtime and see hours, cost and reasons by department against budget, who is over your limits, and what a new request will cost.</dc:subject>
  <dc:creator>MFG Calcs</dc:creator>
  <cp:keywords>overtime tracker, overtime hours, overtime cost, overtime budget, overtime premium, fatigue, working hours, labor cost</cp:keywords>
  <dc:description>https://www.mfgcalcs.com/templates/overtime-tracker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overtime-tracker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https://www.mfgcalcs.com/templates/overtime-tracker</vt:lpwstr>
  </property>
  <property fmtid="{D5CDD505-2E9C-101B-9397-08002B2CF9AE}" pid="7" name="Template sheet roles">
    <vt:lpwstr>Start Here=start;Setup=setup;Overtime Log=work;OT Request=form;Dashboard=dashboard;Method=method;Verify=verify</vt:lpwstr>
  </property>
</Properties>
</file>