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Pallet Configurations" sheetId="3" r:id="rId3"/>
    <sheet name="Dashboard" sheetId="4" r:id="rId4"/>
    <sheet name="Method" sheetId="5" r:id="rId5"/>
    <sheet name="Verify" sheetId="6" r:id="rId6"/>
  </sheets>
  <definedNames>
    <definedName name="CompanyName">Setup!$C$6</definedName>
    <definedName name="Currency">Setup!$C$7</definedName>
    <definedName name="DimUnit">Setup!$C$8</definedName>
    <definedName name="KpiBelow">Dashboard!$G$7</definedName>
    <definedName name="KpiCube">Dashboard!$B$7</definedName>
    <definedName name="KpiSaving">Dashboard!$J$7</definedName>
    <definedName name="KpiWeight">Dashboard!$D$7</definedName>
    <definedName name="Pallets">tblPallets[Pallet type]</definedName>
    <definedName name="_xlnm.Print_Area" localSheetId="3">Dashboard!$A$1:$L$57</definedName>
    <definedName name="_xlnm.Print_Area" localSheetId="4">Method!$A$1:$D$58</definedName>
    <definedName name="_xlnm.Print_Area" localSheetId="2">'Pallet Configurations'!$A$1:$AC$20</definedName>
    <definedName name="_xlnm.Print_Area" localSheetId="1">Setup!$A$1:$L$24</definedName>
    <definedName name="_xlnm.Print_Area" localSheetId="0">'Start Here'!$A$1:$F$55</definedName>
    <definedName name="_xlnm.Print_Area" localSheetId="5">Verify!$A$1:$AC$52</definedName>
    <definedName name="_xlnm.Print_Titles" localSheetId="4">Method!$1:$2</definedName>
    <definedName name="_xlnm.Print_Titles" localSheetId="2">'Pallet Configurations'!$1:$6</definedName>
    <definedName name="SelfCheck">Verify!$D$4</definedName>
    <definedName name="SelfCheckSummary">Verify!$F$4</definedName>
    <definedName name="TargetCube">Setup!$C$12</definedName>
    <definedName name="VolDiv">Setup!$C$11</definedName>
    <definedName name="VolUnit">Setup!$C$10</definedName>
    <definedName name="WtUnit">Setup!$C$9</definedName>
  </definedNames>
  <calcPr calcId="124519" fullCalcOnLoad="1"/>
</workbook>
</file>

<file path=xl/sharedStrings.xml><?xml version="1.0" encoding="utf-8"?>
<sst xmlns="http://schemas.openxmlformats.org/spreadsheetml/2006/main" count="509" uniqueCount="285">
  <si>
    <t>Pallet Utilization</t>
  </si>
  <si>
    <t>Read this first: what the workbook does and how to use it.</t>
  </si>
  <si>
    <t>mfgcalcs.com</t>
  </si>
  <si>
    <t>Check every case-and-pallet configuration for cube and weight utilization, find the layers you could still add, and estimate the freight a fuller pallet saves.</t>
  </si>
  <si>
    <t>For: Packaging engineers, logistics and shipping planners, warehouse managers and plant managers who pay freight per pallet.</t>
  </si>
  <si>
    <t>Version 1.0.0  ·  updated 15 October 2026</t>
  </si>
  <si>
    <t>Quick start</t>
  </si>
  <si>
    <t>1.</t>
  </si>
  <si>
    <t>On Setup, type your company name and currency, pick your dimension and weight units, set your cube-utilization target and list your pallet types with their limits and freight cost.</t>
  </si>
  <si>
    <t>2.</t>
  </si>
  <si>
    <t>On Pallet Configurations, enter one row per SKU and pattern: case size and weight, units per case, cases per layer, layers and pallets shipped per month.</t>
  </si>
  <si>
    <t>3.</t>
  </si>
  <si>
    <t>Fix anything the Check column flags (too tall, over weight, a layer larger than the pallet).</t>
  </si>
  <si>
    <t>4.</t>
  </si>
  <si>
    <t>Open the Dashboard: utilization against target, the layers you could add, and the estimated monthly freight saving.</t>
  </si>
  <si>
    <t>What is in this workbook</t>
  </si>
  <si>
    <t>Start Here</t>
  </si>
  <si>
    <t>Setup</t>
  </si>
  <si>
    <t>Company, currency, units, your cube-utilization target, and the pallet types with their limits and freight cost.</t>
  </si>
  <si>
    <t>Pallet Configurations</t>
  </si>
  <si>
    <t>One row per SKU and pallet pattern: utilization, layers you could add, freight per unit and the estimated saving.</t>
  </si>
  <si>
    <t>Dashboard</t>
  </si>
  <si>
    <t>Cube and weight utilization against your target, the layers you could add, and what fuller pallets would save.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</si>
  <si>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</si>
  <si>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</si>
  <si>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</si>
  <si>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</si>
  <si>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</si>
  <si>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</si>
  <si>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</si>
  <si>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</si>
  <si>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</si>
  <si>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</si>
  <si>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</si>
  <si>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</si>
  <si>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</si>
  <si>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</si>
  <si>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</si>
  <si>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</si>
  <si>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</si>
  <si>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</si>
  <si>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</si>
  <si>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</si>
  <si>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Pallet Cube Utilization Calculator on mfgcalcs.com</t>
  </si>
  <si>
    <t>Latest version</t>
  </si>
  <si>
    <t>mfgcalcs.com/templates/pallet-utilization</t>
  </si>
  <si>
    <t>More free templates</t>
  </si>
  <si>
    <t>mfgcalcs.com/templates</t>
  </si>
  <si>
    <t>Version</t>
  </si>
  <si>
    <t>1.0.0 (updated 15 October 2026)</t>
  </si>
  <si>
    <t>About the example data</t>
  </si>
  <si>
    <t>Every number already in this workbook is example data for Northfield Home Products, a fictional business invented for this template, so the dashboard and charts show something meaningful on day one. It holds 14 pallet configurations of a household-products maker on three pallet types, with pallet limits and freight rates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</si>
  <si>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</si>
  <si>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</si>
  <si>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</si>
  <si>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</si>
  <si>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</si>
  <si>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</si>
  <si>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</si>
  <si>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</si>
  <si>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Pallet type</t>
  </si>
  <si>
    <t>Length</t>
  </si>
  <si>
    <t>Width</t>
  </si>
  <si>
    <t>Deck height</t>
  </si>
  <si>
    <t>Max height</t>
  </si>
  <si>
    <t>Tare weight</t>
  </si>
  <si>
    <t>Max gross weight</t>
  </si>
  <si>
    <t>Freight per pallet</t>
  </si>
  <si>
    <t>Height limit</t>
  </si>
  <si>
    <t>Envelope</t>
  </si>
  <si>
    <t>Max payload</t>
  </si>
  <si>
    <t>Company, units and target</t>
  </si>
  <si>
    <t>Company or site</t>
  </si>
  <si>
    <t>Northfield Home Products (example)</t>
  </si>
  <si>
    <t>Currency label</t>
  </si>
  <si>
    <t>USD</t>
  </si>
  <si>
    <t>Dimension unit</t>
  </si>
  <si>
    <t>in</t>
  </si>
  <si>
    <t>Weight unit</t>
  </si>
  <si>
    <t>lb</t>
  </si>
  <si>
    <t>Volume unit</t>
  </si>
  <si>
    <t>Volume divisor (exact)</t>
  </si>
  <si>
    <t>Cube-utilization target</t>
  </si>
  <si>
    <t>1 ft³ = 1,728 in³ and 1 m³ = 1,000,000 cm³ = 10^9 mm³ exactly. Changing the dimension unit relabels the numbers, it does not convert them: retype the dimensions in the new unit. The pallet limits and freight rates below are examples: use your carrier's, customer's and racking limits and your own freight rates.</t>
  </si>
  <si>
    <t>Pallet types</t>
  </si>
  <si>
    <t>Pallet types (feed the Pallet Configurations dropdown)</t>
  </si>
  <si>
    <t>Example pallet types and limits for Northfield Home Products (fictional). Replace them with yours.</t>
  </si>
  <si>
    <t>GMA 48x40 single-stack</t>
  </si>
  <si>
    <t>GMA 48x40 double-stack</t>
  </si>
  <si>
    <t>Half pallet 48x20</t>
  </si>
  <si>
    <t>SKU</t>
  </si>
  <si>
    <t>Description</t>
  </si>
  <si>
    <t>Case length</t>
  </si>
  <si>
    <t>Case width</t>
  </si>
  <si>
    <t>Case height</t>
  </si>
  <si>
    <t>Case weight</t>
  </si>
  <si>
    <t>Units per case</t>
  </si>
  <si>
    <t>Cases per layer</t>
  </si>
  <si>
    <t>Layers</t>
  </si>
  <si>
    <t>Pallets per month</t>
  </si>
  <si>
    <t>Units per pallet</t>
  </si>
  <si>
    <t>Load cube</t>
  </si>
  <si>
    <t>Cube utilization</t>
  </si>
  <si>
    <t>Weight utilization</t>
  </si>
  <si>
    <t>Max layers</t>
  </si>
  <si>
    <t>Layers to add</t>
  </si>
  <si>
    <t>Binding limit</t>
  </si>
  <si>
    <t>Freight per unit</t>
  </si>
  <si>
    <t>Monthly freight</t>
  </si>
  <si>
    <t>Est. monthly saving</t>
  </si>
  <si>
    <t>Cube status</t>
  </si>
  <si>
    <t>Check</t>
  </si>
  <si>
    <t>Notes</t>
  </si>
  <si>
    <t>Example data for Northfield Home Products (fictional), in inches and pounds. Replace it with your own: select the example rows, right-click, Delete &gt; Table Rows, then type your configurations. Pallet limits and freight come from the pallet type on Setup.</t>
  </si>
  <si>
    <t>LD-5L</t>
  </si>
  <si>
    <t>Laundry liquid 5 L, 4 jugs</t>
  </si>
  <si>
    <t/>
  </si>
  <si>
    <t>PT-12</t>
  </si>
  <si>
    <t>Paper towels 12-roll, 2 packs</t>
  </si>
  <si>
    <t>Customer asked for 3 layers in 2024</t>
  </si>
  <si>
    <t>DS-750</t>
  </si>
  <si>
    <t>Dish soap 750 ml, 12</t>
  </si>
  <si>
    <t>TB-50</t>
  </si>
  <si>
    <t>Trash bags 50 ct, 6 boxes</t>
  </si>
  <si>
    <t>BL-1G</t>
  </si>
  <si>
    <t>Bleach 1 gal, 6</t>
  </si>
  <si>
    <t>Heavy: weight limit first</t>
  </si>
  <si>
    <t>WP-80</t>
  </si>
  <si>
    <t>Cleaning wipes 80 ct, 12 tubs</t>
  </si>
  <si>
    <t>SP-6</t>
  </si>
  <si>
    <t>Sponges 6-pack, 24</t>
  </si>
  <si>
    <t>Store display pallet</t>
  </si>
  <si>
    <t>AF-250</t>
  </si>
  <si>
    <t>Air freshener 250 ml, 24</t>
  </si>
  <si>
    <t>MH-2</t>
  </si>
  <si>
    <t>Mop heads, 12</t>
  </si>
  <si>
    <t>GC-500</t>
  </si>
  <si>
    <t>Glass cleaner 500 ml, 12</t>
  </si>
  <si>
    <t>Pinwheel pattern</t>
  </si>
  <si>
    <t>DP-60</t>
  </si>
  <si>
    <t>Dishwasher pods 60 ct, 4 tubs</t>
  </si>
  <si>
    <t>SC-3</t>
  </si>
  <si>
    <t>Storage containers, 3-piece</t>
  </si>
  <si>
    <t>Case height wastes the top of the envelope</t>
  </si>
  <si>
    <t>CN-8</t>
  </si>
  <si>
    <t>Candles 8 oz, 12</t>
  </si>
  <si>
    <t>RF-B</t>
  </si>
  <si>
    <t>Refill bag-in-box 10 L</t>
  </si>
  <si>
    <t>CUBE UTILIZATION</t>
  </si>
  <si>
    <t>WEIGHT UTILIZATION</t>
  </si>
  <si>
    <t>CONFIGURATIONS BELOW TARGET</t>
  </si>
  <si>
    <t>Payload / max payload, by pallets shipped</t>
  </si>
  <si>
    <t>Cube utilization under the target</t>
  </si>
  <si>
    <t>If every pallet took the layers it has room for</t>
  </si>
  <si>
    <t>By pallet type (utilization weighted by pallets shipped per month)</t>
  </si>
  <si>
    <t>SKUs</t>
  </si>
  <si>
    <t>Est. saving</t>
  </si>
  <si>
    <t>Below target</t>
  </si>
  <si>
    <t>Total</t>
  </si>
  <si>
    <t>By configuration, in register order (feeds the two charts above)</t>
  </si>
  <si>
    <t>Row</t>
  </si>
  <si>
    <t>Freight still needed</t>
  </si>
  <si>
    <t>1</t>
  </si>
  <si>
    <t>2</t>
  </si>
  <si>
    <t>3</t>
  </si>
  <si>
    <t>4</t>
  </si>
  <si>
    <t>5</t>
  </si>
  <si>
    <t>6</t>
  </si>
  <si>
    <t>7</t>
  </si>
  <si>
    <t>8</t>
  </si>
  <si>
    <t>9</t>
  </si>
  <si>
    <t>10</t>
  </si>
  <si>
    <t>11</t>
  </si>
  <si>
    <t>12</t>
  </si>
  <si>
    <t>13</t>
  </si>
  <si>
    <t>14</t>
  </si>
  <si>
    <t>The Dashboard shows the first 14 configurations and 3 pallet types. If your lists are longer, extend the two blocks (see Method) or the extra rows will not appear here; the KPI tiles always cover every row.</t>
  </si>
  <si>
    <t>What this workbook calculates</t>
  </si>
  <si>
    <t>Pallet utilization compares what a pallet carries with what it is allowed to carry. Cube utilization is the volume of the cases on the pallet over the load envelope (pallet length x width x the height allowed above the deck); weight utilization is the payload over the weight allowed. The most layers a pattern can take is set by whichever limit binds first, height or weight, and every layer short of it is freight paid for air. With freight charged per pallet, the same units on fuller pallets need fewer pallets, which this workbook turns into an estimated monthly saving.</t>
  </si>
  <si>
    <t>Calculations</t>
  </si>
  <si>
    <t>Quantity</t>
  </si>
  <si>
    <t>How it is calculated</t>
  </si>
  <si>
    <t>Units</t>
  </si>
  <si>
    <t>Height limit, envelope, max payload</t>
  </si>
  <si>
    <t>Max height - deck height; length x width x height limit / volume divisor; max gross - tare (per pallet type).</t>
  </si>
  <si>
    <t>length, volume, weight</t>
  </si>
  <si>
    <t>Cases per layer x layers x units per case.</t>
  </si>
  <si>
    <t>units</t>
  </si>
  <si>
    <t>Cases per layer x layers x case length x width x height / volume divisor (1,728 in³ per ft³; 10^6 cm³ or 10^9 mm³ per m³).</t>
  </si>
  <si>
    <t>ft³ or m³</t>
  </si>
  <si>
    <t>Load cube / envelope.</t>
  </si>
  <si>
    <t>%</t>
  </si>
  <si>
    <t>Cases per layer x layers x case weight / max payload.</t>
  </si>
  <si>
    <t>Max layers, binding limit</t>
  </si>
  <si>
    <t>MIN(INT(height limit / case height), INT(max payload / (cases per layer x case weight))); the limit giving the smaller number (Height on a tie).</t>
  </si>
  <si>
    <t>layers</t>
  </si>
  <si>
    <t>MAX(0, max layers - layers).</t>
  </si>
  <si>
    <t>Freight per unit, monthly freight</t>
  </si>
  <si>
    <t>Freight per pallet / units per pallet; pallets per month x freight per pallet.</t>
  </si>
  <si>
    <t>currency</t>
  </si>
  <si>
    <t>Monthly freight x layers to add / max layers: the same units on pallets with the maximum layers (an estimate).</t>
  </si>
  <si>
    <t>currency/month</t>
  </si>
  <si>
    <t>On target at or above the target; Near target within 5% below it; Below target otherwise.</t>
  </si>
  <si>
    <t>-</t>
  </si>
  <si>
    <t>Dashboard utilization</t>
  </si>
  <si>
    <t>Sum of (load cube x pallets per month) / sum of (envelope x pallets per month), rows with a known pallet type; weight the same way with payloads.</t>
  </si>
  <si>
    <t>Assumptions</t>
  </si>
  <si>
    <t>Cases are rectangular and stacked in whole layers of the same pattern; the cases-per-layer count is what you really achieve (the workbook does not design patterns).</t>
  </si>
  <si>
    <t>The envelope is the pallet footprint: no overhang, and no allowance for stretch wrap, caps or corner boards (lower the max height to allow for them).</t>
  </si>
  <si>
    <t>Freight is charged per pallet. If you pay by weight or by class, the saving estimate does not apply as stated.</t>
  </si>
  <si>
    <t>The saving assumes fuller pallets carry the same units per month and the extra layers are stable and acceptable to the customer.</t>
  </si>
  <si>
    <t>All weights use one unit (lb or kg) chosen on Setup; no weight conversion is applied.</t>
  </si>
  <si>
    <t>Limitations</t>
  </si>
  <si>
    <t>Case crush strength and stacking limits are not checked: confirm a box compression test before adding layers.</t>
  </si>
  <si>
    <t>Trailer or container fill (pallets per truck, axle weights) is not modelled.</t>
  </si>
  <si>
    <t>The Dashboard's configuration block shows the first 14 rows and the pallet-type block 3 types; longer lists need the blocks extended (a warning appears). The KPI tiles cover every row.</t>
  </si>
  <si>
    <t>Agreement with the live calculator</t>
  </si>
  <si>
    <t>The live Pallet Cube Utilization calculator takes an occupied load cube, the available load envelope and a target, and returns cube utilization, the gap to target in points and the unused envelope. This workbook computes the load cube and envelope from case and pallet dimensions and gives the same utilization; the unused envelope is envelope - load cube. The build checks the reference against the calculator's engine for its own example (45 of 60 ft³: 75%, 5 points under an 80% target, 15 ft³ unused) and for one example configuration.</t>
  </si>
  <si>
    <t>Open the Pallet Cube Utilization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</si>
  <si>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</si>
  <si>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</si>
  <si>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ISO 6780, Flat pallets for intercontinental materials handling - Principal dimensions and tolerances (pallet sizes, cited by name).</t>
  </si>
  <si>
    <t>Carrier and customer routing guides for height and weight limits (use your own).</t>
  </si>
  <si>
    <t>MFG Calcs Pallet Cube Utilization calculator (pallet-utilization): occupied load cube / available load envelope.</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</si>
  <si>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</si>
  <si>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</si>
  <si>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</si>
  <si>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</si>
  <si>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</si>
  <si>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</si>
  <si>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</si>
  <si>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</si>
  <si>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</si>
  <si>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</si>
  <si>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</si>
  <si>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</si>
  <si>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</si>
  <si>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</si>
  <si>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</si>
  <si>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</si>
  <si>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Pallet: envelope (60 ft³)</t>
  </si>
  <si>
    <t>Pallet: max payload</t>
  </si>
  <si>
    <t>Row 1: load cube (45 ft³)</t>
  </si>
  <si>
    <t>Row 1: cube utilization (calculator example)</t>
  </si>
  <si>
    <t>Row 1: weight utilization</t>
  </si>
  <si>
    <t>Row 1: units per pallet</t>
  </si>
  <si>
    <t>Row 1: freight per unit</t>
  </si>
  <si>
    <t>Row 1: status against an 80% target</t>
  </si>
  <si>
    <t>exact</t>
  </si>
  <si>
    <t>Row 2: max layers</t>
  </si>
  <si>
    <t>Row 2: layers to add</t>
  </si>
  <si>
    <t>Row 2: binding limit</t>
  </si>
  <si>
    <t>Height</t>
  </si>
  <si>
    <t>Row 2: monthly freight</t>
  </si>
  <si>
    <t>Row 2: est. monthly saving</t>
  </si>
  <si>
    <t>Row 3: binding limit (weight)</t>
  </si>
  <si>
    <t>Weight</t>
  </si>
  <si>
    <t>Row 3: Check reports over weight</t>
  </si>
  <si>
    <t>Over weight limit</t>
  </si>
  <si>
    <t>Row 4: Check reports a layer larger than the pallet</t>
  </si>
  <si>
    <t>Layer larger than pallet</t>
  </si>
  <si>
    <t>Row 5: Check reports the unknown pallet type</t>
  </si>
  <si>
    <t>Pallet type not on Setup list</t>
  </si>
  <si>
    <t>Row 5: cube utilization blank</t>
  </si>
  <si>
    <t>All rows: cube utilization, weighted (Dashboard formula)</t>
  </si>
  <si>
    <t>All rows: weight utilization, weighted (Dashboard formula)</t>
  </si>
  <si>
    <t>All rows: est. monthly saving (Dashboard formula)</t>
  </si>
  <si>
    <t>Fixed test inputs</t>
  </si>
  <si>
    <t>White cells are fixed test inputs; blue cells are the workbook's formulas evaluated on them.</t>
  </si>
  <si>
    <t>Parameters</t>
  </si>
  <si>
    <t>Cubic inches per ft³</t>
  </si>
  <si>
    <t>Test table: Pallets</t>
  </si>
  <si>
    <t>Test 48x40</t>
  </si>
  <si>
    <t>Test table: Configs</t>
  </si>
  <si>
    <t>T-1</t>
  </si>
  <si>
    <t>Calculator example</t>
  </si>
  <si>
    <t>T-2</t>
  </si>
  <si>
    <t>Room for a layer</t>
  </si>
  <si>
    <t>T-3</t>
  </si>
  <si>
    <t>Over weight</t>
  </si>
  <si>
    <t>T-4</t>
  </si>
  <si>
    <t>Layer too big</t>
  </si>
  <si>
    <t>T-5</t>
  </si>
  <si>
    <t>Unknown pallet</t>
  </si>
  <si>
    <t>Test 48x45</t>
  </si>
</sst>
</file>

<file path=xl/styles.xml><?xml version="1.0" encoding="utf-8"?>
<styleSheet xmlns="http://schemas.openxmlformats.org/spreadsheetml/2006/main">
  <numFmts count="9">
    <numFmt numFmtId="164" formatCode="@"/>
    <numFmt numFmtId="165" formatCode="#,##0"/>
    <numFmt numFmtId="166" formatCode="0.0%"/>
    <numFmt numFmtId="167" formatCode="#,##0.0"/>
    <numFmt numFmtId="168" formatCode="#,##0.00"/>
    <numFmt numFmtId="169" formatCode="#,##0.0000"/>
    <numFmt numFmtId="170" formatCode="&quot;Target &quot;0.0%"/>
    <numFmt numFmtId="171" formatCode="0.0E+00"/>
    <numFmt numFmtId="172" formatCode="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sz val="9"/>
      <color rgb="FF8A4A06"/>
      <name val="Calibri"/>
      <family val="2"/>
      <scheme val="minor"/>
    </font>
    <font>
      <i/>
      <sz val="9"/>
      <color rgb="FF6B7280"/>
      <name val="Calibri"/>
      <family val="2"/>
      <scheme val="minor"/>
    </font>
    <font>
      <b/>
      <sz val="10"/>
      <color rgb="FFFFFFFF"/>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5">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7" borderId="2" xfId="0" applyFont="1" applyFill="1" applyBorder="1" applyAlignment="1">
      <alignment vertical="center" wrapText="1"/>
    </xf>
    <xf numFmtId="0" fontId="19" fillId="0" borderId="0" xfId="0" applyFont="1" applyAlignment="1">
      <alignment horizontal="center" vertical="center"/>
    </xf>
    <xf numFmtId="0" fontId="20" fillId="2" borderId="5" xfId="0" applyFont="1" applyFill="1" applyBorder="1" applyAlignment="1">
      <alignment horizontal="center" vertical="center" wrapText="1"/>
    </xf>
    <xf numFmtId="167"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8"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9" fontId="10" fillId="4" borderId="3" xfId="0" applyNumberFormat="1" applyFont="1" applyFill="1" applyBorder="1" applyAlignment="1">
      <alignment vertical="center"/>
    </xf>
    <xf numFmtId="0" fontId="21" fillId="4" borderId="3" xfId="0" applyFont="1" applyFill="1" applyBorder="1" applyAlignment="1">
      <alignment vertical="center"/>
    </xf>
    <xf numFmtId="0" fontId="19" fillId="0" borderId="0" xfId="0" applyFont="1" applyAlignment="1">
      <alignment vertical="center"/>
    </xf>
    <xf numFmtId="0" fontId="22" fillId="9" borderId="6" xfId="0" applyFont="1" applyFill="1" applyBorder="1" applyAlignment="1">
      <alignment vertical="center" wrapText="1"/>
    </xf>
    <xf numFmtId="166" fontId="4" fillId="9" borderId="7" xfId="0" applyNumberFormat="1" applyFont="1" applyFill="1" applyBorder="1" applyAlignment="1">
      <alignment horizontal="left" vertical="center"/>
    </xf>
    <xf numFmtId="165" fontId="4" fillId="9" borderId="7" xfId="0" applyNumberFormat="1" applyFont="1" applyFill="1" applyBorder="1" applyAlignment="1">
      <alignment horizontal="left" vertical="center"/>
    </xf>
    <xf numFmtId="170"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0" fontId="20" fillId="2" borderId="5" xfId="0" applyFont="1" applyFill="1" applyBorder="1" applyAlignment="1">
      <alignment horizontal="left" vertical="center" wrapText="1"/>
    </xf>
    <xf numFmtId="0" fontId="9" fillId="0" borderId="9" xfId="0" applyFont="1" applyBorder="1" applyAlignment="1">
      <alignment vertical="center"/>
    </xf>
    <xf numFmtId="0" fontId="9" fillId="4" borderId="10" xfId="0" applyFont="1" applyFill="1" applyBorder="1" applyAlignment="1">
      <alignment vertical="center"/>
    </xf>
    <xf numFmtId="165" fontId="9" fillId="4" borderId="10" xfId="0" applyNumberFormat="1" applyFont="1" applyFill="1" applyBorder="1" applyAlignment="1">
      <alignment vertical="center"/>
    </xf>
    <xf numFmtId="0" fontId="10" fillId="4" borderId="3" xfId="0"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9" fillId="0" borderId="9" xfId="0" applyNumberFormat="1" applyFont="1" applyBorder="1" applyAlignment="1">
      <alignment horizontal="center" vertical="center"/>
    </xf>
    <xf numFmtId="168" fontId="10" fillId="0" borderId="9" xfId="0" applyNumberFormat="1" applyFont="1" applyBorder="1" applyAlignment="1">
      <alignment vertical="center"/>
    </xf>
    <xf numFmtId="171" fontId="10" fillId="4" borderId="3" xfId="0" applyNumberFormat="1" applyFont="1" applyFill="1" applyBorder="1" applyAlignment="1">
      <alignment vertical="center"/>
    </xf>
    <xf numFmtId="171" fontId="10" fillId="0" borderId="9" xfId="0" applyNumberFormat="1" applyFont="1" applyBorder="1" applyAlignment="1">
      <alignment vertical="center"/>
    </xf>
    <xf numFmtId="165" fontId="10" fillId="0" borderId="9" xfId="0" applyNumberFormat="1" applyFont="1" applyBorder="1" applyAlignment="1">
      <alignment vertical="center"/>
    </xf>
    <xf numFmtId="172" fontId="10" fillId="0" borderId="9" xfId="0" applyNumberFormat="1" applyFont="1" applyBorder="1" applyAlignment="1">
      <alignment vertical="center"/>
    </xf>
    <xf numFmtId="172" fontId="10" fillId="4" borderId="3" xfId="0" applyNumberFormat="1" applyFont="1" applyFill="1" applyBorder="1" applyAlignment="1">
      <alignment vertical="center"/>
    </xf>
    <xf numFmtId="169" fontId="10" fillId="0" borderId="9" xfId="0" applyNumberFormat="1" applyFont="1" applyBorder="1" applyAlignment="1">
      <alignment vertical="center"/>
    </xf>
    <xf numFmtId="166"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Cube and weight utilization by configuration</a:t>
            </a:r>
          </a:p>
        </c:rich>
      </c:tx>
      <c:layout/>
    </c:title>
    <c:plotArea>
      <c:layout/>
      <c:barChart>
        <c:barDir val="bar"/>
        <c:grouping val="clustered"/>
        <c:ser>
          <c:idx val="0"/>
          <c:order val="0"/>
          <c:tx>
            <c:v>Cube utilization</c:v>
          </c:tx>
          <c:spPr>
            <a:solidFill>
              <a:srgbClr val="3B64D8"/>
            </a:solidFill>
            <a:ln w="9525">
              <a:solidFill>
                <a:srgbClr val="FFFFFF"/>
              </a:solidFill>
            </a:ln>
          </c:spPr>
          <c:cat>
            <c:strRef>
              <c:f>Dashboard!$C$41:$C$54</c:f>
              <c:strCache>
                <c:ptCount val="14"/>
                <c:pt idx="0">
                  <c:v>LD-5L</c:v>
                </c:pt>
                <c:pt idx="1">
                  <c:v>PT-12</c:v>
                </c:pt>
                <c:pt idx="2">
                  <c:v>DS-750</c:v>
                </c:pt>
                <c:pt idx="3">
                  <c:v>TB-50</c:v>
                </c:pt>
                <c:pt idx="4">
                  <c:v>BL-1G</c:v>
                </c:pt>
                <c:pt idx="5">
                  <c:v>WP-80</c:v>
                </c:pt>
                <c:pt idx="6">
                  <c:v>SP-6</c:v>
                </c:pt>
                <c:pt idx="7">
                  <c:v>AF-250</c:v>
                </c:pt>
                <c:pt idx="8">
                  <c:v>MH-2</c:v>
                </c:pt>
                <c:pt idx="9">
                  <c:v>GC-500</c:v>
                </c:pt>
                <c:pt idx="10">
                  <c:v>DP-60</c:v>
                </c:pt>
                <c:pt idx="11">
                  <c:v>SC-3</c:v>
                </c:pt>
                <c:pt idx="12">
                  <c:v>CN-8</c:v>
                </c:pt>
                <c:pt idx="13">
                  <c:v>RF-B</c:v>
                </c:pt>
              </c:strCache>
            </c:strRef>
          </c:cat>
          <c:val>
            <c:numRef>
              <c:f>Dashboard!$F$41:$F$54</c:f>
              <c:numCache>
                <c:formatCode>General</c:formatCode>
                <c:ptCount val="14"/>
                <c:pt idx="0">
                  <c:v>0.799885321100917</c:v>
                </c:pt>
                <c:pt idx="1">
                  <c:v>0.534231651376147</c:v>
                </c:pt>
                <c:pt idx="2">
                  <c:v>0.847549019607843</c:v>
                </c:pt>
                <c:pt idx="3">
                  <c:v>0.73394495412844</c:v>
                </c:pt>
                <c:pt idx="4">
                  <c:v>0.640596330275229</c:v>
                </c:pt>
                <c:pt idx="5">
                  <c:v>0.842201834862385</c:v>
                </c:pt>
                <c:pt idx="6">
                  <c:v>0.688172043010753</c:v>
                </c:pt>
                <c:pt idx="7">
                  <c:v>0.752941176470588</c:v>
                </c:pt>
                <c:pt idx="8">
                  <c:v>0.770642201834862</c:v>
                </c:pt>
                <c:pt idx="9">
                  <c:v>0.913130733944954</c:v>
                </c:pt>
                <c:pt idx="10">
                  <c:v>0.635294117647059</c:v>
                </c:pt>
                <c:pt idx="11">
                  <c:v>0.672591743119266</c:v>
                </c:pt>
                <c:pt idx="12">
                  <c:v>0.67741935483871</c:v>
                </c:pt>
                <c:pt idx="13">
                  <c:v>0.954128440366972</c:v>
                </c:pt>
              </c:numCache>
            </c:numRef>
          </c:val>
        </c:ser>
        <c:ser>
          <c:idx val="1"/>
          <c:order val="1"/>
          <c:tx>
            <c:v>Weight utilization</c:v>
          </c:tx>
          <c:spPr>
            <a:solidFill>
              <a:srgbClr val="E8702A"/>
            </a:solidFill>
            <a:ln w="9525">
              <a:solidFill>
                <a:srgbClr val="FFFFFF"/>
              </a:solidFill>
            </a:ln>
          </c:spPr>
          <c:cat>
            <c:strRef>
              <c:f>Dashboard!$C$41:$C$54</c:f>
              <c:strCache>
                <c:ptCount val="14"/>
                <c:pt idx="0">
                  <c:v>LD-5L</c:v>
                </c:pt>
                <c:pt idx="1">
                  <c:v>PT-12</c:v>
                </c:pt>
                <c:pt idx="2">
                  <c:v>DS-750</c:v>
                </c:pt>
                <c:pt idx="3">
                  <c:v>TB-50</c:v>
                </c:pt>
                <c:pt idx="4">
                  <c:v>BL-1G</c:v>
                </c:pt>
                <c:pt idx="5">
                  <c:v>WP-80</c:v>
                </c:pt>
                <c:pt idx="6">
                  <c:v>SP-6</c:v>
                </c:pt>
                <c:pt idx="7">
                  <c:v>AF-250</c:v>
                </c:pt>
                <c:pt idx="8">
                  <c:v>MH-2</c:v>
                </c:pt>
                <c:pt idx="9">
                  <c:v>GC-500</c:v>
                </c:pt>
                <c:pt idx="10">
                  <c:v>DP-60</c:v>
                </c:pt>
                <c:pt idx="11">
                  <c:v>SC-3</c:v>
                </c:pt>
                <c:pt idx="12">
                  <c:v>CN-8</c:v>
                </c:pt>
                <c:pt idx="13">
                  <c:v>RF-B</c:v>
                </c:pt>
              </c:strCache>
            </c:strRef>
          </c:cat>
          <c:val>
            <c:numRef>
              <c:f>Dashboard!$G$41:$G$54</c:f>
              <c:numCache>
                <c:formatCode>General</c:formatCode>
                <c:ptCount val="14"/>
                <c:pt idx="0">
                  <c:v>0.776798143851508</c:v>
                </c:pt>
                <c:pt idx="1">
                  <c:v>0.0954988399071926</c:v>
                </c:pt>
                <c:pt idx="2">
                  <c:v>0.991881918819188</c:v>
                </c:pt>
                <c:pt idx="3">
                  <c:v>0.334106728538283</c:v>
                </c:pt>
                <c:pt idx="4">
                  <c:v>0.974477958236659</c:v>
                </c:pt>
                <c:pt idx="5">
                  <c:v>0.311832946635731</c:v>
                </c:pt>
                <c:pt idx="6">
                  <c:v>0.192</c:v>
                </c:pt>
                <c:pt idx="7">
                  <c:v>0.944649446494465</c:v>
                </c:pt>
                <c:pt idx="8">
                  <c:v>0.0890951276102088</c:v>
                </c:pt>
                <c:pt idx="9">
                  <c:v>0.452436194895592</c:v>
                </c:pt>
                <c:pt idx="10">
                  <c:v>0.487084870848709</c:v>
                </c:pt>
                <c:pt idx="11">
                  <c:v>0.0668213457076566</c:v>
                </c:pt>
                <c:pt idx="12">
                  <c:v>0.704</c:v>
                </c:pt>
                <c:pt idx="13">
                  <c:v>0.712761020881671</c:v>
                </c:pt>
              </c:numCache>
            </c:numRef>
          </c:val>
        </c:ser>
        <c:gapWidth val="60"/>
        <c:overlap val="-1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1"/>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Monthly freight: still needed vs est. saving</a:t>
            </a:r>
          </a:p>
        </c:rich>
      </c:tx>
      <c:layout/>
    </c:title>
    <c:plotArea>
      <c:layout/>
      <c:barChart>
        <c:barDir val="bar"/>
        <c:grouping val="stacked"/>
        <c:ser>
          <c:idx val="0"/>
          <c:order val="0"/>
          <c:tx>
            <c:v>Freight still needed</c:v>
          </c:tx>
          <c:spPr>
            <a:solidFill>
              <a:srgbClr val="3B64D8"/>
            </a:solidFill>
            <a:ln w="9525">
              <a:solidFill>
                <a:srgbClr val="FFFFFF"/>
              </a:solidFill>
            </a:ln>
          </c:spPr>
          <c:cat>
            <c:strRef>
              <c:f>Dashboard!$C$41:$C$54</c:f>
              <c:strCache>
                <c:ptCount val="14"/>
                <c:pt idx="0">
                  <c:v>LD-5L</c:v>
                </c:pt>
                <c:pt idx="1">
                  <c:v>PT-12</c:v>
                </c:pt>
                <c:pt idx="2">
                  <c:v>DS-750</c:v>
                </c:pt>
                <c:pt idx="3">
                  <c:v>TB-50</c:v>
                </c:pt>
                <c:pt idx="4">
                  <c:v>BL-1G</c:v>
                </c:pt>
                <c:pt idx="5">
                  <c:v>WP-80</c:v>
                </c:pt>
                <c:pt idx="6">
                  <c:v>SP-6</c:v>
                </c:pt>
                <c:pt idx="7">
                  <c:v>AF-250</c:v>
                </c:pt>
                <c:pt idx="8">
                  <c:v>MH-2</c:v>
                </c:pt>
                <c:pt idx="9">
                  <c:v>GC-500</c:v>
                </c:pt>
                <c:pt idx="10">
                  <c:v>DP-60</c:v>
                </c:pt>
                <c:pt idx="11">
                  <c:v>SC-3</c:v>
                </c:pt>
                <c:pt idx="12">
                  <c:v>CN-8</c:v>
                </c:pt>
                <c:pt idx="13">
                  <c:v>RF-B</c:v>
                </c:pt>
              </c:strCache>
            </c:strRef>
          </c:cat>
          <c:val>
            <c:numRef>
              <c:f>Dashboard!$K$41:$K$54</c:f>
              <c:numCache>
                <c:formatCode>General</c:formatCode>
                <c:ptCount val="14"/>
                <c:pt idx="0">
                  <c:v>8700</c:v>
                </c:pt>
                <c:pt idx="1">
                  <c:v>9787.5</c:v>
                </c:pt>
                <c:pt idx="2">
                  <c:v>3920</c:v>
                </c:pt>
                <c:pt idx="3">
                  <c:v>6380</c:v>
                </c:pt>
                <c:pt idx="4">
                  <c:v>10150</c:v>
                </c:pt>
                <c:pt idx="5">
                  <c:v>5075</c:v>
                </c:pt>
                <c:pt idx="6">
                  <c:v>1360</c:v>
                </c:pt>
                <c:pt idx="7">
                  <c:v>2450</c:v>
                </c:pt>
                <c:pt idx="8">
                  <c:v>2175</c:v>
                </c:pt>
                <c:pt idx="9">
                  <c:v>4350</c:v>
                </c:pt>
                <c:pt idx="10">
                  <c:v>3307.5</c:v>
                </c:pt>
                <c:pt idx="11">
                  <c:v>2900</c:v>
                </c:pt>
                <c:pt idx="12">
                  <c:v>793.333333333333</c:v>
                </c:pt>
                <c:pt idx="13">
                  <c:v>3625</c:v>
                </c:pt>
              </c:numCache>
            </c:numRef>
          </c:val>
        </c:ser>
        <c:ser>
          <c:idx val="1"/>
          <c:order val="1"/>
          <c:tx>
            <c:v>Est. saving with full pallets</c:v>
          </c:tx>
          <c:spPr>
            <a:solidFill>
              <a:srgbClr val="E8702A"/>
            </a:solidFill>
            <a:ln w="9525">
              <a:solidFill>
                <a:srgbClr val="FFFFFF"/>
              </a:solidFill>
            </a:ln>
          </c:spPr>
          <c:cat>
            <c:strRef>
              <c:f>Dashboard!$C$41:$C$54</c:f>
              <c:strCache>
                <c:ptCount val="14"/>
                <c:pt idx="0">
                  <c:v>LD-5L</c:v>
                </c:pt>
                <c:pt idx="1">
                  <c:v>PT-12</c:v>
                </c:pt>
                <c:pt idx="2">
                  <c:v>DS-750</c:v>
                </c:pt>
                <c:pt idx="3">
                  <c:v>TB-50</c:v>
                </c:pt>
                <c:pt idx="4">
                  <c:v>BL-1G</c:v>
                </c:pt>
                <c:pt idx="5">
                  <c:v>WP-80</c:v>
                </c:pt>
                <c:pt idx="6">
                  <c:v>SP-6</c:v>
                </c:pt>
                <c:pt idx="7">
                  <c:v>AF-250</c:v>
                </c:pt>
                <c:pt idx="8">
                  <c:v>MH-2</c:v>
                </c:pt>
                <c:pt idx="9">
                  <c:v>GC-500</c:v>
                </c:pt>
                <c:pt idx="10">
                  <c:v>DP-60</c:v>
                </c:pt>
                <c:pt idx="11">
                  <c:v>SC-3</c:v>
                </c:pt>
                <c:pt idx="12">
                  <c:v>CN-8</c:v>
                </c:pt>
                <c:pt idx="13">
                  <c:v>RF-B</c:v>
                </c:pt>
              </c:strCache>
            </c:strRef>
          </c:cat>
          <c:val>
            <c:numRef>
              <c:f>Dashboard!$L$41:$L$54</c:f>
              <c:numCache>
                <c:formatCode>General</c:formatCode>
                <c:ptCount val="14"/>
                <c:pt idx="0">
                  <c:v>0</c:v>
                </c:pt>
                <c:pt idx="1">
                  <c:v>3262.5</c:v>
                </c:pt>
                <c:pt idx="2">
                  <c:v>0</c:v>
                </c:pt>
                <c:pt idx="3">
                  <c:v>1595</c:v>
                </c:pt>
                <c:pt idx="4">
                  <c:v>0</c:v>
                </c:pt>
                <c:pt idx="5">
                  <c:v>0</c:v>
                </c:pt>
                <c:pt idx="6">
                  <c:v>340</c:v>
                </c:pt>
                <c:pt idx="7">
                  <c:v>0</c:v>
                </c:pt>
                <c:pt idx="8">
                  <c:v>0</c:v>
                </c:pt>
                <c:pt idx="9">
                  <c:v>0</c:v>
                </c:pt>
                <c:pt idx="10">
                  <c:v>1102.5</c:v>
                </c:pt>
                <c:pt idx="11">
                  <c:v>0</c:v>
                </c:pt>
                <c:pt idx="12">
                  <c:v>226.666666666667</c:v>
                </c:pt>
                <c:pt idx="13">
                  <c:v>0</c:v>
                </c:pt>
              </c:numCache>
            </c:numRef>
          </c:val>
        </c:ser>
        <c:gapWidth val="60"/>
        <c:overlap val="100"/>
        <c:axId val="50020001"/>
        <c:axId val="50020002"/>
      </c:barChart>
      <c:catAx>
        <c:axId val="5002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27</xdr:row>
      <xdr:rowOff>152400</xdr:rowOff>
    </xdr:to>
    <xdr:graphicFrame macro="">
      <xdr:nvGraphicFramePr>
        <xdr:cNvPr id="2" name="Chart 1" descr="Bar chart of cube utilization and weight utilization for each pallet configuration, showing which are limited by weight and which ship ai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27</xdr:row>
      <xdr:rowOff>152400</xdr:rowOff>
    </xdr:to>
    <xdr:graphicFrame macro="">
      <xdr:nvGraphicFramePr>
        <xdr:cNvPr id="3" name="Chart 2" descr="Stacked bar chart of monthly freight for each configuration, split into the freight still needed and the estimated saving if each pallet took the layers it has room fo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Pallets" displayName="tblPallets" ref="B21:L24" totalsRowShown="0">
  <autoFilter ref="B21:L24"/>
  <tableColumns count="11">
    <tableColumn id="1" name="Pallet type"/>
    <tableColumn id="2" name="Length"/>
    <tableColumn id="3" name="Width"/>
    <tableColumn id="4" name="Deck height"/>
    <tableColumn id="5" name="Max height"/>
    <tableColumn id="6" name="Tare weight"/>
    <tableColumn id="7" name="Max gross weight"/>
    <tableColumn id="8" name="Freight per pallet"/>
    <tableColumn id="9" name="Height limit">
      <calculatedColumnFormula>tblPallets[[#This Row],[Max height]]-tblPallets[[#This Row],[Deck height]]</calculatedColumnFormula>
    </tableColumn>
    <tableColumn id="10" name="Envelope">
      <calculatedColumnFormula>tblPallets[[#This Row],[Length]]*tblPallets[[#This Row],[Width]]*tblPallets[[#This Row],[Height limit]]/VolDiv</calculatedColumnFormula>
    </tableColumn>
    <tableColumn id="11" name="Max payload">
      <calculatedColumnFormula>tblPallets[[#This Row],[Max gross weight]]-tblPallets[[#This Row],[Tare weight]]</calculatedColumnFormula>
    </tableColumn>
  </tableColumns>
  <tableStyleInfo name="TableStyleLight1" showFirstColumn="0" showLastColumn="0" showRowStripes="0" showColumnStripes="0"/>
</table>
</file>

<file path=xl/tables/table2.xml><?xml version="1.0" encoding="utf-8"?>
<table xmlns="http://schemas.openxmlformats.org/spreadsheetml/2006/main" id="2" name="tblConfigs" displayName="tblConfigs" ref="B6:AC20" totalsRowShown="0">
  <autoFilter ref="B6:AC20"/>
  <tableColumns count="28">
    <tableColumn id="1" name="SKU"/>
    <tableColumn id="2" name="Description"/>
    <tableColumn id="3" name="Pallet type"/>
    <tableColumn id="4" name="Case length"/>
    <tableColumn id="5" name="Case width"/>
    <tableColumn id="6" name="Case height"/>
    <tableColumn id="7" name="Case weight"/>
    <tableColumn id="8" name="Units per case"/>
    <tableColumn id="9" name="Cases per layer"/>
    <tableColumn id="10" name="Layers"/>
    <tableColumn id="11" name="Pallets per month"/>
    <tableColumn id="12" name="Height limit">
      <calculatedColumnFormula>IF(tblConfigs[[#This Row],[SKU]]="","",IFERROR(INDEX(tblPallets[Height limit],MATCH(tblConfigs[[#This Row],[Pallet type]],tblPallets[Pallet type],0)),""))</calculatedColumnFormula>
    </tableColumn>
    <tableColumn id="13" name="Envelope">
      <calculatedColumnFormula>IF(tblConfigs[[#This Row],[SKU]]="","",IFERROR(INDEX(tblPallets[Envelope],MATCH(tblConfigs[[#This Row],[Pallet type]],tblPallets[Pallet type],0)),""))</calculatedColumnFormula>
    </tableColumn>
    <tableColumn id="14" name="Max payload">
      <calculatedColumnFormula>IF(tblConfigs[[#This Row],[SKU]]="","",IFERROR(INDEX(tblPallets[Max payload],MATCH(tblConfigs[[#This Row],[Pallet type]],tblPallets[Pallet type],0)),""))</calculatedColumnFormula>
    </tableColumn>
    <tableColumn id="15" name="Freight per pallet">
      <calculatedColumnFormula>IF(tblConfigs[[#This Row],[SKU]]="","",IFERROR(INDEX(tblPallets[Freight per pallet],MATCH(tblConfigs[[#This Row],[Pallet type]],tblPallets[Pallet type],0)),""))</calculatedColumnFormula>
    </tableColumn>
    <tableColumn id="16" name="Units per pallet">
      <calculatedColumnFormula>IF(tblConfigs[[#This Row],[SKU]]="","",tblConfigs[[#This Row],[Cases per layer]]*tblConfigs[[#This Row],[Layers]]*tblConfigs[[#This Row],[Units per case]])</calculatedColumnFormula>
    </tableColumn>
    <tableColumn id="17" name="Load cube">
      <calculatedColumnFormula>IF(tblConfigs[[#This Row],[SKU]]="","",tblConfigs[[#This Row],[Cases per layer]]*tblConfigs[[#This Row],[Layers]]*tblConfigs[[#This Row],[Case length]]*tblConfigs[[#This Row],[Case width]]*tblConfigs[[#This Row],[Case height]]/VolDiv)</calculatedColumnFormula>
    </tableColumn>
    <tableColumn id="18" name="Cube utilization">
      <calculatedColumnFormula>IF(tblConfigs[[#This Row],[SKU]]="","",IF(N(tblConfigs[[#This Row],[Envelope]])&gt;0,tblConfigs[[#This Row],[Load cube]]/tblConfigs[[#This Row],[Envelope]],""))</calculatedColumnFormula>
    </tableColumn>
    <tableColumn id="19" name="Weight utilization">
      <calculatedColumnFormula>IF(tblConfigs[[#This Row],[SKU]]="","",IF(N(tblConfigs[[#This Row],[Max payload]])&gt;0,tblConfigs[[#This Row],[Cases per layer]]*tblConfigs[[#This Row],[Layers]]*tblConfigs[[#This Row],[Case weight]]/tblConfigs[[#This Row],[Max payload]],""))</calculatedColumnFormula>
    </tableColumn>
    <tableColumn id="20" name="Max layers">
      <calculatedColumnFormula>IF(tblConfigs[[#This Row],[SKU]]="","",IF(OR(tblConfigs[[#This Row],[Height limit]]="",tblConfigs[[#This Row],[Case height]]=0,tblConfigs[[#This Row],[Cases per layer]]*tblConfigs[[#This Row],[Case weight]]=0),"",MIN(INT(tblConfigs[[#This Row],[Height limit]]/tblConfigs[[#This Row],[Case height]]),INT(tblConfigs[[#This Row],[Max payload]]/(tblConfigs[[#This Row],[Cases per layer]]*tblConfigs[[#This Row],[Case weight]])))))</calculatedColumnFormula>
    </tableColumn>
    <tableColumn id="21" name="Layers to add">
      <calculatedColumnFormula>IF(tblConfigs[[#This Row],[SKU]]="","",IF(tblConfigs[[#This Row],[Max layers]]="","",MAX(0,tblConfigs[[#This Row],[Max layers]]-tblConfigs[[#This Row],[Layers]])))</calculatedColumnFormula>
    </tableColumn>
    <tableColumn id="22" name="Binding limit">
      <calculatedColumnFormula>IF(tblConfigs[[#This Row],[SKU]]="","",IF(tblConfigs[[#This Row],[Max layers]]="","",IF(INT(tblConfigs[[#This Row],[Height limit]]/tblConfigs[[#This Row],[Case height]])&lt;=INT(tblConfigs[[#This Row],[Max payload]]/(tblConfigs[[#This Row],[Cases per layer]]*tblConfigs[[#This Row],[Case weight]])),"Height","Weight")))</calculatedColumnFormula>
    </tableColumn>
    <tableColumn id="23" name="Freight per unit">
      <calculatedColumnFormula>IF(tblConfigs[[#This Row],[SKU]]="","",IF(OR(tblConfigs[[#This Row],[Freight per pallet]]="",tblConfigs[[#This Row],[Units per pallet]]=0),"",tblConfigs[[#This Row],[Freight per pallet]]/tblConfigs[[#This Row],[Units per pallet]]))</calculatedColumnFormula>
    </tableColumn>
    <tableColumn id="24" name="Monthly freight">
      <calculatedColumnFormula>IF(tblConfigs[[#This Row],[SKU]]="","",IF(tblConfigs[[#This Row],[Freight per pallet]]="","",tblConfigs[[#This Row],[Pallets per month]]*tblConfigs[[#This Row],[Freight per pallet]]))</calculatedColumnFormula>
    </tableColumn>
    <tableColumn id="25" name="Est. monthly saving">
      <calculatedColumnFormula>IF(tblConfigs[[#This Row],[SKU]]="","",IF(OR(tblConfigs[[#This Row],[Layers to add]]="",tblConfigs[[#This Row],[Monthly freight]]=""),"",IF(tblConfigs[[#This Row],[Max layers]]&gt;0,tblConfigs[[#This Row],[Monthly freight]]*tblConfigs[[#This Row],[Layers to add]]/tblConfigs[[#This Row],[Max layers]],0)))</calculatedColumnFormula>
    </tableColumn>
    <tableColumn id="26" name="Cube status">
      <calculatedColumnFormula>IF(NOT(ISNUMBER(tblConfigs[[#This Row],[Cube utilization]])),"",IF(tblConfigs[[#This Row],[Cube utilization]]&gt;=TargetCube,"On target",IF(tblConfigs[[#This Row],[Cube utilization]]&gt;=TargetCube*(1-0.05),"Near target","Below target")))</calculatedColumnFormula>
    </tableColumn>
    <tableColumn id="27" name="Check">
      <calculatedColumnFormula>IF(tblConfigs[[#This Row],[SKU]]="","",IF(tblConfigs[[#This Row],[Case length]]="","Missing case length",IF(tblConfigs[[#This Row],[Case width]]="","Missing case width",IF(tblConfigs[[#This Row],[Case height]]="","Missing case height",IF(tblConfigs[[#This Row],[Case weight]]="","Missing case weight",IF(tblConfigs[[#This Row],[Cases per layer]]="","Missing cases per layer",IF(tblConfigs[[#This Row],[Layers]]="","Missing layers",IF(COUNTIF(tblPallets[Pallet type],tblConfigs[[#This Row],[Pallet type]])=0,"Pallet type not on Setup list",IF(tblConfigs[[#This Row],[Cases per layer]]*tblConfigs[[#This Row],[Case length]]*tblConfigs[[#This Row],[Case width]]&gt;tblConfigs[[#This Row],[Envelope]]*VolDiv/tblConfigs[[#This Row],[Height limit]],"Layer larger than pallet",IF(tblConfigs[[#This Row],[Layers]]*tblConfigs[[#This Row],[Case height]]&gt;tblConfigs[[#This Row],[Height limit]],"Too tall for pallet",IF(tblConfigs[[#This Row],[Cases per layer]]*tblConfigs[[#This Row],[Layers]]*tblConfigs[[#This Row],[Case weight]]&gt;tblConfigs[[#This Row],[Max payload]],"Over weight limit","OK")))))))))))</calculatedColumnFormula>
    </tableColumn>
    <tableColumn id="28" name="Notes"/>
  </tableColumns>
  <tableStyleInfo name="TableStyleLight1" showFirstColumn="0" showLastColumn="0" showRowStripes="0" showColumnStripes="0"/>
</table>
</file>

<file path=xl/tables/table3.xml><?xml version="1.0" encoding="utf-8"?>
<table xmlns="http://schemas.openxmlformats.org/spreadsheetml/2006/main" id="3" name="tblVerifyPallets" displayName="tblVerifyPallets" ref="B42:L43" totalsRowShown="0">
  <tableColumns count="11">
    <tableColumn id="1" name="Pallet type"/>
    <tableColumn id="2" name="Length"/>
    <tableColumn id="3" name="Width"/>
    <tableColumn id="4" name="Deck height"/>
    <tableColumn id="5" name="Max height"/>
    <tableColumn id="6" name="Tare weight"/>
    <tableColumn id="7" name="Max gross weight"/>
    <tableColumn id="8" name="Freight per pallet"/>
    <tableColumn id="9" name="Height limit">
      <calculatedColumnFormula>tblVerifyPallets[[#This Row],[Max height]]-tblVerifyPallets[[#This Row],[Deck height]]</calculatedColumnFormula>
    </tableColumn>
    <tableColumn id="10" name="Envelope">
      <calculatedColumnFormula>tblVerifyPallets[[#This Row],[Length]]*tblVerifyPallets[[#This Row],[Width]]*tblVerifyPallets[[#This Row],[Height limit]]/$E$37</calculatedColumnFormula>
    </tableColumn>
    <tableColumn id="11" name="Max payload">
      <calculatedColumnFormula>tblVerifyPallets[[#This Row],[Max gross weight]]-tblVerifyPallets[[#This Row],[Tare weight]]</calculatedColumnFormula>
    </tableColumn>
  </tableColumns>
  <tableStyleInfo name="TableStyleLight1" showFirstColumn="0" showLastColumn="0" showRowStripes="0" showColumnStripes="0"/>
</table>
</file>

<file path=xl/tables/table4.xml><?xml version="1.0" encoding="utf-8"?>
<table xmlns="http://schemas.openxmlformats.org/spreadsheetml/2006/main" id="4" name="tblVerifyConfigs" displayName="tblVerifyConfigs" ref="B47:AC52" totalsRowShown="0">
  <tableColumns count="28">
    <tableColumn id="1" name="SKU"/>
    <tableColumn id="2" name="Description"/>
    <tableColumn id="3" name="Pallet type"/>
    <tableColumn id="4" name="Case length"/>
    <tableColumn id="5" name="Case width"/>
    <tableColumn id="6" name="Case height"/>
    <tableColumn id="7" name="Case weight"/>
    <tableColumn id="8" name="Units per case"/>
    <tableColumn id="9" name="Cases per layer"/>
    <tableColumn id="10" name="Layers"/>
    <tableColumn id="11" name="Pallets per month"/>
    <tableColumn id="12" name="Height limit"/>
    <tableColumn id="13" name="Envelope"/>
    <tableColumn id="14" name="Max payload"/>
    <tableColumn id="15" name="Freight per pallet"/>
    <tableColumn id="16" name="Units per pallet">
      <calculatedColumnFormula>IF(tblVerifyConfigs[[#This Row],[SKU]]="","",tblVerifyConfigs[[#This Row],[Cases per layer]]*tblVerifyConfigs[[#This Row],[Layers]]*tblVerifyConfigs[[#This Row],[Units per case]])</calculatedColumnFormula>
    </tableColumn>
    <tableColumn id="17" name="Load cube">
      <calculatedColumnFormula>IF(tblVerifyConfigs[[#This Row],[SKU]]="","",tblVerifyConfigs[[#This Row],[Cases per layer]]*tblVerifyConfigs[[#This Row],[Layers]]*tblVerifyConfigs[[#This Row],[Case length]]*tblVerifyConfigs[[#This Row],[Case width]]*tblVerifyConfigs[[#This Row],[Case height]]/$E$37)</calculatedColumnFormula>
    </tableColumn>
    <tableColumn id="18" name="Cube utilization">
      <calculatedColumnFormula>IF(tblVerifyConfigs[[#This Row],[SKU]]="","",IF(N(tblVerifyConfigs[[#This Row],[Envelope]])&gt;0,tblVerifyConfigs[[#This Row],[Load cube]]/tblVerifyConfigs[[#This Row],[Envelope]],""))</calculatedColumnFormula>
    </tableColumn>
    <tableColumn id="19" name="Weight utilization">
      <calculatedColumnFormula>IF(tblVerifyConfigs[[#This Row],[SKU]]="","",IF(N(tblVerifyConfigs[[#This Row],[Max payload]])&gt;0,tblVerifyConfigs[[#This Row],[Cases per layer]]*tblVerifyConfigs[[#This Row],[Layers]]*tblVerifyConfigs[[#This Row],[Case weight]]/tblVerifyConfigs[[#This Row],[Max payload]],""))</calculatedColumnFormula>
    </tableColumn>
    <tableColumn id="20" name="Max layers">
      <calculatedColumnFormula>IF(tblVerifyConfigs[[#This Row],[SKU]]="","",IF(OR(tblVerifyConfigs[[#This Row],[Height limit]]="",tblVerifyConfigs[[#This Row],[Case height]]=0,tblVerifyConfigs[[#This Row],[Cases per layer]]*tblVerifyConfigs[[#This Row],[Case weight]]=0),"",MIN(INT(tblVerifyConfigs[[#This Row],[Height limit]]/tblVerifyConfigs[[#This Row],[Case height]]),INT(tblVerifyConfigs[[#This Row],[Max payload]]/(tblVerifyConfigs[[#This Row],[Cases per layer]]*tblVerifyConfigs[[#This Row],[Case weight]])))))</calculatedColumnFormula>
    </tableColumn>
    <tableColumn id="21" name="Layers to add">
      <calculatedColumnFormula>IF(tblVerifyConfigs[[#This Row],[SKU]]="","",IF(tblVerifyConfigs[[#This Row],[Max layers]]="","",MAX(0,tblVerifyConfigs[[#This Row],[Max layers]]-tblVerifyConfigs[[#This Row],[Layers]])))</calculatedColumnFormula>
    </tableColumn>
    <tableColumn id="22" name="Binding limit">
      <calculatedColumnFormula>IF(tblVerifyConfigs[[#This Row],[SKU]]="","",IF(tblVerifyConfigs[[#This Row],[Max layers]]="","",IF(INT(tblVerifyConfigs[[#This Row],[Height limit]]/tblVerifyConfigs[[#This Row],[Case height]])&lt;=INT(tblVerifyConfigs[[#This Row],[Max payload]]/(tblVerifyConfigs[[#This Row],[Cases per layer]]*tblVerifyConfigs[[#This Row],[Case weight]])),"Height","Weight")))</calculatedColumnFormula>
    </tableColumn>
    <tableColumn id="23" name="Freight per unit">
      <calculatedColumnFormula>IF(tblVerifyConfigs[[#This Row],[SKU]]="","",IF(OR(tblVerifyConfigs[[#This Row],[Freight per pallet]]="",tblVerifyConfigs[[#This Row],[Units per pallet]]=0),"",tblVerifyConfigs[[#This Row],[Freight per pallet]]/tblVerifyConfigs[[#This Row],[Units per pallet]]))</calculatedColumnFormula>
    </tableColumn>
    <tableColumn id="24" name="Monthly freight">
      <calculatedColumnFormula>IF(tblVerifyConfigs[[#This Row],[SKU]]="","",IF(tblVerifyConfigs[[#This Row],[Freight per pallet]]="","",tblVerifyConfigs[[#This Row],[Pallets per month]]*tblVerifyConfigs[[#This Row],[Freight per pallet]]))</calculatedColumnFormula>
    </tableColumn>
    <tableColumn id="25" name="Est. monthly saving">
      <calculatedColumnFormula>IF(tblVerifyConfigs[[#This Row],[SKU]]="","",IF(OR(tblVerifyConfigs[[#This Row],[Layers to add]]="",tblVerifyConfigs[[#This Row],[Monthly freight]]=""),"",IF(tblVerifyConfigs[[#This Row],[Max layers]]&gt;0,tblVerifyConfigs[[#This Row],[Monthly freight]]*tblVerifyConfigs[[#This Row],[Layers to add]]/tblVerifyConfigs[[#This Row],[Max layers]],0)))</calculatedColumnFormula>
    </tableColumn>
    <tableColumn id="26" name="Cube status">
      <calculatedColumnFormula>IF(NOT(ISNUMBER(tblVerifyConfigs[[#This Row],[Cube utilization]])),"",IF(tblVerifyConfigs[[#This Row],[Cube utilization]]&gt;=$E$38,"On target",IF(tblVerifyConfigs[[#This Row],[Cube utilization]]&gt;=$E$38*(1-0.05),"Near target","Below target")))</calculatedColumnFormula>
    </tableColumn>
    <tableColumn id="27" name="Check">
      <calculatedColumnFormula>IF(tblVerifyConfigs[[#This Row],[SKU]]="","",IF(tblVerifyConfigs[[#This Row],[Case length]]="","Missing case length",IF(tblVerifyConfigs[[#This Row],[Case width]]="","Missing case width",IF(tblVerifyConfigs[[#This Row],[Case height]]="","Missing case height",IF(tblVerifyConfigs[[#This Row],[Case weight]]="","Missing case weight",IF(tblVerifyConfigs[[#This Row],[Cases per layer]]="","Missing cases per layer",IF(tblVerifyConfigs[[#This Row],[Layers]]="","Missing layers",IF(COUNTIF(tblVerifyPallets[Pallet type],tblVerifyConfigs[[#This Row],[Pallet type]])=0,"Pallet type not on Setup list",IF(tblVerifyConfigs[[#This Row],[Cases per layer]]*tblVerifyConfigs[[#This Row],[Case length]]*tblVerifyConfigs[[#This Row],[Case width]]&gt;tblVerifyConfigs[[#This Row],[Envelope]]*$E$37/tblVerifyConfigs[[#This Row],[Height limit]],"Layer larger than pallet",IF(tblVerifyConfigs[[#This Row],[Layers]]*tblVerifyConfigs[[#This Row],[Case height]]&gt;tblVerifyConfigs[[#This Row],[Height limit]],"Too tall for pallet",IF(tblVerifyConfigs[[#This Row],[Cases per layer]]*tblVerifyConfigs[[#This Row],[Layers]]*tblVerifyConfigs[[#This Row],[Case weight]]&gt;tblVerifyConfigs[[#This Row],[Max payload]],"Over weight limit","OK")))))))))))</calculatedColumnFormula>
    </tableColumn>
    <tableColumn id="28"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allet-utilization" TargetMode="External"/><Relationship Id="rId2" Type="http://schemas.openxmlformats.org/officeDocument/2006/relationships/hyperlink" Target="https://www.mfgcalcs.com/calculators/packaging-warehousing-logistics/pallet-utilization?utm_source=mfgcalcs-template&amp;utm_medium=xlsx&amp;utm_campaign=pallet-utilization" TargetMode="External"/><Relationship Id="rId3" Type="http://schemas.openxmlformats.org/officeDocument/2006/relationships/hyperlink" Target="https://www.mfgcalcs.com/templates/pallet-utilization?utm_source=mfgcalcs-template&amp;utm_medium=xlsx&amp;utm_campaign=pallet-utilization" TargetMode="External"/><Relationship Id="rId4" Type="http://schemas.openxmlformats.org/officeDocument/2006/relationships/hyperlink" Target="https://www.mfgcalcs.com/templates?utm_source=mfgcalcs-template&amp;utm_medium=xlsx&amp;utm_campaign=pallet-utilization"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allet-utilization"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allet-utilization"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allet-utilization"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allet-utilization" TargetMode="External"/><Relationship Id="rId2" Type="http://schemas.openxmlformats.org/officeDocument/2006/relationships/hyperlink" Target="https://www.mfgcalcs.com/calculators/packaging-warehousing-logistics/pallet-utilization?utm_source=mfgcalcs-template&amp;utm_medium=xlsx&amp;utm_campaign=pallet-utilizatio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allet-utilization" TargetMode="External"/><Relationship Id="rId2" Type="http://schemas.openxmlformats.org/officeDocument/2006/relationships/table" Target="../tables/table3.xml"/><Relationship Id="rId3"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21 of 21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Pallet Configurations'!A1" tooltip="Go to Pallet Configurations" display="Pallet Configurations"/>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Pallet Utilization&amp;R&amp;8&amp;A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L24"/>
  <sheetViews>
    <sheetView showGridLines="0" workbookViewId="0"/>
  </sheetViews>
  <sheetFormatPr defaultRowHeight="15"/>
  <cols>
    <col min="1" max="1" width="2.7109375" customWidth="1"/>
    <col min="2" max="2" width="30.7109375" customWidth="1"/>
    <col min="3" max="3" width="16.7109375" customWidth="1"/>
    <col min="4" max="4" width="14.7109375" customWidth="1"/>
    <col min="5" max="5" width="8.7109375" customWidth="1"/>
    <col min="6" max="6" width="9.7109375" customWidth="1"/>
    <col min="7" max="7" width="8.7109375" customWidth="1"/>
    <col min="8" max="9" width="9.7109375" customWidth="1"/>
    <col min="10" max="10" width="8.7109375" customWidth="1"/>
    <col min="11" max="12" width="9.7109375" customWidth="1"/>
  </cols>
  <sheetData>
    <row r="1" spans="1:12" ht="30" customHeight="1">
      <c r="A1" s="1" t="s">
        <v>0</v>
      </c>
      <c r="B1" s="1"/>
      <c r="C1" s="1"/>
      <c r="D1" s="1"/>
      <c r="E1" s="1"/>
      <c r="F1" s="1"/>
      <c r="G1" s="1"/>
      <c r="H1" s="1"/>
      <c r="I1" s="1"/>
      <c r="J1" s="1"/>
      <c r="K1" s="1"/>
      <c r="L1" s="1"/>
    </row>
    <row r="2" spans="1:12" ht="21" customHeight="1">
      <c r="B2" s="2" t="s">
        <v>18</v>
      </c>
      <c r="C2" s="2"/>
      <c r="D2" s="2"/>
      <c r="E2" s="2"/>
      <c r="F2" s="2"/>
      <c r="G2" s="2"/>
      <c r="H2" s="2"/>
      <c r="I2" s="2"/>
      <c r="J2" s="2"/>
      <c r="K2" s="3" t="s">
        <v>2</v>
      </c>
      <c r="L2" s="3"/>
    </row>
    <row r="3" spans="1:12" ht="6" customHeight="1"/>
    <row r="4" spans="1:12" ht="21" customHeight="1">
      <c r="B4" s="8" t="s">
        <v>71</v>
      </c>
      <c r="C4" s="8"/>
      <c r="D4" s="8"/>
      <c r="E4" s="8"/>
      <c r="F4" s="8"/>
      <c r="G4" s="8"/>
    </row>
    <row r="5" spans="1:12" ht="5" customHeight="1"/>
    <row r="6" spans="1:12">
      <c r="B6" s="27" t="s">
        <v>72</v>
      </c>
      <c r="C6" s="28" t="s">
        <v>73</v>
      </c>
      <c r="D6" s="28"/>
    </row>
    <row r="7" spans="1:12">
      <c r="B7" s="27" t="s">
        <v>74</v>
      </c>
      <c r="C7" s="28" t="s">
        <v>75</v>
      </c>
      <c r="D7" s="28"/>
    </row>
    <row r="8" spans="1:12">
      <c r="B8" s="27" t="s">
        <v>76</v>
      </c>
      <c r="C8" s="28" t="s">
        <v>77</v>
      </c>
      <c r="D8" s="28"/>
    </row>
    <row r="9" spans="1:12">
      <c r="B9" s="27" t="s">
        <v>78</v>
      </c>
      <c r="C9" s="28" t="s">
        <v>79</v>
      </c>
      <c r="D9" s="28"/>
    </row>
    <row r="10" spans="1:12">
      <c r="B10" s="27" t="s">
        <v>80</v>
      </c>
      <c r="C10" s="29" t="str">
        <f>IF(DimUnit="in","ft³","m³")</f>
        <v>ft³</v>
      </c>
      <c r="D10" s="7"/>
    </row>
    <row r="11" spans="1:12">
      <c r="B11" s="27" t="s">
        <v>81</v>
      </c>
      <c r="C11" s="30">
        <f>IF(DimUnit="in",1728,IF(DimUnit="cm",1000000,1000000000))</f>
        <v>1728</v>
      </c>
      <c r="D11" s="7" t="str">
        <f>DimUnit&amp;"³ per "&amp;VolUnit</f>
        <v>in³ per ft³</v>
      </c>
    </row>
    <row r="12" spans="1:12">
      <c r="B12" s="27" t="s">
        <v>82</v>
      </c>
      <c r="C12" s="31">
        <v>0.85</v>
      </c>
      <c r="D12" s="7"/>
    </row>
    <row r="14" spans="1:12" ht="48.6" customHeight="1">
      <c r="B14" s="25" t="s">
        <v>83</v>
      </c>
      <c r="C14" s="25"/>
      <c r="D14" s="25"/>
      <c r="E14" s="25"/>
      <c r="F14" s="25"/>
      <c r="G14" s="25"/>
    </row>
    <row r="16" spans="1:12" ht="21" customHeight="1">
      <c r="B16" s="8" t="s">
        <v>84</v>
      </c>
      <c r="C16" s="8"/>
      <c r="D16" s="8"/>
      <c r="E16" s="8"/>
      <c r="F16" s="8"/>
      <c r="G16" s="8"/>
    </row>
    <row r="17" spans="2:12" ht="5" customHeight="1"/>
    <row r="18" spans="2:12">
      <c r="B18" s="32" t="s">
        <v>85</v>
      </c>
      <c r="C18" s="32"/>
      <c r="D18" s="32"/>
      <c r="E18" s="32"/>
      <c r="F18" s="32"/>
      <c r="G18" s="32"/>
      <c r="H18" s="32"/>
      <c r="I18" s="32"/>
      <c r="J18" s="32"/>
      <c r="K18" s="32"/>
      <c r="L18" s="32"/>
    </row>
    <row r="19" spans="2:12" ht="18" customHeight="1">
      <c r="B19" s="33" t="s">
        <v>86</v>
      </c>
      <c r="C19" s="33"/>
      <c r="D19" s="33"/>
      <c r="E19" s="33"/>
      <c r="F19" s="33"/>
      <c r="G19" s="33"/>
      <c r="H19" s="33"/>
      <c r="I19" s="33"/>
      <c r="J19" s="33"/>
      <c r="K19" s="33"/>
      <c r="L19" s="33"/>
    </row>
    <row r="20" spans="2:12" ht="14" customHeight="1">
      <c r="B20" s="34"/>
      <c r="C20" s="34" t="str">
        <f>DimUnit</f>
        <v>in</v>
      </c>
      <c r="D20" s="34" t="str">
        <f>DimUnit</f>
        <v>in</v>
      </c>
      <c r="E20" s="34" t="str">
        <f>DimUnit</f>
        <v>in</v>
      </c>
      <c r="F20" s="34" t="str">
        <f>DimUnit</f>
        <v>in</v>
      </c>
      <c r="G20" s="34" t="str">
        <f>WtUnit</f>
        <v>lb</v>
      </c>
      <c r="H20" s="34" t="str">
        <f>WtUnit</f>
        <v>lb</v>
      </c>
      <c r="I20" s="34" t="str">
        <f>Currency</f>
        <v>USD</v>
      </c>
      <c r="J20" s="34" t="str">
        <f>DimUnit</f>
        <v>in</v>
      </c>
      <c r="K20" s="34" t="str">
        <f>VolUnit</f>
        <v>ft³</v>
      </c>
      <c r="L20" s="34" t="str">
        <f>WtUnit</f>
        <v>lb</v>
      </c>
    </row>
    <row r="21" spans="2:12" ht="32" customHeight="1">
      <c r="B21" s="35" t="s">
        <v>60</v>
      </c>
      <c r="C21" s="35" t="s">
        <v>61</v>
      </c>
      <c r="D21" s="35" t="s">
        <v>62</v>
      </c>
      <c r="E21" s="35" t="s">
        <v>63</v>
      </c>
      <c r="F21" s="35" t="s">
        <v>64</v>
      </c>
      <c r="G21" s="35" t="s">
        <v>65</v>
      </c>
      <c r="H21" s="35" t="s">
        <v>66</v>
      </c>
      <c r="I21" s="35" t="s">
        <v>67</v>
      </c>
      <c r="J21" s="35" t="s">
        <v>68</v>
      </c>
      <c r="K21" s="35" t="s">
        <v>69</v>
      </c>
      <c r="L21" s="35" t="s">
        <v>70</v>
      </c>
    </row>
    <row r="22" spans="2:12">
      <c r="B22" s="28" t="s">
        <v>87</v>
      </c>
      <c r="C22" s="36">
        <v>48</v>
      </c>
      <c r="D22" s="36">
        <v>40</v>
      </c>
      <c r="E22" s="36">
        <v>5.5</v>
      </c>
      <c r="F22" s="36">
        <v>60</v>
      </c>
      <c r="G22" s="37">
        <v>45</v>
      </c>
      <c r="H22" s="37">
        <v>2200</v>
      </c>
      <c r="I22" s="38">
        <v>145</v>
      </c>
      <c r="J22" s="39">
        <f>tblPallets[[#This Row],[Max height]]-tblPallets[[#This Row],[Deck height]]</f>
        <v>54.5</v>
      </c>
      <c r="K22" s="40">
        <f>tblPallets[[#This Row],[Length]]*tblPallets[[#This Row],[Width]]*tblPallets[[#This Row],[Height limit]]/VolDiv</f>
        <v>60.5555555555556</v>
      </c>
      <c r="L22" s="30">
        <f>tblPallets[[#This Row],[Max gross weight]]-tblPallets[[#This Row],[Tare weight]]</f>
        <v>2155</v>
      </c>
    </row>
    <row r="23" spans="2:12">
      <c r="B23" s="28" t="s">
        <v>88</v>
      </c>
      <c r="C23" s="36">
        <v>48</v>
      </c>
      <c r="D23" s="36">
        <v>40</v>
      </c>
      <c r="E23" s="36">
        <v>5.5</v>
      </c>
      <c r="F23" s="36">
        <v>48</v>
      </c>
      <c r="G23" s="37">
        <v>45</v>
      </c>
      <c r="H23" s="37">
        <v>1400</v>
      </c>
      <c r="I23" s="38">
        <v>98</v>
      </c>
      <c r="J23" s="39">
        <f>tblPallets[[#This Row],[Max height]]-tblPallets[[#This Row],[Deck height]]</f>
        <v>42.5</v>
      </c>
      <c r="K23" s="40">
        <f>tblPallets[[#This Row],[Length]]*tblPallets[[#This Row],[Width]]*tblPallets[[#This Row],[Height limit]]/VolDiv</f>
        <v>47.2222222222222</v>
      </c>
      <c r="L23" s="30">
        <f>tblPallets[[#This Row],[Max gross weight]]-tblPallets[[#This Row],[Tare weight]]</f>
        <v>1355</v>
      </c>
    </row>
    <row r="24" spans="2:12">
      <c r="B24" s="28" t="s">
        <v>89</v>
      </c>
      <c r="C24" s="36">
        <v>48</v>
      </c>
      <c r="D24" s="36">
        <v>20</v>
      </c>
      <c r="E24" s="36">
        <v>5.5</v>
      </c>
      <c r="F24" s="36">
        <v>52</v>
      </c>
      <c r="G24" s="37">
        <v>25</v>
      </c>
      <c r="H24" s="37">
        <v>900</v>
      </c>
      <c r="I24" s="38">
        <v>85</v>
      </c>
      <c r="J24" s="39">
        <f>tblPallets[[#This Row],[Max height]]-tblPallets[[#This Row],[Deck height]]</f>
        <v>46.5</v>
      </c>
      <c r="K24" s="40">
        <f>tblPallets[[#This Row],[Length]]*tblPallets[[#This Row],[Width]]*tblPallets[[#This Row],[Height limit]]/VolDiv</f>
        <v>25.8333333333333</v>
      </c>
      <c r="L24" s="30">
        <f>tblPallets[[#This Row],[Max gross weight]]-tblPallets[[#This Row],[Tare weight]]</f>
        <v>875</v>
      </c>
    </row>
  </sheetData>
  <mergeCells count="12">
    <mergeCell ref="A1:L1"/>
    <mergeCell ref="B2:J2"/>
    <mergeCell ref="K2:L2"/>
    <mergeCell ref="B4:G4"/>
    <mergeCell ref="C6:D6"/>
    <mergeCell ref="C7:D7"/>
    <mergeCell ref="C8:D8"/>
    <mergeCell ref="C9:D9"/>
    <mergeCell ref="B14:G14"/>
    <mergeCell ref="B16:G16"/>
    <mergeCell ref="B18:L18"/>
    <mergeCell ref="B19:L19"/>
  </mergeCells>
  <dataValidations count="13">
    <dataValidation type="textLength" allowBlank="1" showInputMessage="1" showErrorMessage="1" errorTitle="Check this entry" error="Text up to 80 characters." promptTitle="Company or site" prompt="Shown on the Dashboard. Text up to 80 characters." sqref="C6">
      <formula1>0</formula1>
      <formula2>80</formula2>
    </dataValidation>
    <dataValidation type="textLength" allowBlank="1" showInputMessage="1" showErrorMessage="1" errorTitle="Check this entry" error="Text up to 12 characters." promptTitle="Currency label" prompt="Text shown with every money value, e.g. USD, INR, GBP, EUR, MXN. No exchange rate is applied. Text up to 12 characters." sqref="C7">
      <formula1>0</formula1>
      <formula2>12</formula2>
    </dataValidation>
    <dataValidation type="list" allowBlank="1" showInputMessage="1" showErrorMessage="1" errorTitle="Check this entry" error="Pick one of: in, cm, mm." promptTitle="Dimension unit" prompt="Unit of every length, width and height in this workbook. Volumes are shown in ft3 for in, m3 for cm and mm. Pick one of: in, cm, mm." sqref="C8">
      <formula1>"in,cm,mm"</formula1>
    </dataValidation>
    <dataValidation type="list" allowBlank="1" showInputMessage="1" showErrorMessage="1" errorTitle="Check this entry" error="Pick one of: lb, kg." promptTitle="Weight unit" prompt="A label: type every weight (cases, tare, limits) in this unit. No conversion is applied. Pick one of: lb, kg." sqref="C9">
      <formula1>"lb,kg"</formula1>
    </dataValidation>
    <dataValidation type="decimal" allowBlank="1" showInputMessage="1" showErrorMessage="1" errorTitle="Check this entry" error="Enter a percentage from 0% to 100% (type 85% or 0.85)." promptTitle="Cube-utilization target" prompt="Your own target for load cube / load envelope. 85% is an example, not a benchmark. Enter a percentage from 0% to 100% (type 85% or 0.85)." sqref="C12">
      <formula1>0</formula1>
      <formula2>1</formula2>
    </dataValidation>
    <dataValidation type="textLength" allowBlank="1" showInputMessage="1" showErrorMessage="1" errorTitle="Check this entry" error="Text up to 40 characters." promptTitle="Pallet type" prompt="Text up to 40 characters." sqref="B22:B124">
      <formula1>0</formula1>
      <formula2>40</formula2>
    </dataValidation>
    <dataValidation type="decimal" allowBlank="1" showInputMessage="1" showErrorMessage="1" errorTitle="Check this entry" error="Enter a number from 1 to 100,000." promptTitle="Length" prompt="Enter a number from 1 to 100,000." sqref="C22:C124">
      <formula1>1</formula1>
      <formula2>100000.0</formula2>
    </dataValidation>
    <dataValidation type="decimal" allowBlank="1" showInputMessage="1" showErrorMessage="1" errorTitle="Check this entry" error="Enter a number from 1 to 100,000." promptTitle="Width" prompt="Enter a number from 1 to 100,000." sqref="D22:D124">
      <formula1>1</formula1>
      <formula2>100000.0</formula2>
    </dataValidation>
    <dataValidation type="decimal" allowBlank="1" showInputMessage="1" showErrorMessage="1" errorTitle="Check this entry" error="Enter a number from 0 to 100,000." promptTitle="Deck height" prompt="Height of the empty pallet. Enter a number from 0 to 100,000." sqref="E22:E124">
      <formula1>0</formula1>
      <formula2>100000.0</formula2>
    </dataValidation>
    <dataValidation type="decimal" allowBlank="1" showInputMessage="1" showErrorMessage="1" errorTitle="Check this entry" error="Enter a number from 1 to 100,000." promptTitle="Max height" prompt="Highest allowed top of load, floor to top, pallet included (carrier, customer or racking limit). Enter a number from 1 to 100,000." sqref="F22:F124">
      <formula1>1</formula1>
      <formula2>100000.0</formula2>
    </dataValidation>
    <dataValidation type="decimal" allowBlank="1" showInputMessage="1" showErrorMessage="1" errorTitle="Check this entry" error="Enter a number from 0 to 1,000,000." promptTitle="Tare weight" prompt="Weight of the empty pallet. Enter a number from 0 to 1,000,000." sqref="G22:G124">
      <formula1>0</formula1>
      <formula2>1000000.0</formula2>
    </dataValidation>
    <dataValidation type="decimal" allowBlank="1" showInputMessage="1" showErrorMessage="1" errorTitle="Check this entry" error="Enter a number from 1 to 1,000,000." promptTitle="Max gross weight" prompt="Heaviest allowed loaded pallet, pallet included. Enter a number from 1 to 1,000,000." sqref="H22:H124">
      <formula1>1</formula1>
      <formula2>1000000.0</formula2>
    </dataValidation>
    <dataValidation type="decimal" allowBlank="1" showInputMessage="1" showErrorMessage="1" errorTitle="Check this entry" error="Enter a number from 0 to 10,000,000." promptTitle="Freight per pallet" prompt="Your average all-in freight cost per pallet shipped on this type (example values). Enter a number from 0 to 10,000,000." sqref="I22:I124">
      <formula1>0</formula1>
      <formula2>10000000.0</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Pallet Utilization&amp;R&amp;8&amp;A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AC20"/>
  <sheetViews>
    <sheetView workbookViewId="0">
      <pane xSplit="2" ySplit="6" topLeftCell="C7" activePane="bottomRight" state="frozen"/>
      <selection pane="topRight" activeCell="C1" sqref="C1"/>
      <selection pane="bottomLeft" activeCell="A7" sqref="A7"/>
      <selection pane="bottomRight"/>
    </sheetView>
  </sheetViews>
  <sheetFormatPr defaultRowHeight="15" x14ac:dyDescent="0.25"/>
  <cols>
    <col min="1" max="1" width="2.7109375" customWidth="1"/>
    <col min="2" max="2" width="9.28515625" customWidth="1"/>
    <col min="3" max="3" width="22.7109375" customWidth="1"/>
    <col min="4" max="4" width="17.7109375" customWidth="1"/>
    <col min="5" max="10" width="7.7109375" customWidth="1"/>
    <col min="11" max="11" width="7.28515625" customWidth="1"/>
    <col min="12" max="12" width="8.7109375" customWidth="1"/>
    <col min="13" max="13" width="7.7109375" customWidth="1"/>
    <col min="14" max="15" width="8.7109375" customWidth="1"/>
    <col min="16" max="16" width="9.28515625" customWidth="1"/>
    <col min="17" max="18" width="8.7109375" customWidth="1"/>
    <col min="19" max="20" width="9.28515625" customWidth="1"/>
    <col min="21" max="22" width="7.7109375" customWidth="1"/>
    <col min="23" max="23" width="8.7109375" customWidth="1"/>
    <col min="24" max="24" width="9.28515625" customWidth="1"/>
    <col min="25" max="25" width="9.7109375" customWidth="1"/>
    <col min="26" max="26" width="10.7109375" customWidth="1"/>
    <col min="27" max="27" width="11.7109375" customWidth="1"/>
    <col min="28" max="28" width="19.7109375" customWidth="1"/>
    <col min="29" max="29" width="24.7109375" customWidth="1"/>
  </cols>
  <sheetData>
    <row r="1" spans="1:29" ht="30" customHeight="1"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row>
    <row r="2" spans="1:29" ht="21" customHeight="1" x14ac:dyDescent="0.25">
      <c r="B2" s="2" t="s">
        <v>20</v>
      </c>
      <c r="C2" s="2"/>
      <c r="D2" s="2"/>
      <c r="E2" s="2"/>
      <c r="F2" s="2"/>
      <c r="G2" s="2"/>
      <c r="H2" s="2"/>
      <c r="I2" s="2"/>
      <c r="J2" s="2"/>
      <c r="K2" s="2"/>
      <c r="L2" s="2"/>
      <c r="M2" s="2"/>
      <c r="N2" s="2"/>
      <c r="O2" s="2"/>
      <c r="P2" s="2"/>
      <c r="Q2" s="2"/>
      <c r="R2" s="2"/>
      <c r="S2" s="2"/>
      <c r="T2" s="2"/>
      <c r="U2" s="2"/>
      <c r="V2" s="2"/>
      <c r="W2" s="2"/>
      <c r="X2" s="2"/>
      <c r="Y2" s="2"/>
      <c r="Z2" s="2"/>
      <c r="AA2" s="2"/>
      <c r="AB2" s="2"/>
      <c r="AC2" s="3" t="s">
        <v>2</v>
      </c>
    </row>
    <row r="3" spans="1:29" ht="6" customHeight="1" x14ac:dyDescent="0.25"/>
    <row r="4" spans="1:29" ht="18" customHeight="1" x14ac:dyDescent="0.25">
      <c r="B4" s="33" t="s">
        <v>113</v>
      </c>
      <c r="C4" s="33"/>
      <c r="D4" s="33"/>
      <c r="E4" s="33"/>
      <c r="F4" s="33"/>
      <c r="G4" s="33"/>
      <c r="H4" s="33"/>
      <c r="I4" s="33"/>
      <c r="J4" s="33"/>
      <c r="K4" s="33"/>
      <c r="L4" s="33"/>
      <c r="M4" s="33"/>
      <c r="N4" s="33"/>
      <c r="O4" s="33"/>
      <c r="P4" s="33"/>
      <c r="Q4" s="33"/>
      <c r="R4" s="33"/>
      <c r="S4" s="33"/>
      <c r="T4" s="33"/>
      <c r="U4" s="33"/>
      <c r="V4" s="33"/>
      <c r="W4" s="33"/>
      <c r="X4" s="33"/>
      <c r="Y4" s="33"/>
      <c r="Z4" s="33"/>
      <c r="AA4" s="33"/>
      <c r="AB4" s="33"/>
      <c r="AC4" s="33"/>
    </row>
    <row r="5" spans="1:29" ht="14" customHeight="1" x14ac:dyDescent="0.25">
      <c r="B5" s="34"/>
      <c r="C5" s="34"/>
      <c r="D5" s="34"/>
      <c r="E5" s="34" t="str">
        <f>DimUnit</f>
        <v>in</v>
      </c>
      <c r="F5" s="34" t="str">
        <f>DimUnit</f>
        <v>in</v>
      </c>
      <c r="G5" s="34" t="str">
        <f>DimUnit</f>
        <v>in</v>
      </c>
      <c r="H5" s="34" t="str">
        <f>WtUnit</f>
        <v>lb</v>
      </c>
      <c r="I5" s="34"/>
      <c r="J5" s="34"/>
      <c r="K5" s="34"/>
      <c r="L5" s="34"/>
      <c r="M5" s="34" t="str">
        <f>DimUnit</f>
        <v>in</v>
      </c>
      <c r="N5" s="34" t="str">
        <f>VolUnit</f>
        <v>ft³</v>
      </c>
      <c r="O5" s="34" t="str">
        <f>WtUnit</f>
        <v>lb</v>
      </c>
      <c r="P5" s="34" t="str">
        <f>Currency</f>
        <v>USD</v>
      </c>
      <c r="Q5" s="34"/>
      <c r="R5" s="34" t="str">
        <f>VolUnit</f>
        <v>ft³</v>
      </c>
      <c r="S5" s="34"/>
      <c r="T5" s="34"/>
      <c r="U5" s="34"/>
      <c r="V5" s="34"/>
      <c r="W5" s="34"/>
      <c r="X5" s="34" t="str">
        <f>Currency&amp;"/unit"</f>
        <v>USD/unit</v>
      </c>
      <c r="Y5" s="34" t="str">
        <f>Currency&amp;"/month"</f>
        <v>USD/month</v>
      </c>
      <c r="Z5" s="34" t="str">
        <f>Currency&amp;"/month"</f>
        <v>USD/month</v>
      </c>
      <c r="AA5" s="34"/>
      <c r="AB5" s="34"/>
      <c r="AC5" s="34"/>
    </row>
    <row r="6" spans="1:29" ht="32" customHeight="1" x14ac:dyDescent="0.25">
      <c r="B6" s="35" t="s">
        <v>90</v>
      </c>
      <c r="C6" s="35" t="s">
        <v>91</v>
      </c>
      <c r="D6" s="35" t="s">
        <v>60</v>
      </c>
      <c r="E6" s="35" t="s">
        <v>92</v>
      </c>
      <c r="F6" s="35" t="s">
        <v>93</v>
      </c>
      <c r="G6" s="35" t="s">
        <v>94</v>
      </c>
      <c r="H6" s="35" t="s">
        <v>95</v>
      </c>
      <c r="I6" s="35" t="s">
        <v>96</v>
      </c>
      <c r="J6" s="35" t="s">
        <v>97</v>
      </c>
      <c r="K6" s="35" t="s">
        <v>98</v>
      </c>
      <c r="L6" s="35" t="s">
        <v>99</v>
      </c>
      <c r="M6" s="35" t="s">
        <v>68</v>
      </c>
      <c r="N6" s="35" t="s">
        <v>69</v>
      </c>
      <c r="O6" s="35" t="s">
        <v>70</v>
      </c>
      <c r="P6" s="35" t="s">
        <v>67</v>
      </c>
      <c r="Q6" s="35" t="s">
        <v>100</v>
      </c>
      <c r="R6" s="35" t="s">
        <v>101</v>
      </c>
      <c r="S6" s="35" t="s">
        <v>102</v>
      </c>
      <c r="T6" s="35" t="s">
        <v>103</v>
      </c>
      <c r="U6" s="35" t="s">
        <v>104</v>
      </c>
      <c r="V6" s="35" t="s">
        <v>105</v>
      </c>
      <c r="W6" s="35" t="s">
        <v>106</v>
      </c>
      <c r="X6" s="35" t="s">
        <v>107</v>
      </c>
      <c r="Y6" s="35" t="s">
        <v>108</v>
      </c>
      <c r="Z6" s="35" t="s">
        <v>109</v>
      </c>
      <c r="AA6" s="35" t="s">
        <v>110</v>
      </c>
      <c r="AB6" s="35" t="s">
        <v>111</v>
      </c>
      <c r="AC6" s="35" t="s">
        <v>112</v>
      </c>
    </row>
    <row r="7" spans="1:29" x14ac:dyDescent="0.25">
      <c r="B7" s="28" t="s">
        <v>114</v>
      </c>
      <c r="C7" s="28" t="s">
        <v>115</v>
      </c>
      <c r="D7" s="28" t="s">
        <v>87</v>
      </c>
      <c r="E7" s="36">
        <v>15.5</v>
      </c>
      <c r="F7" s="36">
        <v>12.5</v>
      </c>
      <c r="G7" s="36">
        <v>12</v>
      </c>
      <c r="H7" s="36">
        <v>46.5</v>
      </c>
      <c r="I7" s="37">
        <v>4</v>
      </c>
      <c r="J7" s="37">
        <v>9</v>
      </c>
      <c r="K7" s="37">
        <v>4</v>
      </c>
      <c r="L7" s="37">
        <v>60</v>
      </c>
      <c r="M7" s="39">
        <f>IF(tblConfigs[[#This Row],[SKU]]="","",IFERROR(INDEX(tblPallets[Height limit],MATCH(tblConfigs[[#This Row],[Pallet type]],tblPallets[Pallet type],0)),""))</f>
        <v>54.5</v>
      </c>
      <c r="N7" s="39">
        <f>IF(tblConfigs[[#This Row],[SKU]]="","",IFERROR(INDEX(tblPallets[Envelope],MATCH(tblConfigs[[#This Row],[Pallet type]],tblPallets[Pallet type],0)),""))</f>
        <v>60.5555555555556</v>
      </c>
      <c r="O7" s="30">
        <f>IF(tblConfigs[[#This Row],[SKU]]="","",IFERROR(INDEX(tblPallets[Max payload],MATCH(tblConfigs[[#This Row],[Pallet type]],tblPallets[Pallet type],0)),""))</f>
        <v>2155</v>
      </c>
      <c r="P7" s="40">
        <f>IF(tblConfigs[[#This Row],[SKU]]="","",IFERROR(INDEX(tblPallets[Freight per pallet],MATCH(tblConfigs[[#This Row],[Pallet type]],tblPallets[Pallet type],0)),""))</f>
        <v>145</v>
      </c>
      <c r="Q7" s="30">
        <f>IF(tblConfigs[[#This Row],[SKU]]="","",tblConfigs[[#This Row],[Cases per layer]]*tblConfigs[[#This Row],[Layers]]*tblConfigs[[#This Row],[Units per case]])</f>
        <v>144</v>
      </c>
      <c r="R7" s="39">
        <f>IF(tblConfigs[[#This Row],[SKU]]="","",tblConfigs[[#This Row],[Cases per layer]]*tblConfigs[[#This Row],[Layers]]*tblConfigs[[#This Row],[Case length]]*tblConfigs[[#This Row],[Case width]]*tblConfigs[[#This Row],[Case height]]/VolDiv)</f>
        <v>48.4375</v>
      </c>
      <c r="S7" s="41">
        <f>IF(tblConfigs[[#This Row],[SKU]]="","",IF(N(tblConfigs[[#This Row],[Envelope]])&gt;0,tblConfigs[[#This Row],[Load cube]]/tblConfigs[[#This Row],[Envelope]],""))</f>
        <v>0.799885321100917</v>
      </c>
      <c r="T7" s="41">
        <f>IF(tblConfigs[[#This Row],[SKU]]="","",IF(N(tblConfigs[[#This Row],[Max payload]])&gt;0,tblConfigs[[#This Row],[Cases per layer]]*tblConfigs[[#This Row],[Layers]]*tblConfigs[[#This Row],[Case weight]]/tblConfigs[[#This Row],[Max payload]],""))</f>
        <v>0.776798143851508</v>
      </c>
      <c r="U7" s="30">
        <f>IF(tblConfigs[[#This Row],[SKU]]="","",IF(OR(tblConfigs[[#This Row],[Height limit]]="",tblConfigs[[#This Row],[Case height]]=0,tblConfigs[[#This Row],[Cases per layer]]*tblConfigs[[#This Row],[Case weight]]=0),"",MIN(INT(tblConfigs[[#This Row],[Height limit]]/tblConfigs[[#This Row],[Case height]]),INT(tblConfigs[[#This Row],[Max payload]]/(tblConfigs[[#This Row],[Cases per layer]]*tblConfigs[[#This Row],[Case weight]])))))</f>
        <v>4</v>
      </c>
      <c r="V7" s="30">
        <f>IF(tblConfigs[[#This Row],[SKU]]="","",IF(tblConfigs[[#This Row],[Max layers]]="","",MAX(0,tblConfigs[[#This Row],[Max layers]]-tblConfigs[[#This Row],[Layers]])))</f>
        <v>0</v>
      </c>
      <c r="W7" s="42" t="str">
        <f>IF(tblConfigs[[#This Row],[SKU]]="","",IF(tblConfigs[[#This Row],[Max layers]]="","",IF(INT(tblConfigs[[#This Row],[Height limit]]/tblConfigs[[#This Row],[Case height]])&lt;=INT(tblConfigs[[#This Row],[Max payload]]/(tblConfigs[[#This Row],[Cases per layer]]*tblConfigs[[#This Row],[Case weight]])),"Height","Weight")))</f>
        <v>Height</v>
      </c>
      <c r="X7" s="43">
        <f>IF(tblConfigs[[#This Row],[SKU]]="","",IF(OR(tblConfigs[[#This Row],[Freight per pallet]]="",tblConfigs[[#This Row],[Units per pallet]]=0),"",tblConfigs[[#This Row],[Freight per pallet]]/tblConfigs[[#This Row],[Units per pallet]]))</f>
        <v>1.00694444444444</v>
      </c>
      <c r="Y7" s="30">
        <f>IF(tblConfigs[[#This Row],[SKU]]="","",IF(tblConfigs[[#This Row],[Freight per pallet]]="","",tblConfigs[[#This Row],[Pallets per month]]*tblConfigs[[#This Row],[Freight per pallet]]))</f>
        <v>8700</v>
      </c>
      <c r="Z7" s="30">
        <f>IF(tblConfigs[[#This Row],[SKU]]="","",IF(OR(tblConfigs[[#This Row],[Layers to add]]="",tblConfigs[[#This Row],[Monthly freight]]=""),"",IF(tblConfigs[[#This Row],[Max layers]]&gt;0,tblConfigs[[#This Row],[Monthly freight]]*tblConfigs[[#This Row],[Layers to add]]/tblConfigs[[#This Row],[Max layers]],0)))</f>
        <v>0</v>
      </c>
      <c r="AA7" s="42" t="str">
        <f>IF(NOT(ISNUMBER(tblConfigs[[#This Row],[Cube utilization]])),"",IF(tblConfigs[[#This Row],[Cube utilization]]&gt;=TargetCube,"On target",IF(tblConfigs[[#This Row],[Cube utilization]]&gt;=TargetCube*(1-0.05),"Near target","Below target")))</f>
        <v>Below target</v>
      </c>
      <c r="AB7" s="44" t="str">
        <f>IF(tblConfigs[[#This Row],[SKU]]="","",IF(tblConfigs[[#This Row],[Case length]]="","Missing case length",IF(tblConfigs[[#This Row],[Case width]]="","Missing case width",IF(tblConfigs[[#This Row],[Case height]]="","Missing case height",IF(tblConfigs[[#This Row],[Case weight]]="","Missing case weight",IF(tblConfigs[[#This Row],[Cases per layer]]="","Missing cases per layer",IF(tblConfigs[[#This Row],[Layers]]="","Missing layers",IF(COUNTIF(tblPallets[Pallet type],tblConfigs[[#This Row],[Pallet type]])=0,"Pallet type not on Setup list",IF(tblConfigs[[#This Row],[Cases per layer]]*tblConfigs[[#This Row],[Case length]]*tblConfigs[[#This Row],[Case width]]&gt;tblConfigs[[#This Row],[Envelope]]*VolDiv/tblConfigs[[#This Row],[Height limit]],"Layer larger than pallet",IF(tblConfigs[[#This Row],[Layers]]*tblConfigs[[#This Row],[Case height]]&gt;tblConfigs[[#This Row],[Height limit]],"Too tall for pallet",IF(tblConfigs[[#This Row],[Cases per layer]]*tblConfigs[[#This Row],[Layers]]*tblConfigs[[#This Row],[Case weight]]&gt;tblConfigs[[#This Row],[Max payload]],"Over weight limit","OK")))))))))))</f>
        <v>OK</v>
      </c>
      <c r="AC7" s="28" t="s">
        <v>116</v>
      </c>
    </row>
    <row r="8" spans="1:29" x14ac:dyDescent="0.25">
      <c r="B8" s="28" t="s">
        <v>117</v>
      </c>
      <c r="C8" s="28" t="s">
        <v>118</v>
      </c>
      <c r="D8" s="28" t="s">
        <v>87</v>
      </c>
      <c r="E8" s="36">
        <v>22</v>
      </c>
      <c r="F8" s="36">
        <v>11</v>
      </c>
      <c r="G8" s="36">
        <v>11</v>
      </c>
      <c r="H8" s="36">
        <v>9.800000000000001</v>
      </c>
      <c r="I8" s="37">
        <v>2</v>
      </c>
      <c r="J8" s="37">
        <v>7</v>
      </c>
      <c r="K8" s="37">
        <v>3</v>
      </c>
      <c r="L8" s="37">
        <v>90</v>
      </c>
      <c r="M8" s="39">
        <f>IF(tblConfigs[[#This Row],[SKU]]="","",IFERROR(INDEX(tblPallets[Height limit],MATCH(tblConfigs[[#This Row],[Pallet type]],tblPallets[Pallet type],0)),""))</f>
        <v>54.5</v>
      </c>
      <c r="N8" s="39">
        <f>IF(tblConfigs[[#This Row],[SKU]]="","",IFERROR(INDEX(tblPallets[Envelope],MATCH(tblConfigs[[#This Row],[Pallet type]],tblPallets[Pallet type],0)),""))</f>
        <v>60.5555555555556</v>
      </c>
      <c r="O8" s="30">
        <f>IF(tblConfigs[[#This Row],[SKU]]="","",IFERROR(INDEX(tblPallets[Max payload],MATCH(tblConfigs[[#This Row],[Pallet type]],tblPallets[Pallet type],0)),""))</f>
        <v>2155</v>
      </c>
      <c r="P8" s="40">
        <f>IF(tblConfigs[[#This Row],[SKU]]="","",IFERROR(INDEX(tblPallets[Freight per pallet],MATCH(tblConfigs[[#This Row],[Pallet type]],tblPallets[Pallet type],0)),""))</f>
        <v>145</v>
      </c>
      <c r="Q8" s="30">
        <f>IF(tblConfigs[[#This Row],[SKU]]="","",tblConfigs[[#This Row],[Cases per layer]]*tblConfigs[[#This Row],[Layers]]*tblConfigs[[#This Row],[Units per case]])</f>
        <v>42</v>
      </c>
      <c r="R8" s="39">
        <f>IF(tblConfigs[[#This Row],[SKU]]="","",tblConfigs[[#This Row],[Cases per layer]]*tblConfigs[[#This Row],[Layers]]*tblConfigs[[#This Row],[Case length]]*tblConfigs[[#This Row],[Case width]]*tblConfigs[[#This Row],[Case height]]/VolDiv)</f>
        <v>32.3506944444444</v>
      </c>
      <c r="S8" s="41">
        <f>IF(tblConfigs[[#This Row],[SKU]]="","",IF(N(tblConfigs[[#This Row],[Envelope]])&gt;0,tblConfigs[[#This Row],[Load cube]]/tblConfigs[[#This Row],[Envelope]],""))</f>
        <v>0.534231651376147</v>
      </c>
      <c r="T8" s="41">
        <f>IF(tblConfigs[[#This Row],[SKU]]="","",IF(N(tblConfigs[[#This Row],[Max payload]])&gt;0,tblConfigs[[#This Row],[Cases per layer]]*tblConfigs[[#This Row],[Layers]]*tblConfigs[[#This Row],[Case weight]]/tblConfigs[[#This Row],[Max payload]],""))</f>
        <v>0.0954988399071926</v>
      </c>
      <c r="U8" s="30">
        <f>IF(tblConfigs[[#This Row],[SKU]]="","",IF(OR(tblConfigs[[#This Row],[Height limit]]="",tblConfigs[[#This Row],[Case height]]=0,tblConfigs[[#This Row],[Cases per layer]]*tblConfigs[[#This Row],[Case weight]]=0),"",MIN(INT(tblConfigs[[#This Row],[Height limit]]/tblConfigs[[#This Row],[Case height]]),INT(tblConfigs[[#This Row],[Max payload]]/(tblConfigs[[#This Row],[Cases per layer]]*tblConfigs[[#This Row],[Case weight]])))))</f>
        <v>4</v>
      </c>
      <c r="V8" s="30">
        <f>IF(tblConfigs[[#This Row],[SKU]]="","",IF(tblConfigs[[#This Row],[Max layers]]="","",MAX(0,tblConfigs[[#This Row],[Max layers]]-tblConfigs[[#This Row],[Layers]])))</f>
        <v>1</v>
      </c>
      <c r="W8" s="42" t="str">
        <f>IF(tblConfigs[[#This Row],[SKU]]="","",IF(tblConfigs[[#This Row],[Max layers]]="","",IF(INT(tblConfigs[[#This Row],[Height limit]]/tblConfigs[[#This Row],[Case height]])&lt;=INT(tblConfigs[[#This Row],[Max payload]]/(tblConfigs[[#This Row],[Cases per layer]]*tblConfigs[[#This Row],[Case weight]])),"Height","Weight")))</f>
        <v>Height</v>
      </c>
      <c r="X8" s="43">
        <f>IF(tblConfigs[[#This Row],[SKU]]="","",IF(OR(tblConfigs[[#This Row],[Freight per pallet]]="",tblConfigs[[#This Row],[Units per pallet]]=0),"",tblConfigs[[#This Row],[Freight per pallet]]/tblConfigs[[#This Row],[Units per pallet]]))</f>
        <v>3.45238095238095</v>
      </c>
      <c r="Y8" s="30">
        <f>IF(tblConfigs[[#This Row],[SKU]]="","",IF(tblConfigs[[#This Row],[Freight per pallet]]="","",tblConfigs[[#This Row],[Pallets per month]]*tblConfigs[[#This Row],[Freight per pallet]]))</f>
        <v>13050</v>
      </c>
      <c r="Z8" s="30">
        <f>IF(tblConfigs[[#This Row],[SKU]]="","",IF(OR(tblConfigs[[#This Row],[Layers to add]]="",tblConfigs[[#This Row],[Monthly freight]]=""),"",IF(tblConfigs[[#This Row],[Max layers]]&gt;0,tblConfigs[[#This Row],[Monthly freight]]*tblConfigs[[#This Row],[Layers to add]]/tblConfigs[[#This Row],[Max layers]],0)))</f>
        <v>3262.5</v>
      </c>
      <c r="AA8" s="42" t="str">
        <f>IF(NOT(ISNUMBER(tblConfigs[[#This Row],[Cube utilization]])),"",IF(tblConfigs[[#This Row],[Cube utilization]]&gt;=TargetCube,"On target",IF(tblConfigs[[#This Row],[Cube utilization]]&gt;=TargetCube*(1-0.05),"Near target","Below target")))</f>
        <v>Below target</v>
      </c>
      <c r="AB8" s="44" t="str">
        <f>IF(tblConfigs[[#This Row],[SKU]]="","",IF(tblConfigs[[#This Row],[Case length]]="","Missing case length",IF(tblConfigs[[#This Row],[Case width]]="","Missing case width",IF(tblConfigs[[#This Row],[Case height]]="","Missing case height",IF(tblConfigs[[#This Row],[Case weight]]="","Missing case weight",IF(tblConfigs[[#This Row],[Cases per layer]]="","Missing cases per layer",IF(tblConfigs[[#This Row],[Layers]]="","Missing layers",IF(COUNTIF(tblPallets[Pallet type],tblConfigs[[#This Row],[Pallet type]])=0,"Pallet type not on Setup list",IF(tblConfigs[[#This Row],[Cases per layer]]*tblConfigs[[#This Row],[Case length]]*tblConfigs[[#This Row],[Case width]]&gt;tblConfigs[[#This Row],[Envelope]]*VolDiv/tblConfigs[[#This Row],[Height limit]],"Layer larger than pallet",IF(tblConfigs[[#This Row],[Layers]]*tblConfigs[[#This Row],[Case height]]&gt;tblConfigs[[#This Row],[Height limit]],"Too tall for pallet",IF(tblConfigs[[#This Row],[Cases per layer]]*tblConfigs[[#This Row],[Layers]]*tblConfigs[[#This Row],[Case weight]]&gt;tblConfigs[[#This Row],[Max payload]],"Over weight limit","OK")))))))))))</f>
        <v>OK</v>
      </c>
      <c r="AC8" s="28" t="s">
        <v>119</v>
      </c>
    </row>
    <row r="9" spans="1:29" x14ac:dyDescent="0.25">
      <c r="B9" s="28" t="s">
        <v>120</v>
      </c>
      <c r="C9" s="28" t="s">
        <v>121</v>
      </c>
      <c r="D9" s="28" t="s">
        <v>88</v>
      </c>
      <c r="E9" s="36">
        <v>13</v>
      </c>
      <c r="F9" s="36">
        <v>10</v>
      </c>
      <c r="G9" s="36">
        <v>9.5</v>
      </c>
      <c r="H9" s="36">
        <v>24</v>
      </c>
      <c r="I9" s="37">
        <v>12</v>
      </c>
      <c r="J9" s="37">
        <v>14</v>
      </c>
      <c r="K9" s="37">
        <v>4</v>
      </c>
      <c r="L9" s="37">
        <v>40</v>
      </c>
      <c r="M9" s="39">
        <f>IF(tblConfigs[[#This Row],[SKU]]="","",IFERROR(INDEX(tblPallets[Height limit],MATCH(tblConfigs[[#This Row],[Pallet type]],tblPallets[Pallet type],0)),""))</f>
        <v>42.5</v>
      </c>
      <c r="N9" s="39">
        <f>IF(tblConfigs[[#This Row],[SKU]]="","",IFERROR(INDEX(tblPallets[Envelope],MATCH(tblConfigs[[#This Row],[Pallet type]],tblPallets[Pallet type],0)),""))</f>
        <v>47.2222222222222</v>
      </c>
      <c r="O9" s="30">
        <f>IF(tblConfigs[[#This Row],[SKU]]="","",IFERROR(INDEX(tblPallets[Max payload],MATCH(tblConfigs[[#This Row],[Pallet type]],tblPallets[Pallet type],0)),""))</f>
        <v>1355</v>
      </c>
      <c r="P9" s="40">
        <f>IF(tblConfigs[[#This Row],[SKU]]="","",IFERROR(INDEX(tblPallets[Freight per pallet],MATCH(tblConfigs[[#This Row],[Pallet type]],tblPallets[Pallet type],0)),""))</f>
        <v>98</v>
      </c>
      <c r="Q9" s="30">
        <f>IF(tblConfigs[[#This Row],[SKU]]="","",tblConfigs[[#This Row],[Cases per layer]]*tblConfigs[[#This Row],[Layers]]*tblConfigs[[#This Row],[Units per case]])</f>
        <v>672</v>
      </c>
      <c r="R9" s="39">
        <f>IF(tblConfigs[[#This Row],[SKU]]="","",tblConfigs[[#This Row],[Cases per layer]]*tblConfigs[[#This Row],[Layers]]*tblConfigs[[#This Row],[Case length]]*tblConfigs[[#This Row],[Case width]]*tblConfigs[[#This Row],[Case height]]/VolDiv)</f>
        <v>40.0231481481481</v>
      </c>
      <c r="S9" s="41">
        <f>IF(tblConfigs[[#This Row],[SKU]]="","",IF(N(tblConfigs[[#This Row],[Envelope]])&gt;0,tblConfigs[[#This Row],[Load cube]]/tblConfigs[[#This Row],[Envelope]],""))</f>
        <v>0.847549019607843</v>
      </c>
      <c r="T9" s="41">
        <f>IF(tblConfigs[[#This Row],[SKU]]="","",IF(N(tblConfigs[[#This Row],[Max payload]])&gt;0,tblConfigs[[#This Row],[Cases per layer]]*tblConfigs[[#This Row],[Layers]]*tblConfigs[[#This Row],[Case weight]]/tblConfigs[[#This Row],[Max payload]],""))</f>
        <v>0.991881918819188</v>
      </c>
      <c r="U9" s="30">
        <f>IF(tblConfigs[[#This Row],[SKU]]="","",IF(OR(tblConfigs[[#This Row],[Height limit]]="",tblConfigs[[#This Row],[Case height]]=0,tblConfigs[[#This Row],[Cases per layer]]*tblConfigs[[#This Row],[Case weight]]=0),"",MIN(INT(tblConfigs[[#This Row],[Height limit]]/tblConfigs[[#This Row],[Case height]]),INT(tblConfigs[[#This Row],[Max payload]]/(tblConfigs[[#This Row],[Cases per layer]]*tblConfigs[[#This Row],[Case weight]])))))</f>
        <v>4</v>
      </c>
      <c r="V9" s="30">
        <f>IF(tblConfigs[[#This Row],[SKU]]="","",IF(tblConfigs[[#This Row],[Max layers]]="","",MAX(0,tblConfigs[[#This Row],[Max layers]]-tblConfigs[[#This Row],[Layers]])))</f>
        <v>0</v>
      </c>
      <c r="W9" s="42" t="str">
        <f>IF(tblConfigs[[#This Row],[SKU]]="","",IF(tblConfigs[[#This Row],[Max layers]]="","",IF(INT(tblConfigs[[#This Row],[Height limit]]/tblConfigs[[#This Row],[Case height]])&lt;=INT(tblConfigs[[#This Row],[Max payload]]/(tblConfigs[[#This Row],[Cases per layer]]*tblConfigs[[#This Row],[Case weight]])),"Height","Weight")))</f>
        <v>Height</v>
      </c>
      <c r="X9" s="43">
        <f>IF(tblConfigs[[#This Row],[SKU]]="","",IF(OR(tblConfigs[[#This Row],[Freight per pallet]]="",tblConfigs[[#This Row],[Units per pallet]]=0),"",tblConfigs[[#This Row],[Freight per pallet]]/tblConfigs[[#This Row],[Units per pallet]]))</f>
        <v>0.145833333333333</v>
      </c>
      <c r="Y9" s="30">
        <f>IF(tblConfigs[[#This Row],[SKU]]="","",IF(tblConfigs[[#This Row],[Freight per pallet]]="","",tblConfigs[[#This Row],[Pallets per month]]*tblConfigs[[#This Row],[Freight per pallet]]))</f>
        <v>3920</v>
      </c>
      <c r="Z9" s="30">
        <f>IF(tblConfigs[[#This Row],[SKU]]="","",IF(OR(tblConfigs[[#This Row],[Layers to add]]="",tblConfigs[[#This Row],[Monthly freight]]=""),"",IF(tblConfigs[[#This Row],[Max layers]]&gt;0,tblConfigs[[#This Row],[Monthly freight]]*tblConfigs[[#This Row],[Layers to add]]/tblConfigs[[#This Row],[Max layers]],0)))</f>
        <v>0</v>
      </c>
      <c r="AA9" s="42" t="str">
        <f>IF(NOT(ISNUMBER(tblConfigs[[#This Row],[Cube utilization]])),"",IF(tblConfigs[[#This Row],[Cube utilization]]&gt;=TargetCube,"On target",IF(tblConfigs[[#This Row],[Cube utilization]]&gt;=TargetCube*(1-0.05),"Near target","Below target")))</f>
        <v>Near target</v>
      </c>
      <c r="AB9" s="44" t="str">
        <f>IF(tblConfigs[[#This Row],[SKU]]="","",IF(tblConfigs[[#This Row],[Case length]]="","Missing case length",IF(tblConfigs[[#This Row],[Case width]]="","Missing case width",IF(tblConfigs[[#This Row],[Case height]]="","Missing case height",IF(tblConfigs[[#This Row],[Case weight]]="","Missing case weight",IF(tblConfigs[[#This Row],[Cases per layer]]="","Missing cases per layer",IF(tblConfigs[[#This Row],[Layers]]="","Missing layers",IF(COUNTIF(tblPallets[Pallet type],tblConfigs[[#This Row],[Pallet type]])=0,"Pallet type not on Setup list",IF(tblConfigs[[#This Row],[Cases per layer]]*tblConfigs[[#This Row],[Case length]]*tblConfigs[[#This Row],[Case width]]&gt;tblConfigs[[#This Row],[Envelope]]*VolDiv/tblConfigs[[#This Row],[Height limit]],"Layer larger than pallet",IF(tblConfigs[[#This Row],[Layers]]*tblConfigs[[#This Row],[Case height]]&gt;tblConfigs[[#This Row],[Height limit]],"Too tall for pallet",IF(tblConfigs[[#This Row],[Cases per layer]]*tblConfigs[[#This Row],[Layers]]*tblConfigs[[#This Row],[Case weight]]&gt;tblConfigs[[#This Row],[Max payload]],"Over weight limit","OK")))))))))))</f>
        <v>OK</v>
      </c>
      <c r="AC9" s="28" t="s">
        <v>116</v>
      </c>
    </row>
    <row r="10" spans="1:29" x14ac:dyDescent="0.25">
      <c r="B10" s="28" t="s">
        <v>122</v>
      </c>
      <c r="C10" s="28" t="s">
        <v>123</v>
      </c>
      <c r="D10" s="28" t="s">
        <v>87</v>
      </c>
      <c r="E10" s="36">
        <v>16</v>
      </c>
      <c r="F10" s="36">
        <v>12</v>
      </c>
      <c r="G10" s="36">
        <v>10</v>
      </c>
      <c r="H10" s="36">
        <v>18</v>
      </c>
      <c r="I10" s="37">
        <v>6</v>
      </c>
      <c r="J10" s="37">
        <v>10</v>
      </c>
      <c r="K10" s="37">
        <v>4</v>
      </c>
      <c r="L10" s="37">
        <v>55</v>
      </c>
      <c r="M10" s="39">
        <f>IF(tblConfigs[[#This Row],[SKU]]="","",IFERROR(INDEX(tblPallets[Height limit],MATCH(tblConfigs[[#This Row],[Pallet type]],tblPallets[Pallet type],0)),""))</f>
        <v>54.5</v>
      </c>
      <c r="N10" s="39">
        <f>IF(tblConfigs[[#This Row],[SKU]]="","",IFERROR(INDEX(tblPallets[Envelope],MATCH(tblConfigs[[#This Row],[Pallet type]],tblPallets[Pallet type],0)),""))</f>
        <v>60.5555555555556</v>
      </c>
      <c r="O10" s="30">
        <f>IF(tblConfigs[[#This Row],[SKU]]="","",IFERROR(INDEX(tblPallets[Max payload],MATCH(tblConfigs[[#This Row],[Pallet type]],tblPallets[Pallet type],0)),""))</f>
        <v>2155</v>
      </c>
      <c r="P10" s="40">
        <f>IF(tblConfigs[[#This Row],[SKU]]="","",IFERROR(INDEX(tblPallets[Freight per pallet],MATCH(tblConfigs[[#This Row],[Pallet type]],tblPallets[Pallet type],0)),""))</f>
        <v>145</v>
      </c>
      <c r="Q10" s="30">
        <f>IF(tblConfigs[[#This Row],[SKU]]="","",tblConfigs[[#This Row],[Cases per layer]]*tblConfigs[[#This Row],[Layers]]*tblConfigs[[#This Row],[Units per case]])</f>
        <v>240</v>
      </c>
      <c r="R10" s="39">
        <f>IF(tblConfigs[[#This Row],[SKU]]="","",tblConfigs[[#This Row],[Cases per layer]]*tblConfigs[[#This Row],[Layers]]*tblConfigs[[#This Row],[Case length]]*tblConfigs[[#This Row],[Case width]]*tblConfigs[[#This Row],[Case height]]/VolDiv)</f>
        <v>44.4444444444444</v>
      </c>
      <c r="S10" s="41">
        <f>IF(tblConfigs[[#This Row],[SKU]]="","",IF(N(tblConfigs[[#This Row],[Envelope]])&gt;0,tblConfigs[[#This Row],[Load cube]]/tblConfigs[[#This Row],[Envelope]],""))</f>
        <v>0.73394495412844</v>
      </c>
      <c r="T10" s="41">
        <f>IF(tblConfigs[[#This Row],[SKU]]="","",IF(N(tblConfigs[[#This Row],[Max payload]])&gt;0,tblConfigs[[#This Row],[Cases per layer]]*tblConfigs[[#This Row],[Layers]]*tblConfigs[[#This Row],[Case weight]]/tblConfigs[[#This Row],[Max payload]],""))</f>
        <v>0.334106728538283</v>
      </c>
      <c r="U10" s="30">
        <f>IF(tblConfigs[[#This Row],[SKU]]="","",IF(OR(tblConfigs[[#This Row],[Height limit]]="",tblConfigs[[#This Row],[Case height]]=0,tblConfigs[[#This Row],[Cases per layer]]*tblConfigs[[#This Row],[Case weight]]=0),"",MIN(INT(tblConfigs[[#This Row],[Height limit]]/tblConfigs[[#This Row],[Case height]]),INT(tblConfigs[[#This Row],[Max payload]]/(tblConfigs[[#This Row],[Cases per layer]]*tblConfigs[[#This Row],[Case weight]])))))</f>
        <v>5</v>
      </c>
      <c r="V10" s="30">
        <f>IF(tblConfigs[[#This Row],[SKU]]="","",IF(tblConfigs[[#This Row],[Max layers]]="","",MAX(0,tblConfigs[[#This Row],[Max layers]]-tblConfigs[[#This Row],[Layers]])))</f>
        <v>1</v>
      </c>
      <c r="W10" s="42" t="str">
        <f>IF(tblConfigs[[#This Row],[SKU]]="","",IF(tblConfigs[[#This Row],[Max layers]]="","",IF(INT(tblConfigs[[#This Row],[Height limit]]/tblConfigs[[#This Row],[Case height]])&lt;=INT(tblConfigs[[#This Row],[Max payload]]/(tblConfigs[[#This Row],[Cases per layer]]*tblConfigs[[#This Row],[Case weight]])),"Height","Weight")))</f>
        <v>Height</v>
      </c>
      <c r="X10" s="43">
        <f>IF(tblConfigs[[#This Row],[SKU]]="","",IF(OR(tblConfigs[[#This Row],[Freight per pallet]]="",tblConfigs[[#This Row],[Units per pallet]]=0),"",tblConfigs[[#This Row],[Freight per pallet]]/tblConfigs[[#This Row],[Units per pallet]]))</f>
        <v>0.604166666666667</v>
      </c>
      <c r="Y10" s="30">
        <f>IF(tblConfigs[[#This Row],[SKU]]="","",IF(tblConfigs[[#This Row],[Freight per pallet]]="","",tblConfigs[[#This Row],[Pallets per month]]*tblConfigs[[#This Row],[Freight per pallet]]))</f>
        <v>7975</v>
      </c>
      <c r="Z10" s="30">
        <f>IF(tblConfigs[[#This Row],[SKU]]="","",IF(OR(tblConfigs[[#This Row],[Layers to add]]="",tblConfigs[[#This Row],[Monthly freight]]=""),"",IF(tblConfigs[[#This Row],[Max layers]]&gt;0,tblConfigs[[#This Row],[Monthly freight]]*tblConfigs[[#This Row],[Layers to add]]/tblConfigs[[#This Row],[Max layers]],0)))</f>
        <v>1595</v>
      </c>
      <c r="AA10" s="42" t="str">
        <f>IF(NOT(ISNUMBER(tblConfigs[[#This Row],[Cube utilization]])),"",IF(tblConfigs[[#This Row],[Cube utilization]]&gt;=TargetCube,"On target",IF(tblConfigs[[#This Row],[Cube utilization]]&gt;=TargetCube*(1-0.05),"Near target","Below target")))</f>
        <v>Below target</v>
      </c>
      <c r="AB10" s="44" t="str">
        <f>IF(tblConfigs[[#This Row],[SKU]]="","",IF(tblConfigs[[#This Row],[Case length]]="","Missing case length",IF(tblConfigs[[#This Row],[Case width]]="","Missing case width",IF(tblConfigs[[#This Row],[Case height]]="","Missing case height",IF(tblConfigs[[#This Row],[Case weight]]="","Missing case weight",IF(tblConfigs[[#This Row],[Cases per layer]]="","Missing cases per layer",IF(tblConfigs[[#This Row],[Layers]]="","Missing layers",IF(COUNTIF(tblPallets[Pallet type],tblConfigs[[#This Row],[Pallet type]])=0,"Pallet type not on Setup list",IF(tblConfigs[[#This Row],[Cases per layer]]*tblConfigs[[#This Row],[Case length]]*tblConfigs[[#This Row],[Case width]]&gt;tblConfigs[[#This Row],[Envelope]]*VolDiv/tblConfigs[[#This Row],[Height limit]],"Layer larger than pallet",IF(tblConfigs[[#This Row],[Layers]]*tblConfigs[[#This Row],[Case height]]&gt;tblConfigs[[#This Row],[Height limit]],"Too tall for pallet",IF(tblConfigs[[#This Row],[Cases per layer]]*tblConfigs[[#This Row],[Layers]]*tblConfigs[[#This Row],[Case weight]]&gt;tblConfigs[[#This Row],[Max payload]],"Over weight limit","OK")))))))))))</f>
        <v>OK</v>
      </c>
      <c r="AC10" s="28" t="s">
        <v>116</v>
      </c>
    </row>
    <row r="11" spans="1:29" x14ac:dyDescent="0.25">
      <c r="B11" s="28" t="s">
        <v>124</v>
      </c>
      <c r="C11" s="28" t="s">
        <v>125</v>
      </c>
      <c r="D11" s="28" t="s">
        <v>87</v>
      </c>
      <c r="E11" s="36">
        <v>14</v>
      </c>
      <c r="F11" s="36">
        <v>9.5</v>
      </c>
      <c r="G11" s="36">
        <v>12</v>
      </c>
      <c r="H11" s="36">
        <v>50</v>
      </c>
      <c r="I11" s="37">
        <v>6</v>
      </c>
      <c r="J11" s="37">
        <v>14</v>
      </c>
      <c r="K11" s="37">
        <v>3</v>
      </c>
      <c r="L11" s="37">
        <v>70</v>
      </c>
      <c r="M11" s="39">
        <f>IF(tblConfigs[[#This Row],[SKU]]="","",IFERROR(INDEX(tblPallets[Height limit],MATCH(tblConfigs[[#This Row],[Pallet type]],tblPallets[Pallet type],0)),""))</f>
        <v>54.5</v>
      </c>
      <c r="N11" s="39">
        <f>IF(tblConfigs[[#This Row],[SKU]]="","",IFERROR(INDEX(tblPallets[Envelope],MATCH(tblConfigs[[#This Row],[Pallet type]],tblPallets[Pallet type],0)),""))</f>
        <v>60.5555555555556</v>
      </c>
      <c r="O11" s="30">
        <f>IF(tblConfigs[[#This Row],[SKU]]="","",IFERROR(INDEX(tblPallets[Max payload],MATCH(tblConfigs[[#This Row],[Pallet type]],tblPallets[Pallet type],0)),""))</f>
        <v>2155</v>
      </c>
      <c r="P11" s="40">
        <f>IF(tblConfigs[[#This Row],[SKU]]="","",IFERROR(INDEX(tblPallets[Freight per pallet],MATCH(tblConfigs[[#This Row],[Pallet type]],tblPallets[Pallet type],0)),""))</f>
        <v>145</v>
      </c>
      <c r="Q11" s="30">
        <f>IF(tblConfigs[[#This Row],[SKU]]="","",tblConfigs[[#This Row],[Cases per layer]]*tblConfigs[[#This Row],[Layers]]*tblConfigs[[#This Row],[Units per case]])</f>
        <v>252</v>
      </c>
      <c r="R11" s="39">
        <f>IF(tblConfigs[[#This Row],[SKU]]="","",tblConfigs[[#This Row],[Cases per layer]]*tblConfigs[[#This Row],[Layers]]*tblConfigs[[#This Row],[Case length]]*tblConfigs[[#This Row],[Case width]]*tblConfigs[[#This Row],[Case height]]/VolDiv)</f>
        <v>38.7916666666667</v>
      </c>
      <c r="S11" s="41">
        <f>IF(tblConfigs[[#This Row],[SKU]]="","",IF(N(tblConfigs[[#This Row],[Envelope]])&gt;0,tblConfigs[[#This Row],[Load cube]]/tblConfigs[[#This Row],[Envelope]],""))</f>
        <v>0.640596330275229</v>
      </c>
      <c r="T11" s="41">
        <f>IF(tblConfigs[[#This Row],[SKU]]="","",IF(N(tblConfigs[[#This Row],[Max payload]])&gt;0,tblConfigs[[#This Row],[Cases per layer]]*tblConfigs[[#This Row],[Layers]]*tblConfigs[[#This Row],[Case weight]]/tblConfigs[[#This Row],[Max payload]],""))</f>
        <v>0.974477958236659</v>
      </c>
      <c r="U11" s="30">
        <f>IF(tblConfigs[[#This Row],[SKU]]="","",IF(OR(tblConfigs[[#This Row],[Height limit]]="",tblConfigs[[#This Row],[Case height]]=0,tblConfigs[[#This Row],[Cases per layer]]*tblConfigs[[#This Row],[Case weight]]=0),"",MIN(INT(tblConfigs[[#This Row],[Height limit]]/tblConfigs[[#This Row],[Case height]]),INT(tblConfigs[[#This Row],[Max payload]]/(tblConfigs[[#This Row],[Cases per layer]]*tblConfigs[[#This Row],[Case weight]])))))</f>
        <v>3</v>
      </c>
      <c r="V11" s="30">
        <f>IF(tblConfigs[[#This Row],[SKU]]="","",IF(tblConfigs[[#This Row],[Max layers]]="","",MAX(0,tblConfigs[[#This Row],[Max layers]]-tblConfigs[[#This Row],[Layers]])))</f>
        <v>0</v>
      </c>
      <c r="W11" s="42" t="str">
        <f>IF(tblConfigs[[#This Row],[SKU]]="","",IF(tblConfigs[[#This Row],[Max layers]]="","",IF(INT(tblConfigs[[#This Row],[Height limit]]/tblConfigs[[#This Row],[Case height]])&lt;=INT(tblConfigs[[#This Row],[Max payload]]/(tblConfigs[[#This Row],[Cases per layer]]*tblConfigs[[#This Row],[Case weight]])),"Height","Weight")))</f>
        <v>Weight</v>
      </c>
      <c r="X11" s="43">
        <f>IF(tblConfigs[[#This Row],[SKU]]="","",IF(OR(tblConfigs[[#This Row],[Freight per pallet]]="",tblConfigs[[#This Row],[Units per pallet]]=0),"",tblConfigs[[#This Row],[Freight per pallet]]/tblConfigs[[#This Row],[Units per pallet]]))</f>
        <v>0.575396825396825</v>
      </c>
      <c r="Y11" s="30">
        <f>IF(tblConfigs[[#This Row],[SKU]]="","",IF(tblConfigs[[#This Row],[Freight per pallet]]="","",tblConfigs[[#This Row],[Pallets per month]]*tblConfigs[[#This Row],[Freight per pallet]]))</f>
        <v>10150</v>
      </c>
      <c r="Z11" s="30">
        <f>IF(tblConfigs[[#This Row],[SKU]]="","",IF(OR(tblConfigs[[#This Row],[Layers to add]]="",tblConfigs[[#This Row],[Monthly freight]]=""),"",IF(tblConfigs[[#This Row],[Max layers]]&gt;0,tblConfigs[[#This Row],[Monthly freight]]*tblConfigs[[#This Row],[Layers to add]]/tblConfigs[[#This Row],[Max layers]],0)))</f>
        <v>0</v>
      </c>
      <c r="AA11" s="42" t="str">
        <f>IF(NOT(ISNUMBER(tblConfigs[[#This Row],[Cube utilization]])),"",IF(tblConfigs[[#This Row],[Cube utilization]]&gt;=TargetCube,"On target",IF(tblConfigs[[#This Row],[Cube utilization]]&gt;=TargetCube*(1-0.05),"Near target","Below target")))</f>
        <v>Below target</v>
      </c>
      <c r="AB11" s="44" t="str">
        <f>IF(tblConfigs[[#This Row],[SKU]]="","",IF(tblConfigs[[#This Row],[Case length]]="","Missing case length",IF(tblConfigs[[#This Row],[Case width]]="","Missing case width",IF(tblConfigs[[#This Row],[Case height]]="","Missing case height",IF(tblConfigs[[#This Row],[Case weight]]="","Missing case weight",IF(tblConfigs[[#This Row],[Cases per layer]]="","Missing cases per layer",IF(tblConfigs[[#This Row],[Layers]]="","Missing layers",IF(COUNTIF(tblPallets[Pallet type],tblConfigs[[#This Row],[Pallet type]])=0,"Pallet type not on Setup list",IF(tblConfigs[[#This Row],[Cases per layer]]*tblConfigs[[#This Row],[Case length]]*tblConfigs[[#This Row],[Case width]]&gt;tblConfigs[[#This Row],[Envelope]]*VolDiv/tblConfigs[[#This Row],[Height limit]],"Layer larger than pallet",IF(tblConfigs[[#This Row],[Layers]]*tblConfigs[[#This Row],[Case height]]&gt;tblConfigs[[#This Row],[Height limit]],"Too tall for pallet",IF(tblConfigs[[#This Row],[Cases per layer]]*tblConfigs[[#This Row],[Layers]]*tblConfigs[[#This Row],[Case weight]]&gt;tblConfigs[[#This Row],[Max payload]],"Over weight limit","OK")))))))))))</f>
        <v>OK</v>
      </c>
      <c r="AC11" s="28" t="s">
        <v>126</v>
      </c>
    </row>
    <row r="12" spans="1:29" x14ac:dyDescent="0.25">
      <c r="B12" s="28" t="s">
        <v>127</v>
      </c>
      <c r="C12" s="28" t="s">
        <v>128</v>
      </c>
      <c r="D12" s="28" t="s">
        <v>87</v>
      </c>
      <c r="E12" s="36">
        <v>18</v>
      </c>
      <c r="F12" s="36">
        <v>12</v>
      </c>
      <c r="G12" s="36">
        <v>8.5</v>
      </c>
      <c r="H12" s="36">
        <v>14</v>
      </c>
      <c r="I12" s="37">
        <v>12</v>
      </c>
      <c r="J12" s="37">
        <v>8</v>
      </c>
      <c r="K12" s="37">
        <v>6</v>
      </c>
      <c r="L12" s="37">
        <v>35</v>
      </c>
      <c r="M12" s="39">
        <f>IF(tblConfigs[[#This Row],[SKU]]="","",IFERROR(INDEX(tblPallets[Height limit],MATCH(tblConfigs[[#This Row],[Pallet type]],tblPallets[Pallet type],0)),""))</f>
        <v>54.5</v>
      </c>
      <c r="N12" s="39">
        <f>IF(tblConfigs[[#This Row],[SKU]]="","",IFERROR(INDEX(tblPallets[Envelope],MATCH(tblConfigs[[#This Row],[Pallet type]],tblPallets[Pallet type],0)),""))</f>
        <v>60.5555555555556</v>
      </c>
      <c r="O12" s="30">
        <f>IF(tblConfigs[[#This Row],[SKU]]="","",IFERROR(INDEX(tblPallets[Max payload],MATCH(tblConfigs[[#This Row],[Pallet type]],tblPallets[Pallet type],0)),""))</f>
        <v>2155</v>
      </c>
      <c r="P12" s="40">
        <f>IF(tblConfigs[[#This Row],[SKU]]="","",IFERROR(INDEX(tblPallets[Freight per pallet],MATCH(tblConfigs[[#This Row],[Pallet type]],tblPallets[Pallet type],0)),""))</f>
        <v>145</v>
      </c>
      <c r="Q12" s="30">
        <f>IF(tblConfigs[[#This Row],[SKU]]="","",tblConfigs[[#This Row],[Cases per layer]]*tblConfigs[[#This Row],[Layers]]*tblConfigs[[#This Row],[Units per case]])</f>
        <v>576</v>
      </c>
      <c r="R12" s="39">
        <f>IF(tblConfigs[[#This Row],[SKU]]="","",tblConfigs[[#This Row],[Cases per layer]]*tblConfigs[[#This Row],[Layers]]*tblConfigs[[#This Row],[Case length]]*tblConfigs[[#This Row],[Case width]]*tblConfigs[[#This Row],[Case height]]/VolDiv)</f>
        <v>51</v>
      </c>
      <c r="S12" s="41">
        <f>IF(tblConfigs[[#This Row],[SKU]]="","",IF(N(tblConfigs[[#This Row],[Envelope]])&gt;0,tblConfigs[[#This Row],[Load cube]]/tblConfigs[[#This Row],[Envelope]],""))</f>
        <v>0.842201834862385</v>
      </c>
      <c r="T12" s="41">
        <f>IF(tblConfigs[[#This Row],[SKU]]="","",IF(N(tblConfigs[[#This Row],[Max payload]])&gt;0,tblConfigs[[#This Row],[Cases per layer]]*tblConfigs[[#This Row],[Layers]]*tblConfigs[[#This Row],[Case weight]]/tblConfigs[[#This Row],[Max payload]],""))</f>
        <v>0.311832946635731</v>
      </c>
      <c r="U12" s="30">
        <f>IF(tblConfigs[[#This Row],[SKU]]="","",IF(OR(tblConfigs[[#This Row],[Height limit]]="",tblConfigs[[#This Row],[Case height]]=0,tblConfigs[[#This Row],[Cases per layer]]*tblConfigs[[#This Row],[Case weight]]=0),"",MIN(INT(tblConfigs[[#This Row],[Height limit]]/tblConfigs[[#This Row],[Case height]]),INT(tblConfigs[[#This Row],[Max payload]]/(tblConfigs[[#This Row],[Cases per layer]]*tblConfigs[[#This Row],[Case weight]])))))</f>
        <v>6</v>
      </c>
      <c r="V12" s="30">
        <f>IF(tblConfigs[[#This Row],[SKU]]="","",IF(tblConfigs[[#This Row],[Max layers]]="","",MAX(0,tblConfigs[[#This Row],[Max layers]]-tblConfigs[[#This Row],[Layers]])))</f>
        <v>0</v>
      </c>
      <c r="W12" s="42" t="str">
        <f>IF(tblConfigs[[#This Row],[SKU]]="","",IF(tblConfigs[[#This Row],[Max layers]]="","",IF(INT(tblConfigs[[#This Row],[Height limit]]/tblConfigs[[#This Row],[Case height]])&lt;=INT(tblConfigs[[#This Row],[Max payload]]/(tblConfigs[[#This Row],[Cases per layer]]*tblConfigs[[#This Row],[Case weight]])),"Height","Weight")))</f>
        <v>Height</v>
      </c>
      <c r="X12" s="43">
        <f>IF(tblConfigs[[#This Row],[SKU]]="","",IF(OR(tblConfigs[[#This Row],[Freight per pallet]]="",tblConfigs[[#This Row],[Units per pallet]]=0),"",tblConfigs[[#This Row],[Freight per pallet]]/tblConfigs[[#This Row],[Units per pallet]]))</f>
        <v>0.251736111111111</v>
      </c>
      <c r="Y12" s="30">
        <f>IF(tblConfigs[[#This Row],[SKU]]="","",IF(tblConfigs[[#This Row],[Freight per pallet]]="","",tblConfigs[[#This Row],[Pallets per month]]*tblConfigs[[#This Row],[Freight per pallet]]))</f>
        <v>5075</v>
      </c>
      <c r="Z12" s="30">
        <f>IF(tblConfigs[[#This Row],[SKU]]="","",IF(OR(tblConfigs[[#This Row],[Layers to add]]="",tblConfigs[[#This Row],[Monthly freight]]=""),"",IF(tblConfigs[[#This Row],[Max layers]]&gt;0,tblConfigs[[#This Row],[Monthly freight]]*tblConfigs[[#This Row],[Layers to add]]/tblConfigs[[#This Row],[Max layers]],0)))</f>
        <v>0</v>
      </c>
      <c r="AA12" s="42" t="str">
        <f>IF(NOT(ISNUMBER(tblConfigs[[#This Row],[Cube utilization]])),"",IF(tblConfigs[[#This Row],[Cube utilization]]&gt;=TargetCube,"On target",IF(tblConfigs[[#This Row],[Cube utilization]]&gt;=TargetCube*(1-0.05),"Near target","Below target")))</f>
        <v>Near target</v>
      </c>
      <c r="AB12" s="44" t="str">
        <f>IF(tblConfigs[[#This Row],[SKU]]="","",IF(tblConfigs[[#This Row],[Case length]]="","Missing case length",IF(tblConfigs[[#This Row],[Case width]]="","Missing case width",IF(tblConfigs[[#This Row],[Case height]]="","Missing case height",IF(tblConfigs[[#This Row],[Case weight]]="","Missing case weight",IF(tblConfigs[[#This Row],[Cases per layer]]="","Missing cases per layer",IF(tblConfigs[[#This Row],[Layers]]="","Missing layers",IF(COUNTIF(tblPallets[Pallet type],tblConfigs[[#This Row],[Pallet type]])=0,"Pallet type not on Setup list",IF(tblConfigs[[#This Row],[Cases per layer]]*tblConfigs[[#This Row],[Case length]]*tblConfigs[[#This Row],[Case width]]&gt;tblConfigs[[#This Row],[Envelope]]*VolDiv/tblConfigs[[#This Row],[Height limit]],"Layer larger than pallet",IF(tblConfigs[[#This Row],[Layers]]*tblConfigs[[#This Row],[Case height]]&gt;tblConfigs[[#This Row],[Height limit]],"Too tall for pallet",IF(tblConfigs[[#This Row],[Cases per layer]]*tblConfigs[[#This Row],[Layers]]*tblConfigs[[#This Row],[Case weight]]&gt;tblConfigs[[#This Row],[Max payload]],"Over weight limit","OK")))))))))))</f>
        <v>OK</v>
      </c>
      <c r="AC12" s="28" t="s">
        <v>116</v>
      </c>
    </row>
    <row r="13" spans="1:29" x14ac:dyDescent="0.25">
      <c r="B13" s="28" t="s">
        <v>129</v>
      </c>
      <c r="C13" s="28" t="s">
        <v>130</v>
      </c>
      <c r="D13" s="28" t="s">
        <v>89</v>
      </c>
      <c r="E13" s="36">
        <v>16</v>
      </c>
      <c r="F13" s="36">
        <v>10</v>
      </c>
      <c r="G13" s="36">
        <v>8</v>
      </c>
      <c r="H13" s="36">
        <v>7</v>
      </c>
      <c r="I13" s="37">
        <v>24</v>
      </c>
      <c r="J13" s="37">
        <v>6</v>
      </c>
      <c r="K13" s="37">
        <v>4</v>
      </c>
      <c r="L13" s="37">
        <v>20</v>
      </c>
      <c r="M13" s="39">
        <f>IF(tblConfigs[[#This Row],[SKU]]="","",IFERROR(INDEX(tblPallets[Height limit],MATCH(tblConfigs[[#This Row],[Pallet type]],tblPallets[Pallet type],0)),""))</f>
        <v>46.5</v>
      </c>
      <c r="N13" s="39">
        <f>IF(tblConfigs[[#This Row],[SKU]]="","",IFERROR(INDEX(tblPallets[Envelope],MATCH(tblConfigs[[#This Row],[Pallet type]],tblPallets[Pallet type],0)),""))</f>
        <v>25.8333333333333</v>
      </c>
      <c r="O13" s="30">
        <f>IF(tblConfigs[[#This Row],[SKU]]="","",IFERROR(INDEX(tblPallets[Max payload],MATCH(tblConfigs[[#This Row],[Pallet type]],tblPallets[Pallet type],0)),""))</f>
        <v>875</v>
      </c>
      <c r="P13" s="40">
        <f>IF(tblConfigs[[#This Row],[SKU]]="","",IFERROR(INDEX(tblPallets[Freight per pallet],MATCH(tblConfigs[[#This Row],[Pallet type]],tblPallets[Pallet type],0)),""))</f>
        <v>85</v>
      </c>
      <c r="Q13" s="30">
        <f>IF(tblConfigs[[#This Row],[SKU]]="","",tblConfigs[[#This Row],[Cases per layer]]*tblConfigs[[#This Row],[Layers]]*tblConfigs[[#This Row],[Units per case]])</f>
        <v>576</v>
      </c>
      <c r="R13" s="39">
        <f>IF(tblConfigs[[#This Row],[SKU]]="","",tblConfigs[[#This Row],[Cases per layer]]*tblConfigs[[#This Row],[Layers]]*tblConfigs[[#This Row],[Case length]]*tblConfigs[[#This Row],[Case width]]*tblConfigs[[#This Row],[Case height]]/VolDiv)</f>
        <v>17.7777777777778</v>
      </c>
      <c r="S13" s="41">
        <f>IF(tblConfigs[[#This Row],[SKU]]="","",IF(N(tblConfigs[[#This Row],[Envelope]])&gt;0,tblConfigs[[#This Row],[Load cube]]/tblConfigs[[#This Row],[Envelope]],""))</f>
        <v>0.688172043010753</v>
      </c>
      <c r="T13" s="41">
        <f>IF(tblConfigs[[#This Row],[SKU]]="","",IF(N(tblConfigs[[#This Row],[Max payload]])&gt;0,tblConfigs[[#This Row],[Cases per layer]]*tblConfigs[[#This Row],[Layers]]*tblConfigs[[#This Row],[Case weight]]/tblConfigs[[#This Row],[Max payload]],""))</f>
        <v>0.192</v>
      </c>
      <c r="U13" s="30">
        <f>IF(tblConfigs[[#This Row],[SKU]]="","",IF(OR(tblConfigs[[#This Row],[Height limit]]="",tblConfigs[[#This Row],[Case height]]=0,tblConfigs[[#This Row],[Cases per layer]]*tblConfigs[[#This Row],[Case weight]]=0),"",MIN(INT(tblConfigs[[#This Row],[Height limit]]/tblConfigs[[#This Row],[Case height]]),INT(tblConfigs[[#This Row],[Max payload]]/(tblConfigs[[#This Row],[Cases per layer]]*tblConfigs[[#This Row],[Case weight]])))))</f>
        <v>5</v>
      </c>
      <c r="V13" s="30">
        <f>IF(tblConfigs[[#This Row],[SKU]]="","",IF(tblConfigs[[#This Row],[Max layers]]="","",MAX(0,tblConfigs[[#This Row],[Max layers]]-tblConfigs[[#This Row],[Layers]])))</f>
        <v>1</v>
      </c>
      <c r="W13" s="42" t="str">
        <f>IF(tblConfigs[[#This Row],[SKU]]="","",IF(tblConfigs[[#This Row],[Max layers]]="","",IF(INT(tblConfigs[[#This Row],[Height limit]]/tblConfigs[[#This Row],[Case height]])&lt;=INT(tblConfigs[[#This Row],[Max payload]]/(tblConfigs[[#This Row],[Cases per layer]]*tblConfigs[[#This Row],[Case weight]])),"Height","Weight")))</f>
        <v>Height</v>
      </c>
      <c r="X13" s="43">
        <f>IF(tblConfigs[[#This Row],[SKU]]="","",IF(OR(tblConfigs[[#This Row],[Freight per pallet]]="",tblConfigs[[#This Row],[Units per pallet]]=0),"",tblConfigs[[#This Row],[Freight per pallet]]/tblConfigs[[#This Row],[Units per pallet]]))</f>
        <v>0.147569444444444</v>
      </c>
      <c r="Y13" s="30">
        <f>IF(tblConfigs[[#This Row],[SKU]]="","",IF(tblConfigs[[#This Row],[Freight per pallet]]="","",tblConfigs[[#This Row],[Pallets per month]]*tblConfigs[[#This Row],[Freight per pallet]]))</f>
        <v>1700</v>
      </c>
      <c r="Z13" s="30">
        <f>IF(tblConfigs[[#This Row],[SKU]]="","",IF(OR(tblConfigs[[#This Row],[Layers to add]]="",tblConfigs[[#This Row],[Monthly freight]]=""),"",IF(tblConfigs[[#This Row],[Max layers]]&gt;0,tblConfigs[[#This Row],[Monthly freight]]*tblConfigs[[#This Row],[Layers to add]]/tblConfigs[[#This Row],[Max layers]],0)))</f>
        <v>340</v>
      </c>
      <c r="AA13" s="42" t="str">
        <f>IF(NOT(ISNUMBER(tblConfigs[[#This Row],[Cube utilization]])),"",IF(tblConfigs[[#This Row],[Cube utilization]]&gt;=TargetCube,"On target",IF(tblConfigs[[#This Row],[Cube utilization]]&gt;=TargetCube*(1-0.05),"Near target","Below target")))</f>
        <v>Below target</v>
      </c>
      <c r="AB13" s="44" t="str">
        <f>IF(tblConfigs[[#This Row],[SKU]]="","",IF(tblConfigs[[#This Row],[Case length]]="","Missing case length",IF(tblConfigs[[#This Row],[Case width]]="","Missing case width",IF(tblConfigs[[#This Row],[Case height]]="","Missing case height",IF(tblConfigs[[#This Row],[Case weight]]="","Missing case weight",IF(tblConfigs[[#This Row],[Cases per layer]]="","Missing cases per layer",IF(tblConfigs[[#This Row],[Layers]]="","Missing layers",IF(COUNTIF(tblPallets[Pallet type],tblConfigs[[#This Row],[Pallet type]])=0,"Pallet type not on Setup list",IF(tblConfigs[[#This Row],[Cases per layer]]*tblConfigs[[#This Row],[Case length]]*tblConfigs[[#This Row],[Case width]]&gt;tblConfigs[[#This Row],[Envelope]]*VolDiv/tblConfigs[[#This Row],[Height limit]],"Layer larger than pallet",IF(tblConfigs[[#This Row],[Layers]]*tblConfigs[[#This Row],[Case height]]&gt;tblConfigs[[#This Row],[Height limit]],"Too tall for pallet",IF(tblConfigs[[#This Row],[Cases per layer]]*tblConfigs[[#This Row],[Layers]]*tblConfigs[[#This Row],[Case weight]]&gt;tblConfigs[[#This Row],[Max payload]],"Over weight limit","OK")))))))))))</f>
        <v>OK</v>
      </c>
      <c r="AC13" s="28" t="s">
        <v>131</v>
      </c>
    </row>
    <row r="14" spans="1:29" x14ac:dyDescent="0.25">
      <c r="B14" s="28" t="s">
        <v>132</v>
      </c>
      <c r="C14" s="28" t="s">
        <v>133</v>
      </c>
      <c r="D14" s="28" t="s">
        <v>88</v>
      </c>
      <c r="E14" s="36">
        <v>12</v>
      </c>
      <c r="F14" s="36">
        <v>8</v>
      </c>
      <c r="G14" s="36">
        <v>8</v>
      </c>
      <c r="H14" s="36">
        <v>16</v>
      </c>
      <c r="I14" s="37">
        <v>24</v>
      </c>
      <c r="J14" s="37">
        <v>20</v>
      </c>
      <c r="K14" s="37">
        <v>4</v>
      </c>
      <c r="L14" s="37">
        <v>25</v>
      </c>
      <c r="M14" s="39">
        <f>IF(tblConfigs[[#This Row],[SKU]]="","",IFERROR(INDEX(tblPallets[Height limit],MATCH(tblConfigs[[#This Row],[Pallet type]],tblPallets[Pallet type],0)),""))</f>
        <v>42.5</v>
      </c>
      <c r="N14" s="39">
        <f>IF(tblConfigs[[#This Row],[SKU]]="","",IFERROR(INDEX(tblPallets[Envelope],MATCH(tblConfigs[[#This Row],[Pallet type]],tblPallets[Pallet type],0)),""))</f>
        <v>47.2222222222222</v>
      </c>
      <c r="O14" s="30">
        <f>IF(tblConfigs[[#This Row],[SKU]]="","",IFERROR(INDEX(tblPallets[Max payload],MATCH(tblConfigs[[#This Row],[Pallet type]],tblPallets[Pallet type],0)),""))</f>
        <v>1355</v>
      </c>
      <c r="P14" s="40">
        <f>IF(tblConfigs[[#This Row],[SKU]]="","",IFERROR(INDEX(tblPallets[Freight per pallet],MATCH(tblConfigs[[#This Row],[Pallet type]],tblPallets[Pallet type],0)),""))</f>
        <v>98</v>
      </c>
      <c r="Q14" s="30">
        <f>IF(tblConfigs[[#This Row],[SKU]]="","",tblConfigs[[#This Row],[Cases per layer]]*tblConfigs[[#This Row],[Layers]]*tblConfigs[[#This Row],[Units per case]])</f>
        <v>1920</v>
      </c>
      <c r="R14" s="39">
        <f>IF(tblConfigs[[#This Row],[SKU]]="","",tblConfigs[[#This Row],[Cases per layer]]*tblConfigs[[#This Row],[Layers]]*tblConfigs[[#This Row],[Case length]]*tblConfigs[[#This Row],[Case width]]*tblConfigs[[#This Row],[Case height]]/VolDiv)</f>
        <v>35.5555555555556</v>
      </c>
      <c r="S14" s="41">
        <f>IF(tblConfigs[[#This Row],[SKU]]="","",IF(N(tblConfigs[[#This Row],[Envelope]])&gt;0,tblConfigs[[#This Row],[Load cube]]/tblConfigs[[#This Row],[Envelope]],""))</f>
        <v>0.752941176470588</v>
      </c>
      <c r="T14" s="41">
        <f>IF(tblConfigs[[#This Row],[SKU]]="","",IF(N(tblConfigs[[#This Row],[Max payload]])&gt;0,tblConfigs[[#This Row],[Cases per layer]]*tblConfigs[[#This Row],[Layers]]*tblConfigs[[#This Row],[Case weight]]/tblConfigs[[#This Row],[Max payload]],""))</f>
        <v>0.944649446494465</v>
      </c>
      <c r="U14" s="30">
        <f>IF(tblConfigs[[#This Row],[SKU]]="","",IF(OR(tblConfigs[[#This Row],[Height limit]]="",tblConfigs[[#This Row],[Case height]]=0,tblConfigs[[#This Row],[Cases per layer]]*tblConfigs[[#This Row],[Case weight]]=0),"",MIN(INT(tblConfigs[[#This Row],[Height limit]]/tblConfigs[[#This Row],[Case height]]),INT(tblConfigs[[#This Row],[Max payload]]/(tblConfigs[[#This Row],[Cases per layer]]*tblConfigs[[#This Row],[Case weight]])))))</f>
        <v>4</v>
      </c>
      <c r="V14" s="30">
        <f>IF(tblConfigs[[#This Row],[SKU]]="","",IF(tblConfigs[[#This Row],[Max layers]]="","",MAX(0,tblConfigs[[#This Row],[Max layers]]-tblConfigs[[#This Row],[Layers]])))</f>
        <v>0</v>
      </c>
      <c r="W14" s="42" t="str">
        <f>IF(tblConfigs[[#This Row],[SKU]]="","",IF(tblConfigs[[#This Row],[Max layers]]="","",IF(INT(tblConfigs[[#This Row],[Height limit]]/tblConfigs[[#This Row],[Case height]])&lt;=INT(tblConfigs[[#This Row],[Max payload]]/(tblConfigs[[#This Row],[Cases per layer]]*tblConfigs[[#This Row],[Case weight]])),"Height","Weight")))</f>
        <v>Weight</v>
      </c>
      <c r="X14" s="43">
        <f>IF(tblConfigs[[#This Row],[SKU]]="","",IF(OR(tblConfigs[[#This Row],[Freight per pallet]]="",tblConfigs[[#This Row],[Units per pallet]]=0),"",tblConfigs[[#This Row],[Freight per pallet]]/tblConfigs[[#This Row],[Units per pallet]]))</f>
        <v>0.0510416666666667</v>
      </c>
      <c r="Y14" s="30">
        <f>IF(tblConfigs[[#This Row],[SKU]]="","",IF(tblConfigs[[#This Row],[Freight per pallet]]="","",tblConfigs[[#This Row],[Pallets per month]]*tblConfigs[[#This Row],[Freight per pallet]]))</f>
        <v>2450</v>
      </c>
      <c r="Z14" s="30">
        <f>IF(tblConfigs[[#This Row],[SKU]]="","",IF(OR(tblConfigs[[#This Row],[Layers to add]]="",tblConfigs[[#This Row],[Monthly freight]]=""),"",IF(tblConfigs[[#This Row],[Max layers]]&gt;0,tblConfigs[[#This Row],[Monthly freight]]*tblConfigs[[#This Row],[Layers to add]]/tblConfigs[[#This Row],[Max layers]],0)))</f>
        <v>0</v>
      </c>
      <c r="AA14" s="42" t="str">
        <f>IF(NOT(ISNUMBER(tblConfigs[[#This Row],[Cube utilization]])),"",IF(tblConfigs[[#This Row],[Cube utilization]]&gt;=TargetCube,"On target",IF(tblConfigs[[#This Row],[Cube utilization]]&gt;=TargetCube*(1-0.05),"Near target","Below target")))</f>
        <v>Below target</v>
      </c>
      <c r="AB14" s="44" t="str">
        <f>IF(tblConfigs[[#This Row],[SKU]]="","",IF(tblConfigs[[#This Row],[Case length]]="","Missing case length",IF(tblConfigs[[#This Row],[Case width]]="","Missing case width",IF(tblConfigs[[#This Row],[Case height]]="","Missing case height",IF(tblConfigs[[#This Row],[Case weight]]="","Missing case weight",IF(tblConfigs[[#This Row],[Cases per layer]]="","Missing cases per layer",IF(tblConfigs[[#This Row],[Layers]]="","Missing layers",IF(COUNTIF(tblPallets[Pallet type],tblConfigs[[#This Row],[Pallet type]])=0,"Pallet type not on Setup list",IF(tblConfigs[[#This Row],[Cases per layer]]*tblConfigs[[#This Row],[Case length]]*tblConfigs[[#This Row],[Case width]]&gt;tblConfigs[[#This Row],[Envelope]]*VolDiv/tblConfigs[[#This Row],[Height limit]],"Layer larger than pallet",IF(tblConfigs[[#This Row],[Layers]]*tblConfigs[[#This Row],[Case height]]&gt;tblConfigs[[#This Row],[Height limit]],"Too tall for pallet",IF(tblConfigs[[#This Row],[Cases per layer]]*tblConfigs[[#This Row],[Layers]]*tblConfigs[[#This Row],[Case weight]]&gt;tblConfigs[[#This Row],[Max payload]],"Over weight limit","OK")))))))))))</f>
        <v>OK</v>
      </c>
      <c r="AC14" s="28" t="s">
        <v>116</v>
      </c>
    </row>
    <row r="15" spans="1:29" x14ac:dyDescent="0.25">
      <c r="B15" s="28" t="s">
        <v>134</v>
      </c>
      <c r="C15" s="28" t="s">
        <v>135</v>
      </c>
      <c r="D15" s="28" t="s">
        <v>87</v>
      </c>
      <c r="E15" s="36">
        <v>20</v>
      </c>
      <c r="F15" s="36">
        <v>14</v>
      </c>
      <c r="G15" s="36">
        <v>12</v>
      </c>
      <c r="H15" s="36">
        <v>8</v>
      </c>
      <c r="I15" s="37">
        <v>12</v>
      </c>
      <c r="J15" s="37">
        <v>6</v>
      </c>
      <c r="K15" s="37">
        <v>4</v>
      </c>
      <c r="L15" s="37">
        <v>15</v>
      </c>
      <c r="M15" s="39">
        <f>IF(tblConfigs[[#This Row],[SKU]]="","",IFERROR(INDEX(tblPallets[Height limit],MATCH(tblConfigs[[#This Row],[Pallet type]],tblPallets[Pallet type],0)),""))</f>
        <v>54.5</v>
      </c>
      <c r="N15" s="39">
        <f>IF(tblConfigs[[#This Row],[SKU]]="","",IFERROR(INDEX(tblPallets[Envelope],MATCH(tblConfigs[[#This Row],[Pallet type]],tblPallets[Pallet type],0)),""))</f>
        <v>60.5555555555556</v>
      </c>
      <c r="O15" s="30">
        <f>IF(tblConfigs[[#This Row],[SKU]]="","",IFERROR(INDEX(tblPallets[Max payload],MATCH(tblConfigs[[#This Row],[Pallet type]],tblPallets[Pallet type],0)),""))</f>
        <v>2155</v>
      </c>
      <c r="P15" s="40">
        <f>IF(tblConfigs[[#This Row],[SKU]]="","",IFERROR(INDEX(tblPallets[Freight per pallet],MATCH(tblConfigs[[#This Row],[Pallet type]],tblPallets[Pallet type],0)),""))</f>
        <v>145</v>
      </c>
      <c r="Q15" s="30">
        <f>IF(tblConfigs[[#This Row],[SKU]]="","",tblConfigs[[#This Row],[Cases per layer]]*tblConfigs[[#This Row],[Layers]]*tblConfigs[[#This Row],[Units per case]])</f>
        <v>288</v>
      </c>
      <c r="R15" s="39">
        <f>IF(tblConfigs[[#This Row],[SKU]]="","",tblConfigs[[#This Row],[Cases per layer]]*tblConfigs[[#This Row],[Layers]]*tblConfigs[[#This Row],[Case length]]*tblConfigs[[#This Row],[Case width]]*tblConfigs[[#This Row],[Case height]]/VolDiv)</f>
        <v>46.6666666666667</v>
      </c>
      <c r="S15" s="41">
        <f>IF(tblConfigs[[#This Row],[SKU]]="","",IF(N(tblConfigs[[#This Row],[Envelope]])&gt;0,tblConfigs[[#This Row],[Load cube]]/tblConfigs[[#This Row],[Envelope]],""))</f>
        <v>0.770642201834862</v>
      </c>
      <c r="T15" s="41">
        <f>IF(tblConfigs[[#This Row],[SKU]]="","",IF(N(tblConfigs[[#This Row],[Max payload]])&gt;0,tblConfigs[[#This Row],[Cases per layer]]*tblConfigs[[#This Row],[Layers]]*tblConfigs[[#This Row],[Case weight]]/tblConfigs[[#This Row],[Max payload]],""))</f>
        <v>0.0890951276102088</v>
      </c>
      <c r="U15" s="30">
        <f>IF(tblConfigs[[#This Row],[SKU]]="","",IF(OR(tblConfigs[[#This Row],[Height limit]]="",tblConfigs[[#This Row],[Case height]]=0,tblConfigs[[#This Row],[Cases per layer]]*tblConfigs[[#This Row],[Case weight]]=0),"",MIN(INT(tblConfigs[[#This Row],[Height limit]]/tblConfigs[[#This Row],[Case height]]),INT(tblConfigs[[#This Row],[Max payload]]/(tblConfigs[[#This Row],[Cases per layer]]*tblConfigs[[#This Row],[Case weight]])))))</f>
        <v>4</v>
      </c>
      <c r="V15" s="30">
        <f>IF(tblConfigs[[#This Row],[SKU]]="","",IF(tblConfigs[[#This Row],[Max layers]]="","",MAX(0,tblConfigs[[#This Row],[Max layers]]-tblConfigs[[#This Row],[Layers]])))</f>
        <v>0</v>
      </c>
      <c r="W15" s="42" t="str">
        <f>IF(tblConfigs[[#This Row],[SKU]]="","",IF(tblConfigs[[#This Row],[Max layers]]="","",IF(INT(tblConfigs[[#This Row],[Height limit]]/tblConfigs[[#This Row],[Case height]])&lt;=INT(tblConfigs[[#This Row],[Max payload]]/(tblConfigs[[#This Row],[Cases per layer]]*tblConfigs[[#This Row],[Case weight]])),"Height","Weight")))</f>
        <v>Height</v>
      </c>
      <c r="X15" s="43">
        <f>IF(tblConfigs[[#This Row],[SKU]]="","",IF(OR(tblConfigs[[#This Row],[Freight per pallet]]="",tblConfigs[[#This Row],[Units per pallet]]=0),"",tblConfigs[[#This Row],[Freight per pallet]]/tblConfigs[[#This Row],[Units per pallet]]))</f>
        <v>0.503472222222222</v>
      </c>
      <c r="Y15" s="30">
        <f>IF(tblConfigs[[#This Row],[SKU]]="","",IF(tblConfigs[[#This Row],[Freight per pallet]]="","",tblConfigs[[#This Row],[Pallets per month]]*tblConfigs[[#This Row],[Freight per pallet]]))</f>
        <v>2175</v>
      </c>
      <c r="Z15" s="30">
        <f>IF(tblConfigs[[#This Row],[SKU]]="","",IF(OR(tblConfigs[[#This Row],[Layers to add]]="",tblConfigs[[#This Row],[Monthly freight]]=""),"",IF(tblConfigs[[#This Row],[Max layers]]&gt;0,tblConfigs[[#This Row],[Monthly freight]]*tblConfigs[[#This Row],[Layers to add]]/tblConfigs[[#This Row],[Max layers]],0)))</f>
        <v>0</v>
      </c>
      <c r="AA15" s="42" t="str">
        <f>IF(NOT(ISNUMBER(tblConfigs[[#This Row],[Cube utilization]])),"",IF(tblConfigs[[#This Row],[Cube utilization]]&gt;=TargetCube,"On target",IF(tblConfigs[[#This Row],[Cube utilization]]&gt;=TargetCube*(1-0.05),"Near target","Below target")))</f>
        <v>Below target</v>
      </c>
      <c r="AB15" s="44" t="str">
        <f>IF(tblConfigs[[#This Row],[SKU]]="","",IF(tblConfigs[[#This Row],[Case length]]="","Missing case length",IF(tblConfigs[[#This Row],[Case width]]="","Missing case width",IF(tblConfigs[[#This Row],[Case height]]="","Missing case height",IF(tblConfigs[[#This Row],[Case weight]]="","Missing case weight",IF(tblConfigs[[#This Row],[Cases per layer]]="","Missing cases per layer",IF(tblConfigs[[#This Row],[Layers]]="","Missing layers",IF(COUNTIF(tblPallets[Pallet type],tblConfigs[[#This Row],[Pallet type]])=0,"Pallet type not on Setup list",IF(tblConfigs[[#This Row],[Cases per layer]]*tblConfigs[[#This Row],[Case length]]*tblConfigs[[#This Row],[Case width]]&gt;tblConfigs[[#This Row],[Envelope]]*VolDiv/tblConfigs[[#This Row],[Height limit]],"Layer larger than pallet",IF(tblConfigs[[#This Row],[Layers]]*tblConfigs[[#This Row],[Case height]]&gt;tblConfigs[[#This Row],[Height limit]],"Too tall for pallet",IF(tblConfigs[[#This Row],[Cases per layer]]*tblConfigs[[#This Row],[Layers]]*tblConfigs[[#This Row],[Case weight]]&gt;tblConfigs[[#This Row],[Max payload]],"Over weight limit","OK")))))))))))</f>
        <v>OK</v>
      </c>
      <c r="AC15" s="28" t="s">
        <v>116</v>
      </c>
    </row>
    <row r="16" spans="1:29" x14ac:dyDescent="0.25">
      <c r="B16" s="28" t="s">
        <v>136</v>
      </c>
      <c r="C16" s="28" t="s">
        <v>137</v>
      </c>
      <c r="D16" s="28" t="s">
        <v>87</v>
      </c>
      <c r="E16" s="36">
        <v>14</v>
      </c>
      <c r="F16" s="36">
        <v>10.5</v>
      </c>
      <c r="G16" s="36">
        <v>10</v>
      </c>
      <c r="H16" s="36">
        <v>15</v>
      </c>
      <c r="I16" s="37">
        <v>12</v>
      </c>
      <c r="J16" s="37">
        <v>13</v>
      </c>
      <c r="K16" s="37">
        <v>5</v>
      </c>
      <c r="L16" s="37">
        <v>30</v>
      </c>
      <c r="M16" s="39">
        <f>IF(tblConfigs[[#This Row],[SKU]]="","",IFERROR(INDEX(tblPallets[Height limit],MATCH(tblConfigs[[#This Row],[Pallet type]],tblPallets[Pallet type],0)),""))</f>
        <v>54.5</v>
      </c>
      <c r="N16" s="39">
        <f>IF(tblConfigs[[#This Row],[SKU]]="","",IFERROR(INDEX(tblPallets[Envelope],MATCH(tblConfigs[[#This Row],[Pallet type]],tblPallets[Pallet type],0)),""))</f>
        <v>60.5555555555556</v>
      </c>
      <c r="O16" s="30">
        <f>IF(tblConfigs[[#This Row],[SKU]]="","",IFERROR(INDEX(tblPallets[Max payload],MATCH(tblConfigs[[#This Row],[Pallet type]],tblPallets[Pallet type],0)),""))</f>
        <v>2155</v>
      </c>
      <c r="P16" s="40">
        <f>IF(tblConfigs[[#This Row],[SKU]]="","",IFERROR(INDEX(tblPallets[Freight per pallet],MATCH(tblConfigs[[#This Row],[Pallet type]],tblPallets[Pallet type],0)),""))</f>
        <v>145</v>
      </c>
      <c r="Q16" s="30">
        <f>IF(tblConfigs[[#This Row],[SKU]]="","",tblConfigs[[#This Row],[Cases per layer]]*tblConfigs[[#This Row],[Layers]]*tblConfigs[[#This Row],[Units per case]])</f>
        <v>780</v>
      </c>
      <c r="R16" s="39">
        <f>IF(tblConfigs[[#This Row],[SKU]]="","",tblConfigs[[#This Row],[Cases per layer]]*tblConfigs[[#This Row],[Layers]]*tblConfigs[[#This Row],[Case length]]*tblConfigs[[#This Row],[Case width]]*tblConfigs[[#This Row],[Case height]]/VolDiv)</f>
        <v>55.2951388888889</v>
      </c>
      <c r="S16" s="41">
        <f>IF(tblConfigs[[#This Row],[SKU]]="","",IF(N(tblConfigs[[#This Row],[Envelope]])&gt;0,tblConfigs[[#This Row],[Load cube]]/tblConfigs[[#This Row],[Envelope]],""))</f>
        <v>0.913130733944954</v>
      </c>
      <c r="T16" s="41">
        <f>IF(tblConfigs[[#This Row],[SKU]]="","",IF(N(tblConfigs[[#This Row],[Max payload]])&gt;0,tblConfigs[[#This Row],[Cases per layer]]*tblConfigs[[#This Row],[Layers]]*tblConfigs[[#This Row],[Case weight]]/tblConfigs[[#This Row],[Max payload]],""))</f>
        <v>0.452436194895592</v>
      </c>
      <c r="U16" s="30">
        <f>IF(tblConfigs[[#This Row],[SKU]]="","",IF(OR(tblConfigs[[#This Row],[Height limit]]="",tblConfigs[[#This Row],[Case height]]=0,tblConfigs[[#This Row],[Cases per layer]]*tblConfigs[[#This Row],[Case weight]]=0),"",MIN(INT(tblConfigs[[#This Row],[Height limit]]/tblConfigs[[#This Row],[Case height]]),INT(tblConfigs[[#This Row],[Max payload]]/(tblConfigs[[#This Row],[Cases per layer]]*tblConfigs[[#This Row],[Case weight]])))))</f>
        <v>5</v>
      </c>
      <c r="V16" s="30">
        <f>IF(tblConfigs[[#This Row],[SKU]]="","",IF(tblConfigs[[#This Row],[Max layers]]="","",MAX(0,tblConfigs[[#This Row],[Max layers]]-tblConfigs[[#This Row],[Layers]])))</f>
        <v>0</v>
      </c>
      <c r="W16" s="42" t="str">
        <f>IF(tblConfigs[[#This Row],[SKU]]="","",IF(tblConfigs[[#This Row],[Max layers]]="","",IF(INT(tblConfigs[[#This Row],[Height limit]]/tblConfigs[[#This Row],[Case height]])&lt;=INT(tblConfigs[[#This Row],[Max payload]]/(tblConfigs[[#This Row],[Cases per layer]]*tblConfigs[[#This Row],[Case weight]])),"Height","Weight")))</f>
        <v>Height</v>
      </c>
      <c r="X16" s="43">
        <f>IF(tblConfigs[[#This Row],[SKU]]="","",IF(OR(tblConfigs[[#This Row],[Freight per pallet]]="",tblConfigs[[#This Row],[Units per pallet]]=0),"",tblConfigs[[#This Row],[Freight per pallet]]/tblConfigs[[#This Row],[Units per pallet]]))</f>
        <v>0.185897435897436</v>
      </c>
      <c r="Y16" s="30">
        <f>IF(tblConfigs[[#This Row],[SKU]]="","",IF(tblConfigs[[#This Row],[Freight per pallet]]="","",tblConfigs[[#This Row],[Pallets per month]]*tblConfigs[[#This Row],[Freight per pallet]]))</f>
        <v>4350</v>
      </c>
      <c r="Z16" s="30">
        <f>IF(tblConfigs[[#This Row],[SKU]]="","",IF(OR(tblConfigs[[#This Row],[Layers to add]]="",tblConfigs[[#This Row],[Monthly freight]]=""),"",IF(tblConfigs[[#This Row],[Max layers]]&gt;0,tblConfigs[[#This Row],[Monthly freight]]*tblConfigs[[#This Row],[Layers to add]]/tblConfigs[[#This Row],[Max layers]],0)))</f>
        <v>0</v>
      </c>
      <c r="AA16" s="42" t="str">
        <f>IF(NOT(ISNUMBER(tblConfigs[[#This Row],[Cube utilization]])),"",IF(tblConfigs[[#This Row],[Cube utilization]]&gt;=TargetCube,"On target",IF(tblConfigs[[#This Row],[Cube utilization]]&gt;=TargetCube*(1-0.05),"Near target","Below target")))</f>
        <v>On target</v>
      </c>
      <c r="AB16" s="44" t="str">
        <f>IF(tblConfigs[[#This Row],[SKU]]="","",IF(tblConfigs[[#This Row],[Case length]]="","Missing case length",IF(tblConfigs[[#This Row],[Case width]]="","Missing case width",IF(tblConfigs[[#This Row],[Case height]]="","Missing case height",IF(tblConfigs[[#This Row],[Case weight]]="","Missing case weight",IF(tblConfigs[[#This Row],[Cases per layer]]="","Missing cases per layer",IF(tblConfigs[[#This Row],[Layers]]="","Missing layers",IF(COUNTIF(tblPallets[Pallet type],tblConfigs[[#This Row],[Pallet type]])=0,"Pallet type not on Setup list",IF(tblConfigs[[#This Row],[Cases per layer]]*tblConfigs[[#This Row],[Case length]]*tblConfigs[[#This Row],[Case width]]&gt;tblConfigs[[#This Row],[Envelope]]*VolDiv/tblConfigs[[#This Row],[Height limit]],"Layer larger than pallet",IF(tblConfigs[[#This Row],[Layers]]*tblConfigs[[#This Row],[Case height]]&gt;tblConfigs[[#This Row],[Height limit]],"Too tall for pallet",IF(tblConfigs[[#This Row],[Cases per layer]]*tblConfigs[[#This Row],[Layers]]*tblConfigs[[#This Row],[Case weight]]&gt;tblConfigs[[#This Row],[Max payload]],"Over weight limit","OK")))))))))))</f>
        <v>OK</v>
      </c>
      <c r="AC16" s="28" t="s">
        <v>138</v>
      </c>
    </row>
    <row r="17" spans="2:29" x14ac:dyDescent="0.25">
      <c r="B17" s="28" t="s">
        <v>139</v>
      </c>
      <c r="C17" s="28" t="s">
        <v>140</v>
      </c>
      <c r="D17" s="28" t="s">
        <v>88</v>
      </c>
      <c r="E17" s="36">
        <v>16</v>
      </c>
      <c r="F17" s="36">
        <v>12</v>
      </c>
      <c r="G17" s="36">
        <v>9</v>
      </c>
      <c r="H17" s="36">
        <v>22</v>
      </c>
      <c r="I17" s="37">
        <v>4</v>
      </c>
      <c r="J17" s="37">
        <v>10</v>
      </c>
      <c r="K17" s="37">
        <v>3</v>
      </c>
      <c r="L17" s="37">
        <v>45</v>
      </c>
      <c r="M17" s="39">
        <f>IF(tblConfigs[[#This Row],[SKU]]="","",IFERROR(INDEX(tblPallets[Height limit],MATCH(tblConfigs[[#This Row],[Pallet type]],tblPallets[Pallet type],0)),""))</f>
        <v>42.5</v>
      </c>
      <c r="N17" s="39">
        <f>IF(tblConfigs[[#This Row],[SKU]]="","",IFERROR(INDEX(tblPallets[Envelope],MATCH(tblConfigs[[#This Row],[Pallet type]],tblPallets[Pallet type],0)),""))</f>
        <v>47.2222222222222</v>
      </c>
      <c r="O17" s="30">
        <f>IF(tblConfigs[[#This Row],[SKU]]="","",IFERROR(INDEX(tblPallets[Max payload],MATCH(tblConfigs[[#This Row],[Pallet type]],tblPallets[Pallet type],0)),""))</f>
        <v>1355</v>
      </c>
      <c r="P17" s="40">
        <f>IF(tblConfigs[[#This Row],[SKU]]="","",IFERROR(INDEX(tblPallets[Freight per pallet],MATCH(tblConfigs[[#This Row],[Pallet type]],tblPallets[Pallet type],0)),""))</f>
        <v>98</v>
      </c>
      <c r="Q17" s="30">
        <f>IF(tblConfigs[[#This Row],[SKU]]="","",tblConfigs[[#This Row],[Cases per layer]]*tblConfigs[[#This Row],[Layers]]*tblConfigs[[#This Row],[Units per case]])</f>
        <v>120</v>
      </c>
      <c r="R17" s="39">
        <f>IF(tblConfigs[[#This Row],[SKU]]="","",tblConfigs[[#This Row],[Cases per layer]]*tblConfigs[[#This Row],[Layers]]*tblConfigs[[#This Row],[Case length]]*tblConfigs[[#This Row],[Case width]]*tblConfigs[[#This Row],[Case height]]/VolDiv)</f>
        <v>30</v>
      </c>
      <c r="S17" s="41">
        <f>IF(tblConfigs[[#This Row],[SKU]]="","",IF(N(tblConfigs[[#This Row],[Envelope]])&gt;0,tblConfigs[[#This Row],[Load cube]]/tblConfigs[[#This Row],[Envelope]],""))</f>
        <v>0.635294117647059</v>
      </c>
      <c r="T17" s="41">
        <f>IF(tblConfigs[[#This Row],[SKU]]="","",IF(N(tblConfigs[[#This Row],[Max payload]])&gt;0,tblConfigs[[#This Row],[Cases per layer]]*tblConfigs[[#This Row],[Layers]]*tblConfigs[[#This Row],[Case weight]]/tblConfigs[[#This Row],[Max payload]],""))</f>
        <v>0.487084870848709</v>
      </c>
      <c r="U17" s="30">
        <f>IF(tblConfigs[[#This Row],[SKU]]="","",IF(OR(tblConfigs[[#This Row],[Height limit]]="",tblConfigs[[#This Row],[Case height]]=0,tblConfigs[[#This Row],[Cases per layer]]*tblConfigs[[#This Row],[Case weight]]=0),"",MIN(INT(tblConfigs[[#This Row],[Height limit]]/tblConfigs[[#This Row],[Case height]]),INT(tblConfigs[[#This Row],[Max payload]]/(tblConfigs[[#This Row],[Cases per layer]]*tblConfigs[[#This Row],[Case weight]])))))</f>
        <v>4</v>
      </c>
      <c r="V17" s="30">
        <f>IF(tblConfigs[[#This Row],[SKU]]="","",IF(tblConfigs[[#This Row],[Max layers]]="","",MAX(0,tblConfigs[[#This Row],[Max layers]]-tblConfigs[[#This Row],[Layers]])))</f>
        <v>1</v>
      </c>
      <c r="W17" s="42" t="str">
        <f>IF(tblConfigs[[#This Row],[SKU]]="","",IF(tblConfigs[[#This Row],[Max layers]]="","",IF(INT(tblConfigs[[#This Row],[Height limit]]/tblConfigs[[#This Row],[Case height]])&lt;=INT(tblConfigs[[#This Row],[Max payload]]/(tblConfigs[[#This Row],[Cases per layer]]*tblConfigs[[#This Row],[Case weight]])),"Height","Weight")))</f>
        <v>Height</v>
      </c>
      <c r="X17" s="43">
        <f>IF(tblConfigs[[#This Row],[SKU]]="","",IF(OR(tblConfigs[[#This Row],[Freight per pallet]]="",tblConfigs[[#This Row],[Units per pallet]]=0),"",tblConfigs[[#This Row],[Freight per pallet]]/tblConfigs[[#This Row],[Units per pallet]]))</f>
        <v>0.816666666666667</v>
      </c>
      <c r="Y17" s="30">
        <f>IF(tblConfigs[[#This Row],[SKU]]="","",IF(tblConfigs[[#This Row],[Freight per pallet]]="","",tblConfigs[[#This Row],[Pallets per month]]*tblConfigs[[#This Row],[Freight per pallet]]))</f>
        <v>4410</v>
      </c>
      <c r="Z17" s="30">
        <f>IF(tblConfigs[[#This Row],[SKU]]="","",IF(OR(tblConfigs[[#This Row],[Layers to add]]="",tblConfigs[[#This Row],[Monthly freight]]=""),"",IF(tblConfigs[[#This Row],[Max layers]]&gt;0,tblConfigs[[#This Row],[Monthly freight]]*tblConfigs[[#This Row],[Layers to add]]/tblConfigs[[#This Row],[Max layers]],0)))</f>
        <v>1102.5</v>
      </c>
      <c r="AA17" s="42" t="str">
        <f>IF(NOT(ISNUMBER(tblConfigs[[#This Row],[Cube utilization]])),"",IF(tblConfigs[[#This Row],[Cube utilization]]&gt;=TargetCube,"On target",IF(tblConfigs[[#This Row],[Cube utilization]]&gt;=TargetCube*(1-0.05),"Near target","Below target")))</f>
        <v>Below target</v>
      </c>
      <c r="AB17" s="44" t="str">
        <f>IF(tblConfigs[[#This Row],[SKU]]="","",IF(tblConfigs[[#This Row],[Case length]]="","Missing case length",IF(tblConfigs[[#This Row],[Case width]]="","Missing case width",IF(tblConfigs[[#This Row],[Case height]]="","Missing case height",IF(tblConfigs[[#This Row],[Case weight]]="","Missing case weight",IF(tblConfigs[[#This Row],[Cases per layer]]="","Missing cases per layer",IF(tblConfigs[[#This Row],[Layers]]="","Missing layers",IF(COUNTIF(tblPallets[Pallet type],tblConfigs[[#This Row],[Pallet type]])=0,"Pallet type not on Setup list",IF(tblConfigs[[#This Row],[Cases per layer]]*tblConfigs[[#This Row],[Case length]]*tblConfigs[[#This Row],[Case width]]&gt;tblConfigs[[#This Row],[Envelope]]*VolDiv/tblConfigs[[#This Row],[Height limit]],"Layer larger than pallet",IF(tblConfigs[[#This Row],[Layers]]*tblConfigs[[#This Row],[Case height]]&gt;tblConfigs[[#This Row],[Height limit]],"Too tall for pallet",IF(tblConfigs[[#This Row],[Cases per layer]]*tblConfigs[[#This Row],[Layers]]*tblConfigs[[#This Row],[Case weight]]&gt;tblConfigs[[#This Row],[Max payload]],"Over weight limit","OK")))))))))))</f>
        <v>OK</v>
      </c>
      <c r="AC17" s="28" t="s">
        <v>116</v>
      </c>
    </row>
    <row r="18" spans="2:29" x14ac:dyDescent="0.25">
      <c r="B18" s="28" t="s">
        <v>141</v>
      </c>
      <c r="C18" s="28" t="s">
        <v>142</v>
      </c>
      <c r="D18" s="28" t="s">
        <v>87</v>
      </c>
      <c r="E18" s="36">
        <v>23</v>
      </c>
      <c r="F18" s="36">
        <v>17</v>
      </c>
      <c r="G18" s="36">
        <v>15</v>
      </c>
      <c r="H18" s="36">
        <v>12</v>
      </c>
      <c r="I18" s="37">
        <v>3</v>
      </c>
      <c r="J18" s="37">
        <v>4</v>
      </c>
      <c r="K18" s="37">
        <v>3</v>
      </c>
      <c r="L18" s="37">
        <v>20</v>
      </c>
      <c r="M18" s="39">
        <f>IF(tblConfigs[[#This Row],[SKU]]="","",IFERROR(INDEX(tblPallets[Height limit],MATCH(tblConfigs[[#This Row],[Pallet type]],tblPallets[Pallet type],0)),""))</f>
        <v>54.5</v>
      </c>
      <c r="N18" s="39">
        <f>IF(tblConfigs[[#This Row],[SKU]]="","",IFERROR(INDEX(tblPallets[Envelope],MATCH(tblConfigs[[#This Row],[Pallet type]],tblPallets[Pallet type],0)),""))</f>
        <v>60.5555555555556</v>
      </c>
      <c r="O18" s="30">
        <f>IF(tblConfigs[[#This Row],[SKU]]="","",IFERROR(INDEX(tblPallets[Max payload],MATCH(tblConfigs[[#This Row],[Pallet type]],tblPallets[Pallet type],0)),""))</f>
        <v>2155</v>
      </c>
      <c r="P18" s="40">
        <f>IF(tblConfigs[[#This Row],[SKU]]="","",IFERROR(INDEX(tblPallets[Freight per pallet],MATCH(tblConfigs[[#This Row],[Pallet type]],tblPallets[Pallet type],0)),""))</f>
        <v>145</v>
      </c>
      <c r="Q18" s="30">
        <f>IF(tblConfigs[[#This Row],[SKU]]="","",tblConfigs[[#This Row],[Cases per layer]]*tblConfigs[[#This Row],[Layers]]*tblConfigs[[#This Row],[Units per case]])</f>
        <v>36</v>
      </c>
      <c r="R18" s="39">
        <f>IF(tblConfigs[[#This Row],[SKU]]="","",tblConfigs[[#This Row],[Cases per layer]]*tblConfigs[[#This Row],[Layers]]*tblConfigs[[#This Row],[Case length]]*tblConfigs[[#This Row],[Case width]]*tblConfigs[[#This Row],[Case height]]/VolDiv)</f>
        <v>40.7291666666667</v>
      </c>
      <c r="S18" s="41">
        <f>IF(tblConfigs[[#This Row],[SKU]]="","",IF(N(tblConfigs[[#This Row],[Envelope]])&gt;0,tblConfigs[[#This Row],[Load cube]]/tblConfigs[[#This Row],[Envelope]],""))</f>
        <v>0.672591743119266</v>
      </c>
      <c r="T18" s="41">
        <f>IF(tblConfigs[[#This Row],[SKU]]="","",IF(N(tblConfigs[[#This Row],[Max payload]])&gt;0,tblConfigs[[#This Row],[Cases per layer]]*tblConfigs[[#This Row],[Layers]]*tblConfigs[[#This Row],[Case weight]]/tblConfigs[[#This Row],[Max payload]],""))</f>
        <v>0.0668213457076566</v>
      </c>
      <c r="U18" s="30">
        <f>IF(tblConfigs[[#This Row],[SKU]]="","",IF(OR(tblConfigs[[#This Row],[Height limit]]="",tblConfigs[[#This Row],[Case height]]=0,tblConfigs[[#This Row],[Cases per layer]]*tblConfigs[[#This Row],[Case weight]]=0),"",MIN(INT(tblConfigs[[#This Row],[Height limit]]/tblConfigs[[#This Row],[Case height]]),INT(tblConfigs[[#This Row],[Max payload]]/(tblConfigs[[#This Row],[Cases per layer]]*tblConfigs[[#This Row],[Case weight]])))))</f>
        <v>3</v>
      </c>
      <c r="V18" s="30">
        <f>IF(tblConfigs[[#This Row],[SKU]]="","",IF(tblConfigs[[#This Row],[Max layers]]="","",MAX(0,tblConfigs[[#This Row],[Max layers]]-tblConfigs[[#This Row],[Layers]])))</f>
        <v>0</v>
      </c>
      <c r="W18" s="42" t="str">
        <f>IF(tblConfigs[[#This Row],[SKU]]="","",IF(tblConfigs[[#This Row],[Max layers]]="","",IF(INT(tblConfigs[[#This Row],[Height limit]]/tblConfigs[[#This Row],[Case height]])&lt;=INT(tblConfigs[[#This Row],[Max payload]]/(tblConfigs[[#This Row],[Cases per layer]]*tblConfigs[[#This Row],[Case weight]])),"Height","Weight")))</f>
        <v>Height</v>
      </c>
      <c r="X18" s="43">
        <f>IF(tblConfigs[[#This Row],[SKU]]="","",IF(OR(tblConfigs[[#This Row],[Freight per pallet]]="",tblConfigs[[#This Row],[Units per pallet]]=0),"",tblConfigs[[#This Row],[Freight per pallet]]/tblConfigs[[#This Row],[Units per pallet]]))</f>
        <v>4.02777777777778</v>
      </c>
      <c r="Y18" s="30">
        <f>IF(tblConfigs[[#This Row],[SKU]]="","",IF(tblConfigs[[#This Row],[Freight per pallet]]="","",tblConfigs[[#This Row],[Pallets per month]]*tblConfigs[[#This Row],[Freight per pallet]]))</f>
        <v>2900</v>
      </c>
      <c r="Z18" s="30">
        <f>IF(tblConfigs[[#This Row],[SKU]]="","",IF(OR(tblConfigs[[#This Row],[Layers to add]]="",tblConfigs[[#This Row],[Monthly freight]]=""),"",IF(tblConfigs[[#This Row],[Max layers]]&gt;0,tblConfigs[[#This Row],[Monthly freight]]*tblConfigs[[#This Row],[Layers to add]]/tblConfigs[[#This Row],[Max layers]],0)))</f>
        <v>0</v>
      </c>
      <c r="AA18" s="42" t="str">
        <f>IF(NOT(ISNUMBER(tblConfigs[[#This Row],[Cube utilization]])),"",IF(tblConfigs[[#This Row],[Cube utilization]]&gt;=TargetCube,"On target",IF(tblConfigs[[#This Row],[Cube utilization]]&gt;=TargetCube*(1-0.05),"Near target","Below target")))</f>
        <v>Below target</v>
      </c>
      <c r="AB18" s="44" t="str">
        <f>IF(tblConfigs[[#This Row],[SKU]]="","",IF(tblConfigs[[#This Row],[Case length]]="","Missing case length",IF(tblConfigs[[#This Row],[Case width]]="","Missing case width",IF(tblConfigs[[#This Row],[Case height]]="","Missing case height",IF(tblConfigs[[#This Row],[Case weight]]="","Missing case weight",IF(tblConfigs[[#This Row],[Cases per layer]]="","Missing cases per layer",IF(tblConfigs[[#This Row],[Layers]]="","Missing layers",IF(COUNTIF(tblPallets[Pallet type],tblConfigs[[#This Row],[Pallet type]])=0,"Pallet type not on Setup list",IF(tblConfigs[[#This Row],[Cases per layer]]*tblConfigs[[#This Row],[Case length]]*tblConfigs[[#This Row],[Case width]]&gt;tblConfigs[[#This Row],[Envelope]]*VolDiv/tblConfigs[[#This Row],[Height limit]],"Layer larger than pallet",IF(tblConfigs[[#This Row],[Layers]]*tblConfigs[[#This Row],[Case height]]&gt;tblConfigs[[#This Row],[Height limit]],"Too tall for pallet",IF(tblConfigs[[#This Row],[Cases per layer]]*tblConfigs[[#This Row],[Layers]]*tblConfigs[[#This Row],[Case weight]]&gt;tblConfigs[[#This Row],[Max payload]],"Over weight limit","OK")))))))))))</f>
        <v>OK</v>
      </c>
      <c r="AC18" s="28" t="s">
        <v>143</v>
      </c>
    </row>
    <row r="19" spans="2:29" x14ac:dyDescent="0.25">
      <c r="B19" s="28" t="s">
        <v>144</v>
      </c>
      <c r="C19" s="28" t="s">
        <v>145</v>
      </c>
      <c r="D19" s="28" t="s">
        <v>89</v>
      </c>
      <c r="E19" s="36">
        <v>12</v>
      </c>
      <c r="F19" s="36">
        <v>9</v>
      </c>
      <c r="G19" s="36">
        <v>5</v>
      </c>
      <c r="H19" s="36">
        <v>11</v>
      </c>
      <c r="I19" s="37">
        <v>12</v>
      </c>
      <c r="J19" s="37">
        <v>8</v>
      </c>
      <c r="K19" s="37">
        <v>7</v>
      </c>
      <c r="L19" s="37">
        <v>12</v>
      </c>
      <c r="M19" s="39">
        <f>IF(tblConfigs[[#This Row],[SKU]]="","",IFERROR(INDEX(tblPallets[Height limit],MATCH(tblConfigs[[#This Row],[Pallet type]],tblPallets[Pallet type],0)),""))</f>
        <v>46.5</v>
      </c>
      <c r="N19" s="39">
        <f>IF(tblConfigs[[#This Row],[SKU]]="","",IFERROR(INDEX(tblPallets[Envelope],MATCH(tblConfigs[[#This Row],[Pallet type]],tblPallets[Pallet type],0)),""))</f>
        <v>25.8333333333333</v>
      </c>
      <c r="O19" s="30">
        <f>IF(tblConfigs[[#This Row],[SKU]]="","",IFERROR(INDEX(tblPallets[Max payload],MATCH(tblConfigs[[#This Row],[Pallet type]],tblPallets[Pallet type],0)),""))</f>
        <v>875</v>
      </c>
      <c r="P19" s="40">
        <f>IF(tblConfigs[[#This Row],[SKU]]="","",IFERROR(INDEX(tblPallets[Freight per pallet],MATCH(tblConfigs[[#This Row],[Pallet type]],tblPallets[Pallet type],0)),""))</f>
        <v>85</v>
      </c>
      <c r="Q19" s="30">
        <f>IF(tblConfigs[[#This Row],[SKU]]="","",tblConfigs[[#This Row],[Cases per layer]]*tblConfigs[[#This Row],[Layers]]*tblConfigs[[#This Row],[Units per case]])</f>
        <v>672</v>
      </c>
      <c r="R19" s="39">
        <f>IF(tblConfigs[[#This Row],[SKU]]="","",tblConfigs[[#This Row],[Cases per layer]]*tblConfigs[[#This Row],[Layers]]*tblConfigs[[#This Row],[Case length]]*tblConfigs[[#This Row],[Case width]]*tblConfigs[[#This Row],[Case height]]/VolDiv)</f>
        <v>17.5</v>
      </c>
      <c r="S19" s="41">
        <f>IF(tblConfigs[[#This Row],[SKU]]="","",IF(N(tblConfigs[[#This Row],[Envelope]])&gt;0,tblConfigs[[#This Row],[Load cube]]/tblConfigs[[#This Row],[Envelope]],""))</f>
        <v>0.67741935483871</v>
      </c>
      <c r="T19" s="41">
        <f>IF(tblConfigs[[#This Row],[SKU]]="","",IF(N(tblConfigs[[#This Row],[Max payload]])&gt;0,tblConfigs[[#This Row],[Cases per layer]]*tblConfigs[[#This Row],[Layers]]*tblConfigs[[#This Row],[Case weight]]/tblConfigs[[#This Row],[Max payload]],""))</f>
        <v>0.704</v>
      </c>
      <c r="U19" s="30">
        <f>IF(tblConfigs[[#This Row],[SKU]]="","",IF(OR(tblConfigs[[#This Row],[Height limit]]="",tblConfigs[[#This Row],[Case height]]=0,tblConfigs[[#This Row],[Cases per layer]]*tblConfigs[[#This Row],[Case weight]]=0),"",MIN(INT(tblConfigs[[#This Row],[Height limit]]/tblConfigs[[#This Row],[Case height]]),INT(tblConfigs[[#This Row],[Max payload]]/(tblConfigs[[#This Row],[Cases per layer]]*tblConfigs[[#This Row],[Case weight]])))))</f>
        <v>9</v>
      </c>
      <c r="V19" s="30">
        <f>IF(tblConfigs[[#This Row],[SKU]]="","",IF(tblConfigs[[#This Row],[Max layers]]="","",MAX(0,tblConfigs[[#This Row],[Max layers]]-tblConfigs[[#This Row],[Layers]])))</f>
        <v>2</v>
      </c>
      <c r="W19" s="42" t="str">
        <f>IF(tblConfigs[[#This Row],[SKU]]="","",IF(tblConfigs[[#This Row],[Max layers]]="","",IF(INT(tblConfigs[[#This Row],[Height limit]]/tblConfigs[[#This Row],[Case height]])&lt;=INT(tblConfigs[[#This Row],[Max payload]]/(tblConfigs[[#This Row],[Cases per layer]]*tblConfigs[[#This Row],[Case weight]])),"Height","Weight")))</f>
        <v>Height</v>
      </c>
      <c r="X19" s="43">
        <f>IF(tblConfigs[[#This Row],[SKU]]="","",IF(OR(tblConfigs[[#This Row],[Freight per pallet]]="",tblConfigs[[#This Row],[Units per pallet]]=0),"",tblConfigs[[#This Row],[Freight per pallet]]/tblConfigs[[#This Row],[Units per pallet]]))</f>
        <v>0.126488095238095</v>
      </c>
      <c r="Y19" s="30">
        <f>IF(tblConfigs[[#This Row],[SKU]]="","",IF(tblConfigs[[#This Row],[Freight per pallet]]="","",tblConfigs[[#This Row],[Pallets per month]]*tblConfigs[[#This Row],[Freight per pallet]]))</f>
        <v>1020</v>
      </c>
      <c r="Z19" s="30">
        <f>IF(tblConfigs[[#This Row],[SKU]]="","",IF(OR(tblConfigs[[#This Row],[Layers to add]]="",tblConfigs[[#This Row],[Monthly freight]]=""),"",IF(tblConfigs[[#This Row],[Max layers]]&gt;0,tblConfigs[[#This Row],[Monthly freight]]*tblConfigs[[#This Row],[Layers to add]]/tblConfigs[[#This Row],[Max layers]],0)))</f>
        <v>226.666666666667</v>
      </c>
      <c r="AA19" s="42" t="str">
        <f>IF(NOT(ISNUMBER(tblConfigs[[#This Row],[Cube utilization]])),"",IF(tblConfigs[[#This Row],[Cube utilization]]&gt;=TargetCube,"On target",IF(tblConfigs[[#This Row],[Cube utilization]]&gt;=TargetCube*(1-0.05),"Near target","Below target")))</f>
        <v>Below target</v>
      </c>
      <c r="AB19" s="44" t="str">
        <f>IF(tblConfigs[[#This Row],[SKU]]="","",IF(tblConfigs[[#This Row],[Case length]]="","Missing case length",IF(tblConfigs[[#This Row],[Case width]]="","Missing case width",IF(tblConfigs[[#This Row],[Case height]]="","Missing case height",IF(tblConfigs[[#This Row],[Case weight]]="","Missing case weight",IF(tblConfigs[[#This Row],[Cases per layer]]="","Missing cases per layer",IF(tblConfigs[[#This Row],[Layers]]="","Missing layers",IF(COUNTIF(tblPallets[Pallet type],tblConfigs[[#This Row],[Pallet type]])=0,"Pallet type not on Setup list",IF(tblConfigs[[#This Row],[Cases per layer]]*tblConfigs[[#This Row],[Case length]]*tblConfigs[[#This Row],[Case width]]&gt;tblConfigs[[#This Row],[Envelope]]*VolDiv/tblConfigs[[#This Row],[Height limit]],"Layer larger than pallet",IF(tblConfigs[[#This Row],[Layers]]*tblConfigs[[#This Row],[Case height]]&gt;tblConfigs[[#This Row],[Height limit]],"Too tall for pallet",IF(tblConfigs[[#This Row],[Cases per layer]]*tblConfigs[[#This Row],[Layers]]*tblConfigs[[#This Row],[Case weight]]&gt;tblConfigs[[#This Row],[Max payload]],"Over weight limit","OK")))))))))))</f>
        <v>OK</v>
      </c>
      <c r="AC19" s="28" t="s">
        <v>131</v>
      </c>
    </row>
    <row r="20" spans="2:29" x14ac:dyDescent="0.25">
      <c r="B20" s="28" t="s">
        <v>146</v>
      </c>
      <c r="C20" s="28" t="s">
        <v>147</v>
      </c>
      <c r="D20" s="28" t="s">
        <v>87</v>
      </c>
      <c r="E20" s="36">
        <v>12</v>
      </c>
      <c r="F20" s="36">
        <v>10</v>
      </c>
      <c r="G20" s="36">
        <v>13</v>
      </c>
      <c r="H20" s="36">
        <v>24</v>
      </c>
      <c r="I20" s="37">
        <v>1</v>
      </c>
      <c r="J20" s="37">
        <v>16</v>
      </c>
      <c r="K20" s="37">
        <v>4</v>
      </c>
      <c r="L20" s="37">
        <v>25</v>
      </c>
      <c r="M20" s="39">
        <f>IF(tblConfigs[[#This Row],[SKU]]="","",IFERROR(INDEX(tblPallets[Height limit],MATCH(tblConfigs[[#This Row],[Pallet type]],tblPallets[Pallet type],0)),""))</f>
        <v>54.5</v>
      </c>
      <c r="N20" s="39">
        <f>IF(tblConfigs[[#This Row],[SKU]]="","",IFERROR(INDEX(tblPallets[Envelope],MATCH(tblConfigs[[#This Row],[Pallet type]],tblPallets[Pallet type],0)),""))</f>
        <v>60.5555555555556</v>
      </c>
      <c r="O20" s="30">
        <f>IF(tblConfigs[[#This Row],[SKU]]="","",IFERROR(INDEX(tblPallets[Max payload],MATCH(tblConfigs[[#This Row],[Pallet type]],tblPallets[Pallet type],0)),""))</f>
        <v>2155</v>
      </c>
      <c r="P20" s="40">
        <f>IF(tblConfigs[[#This Row],[SKU]]="","",IFERROR(INDEX(tblPallets[Freight per pallet],MATCH(tblConfigs[[#This Row],[Pallet type]],tblPallets[Pallet type],0)),""))</f>
        <v>145</v>
      </c>
      <c r="Q20" s="30">
        <f>IF(tblConfigs[[#This Row],[SKU]]="","",tblConfigs[[#This Row],[Cases per layer]]*tblConfigs[[#This Row],[Layers]]*tblConfigs[[#This Row],[Units per case]])</f>
        <v>64</v>
      </c>
      <c r="R20" s="39">
        <f>IF(tblConfigs[[#This Row],[SKU]]="","",tblConfigs[[#This Row],[Cases per layer]]*tblConfigs[[#This Row],[Layers]]*tblConfigs[[#This Row],[Case length]]*tblConfigs[[#This Row],[Case width]]*tblConfigs[[#This Row],[Case height]]/VolDiv)</f>
        <v>57.7777777777778</v>
      </c>
      <c r="S20" s="41">
        <f>IF(tblConfigs[[#This Row],[SKU]]="","",IF(N(tblConfigs[[#This Row],[Envelope]])&gt;0,tblConfigs[[#This Row],[Load cube]]/tblConfigs[[#This Row],[Envelope]],""))</f>
        <v>0.954128440366972</v>
      </c>
      <c r="T20" s="41">
        <f>IF(tblConfigs[[#This Row],[SKU]]="","",IF(N(tblConfigs[[#This Row],[Max payload]])&gt;0,tblConfigs[[#This Row],[Cases per layer]]*tblConfigs[[#This Row],[Layers]]*tblConfigs[[#This Row],[Case weight]]/tblConfigs[[#This Row],[Max payload]],""))</f>
        <v>0.712761020881671</v>
      </c>
      <c r="U20" s="30">
        <f>IF(tblConfigs[[#This Row],[SKU]]="","",IF(OR(tblConfigs[[#This Row],[Height limit]]="",tblConfigs[[#This Row],[Case height]]=0,tblConfigs[[#This Row],[Cases per layer]]*tblConfigs[[#This Row],[Case weight]]=0),"",MIN(INT(tblConfigs[[#This Row],[Height limit]]/tblConfigs[[#This Row],[Case height]]),INT(tblConfigs[[#This Row],[Max payload]]/(tblConfigs[[#This Row],[Cases per layer]]*tblConfigs[[#This Row],[Case weight]])))))</f>
        <v>4</v>
      </c>
      <c r="V20" s="30">
        <f>IF(tblConfigs[[#This Row],[SKU]]="","",IF(tblConfigs[[#This Row],[Max layers]]="","",MAX(0,tblConfigs[[#This Row],[Max layers]]-tblConfigs[[#This Row],[Layers]])))</f>
        <v>0</v>
      </c>
      <c r="W20" s="42" t="str">
        <f>IF(tblConfigs[[#This Row],[SKU]]="","",IF(tblConfigs[[#This Row],[Max layers]]="","",IF(INT(tblConfigs[[#This Row],[Height limit]]/tblConfigs[[#This Row],[Case height]])&lt;=INT(tblConfigs[[#This Row],[Max payload]]/(tblConfigs[[#This Row],[Cases per layer]]*tblConfigs[[#This Row],[Case weight]])),"Height","Weight")))</f>
        <v>Height</v>
      </c>
      <c r="X20" s="43">
        <f>IF(tblConfigs[[#This Row],[SKU]]="","",IF(OR(tblConfigs[[#This Row],[Freight per pallet]]="",tblConfigs[[#This Row],[Units per pallet]]=0),"",tblConfigs[[#This Row],[Freight per pallet]]/tblConfigs[[#This Row],[Units per pallet]]))</f>
        <v>2.265625</v>
      </c>
      <c r="Y20" s="30">
        <f>IF(tblConfigs[[#This Row],[SKU]]="","",IF(tblConfigs[[#This Row],[Freight per pallet]]="","",tblConfigs[[#This Row],[Pallets per month]]*tblConfigs[[#This Row],[Freight per pallet]]))</f>
        <v>3625</v>
      </c>
      <c r="Z20" s="30">
        <f>IF(tblConfigs[[#This Row],[SKU]]="","",IF(OR(tblConfigs[[#This Row],[Layers to add]]="",tblConfigs[[#This Row],[Monthly freight]]=""),"",IF(tblConfigs[[#This Row],[Max layers]]&gt;0,tblConfigs[[#This Row],[Monthly freight]]*tblConfigs[[#This Row],[Layers to add]]/tblConfigs[[#This Row],[Max layers]],0)))</f>
        <v>0</v>
      </c>
      <c r="AA20" s="42" t="str">
        <f>IF(NOT(ISNUMBER(tblConfigs[[#This Row],[Cube utilization]])),"",IF(tblConfigs[[#This Row],[Cube utilization]]&gt;=TargetCube,"On target",IF(tblConfigs[[#This Row],[Cube utilization]]&gt;=TargetCube*(1-0.05),"Near target","Below target")))</f>
        <v>On target</v>
      </c>
      <c r="AB20" s="44" t="str">
        <f>IF(tblConfigs[[#This Row],[SKU]]="","",IF(tblConfigs[[#This Row],[Case length]]="","Missing case length",IF(tblConfigs[[#This Row],[Case width]]="","Missing case width",IF(tblConfigs[[#This Row],[Case height]]="","Missing case height",IF(tblConfigs[[#This Row],[Case weight]]="","Missing case weight",IF(tblConfigs[[#This Row],[Cases per layer]]="","Missing cases per layer",IF(tblConfigs[[#This Row],[Layers]]="","Missing layers",IF(COUNTIF(tblPallets[Pallet type],tblConfigs[[#This Row],[Pallet type]])=0,"Pallet type not on Setup list",IF(tblConfigs[[#This Row],[Cases per layer]]*tblConfigs[[#This Row],[Case length]]*tblConfigs[[#This Row],[Case width]]&gt;tblConfigs[[#This Row],[Envelope]]*VolDiv/tblConfigs[[#This Row],[Height limit]],"Layer larger than pallet",IF(tblConfigs[[#This Row],[Layers]]*tblConfigs[[#This Row],[Case height]]&gt;tblConfigs[[#This Row],[Height limit]],"Too tall for pallet",IF(tblConfigs[[#This Row],[Cases per layer]]*tblConfigs[[#This Row],[Layers]]*tblConfigs[[#This Row],[Case weight]]&gt;tblConfigs[[#This Row],[Max payload]],"Over weight limit","OK")))))))))))</f>
        <v>OK</v>
      </c>
      <c r="AC20" s="28" t="s">
        <v>116</v>
      </c>
    </row>
  </sheetData>
  <mergeCells count="3">
    <mergeCell ref="A1:AC1"/>
    <mergeCell ref="B2:AB2"/>
    <mergeCell ref="B4:AC4"/>
  </mergeCells>
  <conditionalFormatting sqref="AA7:AA520">
    <cfRule type="cellIs" dxfId="0" priority="5" operator="equal">
      <formula>"On target"</formula>
    </cfRule>
    <cfRule type="cellIs" dxfId="0" priority="6" operator="equal">
      <formula>"PASS"</formula>
    </cfRule>
    <cfRule type="cellIs" dxfId="0" priority="7" operator="equal">
      <formula>"OK"</formula>
    </cfRule>
    <cfRule type="cellIs" dxfId="0" priority="8" operator="equal">
      <formula>"Within limits"</formula>
    </cfRule>
    <cfRule type="cellIs" dxfId="0" priority="9" operator="equal">
      <formula>"Under capacity"</formula>
    </cfRule>
    <cfRule type="cellIs" dxfId="0" priority="10" operator="equal">
      <formula>"Complete"</formula>
    </cfRule>
    <cfRule type="cellIs" dxfId="0" priority="11" operator="equal">
      <formula>"Yes"</formula>
    </cfRule>
    <cfRule type="cellIs" dxfId="1" priority="12" operator="equal">
      <formula>"Near target"</formula>
    </cfRule>
    <cfRule type="cellIs" dxfId="1" priority="13" operator="equal">
      <formula>"Check"</formula>
    </cfRule>
    <cfRule type="cellIs" dxfId="1" priority="14" operator="equal">
      <formula>"Due soon"</formula>
    </cfRule>
    <cfRule type="cellIs" dxfId="1" priority="15" operator="equal">
      <formula>"Near capacity"</formula>
    </cfRule>
    <cfRule type="cellIs" dxfId="1" priority="16" operator="equal">
      <formula>"In progress"</formula>
    </cfRule>
    <cfRule type="cellIs" dxfId="1" priority="17" operator="equal">
      <formula>"Partial"</formula>
    </cfRule>
    <cfRule type="cellIs" dxfId="2" priority="18" operator="equal">
      <formula>"Below target"</formula>
    </cfRule>
    <cfRule type="cellIs" dxfId="2" priority="19" operator="equal">
      <formula>"Above target"</formula>
    </cfRule>
    <cfRule type="cellIs" dxfId="2" priority="20" operator="equal">
      <formula>"FAIL"</formula>
    </cfRule>
    <cfRule type="cellIs" dxfId="2" priority="21" operator="equal">
      <formula>"Over capacity"</formula>
    </cfRule>
    <cfRule type="cellIs" dxfId="2" priority="22" operator="equal">
      <formula>"Overdue"</formula>
    </cfRule>
    <cfRule type="cellIs" dxfId="2" priority="23" operator="equal">
      <formula>"Out of limits"</formula>
    </cfRule>
    <cfRule type="cellIs" dxfId="2" priority="24" operator="equal">
      <formula>"No"</formula>
    </cfRule>
  </conditionalFormatting>
  <conditionalFormatting sqref="AB7:AB520">
    <cfRule type="expression" dxfId="3" priority="25">
      <formula>$AB7="OK"</formula>
    </cfRule>
    <cfRule type="expression" dxfId="1" priority="26">
      <formula>AND($AB7&lt;&gt;"",$AB7&lt;&gt;"OK")</formula>
    </cfRule>
  </conditionalFormatting>
  <conditionalFormatting sqref="S7:S520">
    <cfRule type="expression" dxfId="3" priority="1" stopIfTrue="1">
      <formula>AND(ISNUMBER(S7),S7&gt;=(TargetCube))</formula>
    </cfRule>
    <cfRule type="expression" dxfId="4" priority="2" stopIfTrue="1">
      <formula>AND(ISNUMBER(S7),S7&gt;=(TargetCube)*(1-0.05))</formula>
    </cfRule>
    <cfRule type="expression" dxfId="5" priority="3">
      <formula>ISNUMBER(S7)</formula>
    </cfRule>
    <cfRule type="dataBar" priority="4">
      <dataBar>
        <cfvo type="num" val="0"/>
        <cfvo type="max"/>
        <color rgb="FFA8BDF0"/>
      </dataBar>
      <extLst>
        <ext xmlns:x14="http://schemas.microsoft.com/office/spreadsheetml/2009/9/main" uri="{B025F937-C7B1-47D3-B67F-A62EFF666E3E}">
          <x14:id>{DA7ABA51-AAAA-BBBB-0003-000000000001}</x14:id>
        </ext>
      </extLst>
    </cfRule>
  </conditionalFormatting>
  <dataValidations count="12">
    <dataValidation type="textLength" allowBlank="1" showInputMessage="1" showErrorMessage="1" errorTitle="Check this entry" error="Text up to 40 characters." promptTitle="SKU" prompt="Text up to 40 characters." sqref="B7:B520">
      <formula1>0</formula1>
      <formula2>40</formula2>
    </dataValidation>
    <dataValidation type="textLength" allowBlank="1" showInputMessage="1" showErrorMessage="1" errorTitle="Check this entry" error="Text up to 80 characters." promptTitle="Description" prompt="Text up to 80 characters." sqref="C7:C520">
      <formula1>0</formula1>
      <formula2>80</formula2>
    </dataValidation>
    <dataValidation type="list" allowBlank="1" showInputMessage="1" showErrorMessage="1" errorTitle="Check this entry" error="Pick from the list (edit the list on Setup: Pallets)." promptTitle="Pallet type" prompt="Pick from the list (edit the list on Setup: Pallets)." sqref="D7:D520">
      <formula1>Pallets</formula1>
    </dataValidation>
    <dataValidation type="decimal" allowBlank="1" showInputMessage="1" showErrorMessage="1" errorTitle="Check this entry" error="Enter a number from 0 to 100,000." promptTitle="Case length" prompt="Outside dimension of the shipping case. Enter a number from 0 to 100,000." sqref="E7:E520">
      <formula1>0</formula1>
      <formula2>100000.0</formula2>
    </dataValidation>
    <dataValidation type="decimal" allowBlank="1" showInputMessage="1" showErrorMessage="1" errorTitle="Check this entry" error="Enter a number from 0 to 100,000." promptTitle="Case width" prompt="Enter a number from 0 to 100,000." sqref="F7:F520">
      <formula1>0</formula1>
      <formula2>100000.0</formula2>
    </dataValidation>
    <dataValidation type="decimal" allowBlank="1" showInputMessage="1" showErrorMessage="1" errorTitle="Check this entry" error="Enter a number from 0 to 100,000." promptTitle="Case height" prompt="Enter a number from 0 to 100,000." sqref="G7:G520">
      <formula1>0</formula1>
      <formula2>100000.0</formula2>
    </dataValidation>
    <dataValidation type="decimal" allowBlank="1" showInputMessage="1" showErrorMessage="1" errorTitle="Check this entry" error="Enter a number from 0 to 1,000,000." promptTitle="Case weight" prompt="Gross weight of one full case. Enter a number from 0 to 1,000,000." sqref="H7:H520">
      <formula1>0</formula1>
      <formula2>1000000.0</formula2>
    </dataValidation>
    <dataValidation type="whole" allowBlank="1" showInputMessage="1" showErrorMessage="1" errorTitle="Check this entry" error="Enter a whole number from 1 to 1,000,000." promptTitle="Units per case" prompt="Enter a whole number from 1 to 1,000,000." sqref="I7:I520">
      <formula1>1</formula1>
      <formula2>1000000.0</formula2>
    </dataValidation>
    <dataValidation type="whole" allowBlank="1" showInputMessage="1" showErrorMessage="1" errorTitle="Check this entry" error="Enter a whole number from 1 to 10,000." promptTitle="Cases per layer" prompt="Cases you actually fit in one layer with your pattern (interlocked, pinwheel...). Enter a whole number from 1 to 10,000." sqref="J7:J520">
      <formula1>1</formula1>
      <formula2>10000.0</formula2>
    </dataValidation>
    <dataValidation type="whole" allowBlank="1" showInputMessage="1" showErrorMessage="1" errorTitle="Check this entry" error="Enter a whole number from 1 to 1,000." promptTitle="Layers" prompt="Enter a whole number from 1 to 1,000." sqref="K7:K520">
      <formula1>1</formula1>
      <formula2>1000</formula2>
    </dataValidation>
    <dataValidation type="whole" allowBlank="1" showInputMessage="1" showErrorMessage="1" errorTitle="Check this entry" error="Enter a whole number from 0 to 10,000,000." promptTitle="Pallets per month" prompt="Pallets shipped per month in this configuration (weights the Dashboard and the saving). Enter a whole number from 0 to 10,000,000." sqref="L7:L520">
      <formula1>0</formula1>
      <formula2>10000000.0</formula2>
    </dataValidation>
    <dataValidation type="textLength" allowBlank="1" showInputMessage="1" showErrorMessage="1" errorTitle="Check this entry" error="Text up to 255 characters." promptTitle="Notes" prompt="Text up to 255 characters." sqref="AC7:AC520">
      <formula1>0</formula1>
      <formula2>255</formula2>
    </dataValidation>
  </dataValidations>
  <hyperlinks>
    <hyperlink ref="AC2" r:id="rId1" tooltip="Free manufacturing calculators and templates"/>
  </hyperlinks>
  <pageMargins left="0.4" right="0.4" top="0.7" bottom="0.65" header="0.3" footer="0.3"/>
  <pageSetup fitToHeight="0" orientation="landscape"/>
  <headerFooter>
    <oddHeader>&amp;L&amp;8MFG Calcs - Pallet Utilization&amp;R&amp;8&amp;A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S7:S520</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57"/>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3" t="s">
        <v>2</v>
      </c>
      <c r="L2" s="3"/>
    </row>
    <row r="3" spans="1:12" ht="6" customHeight="1"/>
    <row r="4" spans="1:12">
      <c r="B4" s="45" t="str">
        <f>"Showing "&amp;COUNTA(tblConfigs[SKU])&amp;" configurations for "&amp;CompanyName&amp;". Utilization is weighted by pallets shipped per month; dimensions in "&amp;DimUnit&amp;", weights in "&amp;WtUnit&amp;"."</f>
        <v>Showing 14 configurations for Northfield Home Products (example). Utilization is weighted by pallets shipped per month; dimensions in in, weights in lb.</v>
      </c>
      <c r="C4" s="45"/>
      <c r="D4" s="45"/>
      <c r="E4" s="45"/>
      <c r="F4" s="45"/>
      <c r="G4" s="45"/>
      <c r="H4" s="45"/>
      <c r="I4" s="45"/>
      <c r="J4" s="45"/>
      <c r="K4" s="45"/>
      <c r="L4" s="45"/>
    </row>
    <row r="6" spans="1:12" ht="18" customHeight="1">
      <c r="B6" s="46" t="s">
        <v>148</v>
      </c>
      <c r="C6" s="46"/>
      <c r="D6" s="46" t="s">
        <v>149</v>
      </c>
      <c r="E6" s="46"/>
      <c r="F6" s="46"/>
      <c r="G6" s="46" t="s">
        <v>150</v>
      </c>
      <c r="H6" s="46"/>
      <c r="I6" s="46"/>
      <c r="J6" s="46" t="str">
        <f>"EST. FREIGHT SAVING ("&amp;Currency&amp;"/MONTH)"</f>
        <v>EST. FREIGHT SAVING (USD/MONTH)</v>
      </c>
      <c r="K6" s="46"/>
      <c r="L6" s="46"/>
    </row>
    <row r="7" spans="1:12" ht="21" customHeight="1">
      <c r="B7" s="47">
        <f>IF((SUMPRODUCT(tblConfigs[Envelope],tblConfigs[Pallets per month]))=0,"",(SUMPRODUCT(tblConfigs[Cube utilization],tblConfigs[Envelope],tblConfigs[Pallets per month]))/(SUMPRODUCT(tblConfigs[Envelope],tblConfigs[Pallets per month])))</f>
        <v>0.720354654224378</v>
      </c>
      <c r="C7" s="47"/>
      <c r="D7" s="47">
        <f>IF((SUMPRODUCT(tblConfigs[Max payload],tblConfigs[Pallets per month]))=0,"",(SUMPRODUCT(tblConfigs[Weight utilization],tblConfigs[Max payload],tblConfigs[Pallets per month]))/(SUMPRODUCT(tblConfigs[Max payload],tblConfigs[Pallets per month])))</f>
        <v>0.508834031086088</v>
      </c>
      <c r="E7" s="47"/>
      <c r="F7" s="47"/>
      <c r="G7" s="48">
        <f>COUNTIF(tblConfigs[Cube status],"Below target")</f>
        <v>10</v>
      </c>
      <c r="H7" s="48"/>
      <c r="I7" s="48"/>
      <c r="J7" s="48">
        <f>SUM(tblConfigs[Est. monthly saving])</f>
        <v>6526.66666666667</v>
      </c>
      <c r="K7" s="48"/>
      <c r="L7" s="48"/>
    </row>
    <row r="8" spans="1:12" ht="21" customHeight="1">
      <c r="B8" s="47"/>
      <c r="C8" s="47"/>
      <c r="D8" s="47"/>
      <c r="E8" s="47"/>
      <c r="F8" s="47"/>
      <c r="G8" s="48"/>
      <c r="H8" s="48"/>
      <c r="I8" s="48"/>
      <c r="J8" s="48"/>
      <c r="K8" s="48"/>
      <c r="L8" s="48"/>
    </row>
    <row r="9" spans="1:12">
      <c r="B9" s="49">
        <f>TargetCube</f>
        <v>0.85</v>
      </c>
      <c r="C9" s="49"/>
      <c r="D9" s="50" t="s">
        <v>151</v>
      </c>
      <c r="E9" s="50"/>
      <c r="F9" s="50"/>
      <c r="G9" s="50" t="s">
        <v>152</v>
      </c>
      <c r="H9" s="50"/>
      <c r="I9" s="50"/>
      <c r="J9" s="50" t="s">
        <v>153</v>
      </c>
      <c r="K9" s="50"/>
      <c r="L9" s="50"/>
    </row>
    <row r="10" spans="1:12" ht="18" customHeight="1">
      <c r="B10" s="51" t="str">
        <f>IF(NOT(ISNUMBER(KpiCube)),"No data",IF(KpiCube&gt;=(TargetCube),"On target",IF(KpiCube&gt;=(TargetCube)*(1-0.05),"Near target","Below target")))</f>
        <v>Below target</v>
      </c>
      <c r="C10" s="51"/>
      <c r="D10" s="51"/>
      <c r="E10" s="51"/>
      <c r="F10" s="51"/>
      <c r="G10" s="51"/>
      <c r="H10" s="51"/>
      <c r="I10" s="51"/>
      <c r="J10" s="51"/>
      <c r="K10" s="51"/>
      <c r="L10" s="51"/>
    </row>
    <row r="30" spans="2:9">
      <c r="B30" s="32" t="s">
        <v>154</v>
      </c>
      <c r="C30" s="32"/>
      <c r="D30" s="32"/>
      <c r="E30" s="32"/>
      <c r="F30" s="32"/>
      <c r="G30" s="32"/>
      <c r="H30" s="32"/>
      <c r="I30" s="32"/>
    </row>
    <row r="31" spans="2:9" ht="32" customHeight="1">
      <c r="B31" s="52" t="s">
        <v>60</v>
      </c>
      <c r="C31" s="35" t="s">
        <v>155</v>
      </c>
      <c r="D31" s="35" t="s">
        <v>99</v>
      </c>
      <c r="E31" s="35" t="s">
        <v>102</v>
      </c>
      <c r="F31" s="35" t="s">
        <v>103</v>
      </c>
      <c r="G31" s="35" t="s">
        <v>108</v>
      </c>
      <c r="H31" s="35" t="s">
        <v>156</v>
      </c>
      <c r="I31" s="35" t="s">
        <v>157</v>
      </c>
    </row>
    <row r="32" spans="2:9" ht="14" customHeight="1">
      <c r="B32" s="34"/>
      <c r="C32" s="34"/>
      <c r="D32" s="34"/>
      <c r="E32" s="34"/>
      <c r="F32" s="34"/>
      <c r="G32" s="34" t="str">
        <f>Currency&amp;"/month"</f>
        <v>USD/month</v>
      </c>
      <c r="H32" s="34" t="str">
        <f>Currency&amp;"/month"</f>
        <v>USD/month</v>
      </c>
      <c r="I32" s="34"/>
    </row>
    <row r="33" spans="2:12">
      <c r="B33" s="53" t="str">
        <f>IFERROR(INDEX(tblPallets[Pallet type],1)&amp;"","")</f>
        <v>GMA 48x40 single-stack</v>
      </c>
      <c r="C33" s="30">
        <f>IF($B$33="","",COUNTIFS(tblConfigs[Pallet type],$B$33))</f>
        <v>9</v>
      </c>
      <c r="D33" s="30">
        <f>IF($B$33="","",SUMIFS(tblConfigs[Pallets per month],tblConfigs[Pallet type],$B$33))</f>
        <v>400</v>
      </c>
      <c r="E33" s="41">
        <f>IF($B$33="","",IF((SUMPRODUCT((tblConfigs[Pallet type]=$B$33)*1,tblConfigs[Envelope],tblConfigs[Pallets per month]))=0,"",(SUMPRODUCT((tblConfigs[Pallet type]=$B$33)*1,tblConfigs[Cube utilization],tblConfigs[Envelope],tblConfigs[Pallets per month]))/(SUMPRODUCT((tblConfigs[Pallet type]=$B$33)*1,tblConfigs[Envelope],tblConfigs[Pallets per month]))))</f>
        <v>0.717545871559633</v>
      </c>
      <c r="F33" s="41">
        <f>IF($B$33="","",IF((SUMPRODUCT((tblConfigs[Pallet type]=$B$33)*1,tblConfigs[Max payload],tblConfigs[Pallets per month]))=0,"",(SUMPRODUCT((tblConfigs[Pallet type]=$B$33)*1,tblConfigs[Weight utilization],tblConfigs[Max payload],tblConfigs[Pallets per month]))/(SUMPRODUCT((tblConfigs[Pallet type]=$B$33)*1,tblConfigs[Max payload],tblConfigs[Pallets per month]))))</f>
        <v>0.46692807424594</v>
      </c>
      <c r="G33" s="30">
        <f>IF($B$33="","",SUMIFS(tblConfigs[Monthly freight],tblConfigs[Pallet type],$B$33))</f>
        <v>58000</v>
      </c>
      <c r="H33" s="30">
        <f>IF($B$33="","",SUMIFS(tblConfigs[Est. monthly saving],tblConfigs[Pallet type],$B$33))</f>
        <v>4857.5</v>
      </c>
      <c r="I33" s="30">
        <f>IF($B$33="","",COUNTIFS(tblConfigs[Pallet type],$B$33,tblConfigs[Cube status],"Below target"))</f>
        <v>6</v>
      </c>
    </row>
    <row r="34" spans="2:12">
      <c r="B34" s="53" t="str">
        <f>IFERROR(INDEX(tblPallets[Pallet type],2)&amp;"","")</f>
        <v>GMA 48x40 double-stack</v>
      </c>
      <c r="C34" s="30">
        <f>IF($B$34="","",COUNTIFS(tblConfigs[Pallet type],$B$34))</f>
        <v>3</v>
      </c>
      <c r="D34" s="30">
        <f>IF($B$34="","",SUMIFS(tblConfigs[Pallets per month],tblConfigs[Pallet type],$B$34))</f>
        <v>110</v>
      </c>
      <c r="E34" s="41">
        <f>IF($B$34="","",IF((SUMPRODUCT((tblConfigs[Pallet type]=$B$34)*1,tblConfigs[Envelope],tblConfigs[Pallets per month]))=0,"",(SUMPRODUCT((tblConfigs[Pallet type]=$B$34)*1,tblConfigs[Cube utilization],tblConfigs[Envelope],tblConfigs[Pallets per month]))/(SUMPRODUCT((tblConfigs[Pallet type]=$B$34)*1,tblConfigs[Envelope],tblConfigs[Pallets per month]))))</f>
        <v>0.73921568627451</v>
      </c>
      <c r="F34" s="41">
        <f>IF($B$34="","",IF((SUMPRODUCT((tblConfigs[Pallet type]=$B$34)*1,tblConfigs[Max payload],tblConfigs[Pallets per month]))=0,"",(SUMPRODUCT((tblConfigs[Pallet type]=$B$34)*1,tblConfigs[Weight utilization],tblConfigs[Max payload],tblConfigs[Pallets per month]))/(SUMPRODUCT((tblConfigs[Pallet type]=$B$34)*1,tblConfigs[Max payload],tblConfigs[Pallets per month]))))</f>
        <v>0.774639382757464</v>
      </c>
      <c r="G34" s="30">
        <f>IF($B$34="","",SUMIFS(tblConfigs[Monthly freight],tblConfigs[Pallet type],$B$34))</f>
        <v>10780</v>
      </c>
      <c r="H34" s="30">
        <f>IF($B$34="","",SUMIFS(tblConfigs[Est. monthly saving],tblConfigs[Pallet type],$B$34))</f>
        <v>1102.5</v>
      </c>
      <c r="I34" s="30">
        <f>IF($B$34="","",COUNTIFS(tblConfigs[Pallet type],$B$34,tblConfigs[Cube status],"Below target"))</f>
        <v>2</v>
      </c>
    </row>
    <row r="35" spans="2:12">
      <c r="B35" s="53" t="str">
        <f>IFERROR(INDEX(tblPallets[Pallet type],3)&amp;"","")</f>
        <v>Half pallet 48x20</v>
      </c>
      <c r="C35" s="30">
        <f>IF($B$35="","",COUNTIFS(tblConfigs[Pallet type],$B$35))</f>
        <v>2</v>
      </c>
      <c r="D35" s="30">
        <f>IF($B$35="","",SUMIFS(tblConfigs[Pallets per month],tblConfigs[Pallet type],$B$35))</f>
        <v>32</v>
      </c>
      <c r="E35" s="41">
        <f>IF($B$35="","",IF((SUMPRODUCT((tblConfigs[Pallet type]=$B$35)*1,tblConfigs[Envelope],tblConfigs[Pallets per month]))=0,"",(SUMPRODUCT((tblConfigs[Pallet type]=$B$35)*1,tblConfigs[Cube utilization],tblConfigs[Envelope],tblConfigs[Pallets per month]))/(SUMPRODUCT((tblConfigs[Pallet type]=$B$35)*1,tblConfigs[Envelope],tblConfigs[Pallets per month]))))</f>
        <v>0.684139784946237</v>
      </c>
      <c r="F35" s="41">
        <f>IF($B$35="","",IF((SUMPRODUCT((tblConfigs[Pallet type]=$B$35)*1,tblConfigs[Max payload],tblConfigs[Pallets per month]))=0,"",(SUMPRODUCT((tblConfigs[Pallet type]=$B$35)*1,tblConfigs[Weight utilization],tblConfigs[Max payload],tblConfigs[Pallets per month]))/(SUMPRODUCT((tblConfigs[Pallet type]=$B$35)*1,tblConfigs[Max payload],tblConfigs[Pallets per month]))))</f>
        <v>0.384</v>
      </c>
      <c r="G35" s="30">
        <f>IF($B$35="","",SUMIFS(tblConfigs[Monthly freight],tblConfigs[Pallet type],$B$35))</f>
        <v>2720</v>
      </c>
      <c r="H35" s="30">
        <f>IF($B$35="","",SUMIFS(tblConfigs[Est. monthly saving],tblConfigs[Pallet type],$B$35))</f>
        <v>566.666666666667</v>
      </c>
      <c r="I35" s="30">
        <f>IF($B$35="","",COUNTIFS(tblConfigs[Pallet type],$B$35,tblConfigs[Cube status],"Below target"))</f>
        <v>2</v>
      </c>
    </row>
    <row r="36" spans="2:12">
      <c r="B36" s="54" t="s">
        <v>158</v>
      </c>
      <c r="C36" s="55">
        <f>SUM($C$33:$C$35)</f>
        <v>14</v>
      </c>
      <c r="D36" s="55">
        <f>SUM($D$33:$D$35)</f>
        <v>542</v>
      </c>
      <c r="G36" s="55">
        <f>SUM($G$33:$G$35)</f>
        <v>71500</v>
      </c>
      <c r="H36" s="55">
        <f>SUM($H$33:$H$35)</f>
        <v>6526.66666666667</v>
      </c>
      <c r="I36" s="55">
        <f>SUM($I$33:$I$35)</f>
        <v>10</v>
      </c>
    </row>
    <row r="38" spans="2:12">
      <c r="B38" s="32" t="s">
        <v>159</v>
      </c>
      <c r="C38" s="32"/>
      <c r="D38" s="32"/>
      <c r="E38" s="32"/>
      <c r="F38" s="32"/>
      <c r="G38" s="32"/>
      <c r="H38" s="32"/>
      <c r="I38" s="32"/>
      <c r="J38" s="32"/>
      <c r="K38" s="32"/>
      <c r="L38" s="32"/>
    </row>
    <row r="39" spans="2:12" ht="32" customHeight="1">
      <c r="B39" s="52" t="s">
        <v>160</v>
      </c>
      <c r="C39" s="35" t="s">
        <v>90</v>
      </c>
      <c r="D39" s="35" t="s">
        <v>60</v>
      </c>
      <c r="E39" s="35"/>
      <c r="F39" s="35" t="s">
        <v>102</v>
      </c>
      <c r="G39" s="35" t="s">
        <v>103</v>
      </c>
      <c r="H39" s="35" t="s">
        <v>106</v>
      </c>
      <c r="I39" s="35" t="s">
        <v>105</v>
      </c>
      <c r="J39" s="35" t="s">
        <v>107</v>
      </c>
      <c r="K39" s="35" t="s">
        <v>161</v>
      </c>
      <c r="L39" s="35" t="s">
        <v>156</v>
      </c>
    </row>
    <row r="40" spans="2:12" ht="14" customHeight="1">
      <c r="B40" s="34"/>
      <c r="C40" s="34"/>
      <c r="D40" s="34"/>
      <c r="E40" s="34"/>
      <c r="F40" s="34"/>
      <c r="G40" s="34"/>
      <c r="H40" s="34"/>
      <c r="I40" s="34"/>
      <c r="J40" s="34" t="str">
        <f>Currency</f>
        <v>USD</v>
      </c>
      <c r="K40" s="34" t="str">
        <f>Currency&amp;"/month"</f>
        <v>USD/month</v>
      </c>
      <c r="L40" s="34" t="str">
        <f>Currency&amp;"/month"</f>
        <v>USD/month</v>
      </c>
    </row>
    <row r="41" spans="2:12">
      <c r="B41" s="53" t="s">
        <v>162</v>
      </c>
      <c r="C41" s="56" t="str">
        <f>IFERROR(INDEX(tblConfigs[SKU],1),"")</f>
        <v>LD-5L</v>
      </c>
      <c r="D41" s="56" t="str">
        <f>IFERROR(INDEX(tblConfigs[Pallet type],1),"")</f>
        <v>GMA 48x40 single-stack</v>
      </c>
      <c r="E41" s="56"/>
      <c r="F41" s="41">
        <f>IFERROR(INDEX(tblConfigs[Cube utilization],1),"")</f>
        <v>0.799885321100917</v>
      </c>
      <c r="G41" s="41">
        <f>IFERROR(INDEX(tblConfigs[Weight utilization],1),"")</f>
        <v>0.776798143851508</v>
      </c>
      <c r="H41" s="42" t="str">
        <f>IFERROR(INDEX(tblConfigs[Binding limit],1),"")</f>
        <v>Height</v>
      </c>
      <c r="I41" s="30">
        <f>IFERROR(INDEX(tblConfigs[Layers to add],1),"")</f>
        <v>0</v>
      </c>
      <c r="J41" s="43">
        <f>IFERROR(INDEX(tblConfigs[Freight per unit],1),"")</f>
        <v>1.00694444444444</v>
      </c>
      <c r="K41" s="30">
        <f>IFERROR(INDEX(tblConfigs[Monthly freight],1)-INDEX(tblConfigs[Est. monthly saving],1),"")</f>
        <v>8700</v>
      </c>
      <c r="L41" s="30">
        <f>IFERROR(INDEX(tblConfigs[Est. monthly saving],1),"")</f>
        <v>0</v>
      </c>
    </row>
    <row r="42" spans="2:12">
      <c r="B42" s="53" t="s">
        <v>163</v>
      </c>
      <c r="C42" s="56" t="str">
        <f>IFERROR(INDEX(tblConfigs[SKU],2),"")</f>
        <v>PT-12</v>
      </c>
      <c r="D42" s="56" t="str">
        <f>IFERROR(INDEX(tblConfigs[Pallet type],2),"")</f>
        <v>GMA 48x40 single-stack</v>
      </c>
      <c r="E42" s="56"/>
      <c r="F42" s="41">
        <f>IFERROR(INDEX(tblConfigs[Cube utilization],2),"")</f>
        <v>0.534231651376147</v>
      </c>
      <c r="G42" s="41">
        <f>IFERROR(INDEX(tblConfigs[Weight utilization],2),"")</f>
        <v>0.0954988399071926</v>
      </c>
      <c r="H42" s="42" t="str">
        <f>IFERROR(INDEX(tblConfigs[Binding limit],2),"")</f>
        <v>Height</v>
      </c>
      <c r="I42" s="30">
        <f>IFERROR(INDEX(tblConfigs[Layers to add],2),"")</f>
        <v>1</v>
      </c>
      <c r="J42" s="43">
        <f>IFERROR(INDEX(tblConfigs[Freight per unit],2),"")</f>
        <v>3.45238095238095</v>
      </c>
      <c r="K42" s="30">
        <f>IFERROR(INDEX(tblConfigs[Monthly freight],2)-INDEX(tblConfigs[Est. monthly saving],2),"")</f>
        <v>9787.5</v>
      </c>
      <c r="L42" s="30">
        <f>IFERROR(INDEX(tblConfigs[Est. monthly saving],2),"")</f>
        <v>3262.5</v>
      </c>
    </row>
    <row r="43" spans="2:12">
      <c r="B43" s="53" t="s">
        <v>164</v>
      </c>
      <c r="C43" s="56" t="str">
        <f>IFERROR(INDEX(tblConfigs[SKU],3),"")</f>
        <v>DS-750</v>
      </c>
      <c r="D43" s="56" t="str">
        <f>IFERROR(INDEX(tblConfigs[Pallet type],3),"")</f>
        <v>GMA 48x40 double-stack</v>
      </c>
      <c r="E43" s="56"/>
      <c r="F43" s="41">
        <f>IFERROR(INDEX(tblConfigs[Cube utilization],3),"")</f>
        <v>0.847549019607843</v>
      </c>
      <c r="G43" s="41">
        <f>IFERROR(INDEX(tblConfigs[Weight utilization],3),"")</f>
        <v>0.991881918819188</v>
      </c>
      <c r="H43" s="42" t="str">
        <f>IFERROR(INDEX(tblConfigs[Binding limit],3),"")</f>
        <v>Height</v>
      </c>
      <c r="I43" s="30">
        <f>IFERROR(INDEX(tblConfigs[Layers to add],3),"")</f>
        <v>0</v>
      </c>
      <c r="J43" s="43">
        <f>IFERROR(INDEX(tblConfigs[Freight per unit],3),"")</f>
        <v>0.145833333333333</v>
      </c>
      <c r="K43" s="30">
        <f>IFERROR(INDEX(tblConfigs[Monthly freight],3)-INDEX(tblConfigs[Est. monthly saving],3),"")</f>
        <v>3920</v>
      </c>
      <c r="L43" s="30">
        <f>IFERROR(INDEX(tblConfigs[Est. monthly saving],3),"")</f>
        <v>0</v>
      </c>
    </row>
    <row r="44" spans="2:12">
      <c r="B44" s="53" t="s">
        <v>165</v>
      </c>
      <c r="C44" s="56" t="str">
        <f>IFERROR(INDEX(tblConfigs[SKU],4),"")</f>
        <v>TB-50</v>
      </c>
      <c r="D44" s="56" t="str">
        <f>IFERROR(INDEX(tblConfigs[Pallet type],4),"")</f>
        <v>GMA 48x40 single-stack</v>
      </c>
      <c r="E44" s="56"/>
      <c r="F44" s="41">
        <f>IFERROR(INDEX(tblConfigs[Cube utilization],4),"")</f>
        <v>0.73394495412844</v>
      </c>
      <c r="G44" s="41">
        <f>IFERROR(INDEX(tblConfigs[Weight utilization],4),"")</f>
        <v>0.334106728538283</v>
      </c>
      <c r="H44" s="42" t="str">
        <f>IFERROR(INDEX(tblConfigs[Binding limit],4),"")</f>
        <v>Height</v>
      </c>
      <c r="I44" s="30">
        <f>IFERROR(INDEX(tblConfigs[Layers to add],4),"")</f>
        <v>1</v>
      </c>
      <c r="J44" s="43">
        <f>IFERROR(INDEX(tblConfigs[Freight per unit],4),"")</f>
        <v>0.604166666666667</v>
      </c>
      <c r="K44" s="30">
        <f>IFERROR(INDEX(tblConfigs[Monthly freight],4)-INDEX(tblConfigs[Est. monthly saving],4),"")</f>
        <v>6380</v>
      </c>
      <c r="L44" s="30">
        <f>IFERROR(INDEX(tblConfigs[Est. monthly saving],4),"")</f>
        <v>1595</v>
      </c>
    </row>
    <row r="45" spans="2:12">
      <c r="B45" s="53" t="s">
        <v>166</v>
      </c>
      <c r="C45" s="56" t="str">
        <f>IFERROR(INDEX(tblConfigs[SKU],5),"")</f>
        <v>BL-1G</v>
      </c>
      <c r="D45" s="56" t="str">
        <f>IFERROR(INDEX(tblConfigs[Pallet type],5),"")</f>
        <v>GMA 48x40 single-stack</v>
      </c>
      <c r="E45" s="56"/>
      <c r="F45" s="41">
        <f>IFERROR(INDEX(tblConfigs[Cube utilization],5),"")</f>
        <v>0.640596330275229</v>
      </c>
      <c r="G45" s="41">
        <f>IFERROR(INDEX(tblConfigs[Weight utilization],5),"")</f>
        <v>0.974477958236659</v>
      </c>
      <c r="H45" s="42" t="str">
        <f>IFERROR(INDEX(tblConfigs[Binding limit],5),"")</f>
        <v>Weight</v>
      </c>
      <c r="I45" s="30">
        <f>IFERROR(INDEX(tblConfigs[Layers to add],5),"")</f>
        <v>0</v>
      </c>
      <c r="J45" s="43">
        <f>IFERROR(INDEX(tblConfigs[Freight per unit],5),"")</f>
        <v>0.575396825396825</v>
      </c>
      <c r="K45" s="30">
        <f>IFERROR(INDEX(tblConfigs[Monthly freight],5)-INDEX(tblConfigs[Est. monthly saving],5),"")</f>
        <v>10150</v>
      </c>
      <c r="L45" s="30">
        <f>IFERROR(INDEX(tblConfigs[Est. monthly saving],5),"")</f>
        <v>0</v>
      </c>
    </row>
    <row r="46" spans="2:12">
      <c r="B46" s="53" t="s">
        <v>167</v>
      </c>
      <c r="C46" s="56" t="str">
        <f>IFERROR(INDEX(tblConfigs[SKU],6),"")</f>
        <v>WP-80</v>
      </c>
      <c r="D46" s="56" t="str">
        <f>IFERROR(INDEX(tblConfigs[Pallet type],6),"")</f>
        <v>GMA 48x40 single-stack</v>
      </c>
      <c r="E46" s="56"/>
      <c r="F46" s="41">
        <f>IFERROR(INDEX(tblConfigs[Cube utilization],6),"")</f>
        <v>0.842201834862385</v>
      </c>
      <c r="G46" s="41">
        <f>IFERROR(INDEX(tblConfigs[Weight utilization],6),"")</f>
        <v>0.311832946635731</v>
      </c>
      <c r="H46" s="42" t="str">
        <f>IFERROR(INDEX(tblConfigs[Binding limit],6),"")</f>
        <v>Height</v>
      </c>
      <c r="I46" s="30">
        <f>IFERROR(INDEX(tblConfigs[Layers to add],6),"")</f>
        <v>0</v>
      </c>
      <c r="J46" s="43">
        <f>IFERROR(INDEX(tblConfigs[Freight per unit],6),"")</f>
        <v>0.251736111111111</v>
      </c>
      <c r="K46" s="30">
        <f>IFERROR(INDEX(tblConfigs[Monthly freight],6)-INDEX(tblConfigs[Est. monthly saving],6),"")</f>
        <v>5075</v>
      </c>
      <c r="L46" s="30">
        <f>IFERROR(INDEX(tblConfigs[Est. monthly saving],6),"")</f>
        <v>0</v>
      </c>
    </row>
    <row r="47" spans="2:12">
      <c r="B47" s="53" t="s">
        <v>168</v>
      </c>
      <c r="C47" s="56" t="str">
        <f>IFERROR(INDEX(tblConfigs[SKU],7),"")</f>
        <v>SP-6</v>
      </c>
      <c r="D47" s="56" t="str">
        <f>IFERROR(INDEX(tblConfigs[Pallet type],7),"")</f>
        <v>Half pallet 48x20</v>
      </c>
      <c r="E47" s="56"/>
      <c r="F47" s="41">
        <f>IFERROR(INDEX(tblConfigs[Cube utilization],7),"")</f>
        <v>0.688172043010753</v>
      </c>
      <c r="G47" s="41">
        <f>IFERROR(INDEX(tblConfigs[Weight utilization],7),"")</f>
        <v>0.192</v>
      </c>
      <c r="H47" s="42" t="str">
        <f>IFERROR(INDEX(tblConfigs[Binding limit],7),"")</f>
        <v>Height</v>
      </c>
      <c r="I47" s="30">
        <f>IFERROR(INDEX(tblConfigs[Layers to add],7),"")</f>
        <v>1</v>
      </c>
      <c r="J47" s="43">
        <f>IFERROR(INDEX(tblConfigs[Freight per unit],7),"")</f>
        <v>0.147569444444444</v>
      </c>
      <c r="K47" s="30">
        <f>IFERROR(INDEX(tblConfigs[Monthly freight],7)-INDEX(tblConfigs[Est. monthly saving],7),"")</f>
        <v>1360</v>
      </c>
      <c r="L47" s="30">
        <f>IFERROR(INDEX(tblConfigs[Est. monthly saving],7),"")</f>
        <v>340</v>
      </c>
    </row>
    <row r="48" spans="2:12">
      <c r="B48" s="53" t="s">
        <v>169</v>
      </c>
      <c r="C48" s="56" t="str">
        <f>IFERROR(INDEX(tblConfigs[SKU],8),"")</f>
        <v>AF-250</v>
      </c>
      <c r="D48" s="56" t="str">
        <f>IFERROR(INDEX(tblConfigs[Pallet type],8),"")</f>
        <v>GMA 48x40 double-stack</v>
      </c>
      <c r="E48" s="56"/>
      <c r="F48" s="41">
        <f>IFERROR(INDEX(tblConfigs[Cube utilization],8),"")</f>
        <v>0.752941176470588</v>
      </c>
      <c r="G48" s="41">
        <f>IFERROR(INDEX(tblConfigs[Weight utilization],8),"")</f>
        <v>0.944649446494465</v>
      </c>
      <c r="H48" s="42" t="str">
        <f>IFERROR(INDEX(tblConfigs[Binding limit],8),"")</f>
        <v>Weight</v>
      </c>
      <c r="I48" s="30">
        <f>IFERROR(INDEX(tblConfigs[Layers to add],8),"")</f>
        <v>0</v>
      </c>
      <c r="J48" s="43">
        <f>IFERROR(INDEX(tblConfigs[Freight per unit],8),"")</f>
        <v>0.0510416666666667</v>
      </c>
      <c r="K48" s="30">
        <f>IFERROR(INDEX(tblConfigs[Monthly freight],8)-INDEX(tblConfigs[Est. monthly saving],8),"")</f>
        <v>2450</v>
      </c>
      <c r="L48" s="30">
        <f>IFERROR(INDEX(tblConfigs[Est. monthly saving],8),"")</f>
        <v>0</v>
      </c>
    </row>
    <row r="49" spans="2:12">
      <c r="B49" s="53" t="s">
        <v>170</v>
      </c>
      <c r="C49" s="56" t="str">
        <f>IFERROR(INDEX(tblConfigs[SKU],9),"")</f>
        <v>MH-2</v>
      </c>
      <c r="D49" s="56" t="str">
        <f>IFERROR(INDEX(tblConfigs[Pallet type],9),"")</f>
        <v>GMA 48x40 single-stack</v>
      </c>
      <c r="E49" s="56"/>
      <c r="F49" s="41">
        <f>IFERROR(INDEX(tblConfigs[Cube utilization],9),"")</f>
        <v>0.770642201834862</v>
      </c>
      <c r="G49" s="41">
        <f>IFERROR(INDEX(tblConfigs[Weight utilization],9),"")</f>
        <v>0.0890951276102088</v>
      </c>
      <c r="H49" s="42" t="str">
        <f>IFERROR(INDEX(tblConfigs[Binding limit],9),"")</f>
        <v>Height</v>
      </c>
      <c r="I49" s="30">
        <f>IFERROR(INDEX(tblConfigs[Layers to add],9),"")</f>
        <v>0</v>
      </c>
      <c r="J49" s="43">
        <f>IFERROR(INDEX(tblConfigs[Freight per unit],9),"")</f>
        <v>0.503472222222222</v>
      </c>
      <c r="K49" s="30">
        <f>IFERROR(INDEX(tblConfigs[Monthly freight],9)-INDEX(tblConfigs[Est. monthly saving],9),"")</f>
        <v>2175</v>
      </c>
      <c r="L49" s="30">
        <f>IFERROR(INDEX(tblConfigs[Est. monthly saving],9),"")</f>
        <v>0</v>
      </c>
    </row>
    <row r="50" spans="2:12">
      <c r="B50" s="53" t="s">
        <v>171</v>
      </c>
      <c r="C50" s="56" t="str">
        <f>IFERROR(INDEX(tblConfigs[SKU],10),"")</f>
        <v>GC-500</v>
      </c>
      <c r="D50" s="56" t="str">
        <f>IFERROR(INDEX(tblConfigs[Pallet type],10),"")</f>
        <v>GMA 48x40 single-stack</v>
      </c>
      <c r="E50" s="56"/>
      <c r="F50" s="41">
        <f>IFERROR(INDEX(tblConfigs[Cube utilization],10),"")</f>
        <v>0.913130733944954</v>
      </c>
      <c r="G50" s="41">
        <f>IFERROR(INDEX(tblConfigs[Weight utilization],10),"")</f>
        <v>0.452436194895592</v>
      </c>
      <c r="H50" s="42" t="str">
        <f>IFERROR(INDEX(tblConfigs[Binding limit],10),"")</f>
        <v>Height</v>
      </c>
      <c r="I50" s="30">
        <f>IFERROR(INDEX(tblConfigs[Layers to add],10),"")</f>
        <v>0</v>
      </c>
      <c r="J50" s="43">
        <f>IFERROR(INDEX(tblConfigs[Freight per unit],10),"")</f>
        <v>0.185897435897436</v>
      </c>
      <c r="K50" s="30">
        <f>IFERROR(INDEX(tblConfigs[Monthly freight],10)-INDEX(tblConfigs[Est. monthly saving],10),"")</f>
        <v>4350</v>
      </c>
      <c r="L50" s="30">
        <f>IFERROR(INDEX(tblConfigs[Est. monthly saving],10),"")</f>
        <v>0</v>
      </c>
    </row>
    <row r="51" spans="2:12">
      <c r="B51" s="53" t="s">
        <v>172</v>
      </c>
      <c r="C51" s="56" t="str">
        <f>IFERROR(INDEX(tblConfigs[SKU],11),"")</f>
        <v>DP-60</v>
      </c>
      <c r="D51" s="56" t="str">
        <f>IFERROR(INDEX(tblConfigs[Pallet type],11),"")</f>
        <v>GMA 48x40 double-stack</v>
      </c>
      <c r="E51" s="56"/>
      <c r="F51" s="41">
        <f>IFERROR(INDEX(tblConfigs[Cube utilization],11),"")</f>
        <v>0.635294117647059</v>
      </c>
      <c r="G51" s="41">
        <f>IFERROR(INDEX(tblConfigs[Weight utilization],11),"")</f>
        <v>0.487084870848709</v>
      </c>
      <c r="H51" s="42" t="str">
        <f>IFERROR(INDEX(tblConfigs[Binding limit],11),"")</f>
        <v>Height</v>
      </c>
      <c r="I51" s="30">
        <f>IFERROR(INDEX(tblConfigs[Layers to add],11),"")</f>
        <v>1</v>
      </c>
      <c r="J51" s="43">
        <f>IFERROR(INDEX(tblConfigs[Freight per unit],11),"")</f>
        <v>0.816666666666667</v>
      </c>
      <c r="K51" s="30">
        <f>IFERROR(INDEX(tblConfigs[Monthly freight],11)-INDEX(tblConfigs[Est. monthly saving],11),"")</f>
        <v>3307.5</v>
      </c>
      <c r="L51" s="30">
        <f>IFERROR(INDEX(tblConfigs[Est. monthly saving],11),"")</f>
        <v>1102.5</v>
      </c>
    </row>
    <row r="52" spans="2:12">
      <c r="B52" s="53" t="s">
        <v>173</v>
      </c>
      <c r="C52" s="56" t="str">
        <f>IFERROR(INDEX(tblConfigs[SKU],12),"")</f>
        <v>SC-3</v>
      </c>
      <c r="D52" s="56" t="str">
        <f>IFERROR(INDEX(tblConfigs[Pallet type],12),"")</f>
        <v>GMA 48x40 single-stack</v>
      </c>
      <c r="E52" s="56"/>
      <c r="F52" s="41">
        <f>IFERROR(INDEX(tblConfigs[Cube utilization],12),"")</f>
        <v>0.672591743119266</v>
      </c>
      <c r="G52" s="41">
        <f>IFERROR(INDEX(tblConfigs[Weight utilization],12),"")</f>
        <v>0.0668213457076566</v>
      </c>
      <c r="H52" s="42" t="str">
        <f>IFERROR(INDEX(tblConfigs[Binding limit],12),"")</f>
        <v>Height</v>
      </c>
      <c r="I52" s="30">
        <f>IFERROR(INDEX(tblConfigs[Layers to add],12),"")</f>
        <v>0</v>
      </c>
      <c r="J52" s="43">
        <f>IFERROR(INDEX(tblConfigs[Freight per unit],12),"")</f>
        <v>4.02777777777778</v>
      </c>
      <c r="K52" s="30">
        <f>IFERROR(INDEX(tblConfigs[Monthly freight],12)-INDEX(tblConfigs[Est. monthly saving],12),"")</f>
        <v>2900</v>
      </c>
      <c r="L52" s="30">
        <f>IFERROR(INDEX(tblConfigs[Est. monthly saving],12),"")</f>
        <v>0</v>
      </c>
    </row>
    <row r="53" spans="2:12">
      <c r="B53" s="53" t="s">
        <v>174</v>
      </c>
      <c r="C53" s="56" t="str">
        <f>IFERROR(INDEX(tblConfigs[SKU],13),"")</f>
        <v>CN-8</v>
      </c>
      <c r="D53" s="56" t="str">
        <f>IFERROR(INDEX(tblConfigs[Pallet type],13),"")</f>
        <v>Half pallet 48x20</v>
      </c>
      <c r="E53" s="56"/>
      <c r="F53" s="41">
        <f>IFERROR(INDEX(tblConfigs[Cube utilization],13),"")</f>
        <v>0.67741935483871</v>
      </c>
      <c r="G53" s="41">
        <f>IFERROR(INDEX(tblConfigs[Weight utilization],13),"")</f>
        <v>0.704</v>
      </c>
      <c r="H53" s="42" t="str">
        <f>IFERROR(INDEX(tblConfigs[Binding limit],13),"")</f>
        <v>Height</v>
      </c>
      <c r="I53" s="30">
        <f>IFERROR(INDEX(tblConfigs[Layers to add],13),"")</f>
        <v>2</v>
      </c>
      <c r="J53" s="43">
        <f>IFERROR(INDEX(tblConfigs[Freight per unit],13),"")</f>
        <v>0.126488095238095</v>
      </c>
      <c r="K53" s="30">
        <f>IFERROR(INDEX(tblConfigs[Monthly freight],13)-INDEX(tblConfigs[Est. monthly saving],13),"")</f>
        <v>793.333333333333</v>
      </c>
      <c r="L53" s="30">
        <f>IFERROR(INDEX(tblConfigs[Est. monthly saving],13),"")</f>
        <v>226.666666666667</v>
      </c>
    </row>
    <row r="54" spans="2:12">
      <c r="B54" s="53" t="s">
        <v>175</v>
      </c>
      <c r="C54" s="56" t="str">
        <f>IFERROR(INDEX(tblConfigs[SKU],14),"")</f>
        <v>RF-B</v>
      </c>
      <c r="D54" s="56" t="str">
        <f>IFERROR(INDEX(tblConfigs[Pallet type],14),"")</f>
        <v>GMA 48x40 single-stack</v>
      </c>
      <c r="E54" s="56"/>
      <c r="F54" s="41">
        <f>IFERROR(INDEX(tblConfigs[Cube utilization],14),"")</f>
        <v>0.954128440366972</v>
      </c>
      <c r="G54" s="41">
        <f>IFERROR(INDEX(tblConfigs[Weight utilization],14),"")</f>
        <v>0.712761020881671</v>
      </c>
      <c r="H54" s="42" t="str">
        <f>IFERROR(INDEX(tblConfigs[Binding limit],14),"")</f>
        <v>Height</v>
      </c>
      <c r="I54" s="30">
        <f>IFERROR(INDEX(tblConfigs[Layers to add],14),"")</f>
        <v>0</v>
      </c>
      <c r="J54" s="43">
        <f>IFERROR(INDEX(tblConfigs[Freight per unit],14),"")</f>
        <v>2.265625</v>
      </c>
      <c r="K54" s="30">
        <f>IFERROR(INDEX(tblConfigs[Monthly freight],14)-INDEX(tblConfigs[Est. monthly saving],14),"")</f>
        <v>3625</v>
      </c>
      <c r="L54" s="30">
        <f>IFERROR(INDEX(tblConfigs[Est. monthly saving],14),"")</f>
        <v>0</v>
      </c>
    </row>
    <row r="55" spans="2:12" ht="8" customHeight="1"/>
    <row r="56" spans="2:12" ht="26.76" customHeight="1">
      <c r="B56" s="21" t="s">
        <v>176</v>
      </c>
      <c r="C56" s="21"/>
      <c r="D56" s="21"/>
      <c r="E56" s="21"/>
      <c r="F56" s="21"/>
      <c r="G56" s="21"/>
      <c r="H56" s="21"/>
      <c r="I56" s="21"/>
      <c r="J56" s="21"/>
      <c r="K56" s="21"/>
      <c r="L56" s="21"/>
    </row>
    <row r="57" spans="2:12">
      <c r="B57" s="57">
        <f>IF(OR(COUNTA(tblConfigs[SKU])&gt;14,COUNTA(tblPallets[Pallet type])&gt;3),"Lists are longer than the Dashboard blocks: some configurations or pallet types are not shown.","")</f>
        <v/>
      </c>
      <c r="C57" s="57"/>
      <c r="D57" s="57"/>
      <c r="E57" s="57"/>
      <c r="F57" s="57"/>
      <c r="G57" s="57"/>
      <c r="H57" s="57"/>
      <c r="I57" s="57"/>
      <c r="J57" s="57"/>
      <c r="K57" s="57"/>
      <c r="L57" s="57"/>
    </row>
  </sheetData>
  <sheetProtection sheet="1" formatColumns="0" formatRows="0"/>
  <mergeCells count="40">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30:I30"/>
    <mergeCell ref="B38:L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B56:L56"/>
    <mergeCell ref="B57:L57"/>
  </mergeCells>
  <conditionalFormatting sqref="B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E33:E35">
    <cfRule type="expression" dxfId="3" priority="21" stopIfTrue="1">
      <formula>AND(ISNUMBER(E33),E33&gt;=(TargetCube))</formula>
    </cfRule>
    <cfRule type="expression" dxfId="4" priority="22" stopIfTrue="1">
      <formula>AND(ISNUMBER(E33),E33&gt;=(TargetCube)*(1-0.05))</formula>
    </cfRule>
    <cfRule type="expression" dxfId="5" priority="23">
      <formula>ISNUMBER(E33)</formula>
    </cfRule>
  </conditionalFormatting>
  <conditionalFormatting sqref="F41:F54">
    <cfRule type="expression" dxfId="3" priority="24" stopIfTrue="1">
      <formula>AND(ISNUMBER(F41),F41&gt;=(TargetCube))</formula>
    </cfRule>
    <cfRule type="expression" dxfId="4" priority="25" stopIfTrue="1">
      <formula>AND(ISNUMBER(F41),F41&gt;=(TargetCube)*(1-0.05))</formula>
    </cfRule>
    <cfRule type="expression" dxfId="5" priority="26">
      <formula>ISNUMBER(F41)</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Pallet Utilization&amp;R&amp;8&amp;A</oddHeader>
    <oddFooter>&amp;L&amp;8mfgcalcs.com - free manufacturing templates&amp;R&amp;8Page &amp;P of &amp;N</oddFooter>
  </headerFooter>
  <rowBreaks count="1" manualBreakCount="1">
    <brk id="29"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8"/>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177</v>
      </c>
      <c r="C4" s="8"/>
      <c r="D4" s="8"/>
    </row>
    <row r="5" spans="1:4" ht="5" customHeight="1"/>
    <row r="6" spans="1:4" ht="69" customHeight="1">
      <c r="B6" s="10" t="s">
        <v>178</v>
      </c>
      <c r="C6" s="10"/>
      <c r="D6" s="10"/>
    </row>
    <row r="8" spans="1:4" ht="21" customHeight="1">
      <c r="B8" s="8" t="s">
        <v>179</v>
      </c>
      <c r="C8" s="8"/>
      <c r="D8" s="8"/>
    </row>
    <row r="9" spans="1:4" ht="5" customHeight="1"/>
    <row r="10" spans="1:4" ht="20" customHeight="1">
      <c r="B10" s="52" t="s">
        <v>180</v>
      </c>
      <c r="C10" s="52" t="s">
        <v>181</v>
      </c>
      <c r="D10" s="35" t="s">
        <v>182</v>
      </c>
    </row>
    <row r="11" spans="1:4" ht="30.4" customHeight="1">
      <c r="B11" s="58" t="s">
        <v>183</v>
      </c>
      <c r="C11" s="59" t="s">
        <v>184</v>
      </c>
      <c r="D11" s="60" t="s">
        <v>185</v>
      </c>
    </row>
    <row r="12" spans="1:4" ht="17.2" customHeight="1">
      <c r="B12" s="58" t="s">
        <v>100</v>
      </c>
      <c r="C12" s="59" t="s">
        <v>186</v>
      </c>
      <c r="D12" s="60" t="s">
        <v>187</v>
      </c>
    </row>
    <row r="13" spans="1:4" ht="30.4" customHeight="1">
      <c r="B13" s="58" t="s">
        <v>101</v>
      </c>
      <c r="C13" s="59" t="s">
        <v>188</v>
      </c>
      <c r="D13" s="60" t="s">
        <v>189</v>
      </c>
    </row>
    <row r="14" spans="1:4" ht="17.2" customHeight="1">
      <c r="B14" s="58" t="s">
        <v>102</v>
      </c>
      <c r="C14" s="59" t="s">
        <v>190</v>
      </c>
      <c r="D14" s="60" t="s">
        <v>191</v>
      </c>
    </row>
    <row r="15" spans="1:4" ht="17.2" customHeight="1">
      <c r="B15" s="58" t="s">
        <v>103</v>
      </c>
      <c r="C15" s="59" t="s">
        <v>192</v>
      </c>
      <c r="D15" s="60" t="s">
        <v>191</v>
      </c>
    </row>
    <row r="16" spans="1:4" ht="30.4" customHeight="1">
      <c r="B16" s="58" t="s">
        <v>193</v>
      </c>
      <c r="C16" s="59" t="s">
        <v>194</v>
      </c>
      <c r="D16" s="60" t="s">
        <v>195</v>
      </c>
    </row>
    <row r="17" spans="2:4" ht="17.2" customHeight="1">
      <c r="B17" s="58" t="s">
        <v>105</v>
      </c>
      <c r="C17" s="59" t="s">
        <v>196</v>
      </c>
      <c r="D17" s="60" t="s">
        <v>195</v>
      </c>
    </row>
    <row r="18" spans="2:4" ht="30.4" customHeight="1">
      <c r="B18" s="58" t="s">
        <v>197</v>
      </c>
      <c r="C18" s="59" t="s">
        <v>198</v>
      </c>
      <c r="D18" s="60" t="s">
        <v>199</v>
      </c>
    </row>
    <row r="19" spans="2:4" ht="30.4" customHeight="1">
      <c r="B19" s="58" t="s">
        <v>109</v>
      </c>
      <c r="C19" s="59" t="s">
        <v>200</v>
      </c>
      <c r="D19" s="60" t="s">
        <v>201</v>
      </c>
    </row>
    <row r="20" spans="2:4" ht="30.4" customHeight="1">
      <c r="B20" s="58" t="s">
        <v>110</v>
      </c>
      <c r="C20" s="59" t="s">
        <v>202</v>
      </c>
      <c r="D20" s="60" t="s">
        <v>203</v>
      </c>
    </row>
    <row r="21" spans="2:4" ht="30.4" customHeight="1">
      <c r="B21" s="58" t="s">
        <v>204</v>
      </c>
      <c r="C21" s="59" t="s">
        <v>205</v>
      </c>
      <c r="D21" s="60" t="s">
        <v>191</v>
      </c>
    </row>
    <row r="23" spans="2:4" ht="21" customHeight="1">
      <c r="B23" s="8" t="s">
        <v>206</v>
      </c>
      <c r="C23" s="8"/>
      <c r="D23" s="8"/>
    </row>
    <row r="24" spans="2:4" ht="5" customHeight="1"/>
    <row r="25" spans="2:4" ht="29.4" customHeight="1">
      <c r="B25" s="26" t="s">
        <v>53</v>
      </c>
      <c r="C25" s="10" t="s">
        <v>207</v>
      </c>
      <c r="D25" s="10"/>
    </row>
    <row r="26" spans="2:4" ht="29.4" customHeight="1">
      <c r="B26" s="26" t="s">
        <v>53</v>
      </c>
      <c r="C26" s="10" t="s">
        <v>208</v>
      </c>
      <c r="D26" s="10"/>
    </row>
    <row r="27" spans="2:4" ht="29.4" customHeight="1">
      <c r="B27" s="26" t="s">
        <v>53</v>
      </c>
      <c r="C27" s="10" t="s">
        <v>209</v>
      </c>
      <c r="D27" s="10"/>
    </row>
    <row r="28" spans="2:4" ht="29.4" customHeight="1">
      <c r="B28" s="26" t="s">
        <v>53</v>
      </c>
      <c r="C28" s="10" t="s">
        <v>210</v>
      </c>
      <c r="D28" s="10"/>
    </row>
    <row r="29" spans="2:4" ht="16.2" customHeight="1">
      <c r="B29" s="26" t="s">
        <v>53</v>
      </c>
      <c r="C29" s="10" t="s">
        <v>211</v>
      </c>
      <c r="D29" s="10"/>
    </row>
    <row r="31" spans="2:4" ht="21" customHeight="1">
      <c r="B31" s="8" t="s">
        <v>212</v>
      </c>
      <c r="C31" s="8"/>
      <c r="D31" s="8"/>
    </row>
    <row r="32" spans="2:4" ht="5" customHeight="1"/>
    <row r="33" spans="2:4" ht="29.4" customHeight="1">
      <c r="B33" s="26" t="s">
        <v>53</v>
      </c>
      <c r="C33" s="10" t="s">
        <v>213</v>
      </c>
      <c r="D33" s="10"/>
    </row>
    <row r="34" spans="2:4" ht="16.2" customHeight="1">
      <c r="B34" s="26" t="s">
        <v>53</v>
      </c>
      <c r="C34" s="10" t="s">
        <v>214</v>
      </c>
      <c r="D34" s="10"/>
    </row>
    <row r="35" spans="2:4" ht="29.4" customHeight="1">
      <c r="B35" s="26" t="s">
        <v>53</v>
      </c>
      <c r="C35" s="10" t="s">
        <v>215</v>
      </c>
      <c r="D35" s="10"/>
    </row>
    <row r="37" spans="2:4" ht="21" customHeight="1">
      <c r="B37" s="8" t="s">
        <v>216</v>
      </c>
      <c r="C37" s="8"/>
      <c r="D37" s="8"/>
    </row>
    <row r="38" spans="2:4" ht="5" customHeight="1"/>
    <row r="39" spans="2:4" ht="55.8" customHeight="1">
      <c r="B39" s="10" t="s">
        <v>217</v>
      </c>
      <c r="C39" s="10"/>
      <c r="D39" s="10"/>
    </row>
    <row r="40" spans="2:4">
      <c r="B40" s="24" t="s">
        <v>218</v>
      </c>
      <c r="C40" s="24"/>
      <c r="D40" s="24"/>
    </row>
    <row r="42" spans="2:4" ht="21" customHeight="1">
      <c r="B42" s="8" t="s">
        <v>40</v>
      </c>
      <c r="C42" s="8"/>
      <c r="D42" s="8"/>
    </row>
    <row r="43" spans="2:4" ht="5" customHeight="1"/>
    <row r="44" spans="2:4" ht="42.6" customHeight="1">
      <c r="B44" s="10" t="s">
        <v>219</v>
      </c>
      <c r="C44" s="10"/>
      <c r="D44" s="10"/>
    </row>
    <row r="46" spans="2:4" ht="21" customHeight="1">
      <c r="B46" s="8" t="s">
        <v>220</v>
      </c>
      <c r="C46" s="8"/>
      <c r="D46" s="8"/>
    </row>
    <row r="47" spans="2:4" ht="5" customHeight="1"/>
    <row r="48" spans="2:4" ht="29.4" customHeight="1">
      <c r="B48" s="26" t="s">
        <v>53</v>
      </c>
      <c r="C48" s="10" t="s">
        <v>221</v>
      </c>
      <c r="D48" s="10"/>
    </row>
    <row r="49" spans="2:4" ht="16.2" customHeight="1">
      <c r="B49" s="26" t="s">
        <v>53</v>
      </c>
      <c r="C49" s="10" t="s">
        <v>222</v>
      </c>
      <c r="D49" s="10"/>
    </row>
    <row r="50" spans="2:4" ht="29.4" customHeight="1">
      <c r="B50" s="26" t="s">
        <v>53</v>
      </c>
      <c r="C50" s="10" t="s">
        <v>223</v>
      </c>
      <c r="D50" s="10"/>
    </row>
    <row r="51" spans="2:4">
      <c r="B51" s="21" t="s">
        <v>224</v>
      </c>
      <c r="C51" s="21"/>
      <c r="D51" s="21"/>
    </row>
    <row r="53" spans="2:4" ht="21" customHeight="1">
      <c r="B53" s="8" t="s">
        <v>225</v>
      </c>
      <c r="C53" s="8"/>
      <c r="D53" s="8"/>
    </row>
    <row r="54" spans="2:4" ht="5" customHeight="1"/>
    <row r="55" spans="2:4">
      <c r="B55" s="52" t="s">
        <v>48</v>
      </c>
      <c r="C55" s="52" t="s">
        <v>226</v>
      </c>
      <c r="D55" s="35" t="s">
        <v>227</v>
      </c>
    </row>
    <row r="56" spans="2:4" ht="16.2" customHeight="1">
      <c r="B56" s="61" t="s">
        <v>228</v>
      </c>
      <c r="C56" s="62" t="s">
        <v>229</v>
      </c>
      <c r="D56" s="63" t="s">
        <v>230</v>
      </c>
    </row>
    <row r="58" spans="2:4">
      <c r="B58" s="21" t="s">
        <v>59</v>
      </c>
      <c r="C58" s="21"/>
      <c r="D58" s="21"/>
    </row>
  </sheetData>
  <sheetProtection sheet="1" formatColumns="0" formatRows="0"/>
  <mergeCells count="27">
    <mergeCell ref="A1:D1"/>
    <mergeCell ref="B2:C2"/>
    <mergeCell ref="B4:D4"/>
    <mergeCell ref="B6:D6"/>
    <mergeCell ref="B8:D8"/>
    <mergeCell ref="B23:D23"/>
    <mergeCell ref="C25:D25"/>
    <mergeCell ref="C26:D26"/>
    <mergeCell ref="C27:D27"/>
    <mergeCell ref="C28:D28"/>
    <mergeCell ref="C29:D29"/>
    <mergeCell ref="B31:D31"/>
    <mergeCell ref="C33:D33"/>
    <mergeCell ref="C34:D34"/>
    <mergeCell ref="C35:D35"/>
    <mergeCell ref="B37:D37"/>
    <mergeCell ref="B39:D39"/>
    <mergeCell ref="B40:D40"/>
    <mergeCell ref="B42:D42"/>
    <mergeCell ref="B44:D44"/>
    <mergeCell ref="B46:D46"/>
    <mergeCell ref="C48:D48"/>
    <mergeCell ref="C49:D49"/>
    <mergeCell ref="C50:D50"/>
    <mergeCell ref="B51:D51"/>
    <mergeCell ref="B53:D53"/>
    <mergeCell ref="B58:D58"/>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Pallet Utilization&amp;R&amp;8&amp;A</oddHeader>
    <oddFooter>&amp;L&amp;8mfgcalcs.com - free manufacturing templates&amp;R&amp;8Page &amp;P of &amp;N</oddFooter>
  </headerFooter>
  <rowBreaks count="2" manualBreakCount="2">
    <brk id="22" max="16383" man="1"/>
    <brk id="52"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AC52"/>
  <sheetViews>
    <sheetView showGridLines="0" workbookViewId="0"/>
  </sheetViews>
  <sheetFormatPr defaultRowHeight="15"/>
  <cols>
    <col min="1" max="1" width="2.7109375" customWidth="1"/>
    <col min="2" max="19" width="12.7109375" customWidth="1"/>
    <col min="20" max="20" width="9.28515625" customWidth="1"/>
    <col min="21" max="22" width="7.7109375" customWidth="1"/>
    <col min="23" max="23" width="8.7109375" customWidth="1"/>
    <col min="24" max="24" width="9.28515625" customWidth="1"/>
    <col min="25" max="25" width="9.7109375" customWidth="1"/>
    <col min="26" max="26" width="10.7109375" customWidth="1"/>
    <col min="27" max="27" width="11.7109375" customWidth="1"/>
    <col min="28" max="28" width="19.7109375" customWidth="1"/>
    <col min="29" max="29" width="24.7109375" customWidth="1"/>
  </cols>
  <sheetData>
    <row r="1" spans="1:29" ht="30"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row>
    <row r="2" spans="1:29" ht="21" customHeight="1">
      <c r="B2" s="2" t="s">
        <v>26</v>
      </c>
      <c r="C2" s="2"/>
      <c r="D2" s="2"/>
      <c r="E2" s="2"/>
      <c r="F2" s="2"/>
      <c r="G2" s="2"/>
      <c r="H2" s="2"/>
      <c r="I2" s="2"/>
      <c r="J2" s="2"/>
      <c r="K2" s="2"/>
      <c r="L2" s="2"/>
      <c r="M2" s="2"/>
      <c r="N2" s="2"/>
      <c r="O2" s="2"/>
      <c r="P2" s="2"/>
      <c r="Q2" s="2"/>
      <c r="R2" s="2"/>
      <c r="S2" s="2"/>
      <c r="T2" s="2"/>
      <c r="U2" s="2"/>
      <c r="V2" s="2"/>
      <c r="W2" s="2"/>
      <c r="X2" s="2"/>
      <c r="Y2" s="2"/>
      <c r="Z2" s="2"/>
      <c r="AA2" s="2"/>
      <c r="AB2" s="2"/>
      <c r="AC2" s="3" t="s">
        <v>2</v>
      </c>
    </row>
    <row r="3" spans="1:29" ht="6" customHeight="1"/>
    <row r="4" spans="1:29" ht="30" customHeight="1">
      <c r="B4" s="64" t="s">
        <v>231</v>
      </c>
      <c r="C4" s="64"/>
      <c r="D4" s="22" t="str">
        <f>IF(COUNTIF($K$11:$K$31,"PASS")=21,"PASS","FAIL")</f>
        <v>PASS</v>
      </c>
      <c r="E4" s="22"/>
      <c r="F4" s="23" t="str">
        <f>COUNTIF($K$11:$K$31,"PASS")&amp;" of 21 checks pass"</f>
        <v>21 of 21 checks pass</v>
      </c>
      <c r="G4" s="23"/>
      <c r="H4" s="23"/>
      <c r="I4" s="23"/>
      <c r="J4" s="23"/>
    </row>
    <row r="6" spans="1:29" ht="29.4" customHeight="1">
      <c r="B6" s="10" t="s">
        <v>232</v>
      </c>
      <c r="C6" s="10"/>
      <c r="D6" s="10"/>
      <c r="E6" s="10"/>
      <c r="F6" s="10"/>
      <c r="G6" s="10"/>
      <c r="H6" s="10"/>
      <c r="I6" s="10"/>
      <c r="J6" s="10"/>
      <c r="K6" s="10"/>
      <c r="L6" s="10"/>
    </row>
    <row r="8" spans="1:29" ht="21" customHeight="1">
      <c r="B8" s="8" t="s">
        <v>233</v>
      </c>
      <c r="C8" s="8"/>
      <c r="D8" s="8"/>
      <c r="E8" s="8"/>
      <c r="F8" s="8"/>
      <c r="G8" s="8"/>
      <c r="H8" s="8"/>
      <c r="I8" s="8"/>
      <c r="J8" s="8"/>
      <c r="K8" s="8"/>
      <c r="L8" s="8"/>
    </row>
    <row r="9" spans="1:29" ht="5" customHeight="1"/>
    <row r="10" spans="1:29" ht="30" customHeight="1">
      <c r="B10" s="35" t="s">
        <v>234</v>
      </c>
      <c r="C10" s="52" t="s">
        <v>111</v>
      </c>
      <c r="D10" s="52"/>
      <c r="E10" s="52"/>
      <c r="F10" s="52"/>
      <c r="G10" s="35" t="s">
        <v>235</v>
      </c>
      <c r="H10" s="35" t="s">
        <v>236</v>
      </c>
      <c r="I10" s="35" t="s">
        <v>237</v>
      </c>
      <c r="J10" s="35" t="s">
        <v>238</v>
      </c>
      <c r="K10" s="35" t="s">
        <v>239</v>
      </c>
    </row>
    <row r="11" spans="1:29" ht="16.2" customHeight="1">
      <c r="B11" s="65">
        <v>1</v>
      </c>
      <c r="C11" s="62" t="s">
        <v>240</v>
      </c>
      <c r="D11" s="62"/>
      <c r="E11" s="62"/>
      <c r="F11" s="62"/>
      <c r="G11" s="66">
        <v>60</v>
      </c>
      <c r="H11" s="40">
        <f>$K$43</f>
        <v>60</v>
      </c>
      <c r="I11" s="67">
        <f>IF(AND(ISNUMBER($G$11),ISNUMBER($H$11)),ABS($H$11-$G$11),"")</f>
        <v>0</v>
      </c>
      <c r="J11" s="68">
        <v>1E-09</v>
      </c>
      <c r="K11" s="42" t="str">
        <f>IF(AND(ISNUMBER($G$11),ISNUMBER($H$11)),IF(ABS($H$11-$G$11)&lt;=$J$11,"PASS","FAIL"),"FAIL")</f>
        <v>PASS</v>
      </c>
    </row>
    <row r="12" spans="1:29" ht="16.2" customHeight="1">
      <c r="B12" s="65">
        <v>2</v>
      </c>
      <c r="C12" s="62" t="s">
        <v>241</v>
      </c>
      <c r="D12" s="62"/>
      <c r="E12" s="62"/>
      <c r="F12" s="62"/>
      <c r="G12" s="69">
        <v>1960</v>
      </c>
      <c r="H12" s="30">
        <f>$L$43</f>
        <v>1960</v>
      </c>
      <c r="I12" s="67">
        <f>IF(AND(ISNUMBER($G$12),ISNUMBER($H$12)),ABS($H$12-$G$12),"")</f>
        <v>0</v>
      </c>
      <c r="J12" s="68">
        <v>1E-09</v>
      </c>
      <c r="K12" s="42" t="str">
        <f>IF(AND(ISNUMBER($G$12),ISNUMBER($H$12)),IF(ABS($H$12-$G$12)&lt;=$J$12,"PASS","FAIL"),"FAIL")</f>
        <v>PASS</v>
      </c>
    </row>
    <row r="13" spans="1:29" ht="16.2" customHeight="1">
      <c r="B13" s="65">
        <v>3</v>
      </c>
      <c r="C13" s="62" t="s">
        <v>242</v>
      </c>
      <c r="D13" s="62"/>
      <c r="E13" s="62"/>
      <c r="F13" s="62"/>
      <c r="G13" s="66">
        <v>45</v>
      </c>
      <c r="H13" s="40">
        <f>$R$48</f>
        <v>45</v>
      </c>
      <c r="I13" s="67">
        <f>IF(AND(ISNUMBER($G$13),ISNUMBER($H$13)),ABS($H$13-$G$13),"")</f>
        <v>0</v>
      </c>
      <c r="J13" s="68">
        <v>1E-09</v>
      </c>
      <c r="K13" s="42" t="str">
        <f>IF(AND(ISNUMBER($G$13),ISNUMBER($H$13)),IF(ABS($H$13-$G$13)&lt;=$J$13,"PASS","FAIL"),"FAIL")</f>
        <v>PASS</v>
      </c>
    </row>
    <row r="14" spans="1:29" ht="16.2" customHeight="1">
      <c r="B14" s="65">
        <v>4</v>
      </c>
      <c r="C14" s="62" t="s">
        <v>243</v>
      </c>
      <c r="D14" s="62"/>
      <c r="E14" s="62"/>
      <c r="F14" s="62"/>
      <c r="G14" s="70">
        <v>0.75</v>
      </c>
      <c r="H14" s="71">
        <f>$S$48</f>
        <v>0.75</v>
      </c>
      <c r="I14" s="67">
        <f>IF(AND(ISNUMBER($G$14),ISNUMBER($H$14)),ABS($H$14-$G$14),"")</f>
        <v>0</v>
      </c>
      <c r="J14" s="68">
        <v>1E-09</v>
      </c>
      <c r="K14" s="42" t="str">
        <f>IF(AND(ISNUMBER($G$14),ISNUMBER($H$14)),IF(ABS($H$14-$G$14)&lt;=$J$14,"PASS","FAIL"),"FAIL")</f>
        <v>PASS</v>
      </c>
    </row>
    <row r="15" spans="1:29" ht="16.2" customHeight="1">
      <c r="B15" s="65">
        <v>5</v>
      </c>
      <c r="C15" s="62" t="s">
        <v>244</v>
      </c>
      <c r="D15" s="62"/>
      <c r="E15" s="62"/>
      <c r="F15" s="62"/>
      <c r="G15" s="70">
        <v>0.7346938775510204</v>
      </c>
      <c r="H15" s="71">
        <f>$T$48</f>
        <v>0.73469387755102</v>
      </c>
      <c r="I15" s="67">
        <f>IF(AND(ISNUMBER($G$15),ISNUMBER($H$15)),ABS($H$15-$G$15),"")</f>
        <v>0</v>
      </c>
      <c r="J15" s="68">
        <v>1E-09</v>
      </c>
      <c r="K15" s="42" t="str">
        <f>IF(AND(ISNUMBER($G$15),ISNUMBER($H$15)),IF(ABS($H$15-$G$15)&lt;=$J$15,"PASS","FAIL"),"FAIL")</f>
        <v>PASS</v>
      </c>
    </row>
    <row r="16" spans="1:29" ht="16.2" customHeight="1">
      <c r="B16" s="65">
        <v>6</v>
      </c>
      <c r="C16" s="62" t="s">
        <v>245</v>
      </c>
      <c r="D16" s="62"/>
      <c r="E16" s="62"/>
      <c r="F16" s="62"/>
      <c r="G16" s="69">
        <v>432</v>
      </c>
      <c r="H16" s="30">
        <f>$Q$48</f>
        <v>432</v>
      </c>
      <c r="I16" s="67">
        <f>IF(AND(ISNUMBER($G$16),ISNUMBER($H$16)),ABS($H$16-$G$16),"")</f>
        <v>0</v>
      </c>
      <c r="J16" s="68">
        <v>1E-09</v>
      </c>
      <c r="K16" s="42" t="str">
        <f>IF(AND(ISNUMBER($G$16),ISNUMBER($H$16)),IF(ABS($H$16-$G$16)&lt;=$J$16,"PASS","FAIL"),"FAIL")</f>
        <v>PASS</v>
      </c>
    </row>
    <row r="17" spans="2:11" ht="16.2" customHeight="1">
      <c r="B17" s="65">
        <v>7</v>
      </c>
      <c r="C17" s="62" t="s">
        <v>246</v>
      </c>
      <c r="D17" s="62"/>
      <c r="E17" s="62"/>
      <c r="F17" s="62"/>
      <c r="G17" s="72">
        <v>0.2777777777777778</v>
      </c>
      <c r="H17" s="43">
        <f>$X$48</f>
        <v>0.277777777777778</v>
      </c>
      <c r="I17" s="67">
        <f>IF(AND(ISNUMBER($G$17),ISNUMBER($H$17)),ABS($H$17-$G$17),"")</f>
        <v>0</v>
      </c>
      <c r="J17" s="68">
        <v>1E-09</v>
      </c>
      <c r="K17" s="42" t="str">
        <f>IF(AND(ISNUMBER($G$17),ISNUMBER($H$17)),IF(ABS($H$17-$G$17)&lt;=$J$17,"PASS","FAIL"),"FAIL")</f>
        <v>PASS</v>
      </c>
    </row>
    <row r="18" spans="2:11" ht="16.2" customHeight="1">
      <c r="B18" s="65">
        <v>8</v>
      </c>
      <c r="C18" s="62" t="s">
        <v>247</v>
      </c>
      <c r="D18" s="62"/>
      <c r="E18" s="62"/>
      <c r="F18" s="62"/>
      <c r="G18" s="61" t="s">
        <v>157</v>
      </c>
      <c r="H18" s="56" t="str">
        <f>$AA$48</f>
        <v>Below target</v>
      </c>
      <c r="I18" s="56"/>
      <c r="J18" s="63" t="s">
        <v>248</v>
      </c>
      <c r="K18" s="42" t="str">
        <f>IF($H$18&amp;""=$G$18&amp;"","PASS","FAIL")</f>
        <v>PASS</v>
      </c>
    </row>
    <row r="19" spans="2:11" ht="16.2" customHeight="1">
      <c r="B19" s="65">
        <v>9</v>
      </c>
      <c r="C19" s="62" t="s">
        <v>249</v>
      </c>
      <c r="D19" s="62"/>
      <c r="E19" s="62"/>
      <c r="F19" s="62"/>
      <c r="G19" s="69">
        <v>5</v>
      </c>
      <c r="H19" s="30">
        <f>$U$49</f>
        <v>5</v>
      </c>
      <c r="I19" s="67">
        <f>IF(AND(ISNUMBER($G$19),ISNUMBER($H$19)),ABS($H$19-$G$19),"")</f>
        <v>0</v>
      </c>
      <c r="J19" s="68">
        <v>1E-09</v>
      </c>
      <c r="K19" s="42" t="str">
        <f>IF(AND(ISNUMBER($G$19),ISNUMBER($H$19)),IF(ABS($H$19-$G$19)&lt;=$J$19,"PASS","FAIL"),"FAIL")</f>
        <v>PASS</v>
      </c>
    </row>
    <row r="20" spans="2:11" ht="16.2" customHeight="1">
      <c r="B20" s="65">
        <v>10</v>
      </c>
      <c r="C20" s="62" t="s">
        <v>250</v>
      </c>
      <c r="D20" s="62"/>
      <c r="E20" s="62"/>
      <c r="F20" s="62"/>
      <c r="G20" s="69">
        <v>1</v>
      </c>
      <c r="H20" s="30">
        <f>$V$49</f>
        <v>1</v>
      </c>
      <c r="I20" s="67">
        <f>IF(AND(ISNUMBER($G$20),ISNUMBER($H$20)),ABS($H$20-$G$20),"")</f>
        <v>0</v>
      </c>
      <c r="J20" s="68">
        <v>1E-09</v>
      </c>
      <c r="K20" s="42" t="str">
        <f>IF(AND(ISNUMBER($G$20),ISNUMBER($H$20)),IF(ABS($H$20-$G$20)&lt;=$J$20,"PASS","FAIL"),"FAIL")</f>
        <v>PASS</v>
      </c>
    </row>
    <row r="21" spans="2:11" ht="16.2" customHeight="1">
      <c r="B21" s="65">
        <v>11</v>
      </c>
      <c r="C21" s="62" t="s">
        <v>251</v>
      </c>
      <c r="D21" s="62"/>
      <c r="E21" s="62"/>
      <c r="F21" s="62"/>
      <c r="G21" s="61" t="s">
        <v>252</v>
      </c>
      <c r="H21" s="56" t="str">
        <f>$W$49</f>
        <v>Height</v>
      </c>
      <c r="I21" s="56"/>
      <c r="J21" s="63" t="s">
        <v>248</v>
      </c>
      <c r="K21" s="42" t="str">
        <f>IF($H$21&amp;""=$G$21&amp;"","PASS","FAIL")</f>
        <v>PASS</v>
      </c>
    </row>
    <row r="22" spans="2:11" ht="16.2" customHeight="1">
      <c r="B22" s="65">
        <v>12</v>
      </c>
      <c r="C22" s="62" t="s">
        <v>253</v>
      </c>
      <c r="D22" s="62"/>
      <c r="E22" s="62"/>
      <c r="F22" s="62"/>
      <c r="G22" s="66">
        <v>6000</v>
      </c>
      <c r="H22" s="40">
        <f>$Y$49</f>
        <v>6000</v>
      </c>
      <c r="I22" s="67">
        <f>IF(AND(ISNUMBER($G$22),ISNUMBER($H$22)),ABS($H$22-$G$22),"")</f>
        <v>0</v>
      </c>
      <c r="J22" s="68">
        <v>1E-09</v>
      </c>
      <c r="K22" s="42" t="str">
        <f>IF(AND(ISNUMBER($G$22),ISNUMBER($H$22)),IF(ABS($H$22-$G$22)&lt;=$J$22,"PASS","FAIL"),"FAIL")</f>
        <v>PASS</v>
      </c>
    </row>
    <row r="23" spans="2:11" ht="16.2" customHeight="1">
      <c r="B23" s="65">
        <v>13</v>
      </c>
      <c r="C23" s="62" t="s">
        <v>254</v>
      </c>
      <c r="D23" s="62"/>
      <c r="E23" s="62"/>
      <c r="F23" s="62"/>
      <c r="G23" s="66">
        <v>1200</v>
      </c>
      <c r="H23" s="40">
        <f>$Z$49</f>
        <v>1200</v>
      </c>
      <c r="I23" s="67">
        <f>IF(AND(ISNUMBER($G$23),ISNUMBER($H$23)),ABS($H$23-$G$23),"")</f>
        <v>0</v>
      </c>
      <c r="J23" s="68">
        <v>1E-09</v>
      </c>
      <c r="K23" s="42" t="str">
        <f>IF(AND(ISNUMBER($G$23),ISNUMBER($H$23)),IF(ABS($H$23-$G$23)&lt;=$J$23,"PASS","FAIL"),"FAIL")</f>
        <v>PASS</v>
      </c>
    </row>
    <row r="24" spans="2:11" ht="16.2" customHeight="1">
      <c r="B24" s="65">
        <v>14</v>
      </c>
      <c r="C24" s="62" t="s">
        <v>255</v>
      </c>
      <c r="D24" s="62"/>
      <c r="E24" s="62"/>
      <c r="F24" s="62"/>
      <c r="G24" s="61" t="s">
        <v>256</v>
      </c>
      <c r="H24" s="56" t="str">
        <f>$W$50</f>
        <v>Weight</v>
      </c>
      <c r="I24" s="56"/>
      <c r="J24" s="63" t="s">
        <v>248</v>
      </c>
      <c r="K24" s="42" t="str">
        <f>IF($H$24&amp;""=$G$24&amp;"","PASS","FAIL")</f>
        <v>PASS</v>
      </c>
    </row>
    <row r="25" spans="2:11" ht="16.2" customHeight="1">
      <c r="B25" s="65">
        <v>15</v>
      </c>
      <c r="C25" s="62" t="s">
        <v>257</v>
      </c>
      <c r="D25" s="62"/>
      <c r="E25" s="62"/>
      <c r="F25" s="62"/>
      <c r="G25" s="61" t="s">
        <v>258</v>
      </c>
      <c r="H25" s="56" t="str">
        <f>$AB$50</f>
        <v>Over weight limit</v>
      </c>
      <c r="I25" s="56"/>
      <c r="J25" s="63" t="s">
        <v>248</v>
      </c>
      <c r="K25" s="42" t="str">
        <f>IF($H$25&amp;""=$G$25&amp;"","PASS","FAIL")</f>
        <v>PASS</v>
      </c>
    </row>
    <row r="26" spans="2:11" ht="16.2" customHeight="1">
      <c r="B26" s="65">
        <v>16</v>
      </c>
      <c r="C26" s="62" t="s">
        <v>259</v>
      </c>
      <c r="D26" s="62"/>
      <c r="E26" s="62"/>
      <c r="F26" s="62"/>
      <c r="G26" s="61" t="s">
        <v>260</v>
      </c>
      <c r="H26" s="56" t="str">
        <f>$AB$51</f>
        <v>Layer larger than pallet</v>
      </c>
      <c r="I26" s="56"/>
      <c r="J26" s="63" t="s">
        <v>248</v>
      </c>
      <c r="K26" s="42" t="str">
        <f>IF($H$26&amp;""=$G$26&amp;"","PASS","FAIL")</f>
        <v>PASS</v>
      </c>
    </row>
    <row r="27" spans="2:11" ht="16.2" customHeight="1">
      <c r="B27" s="65">
        <v>17</v>
      </c>
      <c r="C27" s="62" t="s">
        <v>261</v>
      </c>
      <c r="D27" s="62"/>
      <c r="E27" s="62"/>
      <c r="F27" s="62"/>
      <c r="G27" s="61" t="s">
        <v>262</v>
      </c>
      <c r="H27" s="56" t="str">
        <f>$AB$52</f>
        <v>Pallet type not on Setup list</v>
      </c>
      <c r="I27" s="56"/>
      <c r="J27" s="63" t="s">
        <v>248</v>
      </c>
      <c r="K27" s="42" t="str">
        <f>IF($H$27&amp;""=$G$27&amp;"","PASS","FAIL")</f>
        <v>PASS</v>
      </c>
    </row>
    <row r="28" spans="2:11" ht="16.2" customHeight="1">
      <c r="B28" s="65">
        <v>18</v>
      </c>
      <c r="C28" s="62" t="s">
        <v>263</v>
      </c>
      <c r="D28" s="62"/>
      <c r="E28" s="62"/>
      <c r="F28" s="62"/>
      <c r="G28" s="61" t="s">
        <v>116</v>
      </c>
      <c r="H28" s="56">
        <f>$S$52</f>
        <v/>
      </c>
      <c r="I28" s="56"/>
      <c r="J28" s="63" t="s">
        <v>248</v>
      </c>
      <c r="K28" s="42" t="str">
        <f>IF($H$28&amp;""=$G$28&amp;"","PASS","FAIL")</f>
        <v>PASS</v>
      </c>
    </row>
    <row r="29" spans="2:11" ht="16.2" customHeight="1">
      <c r="B29" s="65">
        <v>19</v>
      </c>
      <c r="C29" s="62" t="s">
        <v>264</v>
      </c>
      <c r="D29" s="62"/>
      <c r="E29" s="62"/>
      <c r="F29" s="62"/>
      <c r="G29" s="70">
        <v>0.739380787037037</v>
      </c>
      <c r="H29" s="71">
        <f>IF((SUMPRODUCT(tblVerifyConfigs[Envelope],tblVerifyConfigs[Pallets per month]))=0,"",(SUMPRODUCT(tblVerifyConfigs[Cube utilization],tblVerifyConfigs[Envelope],tblVerifyConfigs[Pallets per month]))/(SUMPRODUCT(tblVerifyConfigs[Envelope],tblVerifyConfigs[Pallets per month])))</f>
        <v>0.739380787037037</v>
      </c>
      <c r="I29" s="67">
        <f>IF(AND(ISNUMBER($G$29),ISNUMBER($H$29)),ABS($H$29-$G$29),"")</f>
        <v>0</v>
      </c>
      <c r="J29" s="68">
        <v>1E-09</v>
      </c>
      <c r="K29" s="42" t="str">
        <f>IF(AND(ISNUMBER($G$29),ISNUMBER($H$29)),IF(ABS($H$29-$G$29)&lt;=$J$29,"PASS","FAIL"),"FAIL")</f>
        <v>PASS</v>
      </c>
    </row>
    <row r="30" spans="2:11" ht="16.2" customHeight="1">
      <c r="B30" s="65">
        <v>20</v>
      </c>
      <c r="C30" s="62" t="s">
        <v>265</v>
      </c>
      <c r="D30" s="62"/>
      <c r="E30" s="62"/>
      <c r="F30" s="62"/>
      <c r="G30" s="70">
        <v>0.5058673469387756</v>
      </c>
      <c r="H30" s="71">
        <f>IF((SUMPRODUCT(tblVerifyConfigs[Max payload],tblVerifyConfigs[Pallets per month]))=0,"",(SUMPRODUCT(tblVerifyConfigs[Weight utilization],tblVerifyConfigs[Max payload],tblVerifyConfigs[Pallets per month]))/(SUMPRODUCT(tblVerifyConfigs[Max payload],tblVerifyConfigs[Pallets per month])))</f>
        <v>0.505867346938776</v>
      </c>
      <c r="I30" s="67">
        <f>IF(AND(ISNUMBER($G$30),ISNUMBER($H$30)),ABS($H$30-$G$30),"")</f>
        <v>0</v>
      </c>
      <c r="J30" s="68">
        <v>1E-09</v>
      </c>
      <c r="K30" s="42" t="str">
        <f>IF(AND(ISNUMBER($G$30),ISNUMBER($H$30)),IF(ABS($H$30-$G$30)&lt;=$J$30,"PASS","FAIL"),"FAIL")</f>
        <v>PASS</v>
      </c>
    </row>
    <row r="31" spans="2:11" ht="16.2" customHeight="1">
      <c r="B31" s="65">
        <v>21</v>
      </c>
      <c r="C31" s="62" t="s">
        <v>266</v>
      </c>
      <c r="D31" s="62"/>
      <c r="E31" s="62"/>
      <c r="F31" s="62"/>
      <c r="G31" s="66">
        <v>1440</v>
      </c>
      <c r="H31" s="40">
        <f>SUM(tblVerifyConfigs[Est. monthly saving])</f>
        <v>1440</v>
      </c>
      <c r="I31" s="67">
        <f>IF(AND(ISNUMBER($G$31),ISNUMBER($H$31)),ABS($H$31-$G$31),"")</f>
        <v>0</v>
      </c>
      <c r="J31" s="68">
        <v>1E-09</v>
      </c>
      <c r="K31" s="42" t="str">
        <f>IF(AND(ISNUMBER($G$31),ISNUMBER($H$31)),IF(ABS($H$31-$G$31)&lt;=$J$31,"PASS","FAIL"),"FAIL")</f>
        <v>PASS</v>
      </c>
    </row>
    <row r="33" spans="2:29" ht="21" customHeight="1">
      <c r="B33" s="8" t="s">
        <v>267</v>
      </c>
      <c r="C33" s="8"/>
      <c r="D33" s="8"/>
      <c r="E33" s="8"/>
      <c r="F33" s="8"/>
      <c r="G33" s="8"/>
      <c r="H33" s="8"/>
      <c r="I33" s="8"/>
      <c r="J33" s="8"/>
      <c r="K33" s="8"/>
      <c r="L33" s="8"/>
    </row>
    <row r="34" spans="2:29" ht="5" customHeight="1"/>
    <row r="35" spans="2:29">
      <c r="B35" s="21" t="s">
        <v>268</v>
      </c>
      <c r="C35" s="21"/>
      <c r="D35" s="21"/>
      <c r="E35" s="21"/>
      <c r="F35" s="21"/>
      <c r="G35" s="21"/>
      <c r="H35" s="21"/>
      <c r="I35" s="21"/>
      <c r="J35" s="21"/>
      <c r="K35" s="21"/>
      <c r="L35" s="21"/>
    </row>
    <row r="36" spans="2:29">
      <c r="B36" s="32" t="s">
        <v>269</v>
      </c>
      <c r="C36" s="32"/>
      <c r="D36" s="32"/>
      <c r="E36" s="32"/>
      <c r="F36" s="32"/>
    </row>
    <row r="37" spans="2:29">
      <c r="B37" s="27" t="s">
        <v>270</v>
      </c>
      <c r="C37" s="27"/>
      <c r="D37" s="27"/>
      <c r="E37" s="69">
        <v>1728</v>
      </c>
      <c r="F37" s="7"/>
    </row>
    <row r="38" spans="2:29">
      <c r="B38" s="27" t="s">
        <v>82</v>
      </c>
      <c r="C38" s="27"/>
      <c r="D38" s="27"/>
      <c r="E38" s="73">
        <v>0.8</v>
      </c>
      <c r="F38" s="7"/>
    </row>
    <row r="40" spans="2:29">
      <c r="B40" s="32" t="s">
        <v>271</v>
      </c>
      <c r="C40" s="32"/>
      <c r="D40" s="32"/>
      <c r="E40" s="32"/>
      <c r="F40" s="32"/>
      <c r="G40" s="32"/>
      <c r="H40" s="32"/>
      <c r="I40" s="32"/>
      <c r="J40" s="32"/>
      <c r="K40" s="32"/>
      <c r="L40" s="32"/>
    </row>
    <row r="41" spans="2:29" ht="14" customHeight="1">
      <c r="B41" s="34"/>
      <c r="C41" s="34" t="str">
        <f>DimUnit</f>
        <v>in</v>
      </c>
      <c r="D41" s="34" t="str">
        <f>DimUnit</f>
        <v>in</v>
      </c>
      <c r="E41" s="34" t="str">
        <f>DimUnit</f>
        <v>in</v>
      </c>
      <c r="F41" s="34" t="str">
        <f>DimUnit</f>
        <v>in</v>
      </c>
      <c r="G41" s="34" t="str">
        <f>WtUnit</f>
        <v>lb</v>
      </c>
      <c r="H41" s="34" t="str">
        <f>WtUnit</f>
        <v>lb</v>
      </c>
      <c r="I41" s="34" t="str">
        <f>Currency</f>
        <v>USD</v>
      </c>
      <c r="J41" s="34" t="str">
        <f>DimUnit</f>
        <v>in</v>
      </c>
      <c r="K41" s="34" t="str">
        <f>VolUnit</f>
        <v>ft³</v>
      </c>
      <c r="L41" s="34" t="str">
        <f>WtUnit</f>
        <v>lb</v>
      </c>
    </row>
    <row r="42" spans="2:29" ht="32" customHeight="1">
      <c r="B42" s="35" t="s">
        <v>60</v>
      </c>
      <c r="C42" s="35" t="s">
        <v>61</v>
      </c>
      <c r="D42" s="35" t="s">
        <v>62</v>
      </c>
      <c r="E42" s="35" t="s">
        <v>63</v>
      </c>
      <c r="F42" s="35" t="s">
        <v>64</v>
      </c>
      <c r="G42" s="35" t="s">
        <v>65</v>
      </c>
      <c r="H42" s="35" t="s">
        <v>66</v>
      </c>
      <c r="I42" s="35" t="s">
        <v>67</v>
      </c>
      <c r="J42" s="35" t="s">
        <v>68</v>
      </c>
      <c r="K42" s="35" t="s">
        <v>69</v>
      </c>
      <c r="L42" s="35" t="s">
        <v>70</v>
      </c>
    </row>
    <row r="43" spans="2:29">
      <c r="B43" s="61" t="s">
        <v>272</v>
      </c>
      <c r="C43" s="74">
        <v>48</v>
      </c>
      <c r="D43" s="74">
        <v>40</v>
      </c>
      <c r="E43" s="74">
        <v>6</v>
      </c>
      <c r="F43" s="74">
        <v>60</v>
      </c>
      <c r="G43" s="69">
        <v>40</v>
      </c>
      <c r="H43" s="69">
        <v>2000</v>
      </c>
      <c r="I43" s="66">
        <v>120</v>
      </c>
      <c r="J43" s="39">
        <f>tblVerifyPallets[[#This Row],[Max height]]-tblVerifyPallets[[#This Row],[Deck height]]</f>
        <v>54</v>
      </c>
      <c r="K43" s="40">
        <f>tblVerifyPallets[[#This Row],[Length]]*tblVerifyPallets[[#This Row],[Width]]*tblVerifyPallets[[#This Row],[Height limit]]/$E$37</f>
        <v>60</v>
      </c>
      <c r="L43" s="30">
        <f>tblVerifyPallets[[#This Row],[Max gross weight]]-tblVerifyPallets[[#This Row],[Tare weight]]</f>
        <v>1960</v>
      </c>
    </row>
    <row r="45" spans="2:29">
      <c r="B45" s="32" t="s">
        <v>273</v>
      </c>
      <c r="C45" s="32"/>
      <c r="D45" s="32"/>
      <c r="E45" s="32"/>
      <c r="F45" s="32"/>
      <c r="G45" s="32"/>
      <c r="H45" s="32"/>
      <c r="I45" s="32"/>
      <c r="J45" s="32"/>
      <c r="K45" s="32"/>
      <c r="L45" s="32"/>
    </row>
    <row r="46" spans="2:29" ht="14" customHeight="1">
      <c r="B46" s="34"/>
      <c r="C46" s="34"/>
      <c r="D46" s="34"/>
      <c r="E46" s="34" t="str">
        <f>DimUnit</f>
        <v>in</v>
      </c>
      <c r="F46" s="34" t="str">
        <f>DimUnit</f>
        <v>in</v>
      </c>
      <c r="G46" s="34" t="str">
        <f>DimUnit</f>
        <v>in</v>
      </c>
      <c r="H46" s="34" t="str">
        <f>WtUnit</f>
        <v>lb</v>
      </c>
      <c r="I46" s="34"/>
      <c r="J46" s="34"/>
      <c r="K46" s="34"/>
      <c r="L46" s="34"/>
      <c r="M46" s="34" t="str">
        <f>DimUnit</f>
        <v>in</v>
      </c>
      <c r="N46" s="34" t="str">
        <f>VolUnit</f>
        <v>ft³</v>
      </c>
      <c r="O46" s="34" t="str">
        <f>WtUnit</f>
        <v>lb</v>
      </c>
      <c r="P46" s="34" t="str">
        <f>Currency</f>
        <v>USD</v>
      </c>
      <c r="Q46" s="34"/>
      <c r="R46" s="34" t="str">
        <f>VolUnit</f>
        <v>ft³</v>
      </c>
      <c r="S46" s="34"/>
      <c r="T46" s="34"/>
      <c r="U46" s="34"/>
      <c r="V46" s="34"/>
      <c r="W46" s="34"/>
      <c r="X46" s="34" t="str">
        <f>Currency&amp;"/unit"</f>
        <v>USD/unit</v>
      </c>
      <c r="Y46" s="34" t="str">
        <f>Currency&amp;"/month"</f>
        <v>USD/month</v>
      </c>
      <c r="Z46" s="34" t="str">
        <f>Currency&amp;"/month"</f>
        <v>USD/month</v>
      </c>
      <c r="AA46" s="34"/>
      <c r="AB46" s="34"/>
      <c r="AC46" s="34"/>
    </row>
    <row r="47" spans="2:29" ht="32" customHeight="1">
      <c r="B47" s="35" t="s">
        <v>90</v>
      </c>
      <c r="C47" s="35" t="s">
        <v>91</v>
      </c>
      <c r="D47" s="35" t="s">
        <v>60</v>
      </c>
      <c r="E47" s="35" t="s">
        <v>92</v>
      </c>
      <c r="F47" s="35" t="s">
        <v>93</v>
      </c>
      <c r="G47" s="35" t="s">
        <v>94</v>
      </c>
      <c r="H47" s="35" t="s">
        <v>95</v>
      </c>
      <c r="I47" s="35" t="s">
        <v>96</v>
      </c>
      <c r="J47" s="35" t="s">
        <v>97</v>
      </c>
      <c r="K47" s="35" t="s">
        <v>98</v>
      </c>
      <c r="L47" s="35" t="s">
        <v>99</v>
      </c>
      <c r="M47" s="35" t="s">
        <v>68</v>
      </c>
      <c r="N47" s="35" t="s">
        <v>69</v>
      </c>
      <c r="O47" s="35" t="s">
        <v>70</v>
      </c>
      <c r="P47" s="35" t="s">
        <v>67</v>
      </c>
      <c r="Q47" s="35" t="s">
        <v>100</v>
      </c>
      <c r="R47" s="35" t="s">
        <v>101</v>
      </c>
      <c r="S47" s="35" t="s">
        <v>102</v>
      </c>
      <c r="T47" s="35" t="s">
        <v>103</v>
      </c>
      <c r="U47" s="35" t="s">
        <v>104</v>
      </c>
      <c r="V47" s="35" t="s">
        <v>105</v>
      </c>
      <c r="W47" s="35" t="s">
        <v>106</v>
      </c>
      <c r="X47" s="35" t="s">
        <v>107</v>
      </c>
      <c r="Y47" s="35" t="s">
        <v>108</v>
      </c>
      <c r="Z47" s="35" t="s">
        <v>109</v>
      </c>
      <c r="AA47" s="35" t="s">
        <v>110</v>
      </c>
      <c r="AB47" s="35" t="s">
        <v>111</v>
      </c>
      <c r="AC47" s="35" t="s">
        <v>112</v>
      </c>
    </row>
    <row r="48" spans="2:29">
      <c r="B48" s="61" t="s">
        <v>274</v>
      </c>
      <c r="C48" s="61" t="s">
        <v>275</v>
      </c>
      <c r="D48" s="61" t="s">
        <v>272</v>
      </c>
      <c r="E48" s="74">
        <v>12</v>
      </c>
      <c r="F48" s="74">
        <v>10</v>
      </c>
      <c r="G48" s="74">
        <v>9</v>
      </c>
      <c r="H48" s="74">
        <v>20</v>
      </c>
      <c r="I48" s="69">
        <v>6</v>
      </c>
      <c r="J48" s="69">
        <v>12</v>
      </c>
      <c r="K48" s="69">
        <v>6</v>
      </c>
      <c r="L48" s="69">
        <v>10</v>
      </c>
      <c r="M48" s="74">
        <v>54</v>
      </c>
      <c r="N48" s="74">
        <v>60</v>
      </c>
      <c r="O48" s="69">
        <v>1960</v>
      </c>
      <c r="P48" s="66">
        <v>120</v>
      </c>
      <c r="Q48" s="30">
        <f>IF(tblVerifyConfigs[[#This Row],[SKU]]="","",tblVerifyConfigs[[#This Row],[Cases per layer]]*tblVerifyConfigs[[#This Row],[Layers]]*tblVerifyConfigs[[#This Row],[Units per case]])</f>
        <v>432</v>
      </c>
      <c r="R48" s="39">
        <f>IF(tblVerifyConfigs[[#This Row],[SKU]]="","",tblVerifyConfigs[[#This Row],[Cases per layer]]*tblVerifyConfigs[[#This Row],[Layers]]*tblVerifyConfigs[[#This Row],[Case length]]*tblVerifyConfigs[[#This Row],[Case width]]*tblVerifyConfigs[[#This Row],[Case height]]/$E$37)</f>
        <v>45</v>
      </c>
      <c r="S48" s="41">
        <f>IF(tblVerifyConfigs[[#This Row],[SKU]]="","",IF(N(tblVerifyConfigs[[#This Row],[Envelope]])&gt;0,tblVerifyConfigs[[#This Row],[Load cube]]/tblVerifyConfigs[[#This Row],[Envelope]],""))</f>
        <v>0.75</v>
      </c>
      <c r="T48" s="41">
        <f>IF(tblVerifyConfigs[[#This Row],[SKU]]="","",IF(N(tblVerifyConfigs[[#This Row],[Max payload]])&gt;0,tblVerifyConfigs[[#This Row],[Cases per layer]]*tblVerifyConfigs[[#This Row],[Layers]]*tblVerifyConfigs[[#This Row],[Case weight]]/tblVerifyConfigs[[#This Row],[Max payload]],""))</f>
        <v>0.73469387755102</v>
      </c>
      <c r="U48" s="30">
        <f>IF(tblVerifyConfigs[[#This Row],[SKU]]="","",IF(OR(tblVerifyConfigs[[#This Row],[Height limit]]="",tblVerifyConfigs[[#This Row],[Case height]]=0,tblVerifyConfigs[[#This Row],[Cases per layer]]*tblVerifyConfigs[[#This Row],[Case weight]]=0),"",MIN(INT(tblVerifyConfigs[[#This Row],[Height limit]]/tblVerifyConfigs[[#This Row],[Case height]]),INT(tblVerifyConfigs[[#This Row],[Max payload]]/(tblVerifyConfigs[[#This Row],[Cases per layer]]*tblVerifyConfigs[[#This Row],[Case weight]])))))</f>
        <v>6</v>
      </c>
      <c r="V48" s="30">
        <f>IF(tblVerifyConfigs[[#This Row],[SKU]]="","",IF(tblVerifyConfigs[[#This Row],[Max layers]]="","",MAX(0,tblVerifyConfigs[[#This Row],[Max layers]]-tblVerifyConfigs[[#This Row],[Layers]])))</f>
        <v>0</v>
      </c>
      <c r="W48" s="42" t="str">
        <f>IF(tblVerifyConfigs[[#This Row],[SKU]]="","",IF(tblVerifyConfigs[[#This Row],[Max layers]]="","",IF(INT(tblVerifyConfigs[[#This Row],[Height limit]]/tblVerifyConfigs[[#This Row],[Case height]])&lt;=INT(tblVerifyConfigs[[#This Row],[Max payload]]/(tblVerifyConfigs[[#This Row],[Cases per layer]]*tblVerifyConfigs[[#This Row],[Case weight]])),"Height","Weight")))</f>
        <v>Height</v>
      </c>
      <c r="X48" s="43">
        <f>IF(tblVerifyConfigs[[#This Row],[SKU]]="","",IF(OR(tblVerifyConfigs[[#This Row],[Freight per pallet]]="",tblVerifyConfigs[[#This Row],[Units per pallet]]=0),"",tblVerifyConfigs[[#This Row],[Freight per pallet]]/tblVerifyConfigs[[#This Row],[Units per pallet]]))</f>
        <v>0.277777777777778</v>
      </c>
      <c r="Y48" s="30">
        <f>IF(tblVerifyConfigs[[#This Row],[SKU]]="","",IF(tblVerifyConfigs[[#This Row],[Freight per pallet]]="","",tblVerifyConfigs[[#This Row],[Pallets per month]]*tblVerifyConfigs[[#This Row],[Freight per pallet]]))</f>
        <v>1200</v>
      </c>
      <c r="Z48" s="30">
        <f>IF(tblVerifyConfigs[[#This Row],[SKU]]="","",IF(OR(tblVerifyConfigs[[#This Row],[Layers to add]]="",tblVerifyConfigs[[#This Row],[Monthly freight]]=""),"",IF(tblVerifyConfigs[[#This Row],[Max layers]]&gt;0,tblVerifyConfigs[[#This Row],[Monthly freight]]*tblVerifyConfigs[[#This Row],[Layers to add]]/tblVerifyConfigs[[#This Row],[Max layers]],0)))</f>
        <v>0</v>
      </c>
      <c r="AA48" s="42" t="str">
        <f>IF(NOT(ISNUMBER(tblVerifyConfigs[[#This Row],[Cube utilization]])),"",IF(tblVerifyConfigs[[#This Row],[Cube utilization]]&gt;=$E$38,"On target",IF(tblVerifyConfigs[[#This Row],[Cube utilization]]&gt;=$E$38*(1-0.05),"Near target","Below target")))</f>
        <v>Below target</v>
      </c>
      <c r="AB48" s="44" t="str">
        <f>IF(tblVerifyConfigs[[#This Row],[SKU]]="","",IF(tblVerifyConfigs[[#This Row],[Case length]]="","Missing case length",IF(tblVerifyConfigs[[#This Row],[Case width]]="","Missing case width",IF(tblVerifyConfigs[[#This Row],[Case height]]="","Missing case height",IF(tblVerifyConfigs[[#This Row],[Case weight]]="","Missing case weight",IF(tblVerifyConfigs[[#This Row],[Cases per layer]]="","Missing cases per layer",IF(tblVerifyConfigs[[#This Row],[Layers]]="","Missing layers",IF(COUNTIF(tblVerifyPallets[Pallet type],tblVerifyConfigs[[#This Row],[Pallet type]])=0,"Pallet type not on Setup list",IF(tblVerifyConfigs[[#This Row],[Cases per layer]]*tblVerifyConfigs[[#This Row],[Case length]]*tblVerifyConfigs[[#This Row],[Case width]]&gt;tblVerifyConfigs[[#This Row],[Envelope]]*$E$37/tblVerifyConfigs[[#This Row],[Height limit]],"Layer larger than pallet",IF(tblVerifyConfigs[[#This Row],[Layers]]*tblVerifyConfigs[[#This Row],[Case height]]&gt;tblVerifyConfigs[[#This Row],[Height limit]],"Too tall for pallet",IF(tblVerifyConfigs[[#This Row],[Cases per layer]]*tblVerifyConfigs[[#This Row],[Layers]]*tblVerifyConfigs[[#This Row],[Case weight]]&gt;tblVerifyConfigs[[#This Row],[Max payload]],"Over weight limit","OK")))))))))))</f>
        <v>OK</v>
      </c>
      <c r="AC48" s="61" t="s">
        <v>116</v>
      </c>
    </row>
    <row r="49" spans="2:29">
      <c r="B49" s="61" t="s">
        <v>276</v>
      </c>
      <c r="C49" s="61" t="s">
        <v>277</v>
      </c>
      <c r="D49" s="61" t="s">
        <v>272</v>
      </c>
      <c r="E49" s="74">
        <v>16</v>
      </c>
      <c r="F49" s="74">
        <v>12</v>
      </c>
      <c r="G49" s="74">
        <v>10</v>
      </c>
      <c r="H49" s="74">
        <v>18</v>
      </c>
      <c r="I49" s="69">
        <v>6</v>
      </c>
      <c r="J49" s="69">
        <v>10</v>
      </c>
      <c r="K49" s="69">
        <v>4</v>
      </c>
      <c r="L49" s="69">
        <v>50</v>
      </c>
      <c r="M49" s="74">
        <v>54</v>
      </c>
      <c r="N49" s="74">
        <v>60</v>
      </c>
      <c r="O49" s="69">
        <v>1960</v>
      </c>
      <c r="P49" s="66">
        <v>120</v>
      </c>
      <c r="Q49" s="30">
        <f>IF(tblVerifyConfigs[[#This Row],[SKU]]="","",tblVerifyConfigs[[#This Row],[Cases per layer]]*tblVerifyConfigs[[#This Row],[Layers]]*tblVerifyConfigs[[#This Row],[Units per case]])</f>
        <v>240</v>
      </c>
      <c r="R49" s="39">
        <f>IF(tblVerifyConfigs[[#This Row],[SKU]]="","",tblVerifyConfigs[[#This Row],[Cases per layer]]*tblVerifyConfigs[[#This Row],[Layers]]*tblVerifyConfigs[[#This Row],[Case length]]*tblVerifyConfigs[[#This Row],[Case width]]*tblVerifyConfigs[[#This Row],[Case height]]/$E$37)</f>
        <v>44.4444444444444</v>
      </c>
      <c r="S49" s="41">
        <f>IF(tblVerifyConfigs[[#This Row],[SKU]]="","",IF(N(tblVerifyConfigs[[#This Row],[Envelope]])&gt;0,tblVerifyConfigs[[#This Row],[Load cube]]/tblVerifyConfigs[[#This Row],[Envelope]],""))</f>
        <v>0.740740740740741</v>
      </c>
      <c r="T49" s="41">
        <f>IF(tblVerifyConfigs[[#This Row],[SKU]]="","",IF(N(tblVerifyConfigs[[#This Row],[Max payload]])&gt;0,tblVerifyConfigs[[#This Row],[Cases per layer]]*tblVerifyConfigs[[#This Row],[Layers]]*tblVerifyConfigs[[#This Row],[Case weight]]/tblVerifyConfigs[[#This Row],[Max payload]],""))</f>
        <v>0.36734693877551</v>
      </c>
      <c r="U49" s="30">
        <f>IF(tblVerifyConfigs[[#This Row],[SKU]]="","",IF(OR(tblVerifyConfigs[[#This Row],[Height limit]]="",tblVerifyConfigs[[#This Row],[Case height]]=0,tblVerifyConfigs[[#This Row],[Cases per layer]]*tblVerifyConfigs[[#This Row],[Case weight]]=0),"",MIN(INT(tblVerifyConfigs[[#This Row],[Height limit]]/tblVerifyConfigs[[#This Row],[Case height]]),INT(tblVerifyConfigs[[#This Row],[Max payload]]/(tblVerifyConfigs[[#This Row],[Cases per layer]]*tblVerifyConfigs[[#This Row],[Case weight]])))))</f>
        <v>5</v>
      </c>
      <c r="V49" s="30">
        <f>IF(tblVerifyConfigs[[#This Row],[SKU]]="","",IF(tblVerifyConfigs[[#This Row],[Max layers]]="","",MAX(0,tblVerifyConfigs[[#This Row],[Max layers]]-tblVerifyConfigs[[#This Row],[Layers]])))</f>
        <v>1</v>
      </c>
      <c r="W49" s="42" t="str">
        <f>IF(tblVerifyConfigs[[#This Row],[SKU]]="","",IF(tblVerifyConfigs[[#This Row],[Max layers]]="","",IF(INT(tblVerifyConfigs[[#This Row],[Height limit]]/tblVerifyConfigs[[#This Row],[Case height]])&lt;=INT(tblVerifyConfigs[[#This Row],[Max payload]]/(tblVerifyConfigs[[#This Row],[Cases per layer]]*tblVerifyConfigs[[#This Row],[Case weight]])),"Height","Weight")))</f>
        <v>Height</v>
      </c>
      <c r="X49" s="43">
        <f>IF(tblVerifyConfigs[[#This Row],[SKU]]="","",IF(OR(tblVerifyConfigs[[#This Row],[Freight per pallet]]="",tblVerifyConfigs[[#This Row],[Units per pallet]]=0),"",tblVerifyConfigs[[#This Row],[Freight per pallet]]/tblVerifyConfigs[[#This Row],[Units per pallet]]))</f>
        <v>0.5</v>
      </c>
      <c r="Y49" s="30">
        <f>IF(tblVerifyConfigs[[#This Row],[SKU]]="","",IF(tblVerifyConfigs[[#This Row],[Freight per pallet]]="","",tblVerifyConfigs[[#This Row],[Pallets per month]]*tblVerifyConfigs[[#This Row],[Freight per pallet]]))</f>
        <v>6000</v>
      </c>
      <c r="Z49" s="30">
        <f>IF(tblVerifyConfigs[[#This Row],[SKU]]="","",IF(OR(tblVerifyConfigs[[#This Row],[Layers to add]]="",tblVerifyConfigs[[#This Row],[Monthly freight]]=""),"",IF(tblVerifyConfigs[[#This Row],[Max layers]]&gt;0,tblVerifyConfigs[[#This Row],[Monthly freight]]*tblVerifyConfigs[[#This Row],[Layers to add]]/tblVerifyConfigs[[#This Row],[Max layers]],0)))</f>
        <v>1200</v>
      </c>
      <c r="AA49" s="42" t="str">
        <f>IF(NOT(ISNUMBER(tblVerifyConfigs[[#This Row],[Cube utilization]])),"",IF(tblVerifyConfigs[[#This Row],[Cube utilization]]&gt;=$E$38,"On target",IF(tblVerifyConfigs[[#This Row],[Cube utilization]]&gt;=$E$38*(1-0.05),"Near target","Below target")))</f>
        <v>Below target</v>
      </c>
      <c r="AB49" s="44" t="str">
        <f>IF(tblVerifyConfigs[[#This Row],[SKU]]="","",IF(tblVerifyConfigs[[#This Row],[Case length]]="","Missing case length",IF(tblVerifyConfigs[[#This Row],[Case width]]="","Missing case width",IF(tblVerifyConfigs[[#This Row],[Case height]]="","Missing case height",IF(tblVerifyConfigs[[#This Row],[Case weight]]="","Missing case weight",IF(tblVerifyConfigs[[#This Row],[Cases per layer]]="","Missing cases per layer",IF(tblVerifyConfigs[[#This Row],[Layers]]="","Missing layers",IF(COUNTIF(tblVerifyPallets[Pallet type],tblVerifyConfigs[[#This Row],[Pallet type]])=0,"Pallet type not on Setup list",IF(tblVerifyConfigs[[#This Row],[Cases per layer]]*tblVerifyConfigs[[#This Row],[Case length]]*tblVerifyConfigs[[#This Row],[Case width]]&gt;tblVerifyConfigs[[#This Row],[Envelope]]*$E$37/tblVerifyConfigs[[#This Row],[Height limit]],"Layer larger than pallet",IF(tblVerifyConfigs[[#This Row],[Layers]]*tblVerifyConfigs[[#This Row],[Case height]]&gt;tblVerifyConfigs[[#This Row],[Height limit]],"Too tall for pallet",IF(tblVerifyConfigs[[#This Row],[Cases per layer]]*tblVerifyConfigs[[#This Row],[Layers]]*tblVerifyConfigs[[#This Row],[Case weight]]&gt;tblVerifyConfigs[[#This Row],[Max payload]],"Over weight limit","OK")))))))))))</f>
        <v>OK</v>
      </c>
      <c r="AC49" s="61" t="s">
        <v>116</v>
      </c>
    </row>
    <row r="50" spans="2:29">
      <c r="B50" s="61" t="s">
        <v>278</v>
      </c>
      <c r="C50" s="61" t="s">
        <v>279</v>
      </c>
      <c r="D50" s="61" t="s">
        <v>272</v>
      </c>
      <c r="E50" s="74">
        <v>14</v>
      </c>
      <c r="F50" s="74">
        <v>9.5</v>
      </c>
      <c r="G50" s="74">
        <v>12</v>
      </c>
      <c r="H50" s="74">
        <v>50</v>
      </c>
      <c r="I50" s="69">
        <v>6</v>
      </c>
      <c r="J50" s="69">
        <v>14</v>
      </c>
      <c r="K50" s="69">
        <v>3</v>
      </c>
      <c r="L50" s="69">
        <v>10</v>
      </c>
      <c r="M50" s="74">
        <v>54</v>
      </c>
      <c r="N50" s="74">
        <v>60</v>
      </c>
      <c r="O50" s="69">
        <v>1960</v>
      </c>
      <c r="P50" s="66">
        <v>120</v>
      </c>
      <c r="Q50" s="30">
        <f>IF(tblVerifyConfigs[[#This Row],[SKU]]="","",tblVerifyConfigs[[#This Row],[Cases per layer]]*tblVerifyConfigs[[#This Row],[Layers]]*tblVerifyConfigs[[#This Row],[Units per case]])</f>
        <v>252</v>
      </c>
      <c r="R50" s="39">
        <f>IF(tblVerifyConfigs[[#This Row],[SKU]]="","",tblVerifyConfigs[[#This Row],[Cases per layer]]*tblVerifyConfigs[[#This Row],[Layers]]*tblVerifyConfigs[[#This Row],[Case length]]*tblVerifyConfigs[[#This Row],[Case width]]*tblVerifyConfigs[[#This Row],[Case height]]/$E$37)</f>
        <v>38.7916666666667</v>
      </c>
      <c r="S50" s="41">
        <f>IF(tblVerifyConfigs[[#This Row],[SKU]]="","",IF(N(tblVerifyConfigs[[#This Row],[Envelope]])&gt;0,tblVerifyConfigs[[#This Row],[Load cube]]/tblVerifyConfigs[[#This Row],[Envelope]],""))</f>
        <v>0.646527777777778</v>
      </c>
      <c r="T50" s="41">
        <f>IF(tblVerifyConfigs[[#This Row],[SKU]]="","",IF(N(tblVerifyConfigs[[#This Row],[Max payload]])&gt;0,tblVerifyConfigs[[#This Row],[Cases per layer]]*tblVerifyConfigs[[#This Row],[Layers]]*tblVerifyConfigs[[#This Row],[Case weight]]/tblVerifyConfigs[[#This Row],[Max payload]],""))</f>
        <v>1.07142857142857</v>
      </c>
      <c r="U50" s="30">
        <f>IF(tblVerifyConfigs[[#This Row],[SKU]]="","",IF(OR(tblVerifyConfigs[[#This Row],[Height limit]]="",tblVerifyConfigs[[#This Row],[Case height]]=0,tblVerifyConfigs[[#This Row],[Cases per layer]]*tblVerifyConfigs[[#This Row],[Case weight]]=0),"",MIN(INT(tblVerifyConfigs[[#This Row],[Height limit]]/tblVerifyConfigs[[#This Row],[Case height]]),INT(tblVerifyConfigs[[#This Row],[Max payload]]/(tblVerifyConfigs[[#This Row],[Cases per layer]]*tblVerifyConfigs[[#This Row],[Case weight]])))))</f>
        <v>2</v>
      </c>
      <c r="V50" s="30">
        <f>IF(tblVerifyConfigs[[#This Row],[SKU]]="","",IF(tblVerifyConfigs[[#This Row],[Max layers]]="","",MAX(0,tblVerifyConfigs[[#This Row],[Max layers]]-tblVerifyConfigs[[#This Row],[Layers]])))</f>
        <v>0</v>
      </c>
      <c r="W50" s="42" t="str">
        <f>IF(tblVerifyConfigs[[#This Row],[SKU]]="","",IF(tblVerifyConfigs[[#This Row],[Max layers]]="","",IF(INT(tblVerifyConfigs[[#This Row],[Height limit]]/tblVerifyConfigs[[#This Row],[Case height]])&lt;=INT(tblVerifyConfigs[[#This Row],[Max payload]]/(tblVerifyConfigs[[#This Row],[Cases per layer]]*tblVerifyConfigs[[#This Row],[Case weight]])),"Height","Weight")))</f>
        <v>Weight</v>
      </c>
      <c r="X50" s="43">
        <f>IF(tblVerifyConfigs[[#This Row],[SKU]]="","",IF(OR(tblVerifyConfigs[[#This Row],[Freight per pallet]]="",tblVerifyConfigs[[#This Row],[Units per pallet]]=0),"",tblVerifyConfigs[[#This Row],[Freight per pallet]]/tblVerifyConfigs[[#This Row],[Units per pallet]]))</f>
        <v>0.476190476190476</v>
      </c>
      <c r="Y50" s="30">
        <f>IF(tblVerifyConfigs[[#This Row],[SKU]]="","",IF(tblVerifyConfigs[[#This Row],[Freight per pallet]]="","",tblVerifyConfigs[[#This Row],[Pallets per month]]*tblVerifyConfigs[[#This Row],[Freight per pallet]]))</f>
        <v>1200</v>
      </c>
      <c r="Z50" s="30">
        <f>IF(tblVerifyConfigs[[#This Row],[SKU]]="","",IF(OR(tblVerifyConfigs[[#This Row],[Layers to add]]="",tblVerifyConfigs[[#This Row],[Monthly freight]]=""),"",IF(tblVerifyConfigs[[#This Row],[Max layers]]&gt;0,tblVerifyConfigs[[#This Row],[Monthly freight]]*tblVerifyConfigs[[#This Row],[Layers to add]]/tblVerifyConfigs[[#This Row],[Max layers]],0)))</f>
        <v>0</v>
      </c>
      <c r="AA50" s="42" t="str">
        <f>IF(NOT(ISNUMBER(tblVerifyConfigs[[#This Row],[Cube utilization]])),"",IF(tblVerifyConfigs[[#This Row],[Cube utilization]]&gt;=$E$38,"On target",IF(tblVerifyConfigs[[#This Row],[Cube utilization]]&gt;=$E$38*(1-0.05),"Near target","Below target")))</f>
        <v>Below target</v>
      </c>
      <c r="AB50" s="44" t="str">
        <f>IF(tblVerifyConfigs[[#This Row],[SKU]]="","",IF(tblVerifyConfigs[[#This Row],[Case length]]="","Missing case length",IF(tblVerifyConfigs[[#This Row],[Case width]]="","Missing case width",IF(tblVerifyConfigs[[#This Row],[Case height]]="","Missing case height",IF(tblVerifyConfigs[[#This Row],[Case weight]]="","Missing case weight",IF(tblVerifyConfigs[[#This Row],[Cases per layer]]="","Missing cases per layer",IF(tblVerifyConfigs[[#This Row],[Layers]]="","Missing layers",IF(COUNTIF(tblVerifyPallets[Pallet type],tblVerifyConfigs[[#This Row],[Pallet type]])=0,"Pallet type not on Setup list",IF(tblVerifyConfigs[[#This Row],[Cases per layer]]*tblVerifyConfigs[[#This Row],[Case length]]*tblVerifyConfigs[[#This Row],[Case width]]&gt;tblVerifyConfigs[[#This Row],[Envelope]]*$E$37/tblVerifyConfigs[[#This Row],[Height limit]],"Layer larger than pallet",IF(tblVerifyConfigs[[#This Row],[Layers]]*tblVerifyConfigs[[#This Row],[Case height]]&gt;tblVerifyConfigs[[#This Row],[Height limit]],"Too tall for pallet",IF(tblVerifyConfigs[[#This Row],[Cases per layer]]*tblVerifyConfigs[[#This Row],[Layers]]*tblVerifyConfigs[[#This Row],[Case weight]]&gt;tblVerifyConfigs[[#This Row],[Max payload]],"Over weight limit","OK")))))))))))</f>
        <v>Over weight limit</v>
      </c>
      <c r="AC50" s="61" t="s">
        <v>116</v>
      </c>
    </row>
    <row r="51" spans="2:29">
      <c r="B51" s="61" t="s">
        <v>280</v>
      </c>
      <c r="C51" s="61" t="s">
        <v>281</v>
      </c>
      <c r="D51" s="61" t="s">
        <v>272</v>
      </c>
      <c r="E51" s="74">
        <v>16</v>
      </c>
      <c r="F51" s="74">
        <v>12</v>
      </c>
      <c r="G51" s="74">
        <v>10</v>
      </c>
      <c r="H51" s="74">
        <v>18</v>
      </c>
      <c r="I51" s="69">
        <v>6</v>
      </c>
      <c r="J51" s="69">
        <v>11</v>
      </c>
      <c r="K51" s="69">
        <v>4</v>
      </c>
      <c r="L51" s="69">
        <v>10</v>
      </c>
      <c r="M51" s="74">
        <v>54</v>
      </c>
      <c r="N51" s="74">
        <v>60</v>
      </c>
      <c r="O51" s="69">
        <v>1960</v>
      </c>
      <c r="P51" s="66">
        <v>120</v>
      </c>
      <c r="Q51" s="30">
        <f>IF(tblVerifyConfigs[[#This Row],[SKU]]="","",tblVerifyConfigs[[#This Row],[Cases per layer]]*tblVerifyConfigs[[#This Row],[Layers]]*tblVerifyConfigs[[#This Row],[Units per case]])</f>
        <v>264</v>
      </c>
      <c r="R51" s="39">
        <f>IF(tblVerifyConfigs[[#This Row],[SKU]]="","",tblVerifyConfigs[[#This Row],[Cases per layer]]*tblVerifyConfigs[[#This Row],[Layers]]*tblVerifyConfigs[[#This Row],[Case length]]*tblVerifyConfigs[[#This Row],[Case width]]*tblVerifyConfigs[[#This Row],[Case height]]/$E$37)</f>
        <v>48.8888888888889</v>
      </c>
      <c r="S51" s="41">
        <f>IF(tblVerifyConfigs[[#This Row],[SKU]]="","",IF(N(tblVerifyConfigs[[#This Row],[Envelope]])&gt;0,tblVerifyConfigs[[#This Row],[Load cube]]/tblVerifyConfigs[[#This Row],[Envelope]],""))</f>
        <v>0.814814814814815</v>
      </c>
      <c r="T51" s="41">
        <f>IF(tblVerifyConfigs[[#This Row],[SKU]]="","",IF(N(tblVerifyConfigs[[#This Row],[Max payload]])&gt;0,tblVerifyConfigs[[#This Row],[Cases per layer]]*tblVerifyConfigs[[#This Row],[Layers]]*tblVerifyConfigs[[#This Row],[Case weight]]/tblVerifyConfigs[[#This Row],[Max payload]],""))</f>
        <v>0.404081632653061</v>
      </c>
      <c r="U51" s="30">
        <f>IF(tblVerifyConfigs[[#This Row],[SKU]]="","",IF(OR(tblVerifyConfigs[[#This Row],[Height limit]]="",tblVerifyConfigs[[#This Row],[Case height]]=0,tblVerifyConfigs[[#This Row],[Cases per layer]]*tblVerifyConfigs[[#This Row],[Case weight]]=0),"",MIN(INT(tblVerifyConfigs[[#This Row],[Height limit]]/tblVerifyConfigs[[#This Row],[Case height]]),INT(tblVerifyConfigs[[#This Row],[Max payload]]/(tblVerifyConfigs[[#This Row],[Cases per layer]]*tblVerifyConfigs[[#This Row],[Case weight]])))))</f>
        <v>5</v>
      </c>
      <c r="V51" s="30">
        <f>IF(tblVerifyConfigs[[#This Row],[SKU]]="","",IF(tblVerifyConfigs[[#This Row],[Max layers]]="","",MAX(0,tblVerifyConfigs[[#This Row],[Max layers]]-tblVerifyConfigs[[#This Row],[Layers]])))</f>
        <v>1</v>
      </c>
      <c r="W51" s="42" t="str">
        <f>IF(tblVerifyConfigs[[#This Row],[SKU]]="","",IF(tblVerifyConfigs[[#This Row],[Max layers]]="","",IF(INT(tblVerifyConfigs[[#This Row],[Height limit]]/tblVerifyConfigs[[#This Row],[Case height]])&lt;=INT(tblVerifyConfigs[[#This Row],[Max payload]]/(tblVerifyConfigs[[#This Row],[Cases per layer]]*tblVerifyConfigs[[#This Row],[Case weight]])),"Height","Weight")))</f>
        <v>Height</v>
      </c>
      <c r="X51" s="43">
        <f>IF(tblVerifyConfigs[[#This Row],[SKU]]="","",IF(OR(tblVerifyConfigs[[#This Row],[Freight per pallet]]="",tblVerifyConfigs[[#This Row],[Units per pallet]]=0),"",tblVerifyConfigs[[#This Row],[Freight per pallet]]/tblVerifyConfigs[[#This Row],[Units per pallet]]))</f>
        <v>0.454545454545455</v>
      </c>
      <c r="Y51" s="30">
        <f>IF(tblVerifyConfigs[[#This Row],[SKU]]="","",IF(tblVerifyConfigs[[#This Row],[Freight per pallet]]="","",tblVerifyConfigs[[#This Row],[Pallets per month]]*tblVerifyConfigs[[#This Row],[Freight per pallet]]))</f>
        <v>1200</v>
      </c>
      <c r="Z51" s="30">
        <f>IF(tblVerifyConfigs[[#This Row],[SKU]]="","",IF(OR(tblVerifyConfigs[[#This Row],[Layers to add]]="",tblVerifyConfigs[[#This Row],[Monthly freight]]=""),"",IF(tblVerifyConfigs[[#This Row],[Max layers]]&gt;0,tblVerifyConfigs[[#This Row],[Monthly freight]]*tblVerifyConfigs[[#This Row],[Layers to add]]/tblVerifyConfigs[[#This Row],[Max layers]],0)))</f>
        <v>240</v>
      </c>
      <c r="AA51" s="42" t="str">
        <f>IF(NOT(ISNUMBER(tblVerifyConfigs[[#This Row],[Cube utilization]])),"",IF(tblVerifyConfigs[[#This Row],[Cube utilization]]&gt;=$E$38,"On target",IF(tblVerifyConfigs[[#This Row],[Cube utilization]]&gt;=$E$38*(1-0.05),"Near target","Below target")))</f>
        <v>On target</v>
      </c>
      <c r="AB51" s="44" t="str">
        <f>IF(tblVerifyConfigs[[#This Row],[SKU]]="","",IF(tblVerifyConfigs[[#This Row],[Case length]]="","Missing case length",IF(tblVerifyConfigs[[#This Row],[Case width]]="","Missing case width",IF(tblVerifyConfigs[[#This Row],[Case height]]="","Missing case height",IF(tblVerifyConfigs[[#This Row],[Case weight]]="","Missing case weight",IF(tblVerifyConfigs[[#This Row],[Cases per layer]]="","Missing cases per layer",IF(tblVerifyConfigs[[#This Row],[Layers]]="","Missing layers",IF(COUNTIF(tblVerifyPallets[Pallet type],tblVerifyConfigs[[#This Row],[Pallet type]])=0,"Pallet type not on Setup list",IF(tblVerifyConfigs[[#This Row],[Cases per layer]]*tblVerifyConfigs[[#This Row],[Case length]]*tblVerifyConfigs[[#This Row],[Case width]]&gt;tblVerifyConfigs[[#This Row],[Envelope]]*$E$37/tblVerifyConfigs[[#This Row],[Height limit]],"Layer larger than pallet",IF(tblVerifyConfigs[[#This Row],[Layers]]*tblVerifyConfigs[[#This Row],[Case height]]&gt;tblVerifyConfigs[[#This Row],[Height limit]],"Too tall for pallet",IF(tblVerifyConfigs[[#This Row],[Cases per layer]]*tblVerifyConfigs[[#This Row],[Layers]]*tblVerifyConfigs[[#This Row],[Case weight]]&gt;tblVerifyConfigs[[#This Row],[Max payload]],"Over weight limit","OK")))))))))))</f>
        <v>Layer larger than pallet</v>
      </c>
      <c r="AC51" s="61" t="s">
        <v>116</v>
      </c>
    </row>
    <row r="52" spans="2:29">
      <c r="B52" s="61" t="s">
        <v>282</v>
      </c>
      <c r="C52" s="61" t="s">
        <v>283</v>
      </c>
      <c r="D52" s="61" t="s">
        <v>284</v>
      </c>
      <c r="E52" s="74">
        <v>16</v>
      </c>
      <c r="F52" s="74">
        <v>12</v>
      </c>
      <c r="G52" s="74">
        <v>10</v>
      </c>
      <c r="H52" s="74">
        <v>18</v>
      </c>
      <c r="I52" s="69">
        <v>6</v>
      </c>
      <c r="J52" s="69">
        <v>10</v>
      </c>
      <c r="K52" s="69">
        <v>4</v>
      </c>
      <c r="L52" s="69">
        <v>10</v>
      </c>
      <c r="M52" s="74" t="s">
        <v>116</v>
      </c>
      <c r="N52" s="74" t="s">
        <v>116</v>
      </c>
      <c r="O52" s="69" t="s">
        <v>116</v>
      </c>
      <c r="P52" s="66" t="s">
        <v>116</v>
      </c>
      <c r="Q52" s="30">
        <f>IF(tblVerifyConfigs[[#This Row],[SKU]]="","",tblVerifyConfigs[[#This Row],[Cases per layer]]*tblVerifyConfigs[[#This Row],[Layers]]*tblVerifyConfigs[[#This Row],[Units per case]])</f>
        <v>240</v>
      </c>
      <c r="R52" s="39">
        <f>IF(tblVerifyConfigs[[#This Row],[SKU]]="","",tblVerifyConfigs[[#This Row],[Cases per layer]]*tblVerifyConfigs[[#This Row],[Layers]]*tblVerifyConfigs[[#This Row],[Case length]]*tblVerifyConfigs[[#This Row],[Case width]]*tblVerifyConfigs[[#This Row],[Case height]]/$E$37)</f>
        <v>44.4444444444444</v>
      </c>
      <c r="S52" s="41">
        <f>IF(tblVerifyConfigs[[#This Row],[SKU]]="","",IF(N(tblVerifyConfigs[[#This Row],[Envelope]])&gt;0,tblVerifyConfigs[[#This Row],[Load cube]]/tblVerifyConfigs[[#This Row],[Envelope]],""))</f>
        <v/>
      </c>
      <c r="T52" s="41">
        <f>IF(tblVerifyConfigs[[#This Row],[SKU]]="","",IF(N(tblVerifyConfigs[[#This Row],[Max payload]])&gt;0,tblVerifyConfigs[[#This Row],[Cases per layer]]*tblVerifyConfigs[[#This Row],[Layers]]*tblVerifyConfigs[[#This Row],[Case weight]]/tblVerifyConfigs[[#This Row],[Max payload]],""))</f>
        <v/>
      </c>
      <c r="U52" s="30">
        <f>IF(tblVerifyConfigs[[#This Row],[SKU]]="","",IF(OR(tblVerifyConfigs[[#This Row],[Height limit]]="",tblVerifyConfigs[[#This Row],[Case height]]=0,tblVerifyConfigs[[#This Row],[Cases per layer]]*tblVerifyConfigs[[#This Row],[Case weight]]=0),"",MIN(INT(tblVerifyConfigs[[#This Row],[Height limit]]/tblVerifyConfigs[[#This Row],[Case height]]),INT(tblVerifyConfigs[[#This Row],[Max payload]]/(tblVerifyConfigs[[#This Row],[Cases per layer]]*tblVerifyConfigs[[#This Row],[Case weight]])))))</f>
        <v/>
      </c>
      <c r="V52" s="30">
        <f>IF(tblVerifyConfigs[[#This Row],[SKU]]="","",IF(tblVerifyConfigs[[#This Row],[Max layers]]="","",MAX(0,tblVerifyConfigs[[#This Row],[Max layers]]-tblVerifyConfigs[[#This Row],[Layers]])))</f>
        <v/>
      </c>
      <c r="W52" s="42">
        <f>IF(tblVerifyConfigs[[#This Row],[SKU]]="","",IF(tblVerifyConfigs[[#This Row],[Max layers]]="","",IF(INT(tblVerifyConfigs[[#This Row],[Height limit]]/tblVerifyConfigs[[#This Row],[Case height]])&lt;=INT(tblVerifyConfigs[[#This Row],[Max payload]]/(tblVerifyConfigs[[#This Row],[Cases per layer]]*tblVerifyConfigs[[#This Row],[Case weight]])),"Height","Weight")))</f>
        <v/>
      </c>
      <c r="X52" s="43">
        <f>IF(tblVerifyConfigs[[#This Row],[SKU]]="","",IF(OR(tblVerifyConfigs[[#This Row],[Freight per pallet]]="",tblVerifyConfigs[[#This Row],[Units per pallet]]=0),"",tblVerifyConfigs[[#This Row],[Freight per pallet]]/tblVerifyConfigs[[#This Row],[Units per pallet]]))</f>
        <v/>
      </c>
      <c r="Y52" s="30">
        <f>IF(tblVerifyConfigs[[#This Row],[SKU]]="","",IF(tblVerifyConfigs[[#This Row],[Freight per pallet]]="","",tblVerifyConfigs[[#This Row],[Pallets per month]]*tblVerifyConfigs[[#This Row],[Freight per pallet]]))</f>
        <v/>
      </c>
      <c r="Z52" s="30">
        <f>IF(tblVerifyConfigs[[#This Row],[SKU]]="","",IF(OR(tblVerifyConfigs[[#This Row],[Layers to add]]="",tblVerifyConfigs[[#This Row],[Monthly freight]]=""),"",IF(tblVerifyConfigs[[#This Row],[Max layers]]&gt;0,tblVerifyConfigs[[#This Row],[Monthly freight]]*tblVerifyConfigs[[#This Row],[Layers to add]]/tblVerifyConfigs[[#This Row],[Max layers]],0)))</f>
        <v/>
      </c>
      <c r="AA52" s="42">
        <f>IF(NOT(ISNUMBER(tblVerifyConfigs[[#This Row],[Cube utilization]])),"",IF(tblVerifyConfigs[[#This Row],[Cube utilization]]&gt;=$E$38,"On target",IF(tblVerifyConfigs[[#This Row],[Cube utilization]]&gt;=$E$38*(1-0.05),"Near target","Below target")))</f>
        <v/>
      </c>
      <c r="AB52" s="44" t="str">
        <f>IF(tblVerifyConfigs[[#This Row],[SKU]]="","",IF(tblVerifyConfigs[[#This Row],[Case length]]="","Missing case length",IF(tblVerifyConfigs[[#This Row],[Case width]]="","Missing case width",IF(tblVerifyConfigs[[#This Row],[Case height]]="","Missing case height",IF(tblVerifyConfigs[[#This Row],[Case weight]]="","Missing case weight",IF(tblVerifyConfigs[[#This Row],[Cases per layer]]="","Missing cases per layer",IF(tblVerifyConfigs[[#This Row],[Layers]]="","Missing layers",IF(COUNTIF(tblVerifyPallets[Pallet type],tblVerifyConfigs[[#This Row],[Pallet type]])=0,"Pallet type not on Setup list",IF(tblVerifyConfigs[[#This Row],[Cases per layer]]*tblVerifyConfigs[[#This Row],[Case length]]*tblVerifyConfigs[[#This Row],[Case width]]&gt;tblVerifyConfigs[[#This Row],[Envelope]]*$E$37/tblVerifyConfigs[[#This Row],[Height limit]],"Layer larger than pallet",IF(tblVerifyConfigs[[#This Row],[Layers]]*tblVerifyConfigs[[#This Row],[Case height]]&gt;tblVerifyConfigs[[#This Row],[Height limit]],"Too tall for pallet",IF(tblVerifyConfigs[[#This Row],[Cases per layer]]*tblVerifyConfigs[[#This Row],[Layers]]*tblVerifyConfigs[[#This Row],[Case weight]]&gt;tblVerifyConfigs[[#This Row],[Max payload]],"Over weight limit","OK")))))))))))</f>
        <v>Pallet type not on Setup list</v>
      </c>
      <c r="AC52" s="61" t="s">
        <v>116</v>
      </c>
    </row>
  </sheetData>
  <sheetProtection sheet="1" formatColumns="0" formatRows="0"/>
  <mergeCells count="36">
    <mergeCell ref="A1:AC1"/>
    <mergeCell ref="B2:AB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B33:L33"/>
    <mergeCell ref="B35:L35"/>
    <mergeCell ref="B36:F36"/>
    <mergeCell ref="B37:D37"/>
    <mergeCell ref="B38:D38"/>
    <mergeCell ref="B40:L40"/>
    <mergeCell ref="B45:L45"/>
  </mergeCells>
  <conditionalFormatting sqref="AB48:AB52">
    <cfRule type="expression" dxfId="3" priority="41">
      <formula>$AB48="OK"</formula>
    </cfRule>
    <cfRule type="expression" dxfId="1" priority="42">
      <formula>AND($AB48&lt;&gt;"",$AB48&lt;&gt;"OK")</formula>
    </cfRule>
  </conditionalFormatting>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AC2" r:id="rId1" tooltip="Free manufacturing calculators and templates"/>
  </hyperlinks>
  <printOptions horizontalCentered="1"/>
  <pageMargins left="0.4" right="0.4" top="0.7" bottom="0.65" header="0.3" footer="0.3"/>
  <pageSetup fitToHeight="0" orientation="landscape"/>
  <headerFooter>
    <oddHeader>&amp;L&amp;8MFG Calcs - Pallet Utilization&amp;R&amp;8&amp;A</oddHeader>
    <oddFooter>&amp;L&amp;8mfgcalcs.com - free manufacturing templates&amp;R&amp;8Page &amp;P of &amp;N</oddFooter>
  </headerFooter>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21</vt:i4>
      </vt:variant>
    </vt:vector>
  </HeadingPairs>
  <TitlesOfParts>
    <vt:vector size="27" baseType="lpstr">
      <vt:lpstr>Start Here</vt:lpstr>
      <vt:lpstr>Setup</vt:lpstr>
      <vt:lpstr>Pallet Configurations</vt:lpstr>
      <vt:lpstr>Dashboard</vt:lpstr>
      <vt:lpstr>Method</vt:lpstr>
      <vt:lpstr>Verify</vt:lpstr>
      <vt:lpstr>CompanyName</vt:lpstr>
      <vt:lpstr>Currency</vt:lpstr>
      <vt:lpstr>DimUnit</vt:lpstr>
      <vt:lpstr>KpiBelow</vt:lpstr>
      <vt:lpstr>KpiCube</vt:lpstr>
      <vt:lpstr>KpiSaving</vt:lpstr>
      <vt:lpstr>KpiWeight</vt:lpstr>
      <vt:lpstr>Dashboard!Print_Area</vt:lpstr>
      <vt:lpstr>Method!Print_Area</vt:lpstr>
      <vt:lpstr>'Pallet Configurations'!Print_Area</vt:lpstr>
      <vt:lpstr>Setup!Print_Area</vt:lpstr>
      <vt:lpstr>'Start Here'!Print_Area</vt:lpstr>
      <vt:lpstr>Verify!Print_Area</vt:lpstr>
      <vt:lpstr>Method!Print_Titles</vt:lpstr>
      <vt:lpstr>'Pallet Configurations'!Print_Titles</vt:lpstr>
      <vt:lpstr>SelfCheck</vt:lpstr>
      <vt:lpstr>SelfCheckSummary</vt:lpstr>
      <vt:lpstr>TargetCube</vt:lpstr>
      <vt:lpstr>VolDiv</vt:lpstr>
      <vt:lpstr>VolUnit</vt:lpstr>
      <vt:lpstr>WtUnit</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Pallet Utilization - free Excel template from MFG Calcs</dc:title>
  <dc:subject>Check every case-and-pallet configuration for cube and weight utilization, find the layers you could still add, and estimate the freight a fuller pallet saves.</dc:subject>
  <dc:creator>MFG Calcs</dc:creator>
  <cp:keywords>pallet utilization, cube utilization, pallet pattern, cases per layer, weight utilization, freight cost per unit, packaging</cp:keywords>
  <dc:description>https://www.mfgcalcs.com/templates/pallet-utilization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pallet-utilization</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https://www.mfgcalcs.com/templates/pallet-utilization</vt:lpwstr>
  </property>
  <property fmtid="{D5CDD505-2E9C-101B-9397-08002B2CF9AE}" pid="7" name="Template sheet roles">
    <vt:lpwstr>Start Here=start;Setup=setup;Pallet Configurations=work;Dashboard=dashboard;Method=method;Verify=verify</vt:lpwstr>
  </property>
</Properties>
</file>