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Defect Log" sheetId="3" r:id="rId3"/>
    <sheet name="Daily Output" sheetId="4" r:id="rId4"/>
    <sheet name="Dashboard" sheetId="5" r:id="rId5"/>
    <sheet name="Method" sheetId="6" r:id="rId6"/>
    <sheet name="Verify" sheetId="7" r:id="rId7"/>
  </sheets>
  <definedNames>
    <definedName name="Areas">tblAreas[Area]</definedName>
    <definedName name="Categories">tblCategories[Category]</definedName>
    <definedName name="Currency">Setup!$C$7</definedName>
    <definedName name="CutOff">Setup!$C$8</definedName>
    <definedName name="DashArea">Dashboard!$C$4</definedName>
    <definedName name="DashFrom">Dashboard!$G$4</definedName>
    <definedName name="DashTo">Dashboard!$K$4</definedName>
    <definedName name="FFrom">IF(DashFrom="",0,DashFrom)</definedName>
    <definedName name="FTo">IF(DashTo="",2958465,DashTo)</definedName>
    <definedName name="KpiCost">Dashboard!$D$8</definedName>
    <definedName name="KpiCount">Dashboard!$B$8</definedName>
    <definedName name="KpiTop">Dashboard!$J$8</definedName>
    <definedName name="KpiVital">Dashboard!$G$8</definedName>
    <definedName name="PlantName">Setup!$C$6</definedName>
    <definedName name="_xlnm.Print_Area" localSheetId="3">'Daily Output'!$A$1:$G$25</definedName>
    <definedName name="_xlnm.Print_Area" localSheetId="4">Dashboard!$A$1:$L$94</definedName>
    <definedName name="_xlnm.Print_Area" localSheetId="2">'Defect Log'!$A$1:$J$265</definedName>
    <definedName name="_xlnm.Print_Area" localSheetId="5">Method!$A$1:$D$54</definedName>
    <definedName name="_xlnm.Print_Area" localSheetId="1">Setup!$A$1:$E$34</definedName>
    <definedName name="_xlnm.Print_Area" localSheetId="0">'Start Here'!$A$1:$F$56</definedName>
    <definedName name="_xlnm.Print_Area" localSheetId="6">Verify!$A$1:$L$41</definedName>
    <definedName name="_xlnm.Print_Titles" localSheetId="3">'Daily Output'!$1:$5</definedName>
    <definedName name="_xlnm.Print_Titles" localSheetId="2">'Defect Log'!$1:$6</definedName>
    <definedName name="_xlnm.Print_Titles" localSheetId="5">Method!$1:$2</definedName>
    <definedName name="SelfCheck">Verify!$D$4</definedName>
    <definedName name="SelfCheckSummary">Verify!$F$4</definedName>
    <definedName name="TargetDpu">Setup!$C$9</definedName>
  </definedNames>
  <calcPr calcId="124519" fullCalcOnLoad="1"/>
</workbook>
</file>

<file path=xl/sharedStrings.xml><?xml version="1.0" encoding="utf-8"?>
<sst xmlns="http://schemas.openxmlformats.org/spreadsheetml/2006/main" count="1148" uniqueCount="226">
  <si>
    <t>Pareto Analysis</t>
  </si>
  <si>
    <t>Read this first: what the workbook does and how to use it.</t>
  </si>
  <si>
    <t>mfgcalcs.com</t>
  </si>
  <si>
    <t>Tally defects or problems by category and see the Pareto by count and by cost, the vital few and defects per unit update as you type.</t>
  </si>
  <si>
    <t>For: Quality engineers, continuous-improvement leads, supervisors and plant managers choosing which problem to attack first.</t>
  </si>
  <si>
    <t>Version 1.0.0  ·  updated 15 October 2026</t>
  </si>
  <si>
    <t>Quick start</t>
  </si>
  <si>
    <t>1.</t>
  </si>
  <si>
    <t>On Setup, type your plant name, currency and Pareto cut-off, then replace the example areas and categories (with a cost per occurrence for each).</t>
  </si>
  <si>
    <t>2.</t>
  </si>
  <si>
    <t>On Defect Log, add one row per category per area per day (or per shift) with the count.</t>
  </si>
  <si>
    <t>3.</t>
  </si>
  <si>
    <t>On Daily Output, add the units inspected each day so the Dashboard can show defects per unit.</t>
  </si>
  <si>
    <t>4.</t>
  </si>
  <si>
    <t>Read the Check columns, then open the Dashboard. Use the area and date filters to look at one area or one week.</t>
  </si>
  <si>
    <t>What is in this workbook</t>
  </si>
  <si>
    <t>Start Here</t>
  </si>
  <si>
    <t>Setup</t>
  </si>
  <si>
    <t>Your plant, currency, targets and the dropdown lists.</t>
  </si>
  <si>
    <t>Defect Log</t>
  </si>
  <si>
    <t>One row per category per area per day (or per shift) with the number found. Cost comes from the Categories list.</t>
  </si>
  <si>
    <t>Daily Output</t>
  </si>
  <si>
    <t>Units inspected per day, plant total. The Dashboard divides defects by these units for DPU.</t>
  </si>
  <si>
    <t>Dashboard</t>
  </si>
  <si>
    <t>Pareto by count and by cost, the vital few and defects per unit, for the area and dates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</si>
  <si>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</si>
  <si>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</si>
  <si>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</si>
  <si>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</si>
  <si>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</si>
  <si>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</si>
  <si>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</si>
  <si>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</si>
  <si>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</si>
  <si>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</si>
  <si>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</si>
  <si>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</si>
  <si>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</si>
  <si>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</si>
  <si>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</si>
  <si>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</si>
  <si>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</si>
  <si>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</si>
  <si>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</si>
  <si>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</si>
  <si>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Defects per Unit Calculator on mfgcalcs.com</t>
  </si>
  <si>
    <t>Latest version</t>
  </si>
  <si>
    <t>mfgcalcs.com/templates/pareto-analysis</t>
  </si>
  <si>
    <t>More free templates</t>
  </si>
  <si>
    <t>mfgcalcs.com/templates</t>
  </si>
  <si>
    <t>Version</t>
  </si>
  <si>
    <t>1.0.0 (updated 15 October 2026)</t>
  </si>
  <si>
    <t>About the example data</t>
  </si>
  <si>
    <t>Every number already in this workbook is example data for Linden Plastics, a fictional business invented for this template, so the dashboard and charts show something meaningful on day one. It covers four weeks (7 September to 2 October 2026) of defect tallies in moulding, assembly and final inspection, and the daily output,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</si>
  <si>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</si>
  <si>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</si>
  <si>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</si>
  <si>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</si>
  <si>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</si>
  <si>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</si>
  <si>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</si>
  <si>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</si>
  <si>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Area</t>
  </si>
  <si>
    <t>Description</t>
  </si>
  <si>
    <t>Category</t>
  </si>
  <si>
    <t>Cost per occurrence</t>
  </si>
  <si>
    <t>Definition</t>
  </si>
  <si>
    <t>Plant and settings</t>
  </si>
  <si>
    <t>Plant or line name</t>
  </si>
  <si>
    <t>Linden Plastics (example)</t>
  </si>
  <si>
    <t>Currency label</t>
  </si>
  <si>
    <t>USD</t>
  </si>
  <si>
    <t>Pareto cut-off (vital few)</t>
  </si>
  <si>
    <t>of total</t>
  </si>
  <si>
    <t>DPU target (maximum)</t>
  </si>
  <si>
    <t>defects/unit</t>
  </si>
  <si>
    <t>Targets and costs are yours to set; the example costs are illustrations, not industry figures.</t>
  </si>
  <si>
    <t>Lists that feed the dropdowns</t>
  </si>
  <si>
    <t>Areas (where the defect was found)</t>
  </si>
  <si>
    <t>Moulding</t>
  </si>
  <si>
    <t>Press-side inspection, 6 presses</t>
  </si>
  <si>
    <t>Assembly</t>
  </si>
  <si>
    <t>Insert, weld and label stations</t>
  </si>
  <si>
    <t>Final inspection</t>
  </si>
  <si>
    <t>Audit before packing</t>
  </si>
  <si>
    <t>Defect categories and cost per occurrence</t>
  </si>
  <si>
    <t>Example costs for Linden Plastics (fictional). Define each category so two inspectors would log the same defect the same way.</t>
  </si>
  <si>
    <t>Flash</t>
  </si>
  <si>
    <t>Excess plastic at the parting line; deflashed by hand</t>
  </si>
  <si>
    <t>Short shot</t>
  </si>
  <si>
    <t>Incomplete fill; part scrapped</t>
  </si>
  <si>
    <t>Sink marks</t>
  </si>
  <si>
    <t>Visible depressions on class A surface; scrapped</t>
  </si>
  <si>
    <t>Colour streaks</t>
  </si>
  <si>
    <t>Colour not uniform; scrapped</t>
  </si>
  <si>
    <t>Burn marks</t>
  </si>
  <si>
    <t>Black or brown marks from trapped gas; scrapped</t>
  </si>
  <si>
    <t>Warp</t>
  </si>
  <si>
    <t>Out of flatness at the gauge; scrapped</t>
  </si>
  <si>
    <t>Scratches</t>
  </si>
  <si>
    <t>Handling damage; polished or scrapped</t>
  </si>
  <si>
    <t>Missing insert</t>
  </si>
  <si>
    <t>Assembled part without its threaded insert; assembly scrapped</t>
  </si>
  <si>
    <t>Wrong label</t>
  </si>
  <si>
    <t>Label missing or wrong; relabelled</t>
  </si>
  <si>
    <t>Weld failure</t>
  </si>
  <si>
    <t>Ultrasonic weld fails the pull test; assembly scrapped</t>
  </si>
  <si>
    <t>Date</t>
  </si>
  <si>
    <t>Count</t>
  </si>
  <si>
    <t>Cost</t>
  </si>
  <si>
    <t>View date</t>
  </si>
  <si>
    <t>Check</t>
  </si>
  <si>
    <t>Notes</t>
  </si>
  <si>
    <t>Example data for Linden Plastics (fictional). To clear: select the example rows, right-click, Delete &gt; Table Rows. Yellow = you type; blue = calculated; Check names any problem.</t>
  </si>
  <si>
    <t/>
  </si>
  <si>
    <t>Hopper dryer fault, P4</t>
  </si>
  <si>
    <t>Units inspected</t>
  </si>
  <si>
    <t>Defects logged</t>
  </si>
  <si>
    <t>DPU</t>
  </si>
  <si>
    <t>Example data for Linden Plastics (fictional). One row per production day.</t>
  </si>
  <si>
    <t>From</t>
  </si>
  <si>
    <t>To</t>
  </si>
  <si>
    <t>DEFECTS LOGGED</t>
  </si>
  <si>
    <t>VITAL FEW BY COUNT</t>
  </si>
  <si>
    <t>BIGGEST BY COUNT | BY COST</t>
  </si>
  <si>
    <t>Count x cost per occurrence</t>
  </si>
  <si>
    <t>Attack the cost leader if they differ</t>
  </si>
  <si>
    <t>Pareto by count</t>
  </si>
  <si>
    <t>Rank</t>
  </si>
  <si>
    <t>Share</t>
  </si>
  <si>
    <t>Cumulative</t>
  </si>
  <si>
    <t>Helper: Category (list order)</t>
  </si>
  <si>
    <t>Helper: value (-1 = unused slot)</t>
  </si>
  <si>
    <t>Helper: rank, ties by list order</t>
  </si>
  <si>
    <t>defects</t>
  </si>
  <si>
    <t>%</t>
  </si>
  <si>
    <t>Total</t>
  </si>
  <si>
    <t>Pareto by cost (estimate)</t>
  </si>
  <si>
    <t>Cost (est.)</t>
  </si>
  <si>
    <t>Weekly (oldest first)</t>
  </si>
  <si>
    <t>Week starting (Mon)</t>
  </si>
  <si>
    <t>Defects</t>
  </si>
  <si>
    <t>DPU target</t>
  </si>
  <si>
    <t>By area</t>
  </si>
  <si>
    <t>Share of defects</t>
  </si>
  <si>
    <t>Share of cost</t>
  </si>
  <si>
    <t>The Dashboard shows the 10 categories and 3 areas of the Setup lists and the last 6 weeks in view. If you add more, extend the Pareto and 'By area' blocks (see Method) or they will not appear here. Units inspected follow the date filters only (they are plant totals), so with an area filter DPU is that area's defects per unit made.</t>
  </si>
  <si>
    <t>What this workbook calculates</t>
  </si>
  <si>
    <t>A Pareto analysis ranks categories of a problem by their size, so the few that make most of the total stand out. This workbook ranks the same tally twice: by count (how often) and by estimated cost (how much it hurts). When the two orders differ, the cost order is usually the better guide to where improvement pays.</t>
  </si>
  <si>
    <t>Calculations</t>
  </si>
  <si>
    <t>Quantity</t>
  </si>
  <si>
    <t>How it is calculated</t>
  </si>
  <si>
    <t>Units</t>
  </si>
  <si>
    <t>Looked up from the Categories list on Setup (INDEX/MATCH). An estimate in your currency.</t>
  </si>
  <si>
    <t>currency/defect</t>
  </si>
  <si>
    <t>Count x cost per occurrence (est.).</t>
  </si>
  <si>
    <t>currency</t>
  </si>
  <si>
    <t>Pareto value</t>
  </si>
  <si>
    <t>SUMIFS of count (or cost) per category over the rows inside the filters.</t>
  </si>
  <si>
    <t>defects, currency</t>
  </si>
  <si>
    <t>Pareto order</t>
  </si>
  <si>
    <t>Largest first by COUNTIF ranks, ties in Setup list order. Helper columns AO:AQ (count) and AS:AU (cost) on the Dashboard (hidden) hold the unsorted values and ranks.</t>
  </si>
  <si>
    <t>-</t>
  </si>
  <si>
    <t>Share and cumulative share</t>
  </si>
  <si>
    <t>Category value / total; running sum of the ranked values / total.</t>
  </si>
  <si>
    <t>Vital few</t>
  </si>
  <si>
    <t>The number of ranked categories needed for the cumulative share to reach the cut-off on Setup (80% by default).</t>
  </si>
  <si>
    <t>categories</t>
  </si>
  <si>
    <t>Defects in view / units inspected on the Daily Output rows inside the date filters.</t>
  </si>
  <si>
    <t>Weekly and by-area roll-ups</t>
  </si>
  <si>
    <t>SUMIFS over the rows inside the filters; shares are sums over sums, never averages of percentages.</t>
  </si>
  <si>
    <t>Assumptions</t>
  </si>
  <si>
    <t>Each defect is logged once, in the area where it was found, under one category.</t>
  </si>
  <si>
    <t>Cost per occurrence is a standard estimate per category, not the actual cost of each event.</t>
  </si>
  <si>
    <t>Units inspected are plant totals per day; every logged defect belongs to a day on Daily Output (Check says if not).</t>
  </si>
  <si>
    <t>Limitations</t>
  </si>
  <si>
    <t>Counts treat every defect as equal; the cost Pareto is only as good as the costs on Setup.</t>
  </si>
  <si>
    <t>The 80% cut-off is a rule of thumb; real tallies are often flatter (more categories needed) or steeper.</t>
  </si>
  <si>
    <t>The Dashboard has fixed blocks for the categories and areas in the example lists and the last 6 weeks.</t>
  </si>
  <si>
    <t>A Pareto shows where the problems are, not why: follow it with a cause analysis (5 Why, fishbone) on the top category.</t>
  </si>
  <si>
    <t>Agreement with the live calculator</t>
  </si>
  <si>
    <t>The live Defects per Unit calculator gives DPU = defects / units inspected and defects per hundred units for one total. For the same totals this workbook's DPU tile agrees (checked against the calculator's engine on every build). The calculator works on one total; this workbook adds the tally, the two Pareto rankings, the vital few and the trend.</t>
  </si>
  <si>
    <t>Open the Defects per Unit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</si>
  <si>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</si>
  <si>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</si>
  <si>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Juran, J. M., Quality Control Handbook (the Pareto principle: the vital few and the useful many).</t>
  </si>
  <si>
    <t>ASQ, Pareto chart (quality tools): definition and construction of a Pareto chart.</t>
  </si>
  <si>
    <t>MFG Calcs Defects per Unit calculator (defects-per-unit): the same DPU formula for one total.</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</si>
  <si>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</si>
  <si>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</si>
  <si>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</si>
  <si>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</si>
  <si>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</si>
  <si>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</si>
  <si>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</si>
  <si>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</si>
  <si>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</si>
  <si>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</si>
  <si>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</si>
  <si>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</si>
  <si>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</si>
  <si>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</si>
  <si>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</si>
  <si>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2: cost = 3 x 7.80</t>
  </si>
  <si>
    <t>Row 4 (zero count): cost</t>
  </si>
  <si>
    <t>Row 5: Check reports a missing Daily Output row</t>
  </si>
  <si>
    <t>No Daily Output row</t>
  </si>
  <si>
    <t>exact</t>
  </si>
  <si>
    <t>Day 1: defects logged</t>
  </si>
  <si>
    <t>Day 1: DPU</t>
  </si>
  <si>
    <t>All rows: defects (Dashboard formula)</t>
  </si>
  <si>
    <t>All rows: cost (Dashboard formula)</t>
  </si>
  <si>
    <t>All rows: DPU (Dashboard formula)</t>
  </si>
  <si>
    <t>Fixed test inputs</t>
  </si>
  <si>
    <t>White cells are fixed test inputs; blue cells are the workbook's formulas evaluated on them.</t>
  </si>
  <si>
    <t>Parameters</t>
  </si>
  <si>
    <t>Filter: from (0 = no limit)</t>
  </si>
  <si>
    <t>Filter: to (2958465 = no limit)</t>
  </si>
  <si>
    <t>Filter: area (blank = all)</t>
  </si>
  <si>
    <t>Test table: Defects</t>
  </si>
  <si>
    <t>A1</t>
  </si>
  <si>
    <t>C1</t>
  </si>
  <si>
    <t>C2</t>
  </si>
  <si>
    <t>A2</t>
  </si>
  <si>
    <t>C3</t>
  </si>
  <si>
    <t>Test table: Output</t>
  </si>
</sst>
</file>

<file path=xl/styles.xml><?xml version="1.0" encoding="utf-8"?>
<styleSheet xmlns="http://schemas.openxmlformats.org/spreadsheetml/2006/main">
  <numFmts count="7">
    <numFmt numFmtId="164" formatCode="0%"/>
    <numFmt numFmtId="165" formatCode="#,##0.000"/>
    <numFmt numFmtId="166" formatCode="#,##0.00"/>
    <numFmt numFmtId="167" formatCode="d mmm yyyy"/>
    <numFmt numFmtId="168" formatCode="#,##0"/>
    <numFmt numFmtId="169" formatCode="0.0%"/>
    <numFmt numFmtId="170" formatCode="0.0E+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b/>
      <sz val="15"/>
      <color rgb="FF14386C"/>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75">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0" fillId="3" borderId="2" xfId="0" applyFont="1" applyFill="1" applyBorder="1" applyAlignment="1" applyProtection="1">
      <alignment vertical="top" wrapText="1"/>
      <protection locked="0"/>
    </xf>
    <xf numFmtId="0" fontId="19" fillId="7" borderId="2" xfId="0" applyFont="1" applyFill="1" applyBorder="1" applyAlignment="1">
      <alignment vertical="center" wrapText="1"/>
    </xf>
    <xf numFmtId="0" fontId="20" fillId="0" borderId="0" xfId="0" applyFont="1" applyAlignment="1">
      <alignment horizontal="center" vertical="center"/>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168" fontId="10" fillId="3" borderId="2" xfId="0" applyNumberFormat="1" applyFont="1" applyFill="1" applyBorder="1" applyAlignment="1" applyProtection="1">
      <alignment vertical="center"/>
      <protection locked="0"/>
    </xf>
    <xf numFmtId="166"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0" fontId="21" fillId="4" borderId="3" xfId="0" applyFont="1" applyFill="1" applyBorder="1" applyAlignment="1">
      <alignment vertical="center"/>
    </xf>
    <xf numFmtId="168"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167" fontId="10" fillId="3" borderId="2" xfId="0" applyNumberFormat="1" applyFont="1" applyFill="1" applyBorder="1" applyAlignment="1" applyProtection="1">
      <alignment horizontal="left" vertical="center"/>
      <protection locked="0"/>
    </xf>
    <xf numFmtId="0" fontId="20" fillId="0" borderId="0" xfId="0" applyFont="1" applyAlignment="1">
      <alignment vertical="center"/>
    </xf>
    <xf numFmtId="0" fontId="22" fillId="9" borderId="6" xfId="0" applyFont="1" applyFill="1" applyBorder="1" applyAlignment="1">
      <alignment vertical="center" wrapText="1"/>
    </xf>
    <xf numFmtId="168" fontId="4" fillId="9" borderId="7" xfId="0" applyNumberFormat="1" applyFont="1" applyFill="1" applyBorder="1" applyAlignment="1">
      <alignment horizontal="left" vertical="center"/>
    </xf>
    <xf numFmtId="0" fontId="23" fillId="9" borderId="7" xfId="0" applyFont="1" applyFill="1" applyBorder="1" applyAlignment="1">
      <alignment horizontal="left" vertical="center"/>
    </xf>
    <xf numFmtId="0" fontId="24" fillId="9" borderId="7" xfId="0" applyFont="1" applyFill="1" applyBorder="1" applyAlignment="1">
      <alignmen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168" fontId="9" fillId="0" borderId="9" xfId="0" applyNumberFormat="1" applyFont="1" applyBorder="1" applyAlignment="1">
      <alignment horizontal="center" vertical="center"/>
    </xf>
    <xf numFmtId="0" fontId="10" fillId="4" borderId="3" xfId="0" applyFont="1" applyFill="1" applyBorder="1" applyAlignment="1">
      <alignment vertical="center"/>
    </xf>
    <xf numFmtId="169" fontId="10" fillId="4" borderId="3" xfId="0" applyNumberFormat="1" applyFont="1" applyFill="1" applyBorder="1" applyAlignment="1">
      <alignment vertical="center"/>
    </xf>
    <xf numFmtId="168" fontId="10" fillId="0" borderId="0" xfId="0" applyNumberFormat="1" applyFont="1" applyAlignment="1">
      <alignment vertical="center"/>
    </xf>
    <xf numFmtId="0" fontId="9" fillId="4" borderId="10" xfId="0" applyFont="1" applyFill="1" applyBorder="1" applyAlignment="1">
      <alignment vertical="center"/>
    </xf>
    <xf numFmtId="168" fontId="9" fillId="4" borderId="10" xfId="0" applyNumberFormat="1" applyFont="1" applyFill="1" applyBorder="1" applyAlignment="1">
      <alignment vertical="center"/>
    </xf>
    <xf numFmtId="167" fontId="9" fillId="0" borderId="9" xfId="0" applyNumberFormat="1" applyFont="1" applyBorder="1" applyAlignment="1">
      <alignment vertical="center"/>
    </xf>
    <xf numFmtId="165" fontId="10" fillId="0" borderId="9" xfId="0" applyNumberFormat="1" applyFont="1" applyBorder="1" applyAlignment="1">
      <alignment vertical="center"/>
    </xf>
    <xf numFmtId="0" fontId="9" fillId="0" borderId="9" xfId="0"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6" fontId="10" fillId="0" borderId="9" xfId="0" applyNumberFormat="1" applyFont="1" applyBorder="1" applyAlignment="1">
      <alignment vertical="center"/>
    </xf>
    <xf numFmtId="170" fontId="10" fillId="4" borderId="3" xfId="0" applyNumberFormat="1" applyFont="1" applyFill="1" applyBorder="1" applyAlignment="1">
      <alignment vertical="center"/>
    </xf>
    <xf numFmtId="170" fontId="10" fillId="0" borderId="9" xfId="0" applyNumberFormat="1" applyFont="1" applyBorder="1" applyAlignment="1">
      <alignment vertical="center"/>
    </xf>
    <xf numFmtId="0" fontId="10" fillId="4" borderId="3" xfId="0" applyFont="1" applyFill="1" applyBorder="1" applyAlignment="1">
      <alignment horizontal="center" vertical="center"/>
    </xf>
    <xf numFmtId="168" fontId="10" fillId="0" borderId="9" xfId="0" applyNumberFormat="1" applyFont="1" applyBorder="1" applyAlignment="1">
      <alignment vertical="center"/>
    </xf>
    <xf numFmtId="167"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Pareto by count</a:t>
            </a:r>
          </a:p>
        </c:rich>
      </c:tx>
      <c:layout/>
    </c:title>
    <c:plotArea>
      <c:layout/>
      <c:barChart>
        <c:barDir val="col"/>
        <c:grouping val="clustered"/>
        <c:ser>
          <c:idx val="0"/>
          <c:order val="0"/>
          <c:tx>
            <c:v>Count</c:v>
          </c:tx>
          <c:spPr>
            <a:solidFill>
              <a:srgbClr val="3B64D8"/>
            </a:solidFill>
            <a:ln w="9525">
              <a:solidFill>
                <a:srgbClr val="FFFFFF"/>
              </a:solidFill>
            </a:ln>
          </c:spPr>
          <c:cat>
            <c:strRef>
              <c:f>Dashboard!$C$49:$C$58</c:f>
              <c:strCache>
                <c:ptCount val="10"/>
                <c:pt idx="0">
                  <c:v>Flash</c:v>
                </c:pt>
                <c:pt idx="1">
                  <c:v>Short shot</c:v>
                </c:pt>
                <c:pt idx="2">
                  <c:v>Sink marks</c:v>
                </c:pt>
                <c:pt idx="3">
                  <c:v>Scratches</c:v>
                </c:pt>
                <c:pt idx="4">
                  <c:v>Wrong label</c:v>
                </c:pt>
                <c:pt idx="5">
                  <c:v>Colour streaks</c:v>
                </c:pt>
                <c:pt idx="6">
                  <c:v>Missing insert</c:v>
                </c:pt>
                <c:pt idx="7">
                  <c:v>Burn marks</c:v>
                </c:pt>
                <c:pt idx="8">
                  <c:v>Warp</c:v>
                </c:pt>
                <c:pt idx="9">
                  <c:v>Weld failure</c:v>
                </c:pt>
              </c:strCache>
            </c:strRef>
          </c:cat>
          <c:val>
            <c:numRef>
              <c:f>Dashboard!$E$49:$E$58</c:f>
              <c:numCache>
                <c:formatCode>General</c:formatCode>
                <c:ptCount val="10"/>
                <c:pt idx="0">
                  <c:v>567</c:v>
                </c:pt>
                <c:pt idx="1">
                  <c:v>389</c:v>
                </c:pt>
                <c:pt idx="2">
                  <c:v>159</c:v>
                </c:pt>
                <c:pt idx="3">
                  <c:v>133</c:v>
                </c:pt>
                <c:pt idx="4">
                  <c:v>115</c:v>
                </c:pt>
                <c:pt idx="5">
                  <c:v>96</c:v>
                </c:pt>
                <c:pt idx="6">
                  <c:v>64</c:v>
                </c:pt>
                <c:pt idx="7">
                  <c:v>58</c:v>
                </c:pt>
                <c:pt idx="8">
                  <c:v>39</c:v>
                </c:pt>
                <c:pt idx="9">
                  <c:v>30</c:v>
                </c:pt>
              </c:numCache>
            </c:numRef>
          </c:val>
        </c:ser>
        <c:gapWidth val="40"/>
        <c:axId val="50010001"/>
        <c:axId val="5001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Dashboard!$C$49:$C$58</c:f>
              <c:strCache>
                <c:ptCount val="10"/>
                <c:pt idx="0">
                  <c:v>Flash</c:v>
                </c:pt>
                <c:pt idx="1">
                  <c:v>Short shot</c:v>
                </c:pt>
                <c:pt idx="2">
                  <c:v>Sink marks</c:v>
                </c:pt>
                <c:pt idx="3">
                  <c:v>Scratches</c:v>
                </c:pt>
                <c:pt idx="4">
                  <c:v>Wrong label</c:v>
                </c:pt>
                <c:pt idx="5">
                  <c:v>Colour streaks</c:v>
                </c:pt>
                <c:pt idx="6">
                  <c:v>Missing insert</c:v>
                </c:pt>
                <c:pt idx="7">
                  <c:v>Burn marks</c:v>
                </c:pt>
                <c:pt idx="8">
                  <c:v>Warp</c:v>
                </c:pt>
                <c:pt idx="9">
                  <c:v>Weld failure</c:v>
                </c:pt>
              </c:strCache>
            </c:strRef>
          </c:cat>
          <c:val>
            <c:numRef>
              <c:f>Dashboard!$G$49:$G$58</c:f>
              <c:numCache>
                <c:formatCode>General</c:formatCode>
                <c:ptCount val="10"/>
                <c:pt idx="0">
                  <c:v>0.343636363636364</c:v>
                </c:pt>
                <c:pt idx="1">
                  <c:v>0.579393939393939</c:v>
                </c:pt>
                <c:pt idx="2">
                  <c:v>0.675757575757576</c:v>
                </c:pt>
                <c:pt idx="3">
                  <c:v>0.756363636363636</c:v>
                </c:pt>
                <c:pt idx="4">
                  <c:v>0.826060606060606</c:v>
                </c:pt>
                <c:pt idx="5">
                  <c:v>0.884242424242424</c:v>
                </c:pt>
                <c:pt idx="6">
                  <c:v>0.923030303030303</c:v>
                </c:pt>
                <c:pt idx="7">
                  <c:v>0.958181818181818</c:v>
                </c:pt>
                <c:pt idx="8">
                  <c:v>0.981818181818182</c:v>
                </c:pt>
                <c:pt idx="9">
                  <c:v>1</c:v>
                </c:pt>
              </c:numCache>
            </c:numRef>
          </c:val>
        </c:ser>
        <c:marker val="1"/>
        <c:axId val="60010001"/>
        <c:axId val="60010002"/>
      </c:lineChart>
      <c:catAx>
        <c:axId val="5001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valAx>
        <c:axId val="6001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10001"/>
        <c:crosses val="max"/>
        <c:crossBetween val="between"/>
        <c:majorUnit val="0.2"/>
      </c:valAx>
      <c:catAx>
        <c:axId val="60010001"/>
        <c:scaling>
          <c:orientation val="minMax"/>
        </c:scaling>
        <c:delete val="1"/>
        <c:axPos val="b"/>
        <c:tickLblPos val="none"/>
        <c:crossAx val="6001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Pareto by cost (estimate)</a:t>
            </a:r>
          </a:p>
        </c:rich>
      </c:tx>
      <c:layout/>
    </c:title>
    <c:plotArea>
      <c:layout/>
      <c:barChart>
        <c:barDir val="col"/>
        <c:grouping val="clustered"/>
        <c:ser>
          <c:idx val="0"/>
          <c:order val="0"/>
          <c:tx>
            <c:v>Cost</c:v>
          </c:tx>
          <c:spPr>
            <a:solidFill>
              <a:srgbClr val="3B64D8"/>
            </a:solidFill>
            <a:ln w="9525">
              <a:solidFill>
                <a:srgbClr val="FFFFFF"/>
              </a:solidFill>
            </a:ln>
          </c:spPr>
          <c:cat>
            <c:strRef>
              <c:f>Dashboard!$C$64:$C$73</c:f>
              <c:strCache>
                <c:ptCount val="10"/>
                <c:pt idx="0">
                  <c:v>Missing insert</c:v>
                </c:pt>
                <c:pt idx="1">
                  <c:v>Short shot</c:v>
                </c:pt>
                <c:pt idx="2">
                  <c:v>Weld failure</c:v>
                </c:pt>
                <c:pt idx="3">
                  <c:v>Flash</c:v>
                </c:pt>
                <c:pt idx="4">
                  <c:v>Sink marks</c:v>
                </c:pt>
                <c:pt idx="5">
                  <c:v>Colour streaks</c:v>
                </c:pt>
                <c:pt idx="6">
                  <c:v>Scratches</c:v>
                </c:pt>
                <c:pt idx="7">
                  <c:v>Burn marks</c:v>
                </c:pt>
                <c:pt idx="8">
                  <c:v>Warp</c:v>
                </c:pt>
                <c:pt idx="9">
                  <c:v>Wrong label</c:v>
                </c:pt>
              </c:strCache>
            </c:strRef>
          </c:cat>
          <c:val>
            <c:numRef>
              <c:f>Dashboard!$E$64:$E$73</c:f>
              <c:numCache>
                <c:formatCode>General</c:formatCode>
                <c:ptCount val="10"/>
                <c:pt idx="0">
                  <c:v>499.2</c:v>
                </c:pt>
                <c:pt idx="1">
                  <c:v>466.8</c:v>
                </c:pt>
                <c:pt idx="2">
                  <c:v>234</c:v>
                </c:pt>
                <c:pt idx="3">
                  <c:v>198.45</c:v>
                </c:pt>
                <c:pt idx="4">
                  <c:v>190.8</c:v>
                </c:pt>
                <c:pt idx="5">
                  <c:v>115.2</c:v>
                </c:pt>
                <c:pt idx="6">
                  <c:v>79.8</c:v>
                </c:pt>
                <c:pt idx="7">
                  <c:v>69.6</c:v>
                </c:pt>
                <c:pt idx="8">
                  <c:v>46.8</c:v>
                </c:pt>
                <c:pt idx="9">
                  <c:v>28.75</c:v>
                </c:pt>
              </c:numCache>
            </c:numRef>
          </c:val>
        </c:ser>
        <c:gapWidth val="40"/>
        <c:axId val="50020001"/>
        <c:axId val="5002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Dashboard!$C$64:$C$73</c:f>
              <c:strCache>
                <c:ptCount val="10"/>
                <c:pt idx="0">
                  <c:v>Missing insert</c:v>
                </c:pt>
                <c:pt idx="1">
                  <c:v>Short shot</c:v>
                </c:pt>
                <c:pt idx="2">
                  <c:v>Weld failure</c:v>
                </c:pt>
                <c:pt idx="3">
                  <c:v>Flash</c:v>
                </c:pt>
                <c:pt idx="4">
                  <c:v>Sink marks</c:v>
                </c:pt>
                <c:pt idx="5">
                  <c:v>Colour streaks</c:v>
                </c:pt>
                <c:pt idx="6">
                  <c:v>Scratches</c:v>
                </c:pt>
                <c:pt idx="7">
                  <c:v>Burn marks</c:v>
                </c:pt>
                <c:pt idx="8">
                  <c:v>Warp</c:v>
                </c:pt>
                <c:pt idx="9">
                  <c:v>Wrong label</c:v>
                </c:pt>
              </c:strCache>
            </c:strRef>
          </c:cat>
          <c:val>
            <c:numRef>
              <c:f>Dashboard!$G$64:$G$73</c:f>
              <c:numCache>
                <c:formatCode>General</c:formatCode>
                <c:ptCount val="10"/>
                <c:pt idx="0">
                  <c:v>0.258733284959055</c:v>
                </c:pt>
                <c:pt idx="1">
                  <c:v>0.500673784596248</c:v>
                </c:pt>
                <c:pt idx="2">
                  <c:v>0.621955011920805</c:v>
                </c:pt>
                <c:pt idx="3">
                  <c:v>0.724810822017208</c:v>
                </c:pt>
                <c:pt idx="4">
                  <c:v>0.823701668912615</c:v>
                </c:pt>
                <c:pt idx="5">
                  <c:v>0.883409350057013</c:v>
                </c:pt>
                <c:pt idx="6">
                  <c:v>0.924769358349746</c:v>
                </c:pt>
                <c:pt idx="7">
                  <c:v>0.960842749041153</c:v>
                </c:pt>
                <c:pt idx="8">
                  <c:v>0.985098994506064</c:v>
                </c:pt>
                <c:pt idx="9">
                  <c:v>1</c:v>
                </c:pt>
              </c:numCache>
            </c:numRef>
          </c:val>
        </c:ser>
        <c:marker val="1"/>
        <c:axId val="60020001"/>
        <c:axId val="6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valAx>
        <c:axId val="6002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20001"/>
        <c:crosses val="max"/>
        <c:crossBetween val="between"/>
        <c:majorUnit val="0.2"/>
      </c:valAx>
      <c:catAx>
        <c:axId val="60020001"/>
        <c:scaling>
          <c:orientation val="minMax"/>
        </c:scaling>
        <c:delete val="1"/>
        <c:axPos val="b"/>
        <c:tickLblPos val="none"/>
        <c:crossAx val="6002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DPU by week</a:t>
            </a:r>
          </a:p>
        </c:rich>
      </c:tx>
      <c:layout/>
    </c:title>
    <c:plotArea>
      <c:layout/>
      <c:barChart>
        <c:barDir val="col"/>
        <c:grouping val="clustered"/>
        <c:ser>
          <c:idx val="0"/>
          <c:order val="0"/>
          <c:tx>
            <c:v>DPU</c:v>
          </c:tx>
          <c:spPr>
            <a:solidFill>
              <a:srgbClr val="3B64D8"/>
            </a:solidFill>
            <a:ln w="9525">
              <a:solidFill>
                <a:srgbClr val="FFFFFF"/>
              </a:solidFill>
            </a:ln>
          </c:spPr>
          <c:dLbls>
            <c:numFmt formatCode="0.000" sourceLinked="0"/>
            <c:txPr>
              <a:bodyPr/>
              <a:lstStyle/>
              <a:p>
                <a:pPr>
                  <a:defRPr sz="800" b="1" baseline="0">
                    <a:solidFill>
                      <a:srgbClr val="FFFFFF"/>
                    </a:solidFill>
                    <a:latin typeface="Calibri"/>
                  </a:defRPr>
                </a:pPr>
                <a:endParaRPr lang="en-US"/>
              </a:p>
            </c:txPr>
            <c:dLblPos val="inBase"/>
            <c:showVal val="1"/>
          </c:dLbls>
          <c:cat>
            <c:strRef>
              <c:f>Dashboard!$B$79:$B$84</c:f>
              <c:strCache>
                <c:ptCount val="6"/>
                <c:pt idx="0">
                  <c:v/>
                </c:pt>
                <c:pt idx="1">
                  <c:v/>
                </c:pt>
                <c:pt idx="2">
                  <c:v>46272</c:v>
                </c:pt>
                <c:pt idx="3">
                  <c:v>46279</c:v>
                </c:pt>
                <c:pt idx="4">
                  <c:v>46286</c:v>
                </c:pt>
                <c:pt idx="5">
                  <c:v>46293</c:v>
                </c:pt>
              </c:strCache>
            </c:strRef>
          </c:cat>
          <c:val>
            <c:numRef>
              <c:f>Dashboard!$F$79:$F$84</c:f>
              <c:numCache>
                <c:formatCode>General</c:formatCode>
                <c:ptCount val="6"/>
                <c:pt idx="0">
                  <c:v>0</c:v>
                </c:pt>
                <c:pt idx="1">
                  <c:v>0</c:v>
                </c:pt>
                <c:pt idx="2">
                  <c:v>0.0259859154929577</c:v>
                </c:pt>
                <c:pt idx="3">
                  <c:v>0.0304313725490196</c:v>
                </c:pt>
                <c:pt idx="4">
                  <c:v>0.0344055944055944</c:v>
                </c:pt>
                <c:pt idx="5">
                  <c:v>0.0285612535612536</c:v>
                </c:pt>
              </c:numCache>
            </c:numRef>
          </c:val>
        </c:ser>
        <c:gapWidth val="60"/>
        <c:overlap val="-10"/>
        <c:axId val="50030001"/>
        <c:axId val="50030002"/>
      </c:barChart>
      <c:lineChart>
        <c:grouping val="standard"/>
        <c:ser>
          <c:idx val="1"/>
          <c:order val="1"/>
          <c:tx>
            <c:v>Target</c:v>
          </c:tx>
          <c:spPr>
            <a:ln w="19050">
              <a:solidFill>
                <a:srgbClr val="4A5361"/>
              </a:solidFill>
              <a:prstDash val="dash"/>
            </a:ln>
          </c:spPr>
          <c:marker>
            <c:symbol val="none"/>
          </c:marker>
          <c:cat>
            <c:strRef>
              <c:f>Dashboard!$B$79:$B$84</c:f>
              <c:strCache>
                <c:ptCount val="6"/>
                <c:pt idx="0">
                  <c:v/>
                </c:pt>
                <c:pt idx="1">
                  <c:v/>
                </c:pt>
                <c:pt idx="2">
                  <c:v>46272</c:v>
                </c:pt>
                <c:pt idx="3">
                  <c:v>46279</c:v>
                </c:pt>
                <c:pt idx="4">
                  <c:v>46286</c:v>
                </c:pt>
                <c:pt idx="5">
                  <c:v>46293</c:v>
                </c:pt>
              </c:strCache>
            </c:strRef>
          </c:cat>
          <c:val>
            <c:numRef>
              <c:f>Dashboard!$G$79:$G$84</c:f>
              <c:numCache>
                <c:formatCode>General</c:formatCode>
                <c:ptCount val="6"/>
                <c:pt idx="0">
                  <c:v>0.025</c:v>
                </c:pt>
                <c:pt idx="1">
                  <c:v>0.025</c:v>
                </c:pt>
                <c:pt idx="2">
                  <c:v>0.025</c:v>
                </c:pt>
                <c:pt idx="3">
                  <c:v>0.025</c:v>
                </c:pt>
                <c:pt idx="4">
                  <c:v>0.025</c:v>
                </c:pt>
                <c:pt idx="5">
                  <c:v>0.025</c:v>
                </c:pt>
              </c:numCache>
            </c:numRef>
          </c:val>
        </c:ser>
        <c:marker val="1"/>
        <c:axId val="50030001"/>
        <c:axId val="50030002"/>
      </c:lineChart>
      <c:catAx>
        <c:axId val="5003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0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Defects and cost share by area</a:t>
            </a:r>
          </a:p>
        </c:rich>
      </c:tx>
      <c:layout/>
    </c:title>
    <c:plotArea>
      <c:layout/>
      <c:barChart>
        <c:barDir val="col"/>
        <c:grouping val="clustered"/>
        <c:ser>
          <c:idx val="0"/>
          <c:order val="0"/>
          <c:tx>
            <c:v>Share of defects</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Dashboard!$B$89:$B$91</c:f>
              <c:strCache>
                <c:ptCount val="3"/>
                <c:pt idx="0">
                  <c:v>Moulding</c:v>
                </c:pt>
                <c:pt idx="1">
                  <c:v>Assembly</c:v>
                </c:pt>
                <c:pt idx="2">
                  <c:v>Final inspection</c:v>
                </c:pt>
              </c:strCache>
            </c:strRef>
          </c:cat>
          <c:val>
            <c:numRef>
              <c:f>Dashboard!$E$89:$E$91</c:f>
              <c:numCache>
                <c:formatCode>General</c:formatCode>
                <c:ptCount val="3"/>
                <c:pt idx="0">
                  <c:v>0.749090909090909</c:v>
                </c:pt>
                <c:pt idx="1">
                  <c:v>0.16</c:v>
                </c:pt>
                <c:pt idx="2">
                  <c:v>0.0909090909090909</c:v>
                </c:pt>
              </c:numCache>
            </c:numRef>
          </c:val>
        </c:ser>
        <c:ser>
          <c:idx val="1"/>
          <c:order val="1"/>
          <c:tx>
            <c:v>Share of cost</c:v>
          </c:tx>
          <c:spPr>
            <a:solidFill>
              <a:srgbClr val="E8702A"/>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Dashboard!$B$89:$B$91</c:f>
              <c:strCache>
                <c:ptCount val="3"/>
                <c:pt idx="0">
                  <c:v>Moulding</c:v>
                </c:pt>
                <c:pt idx="1">
                  <c:v>Assembly</c:v>
                </c:pt>
                <c:pt idx="2">
                  <c:v>Final inspection</c:v>
                </c:pt>
              </c:strCache>
            </c:strRef>
          </c:cat>
          <c:val>
            <c:numRef>
              <c:f>Dashboard!$F$89:$F$91</c:f>
              <c:numCache>
                <c:formatCode>General</c:formatCode>
                <c:ptCount val="3"/>
                <c:pt idx="0">
                  <c:v>0.54141183787706</c:v>
                </c:pt>
                <c:pt idx="1">
                  <c:v>0.389888048097854</c:v>
                </c:pt>
                <c:pt idx="2">
                  <c:v>0.0687001140250855</c:v>
                </c:pt>
              </c:numCache>
            </c:numRef>
          </c:val>
        </c:ser>
        <c:gapWidth val="60"/>
        <c:overlap val="-10"/>
        <c:axId val="50040001"/>
        <c:axId val="50040002"/>
      </c:barChart>
      <c:catAx>
        <c:axId val="5004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40002"/>
        <c:crosses val="autoZero"/>
        <c:lblAlgn val="ctr"/>
        <c:lblOffset val="100"/>
      </c:catAx>
      <c:valAx>
        <c:axId val="5004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4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27</xdr:row>
      <xdr:rowOff>152400</xdr:rowOff>
    </xdr:to>
    <xdr:graphicFrame macro="">
      <xdr:nvGraphicFramePr>
        <xdr:cNvPr id="2" name="Chart 1" descr="Pareto chart of defect counts by category, largest first, with the cumulative percentag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27</xdr:row>
      <xdr:rowOff>152400</xdr:rowOff>
    </xdr:to>
    <xdr:graphicFrame macro="">
      <xdr:nvGraphicFramePr>
        <xdr:cNvPr id="3" name="Chart 2" descr="Pareto chart of estimated defect cost by category, largest first, with the cumulative percentag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29</xdr:row>
      <xdr:rowOff>38100</xdr:rowOff>
    </xdr:from>
    <xdr:to>
      <xdr:col>5</xdr:col>
      <xdr:colOff>676275</xdr:colOff>
      <xdr:row>43</xdr:row>
      <xdr:rowOff>152400</xdr:rowOff>
    </xdr:to>
    <xdr:graphicFrame macro="">
      <xdr:nvGraphicFramePr>
        <xdr:cNvPr id="4" name="Chart 3" descr="Column chart of defects per unit inspected for each week in view, oldest first, with the DPU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xdr:colOff>
      <xdr:row>29</xdr:row>
      <xdr:rowOff>38100</xdr:rowOff>
    </xdr:from>
    <xdr:to>
      <xdr:col>11</xdr:col>
      <xdr:colOff>676275</xdr:colOff>
      <xdr:row>43</xdr:row>
      <xdr:rowOff>152400</xdr:rowOff>
    </xdr:to>
    <xdr:graphicFrame macro="">
      <xdr:nvGraphicFramePr>
        <xdr:cNvPr id="5" name="Chart 4" descr="Column chart of each area's share of the defect count and of the estimated defect cost over the dates in view."/>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id="1" name="tblAreas" displayName="tblAreas" ref="B16:C19" totalsRowShown="0">
  <autoFilter ref="B16:C19"/>
  <tableColumns count="2">
    <tableColumn id="1" name="Area"/>
    <tableColumn id="2" name="Description"/>
  </tableColumns>
  <tableStyleInfo name="TableStyleLight1" showFirstColumn="0" showLastColumn="0" showRowStripes="0" showColumnStripes="0"/>
</table>
</file>

<file path=xl/tables/table2.xml><?xml version="1.0" encoding="utf-8"?>
<table xmlns="http://schemas.openxmlformats.org/spreadsheetml/2006/main" id="2" name="tblCategories" displayName="tblCategories" ref="B24:D34" totalsRowShown="0">
  <autoFilter ref="B24:D34"/>
  <tableColumns count="3">
    <tableColumn id="1" name="Category"/>
    <tableColumn id="2" name="Cost per occurrence"/>
    <tableColumn id="3" name="Definition"/>
  </tableColumns>
  <tableStyleInfo name="TableStyleLight1" showFirstColumn="0" showLastColumn="0" showRowStripes="0" showColumnStripes="0"/>
</table>
</file>

<file path=xl/tables/table3.xml><?xml version="1.0" encoding="utf-8"?>
<table xmlns="http://schemas.openxmlformats.org/spreadsheetml/2006/main" id="3" name="tblDefects" displayName="tblDefects" ref="B6:J265" totalsRowShown="0">
  <autoFilter ref="B6:J265"/>
  <tableColumns count="9">
    <tableColumn id="1" name="Date"/>
    <tableColumn id="2" name="Area"/>
    <tableColumn id="3" name="Category"/>
    <tableColumn id="4" name="Count"/>
    <tableColumn id="5" name="Cost per occurrence">
      <calculatedColumnFormula>IF(tblDefects[[#This Row],[Date]]="","",IFERROR(INDEX(tblCategories[Cost per occurrence],MATCH(tblDefects[[#This Row],[Category]],tblCategories[Category],0)),""))</calculatedColumnFormula>
    </tableColumn>
    <tableColumn id="6" name="Cost">
      <calculatedColumnFormula>IF(tblDefects[[#This Row],[Date]]="","",IF(tblDefects[[#This Row],[Cost per occurrence]]="","",tblDefects[[#This Row],[Count]]*tblDefects[[#This Row],[Cost per occurrence]]))</calculatedColumnFormula>
    </tableColumn>
    <tableColumn id="7" name="View date">
      <calculatedColumnFormula>IF(tblDefects[[#This Row],[Date]]="","",IF(AND(tblDefects[[#This Row],[Date]]&gt;=FFrom,tblDefects[[#This Row],[Date]]&lt;=FTo,OR(DashArea="",tblDefects[[#This Row],[Area]]=DashArea)),tblDefects[[#This Row],[Date]],""))</calculatedColumnFormula>
    </tableColumn>
    <tableColumn id="8" name="Check">
      <calculatedColumnFormula>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calculatedColumnFormula>
    </tableColumn>
    <tableColumn id="9" name="Notes"/>
  </tableColumns>
  <tableStyleInfo name="TableStyleLight1" showFirstColumn="0" showLastColumn="0" showRowStripes="0" showColumnStripes="0"/>
</table>
</file>

<file path=xl/tables/table4.xml><?xml version="1.0" encoding="utf-8"?>
<table xmlns="http://schemas.openxmlformats.org/spreadsheetml/2006/main" id="4" name="tblOutput" displayName="tblOutput" ref="B5:G25" totalsRowShown="0">
  <autoFilter ref="B5:G25"/>
  <tableColumns count="6">
    <tableColumn id="1" name="Date"/>
    <tableColumn id="2" name="Units inspected"/>
    <tableColumn id="3" name="Defects logged">
      <calculatedColumnFormula>IF(tblOutput[[#This Row],[Date]]="","",SUMIFS(tblDefects[Count],tblDefects[Date],tblOutput[[#This Row],[Date]]))</calculatedColumnFormula>
    </tableColumn>
    <tableColumn id="4" name="DPU">
      <calculatedColumnFormula>IF(tblOutput[[#This Row],[Date]]="","",IF(tblOutput[[#This Row],[Units inspected]]&gt;0,tblOutput[[#This Row],[Defects logged]]/tblOutput[[#This Row],[Units inspected]],""))</calculatedColumnFormula>
    </tableColumn>
    <tableColumn id="5" name="Check">
      <calculatedColumnFormula>IF(tblOutput[[#This Row],[Date]]="","",IF(tblOutput[[#This Row],[Units inspected]]="","Missing units inspected",IF(COUNTIFS(tblOutput[Date],tblOutput[[#This Row],[Date]])&gt;1,"Duplicate date","OK")))</calculatedColumnFormula>
    </tableColumn>
    <tableColumn id="6" name="Notes"/>
  </tableColumns>
  <tableStyleInfo name="TableStyleLight1" showFirstColumn="0" showLastColumn="0" showRowStripes="0" showColumnStripes="0"/>
</table>
</file>

<file path=xl/tables/table5.xml><?xml version="1.0" encoding="utf-8"?>
<table xmlns="http://schemas.openxmlformats.org/spreadsheetml/2006/main" id="5" name="tblVerifyDefects" displayName="tblVerifyDefects" ref="B31:J36" totalsRowShown="0">
  <tableColumns count="9">
    <tableColumn id="1" name="Date"/>
    <tableColumn id="2" name="Area"/>
    <tableColumn id="3" name="Category"/>
    <tableColumn id="4" name="Count"/>
    <tableColumn id="5" name="Cost per occurrence"/>
    <tableColumn id="6" name="Cost">
      <calculatedColumnFormula>IF(tblVerifyDefects[[#This Row],[Date]]="","",IF(tblVerifyDefects[[#This Row],[Cost per occurrence]]="","",tblVerifyDefects[[#This Row],[Count]]*tblVerifyDefects[[#This Row],[Cost per occurrence]]))</calculatedColumnFormula>
    </tableColumn>
    <tableColumn id="7" name="View date">
      <calculatedColumnFormula>IF(tblVerifyDefects[[#This Row],[Date]]="","",IF(AND(tblVerifyDefects[[#This Row],[Date]]&gt;=$E$24,tblVerifyDefects[[#This Row],[Date]]&lt;=$E$25,OR($E$26="",tblVerifyDefects[[#This Row],[Area]]=$E$26)),tblVerifyDefects[[#This Row],[Date]],""))</calculatedColumnFormula>
    </tableColumn>
    <tableColumn id="8" name="Check">
      <calculatedColumnFormula>IF(tblVerifyDefects[[#This Row],[Date]]="","",IF(tblVerifyDefects[[#This Row],[Area]]="","Missing area",IF(tblVerifyDefects[[#This Row],[Category]]="","Missing category",IF(tblVerifyDefects[[#This Row],[Count]]="","Missing count",IF(tblVerifyDefects[[#This Row],[Cost per occurrence]]="","Category not on Setup list",IF(COUNTIFS(tblVerifyDefects[Date],tblVerifyDefects[[#This Row],[Date]],tblVerifyDefects[Area],tblVerifyDefects[[#This Row],[Area]],tblVerifyDefects[Category],tblVerifyDefects[[#This Row],[Category]])&gt;1,"Duplicate row: add the counts",IF(COUNTIFS(tblVerifyOutput[Date],tblVerifyDefects[[#This Row],[Date]])=0,"No Daily Output row","OK")))))))</calculatedColumnFormula>
    </tableColumn>
    <tableColumn id="9" name="Notes"/>
  </tableColumns>
  <tableStyleInfo name="TableStyleLight1" showFirstColumn="0" showLastColumn="0" showRowStripes="0" showColumnStripes="0"/>
</table>
</file>

<file path=xl/tables/table6.xml><?xml version="1.0" encoding="utf-8"?>
<table xmlns="http://schemas.openxmlformats.org/spreadsheetml/2006/main" id="6" name="tblVerifyOutput" displayName="tblVerifyOutput" ref="B39:G41" totalsRowShown="0">
  <tableColumns count="6">
    <tableColumn id="1" name="Date"/>
    <tableColumn id="2" name="Units inspected"/>
    <tableColumn id="3" name="Defects logged">
      <calculatedColumnFormula>IF(tblVerifyOutput[[#This Row],[Date]]="","",SUMIFS(tblVerifyDefects[Count],tblVerifyDefects[Date],tblVerifyOutput[[#This Row],[Date]]))</calculatedColumnFormula>
    </tableColumn>
    <tableColumn id="4" name="DPU">
      <calculatedColumnFormula>IF(tblVerifyOutput[[#This Row],[Date]]="","",IF(tblVerifyOutput[[#This Row],[Units inspected]]&gt;0,tblVerifyOutput[[#This Row],[Defects logged]]/tblVerifyOutput[[#This Row],[Units inspected]],""))</calculatedColumnFormula>
    </tableColumn>
    <tableColumn id="5" name="Check">
      <calculatedColumnFormula>IF(tblVerifyOutput[[#This Row],[Date]]="","",IF(tblVerifyOutput[[#This Row],[Units inspected]]="","Missing units inspected",IF(COUNTIFS(tblVerifyOutput[Date],tblVerifyOutput[[#This Row],[Date]])&gt;1,"Duplicate date","OK")))</calculatedColumnFormula>
    </tableColumn>
    <tableColumn id="6"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areto-analysis" TargetMode="External"/><Relationship Id="rId2" Type="http://schemas.openxmlformats.org/officeDocument/2006/relationships/hyperlink" Target="https://www.mfgcalcs.com/calculators/quality-inspection-metrology/defects-per-unit?utm_source=mfgcalcs-template&amp;utm_medium=xlsx&amp;utm_campaign=pareto-analysis" TargetMode="External"/><Relationship Id="rId3" Type="http://schemas.openxmlformats.org/officeDocument/2006/relationships/hyperlink" Target="https://www.mfgcalcs.com/templates/pareto-analysis?utm_source=mfgcalcs-template&amp;utm_medium=xlsx&amp;utm_campaign=pareto-analysis" TargetMode="External"/><Relationship Id="rId4" Type="http://schemas.openxmlformats.org/officeDocument/2006/relationships/hyperlink" Target="https://www.mfgcalcs.com/templates?utm_source=mfgcalcs-template&amp;utm_medium=xlsx&amp;utm_campaign=pareto-analysis"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areto-analysis"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areto-analysis"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areto-analysis" TargetMode="External"/><Relationship Id="rId2"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areto-analysis"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areto-analysis" TargetMode="External"/><Relationship Id="rId2" Type="http://schemas.openxmlformats.org/officeDocument/2006/relationships/hyperlink" Target="https://www.mfgcalcs.com/calculators/quality-inspection-metrology/defects-per-unit?utm_source=mfgcalcs-template&amp;utm_medium=xlsx&amp;utm_campaign=pareto-analysi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pareto-analysis" TargetMode="External"/><Relationship Id="rId2" Type="http://schemas.openxmlformats.org/officeDocument/2006/relationships/table" Target="../tables/table5.xml"/><Relationship Id="rId3"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16.2"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8 of 8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75"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Defect Log'!A1" tooltip="Go to Defect Log" display="Defect Log"/>
    <hyperlink ref="C22" location="'Daily Output'!A1" tooltip="Go to Daily Output" display="Daily Output"/>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Pareto Analysis&amp;R&amp;8&amp;A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34"/>
  <sheetViews>
    <sheetView showGridLines="0" workbookViewId="0"/>
  </sheetViews>
  <sheetFormatPr defaultRowHeight="15"/>
  <cols>
    <col min="1" max="1" width="2.7109375" customWidth="1"/>
    <col min="2" max="2" width="28.7109375" customWidth="1"/>
    <col min="3" max="3" width="18.7109375" customWidth="1"/>
    <col min="4" max="4" width="14.7109375" customWidth="1"/>
    <col min="5" max="5" width="44.7109375" customWidth="1"/>
  </cols>
  <sheetData>
    <row r="1" spans="1:5" ht="30" customHeight="1">
      <c r="A1" s="1" t="s">
        <v>0</v>
      </c>
      <c r="B1" s="1"/>
      <c r="C1" s="1"/>
      <c r="D1" s="1"/>
      <c r="E1" s="1"/>
    </row>
    <row r="2" spans="1:5" ht="21" customHeight="1">
      <c r="B2" s="2" t="s">
        <v>18</v>
      </c>
      <c r="C2" s="2"/>
      <c r="D2" s="2"/>
      <c r="E2" s="3" t="s">
        <v>2</v>
      </c>
    </row>
    <row r="3" spans="1:5" ht="6" customHeight="1"/>
    <row r="4" spans="1:5" ht="21" customHeight="1">
      <c r="B4" s="8" t="s">
        <v>67</v>
      </c>
      <c r="C4" s="8"/>
      <c r="D4" s="8"/>
      <c r="E4" s="8"/>
    </row>
    <row r="5" spans="1:5" ht="5" customHeight="1"/>
    <row r="6" spans="1:5">
      <c r="B6" s="27" t="s">
        <v>68</v>
      </c>
      <c r="C6" s="28" t="s">
        <v>69</v>
      </c>
      <c r="D6" s="28"/>
    </row>
    <row r="7" spans="1:5">
      <c r="B7" s="27" t="s">
        <v>70</v>
      </c>
      <c r="C7" s="28" t="s">
        <v>71</v>
      </c>
      <c r="D7" s="28"/>
    </row>
    <row r="8" spans="1:5">
      <c r="B8" s="27" t="s">
        <v>72</v>
      </c>
      <c r="C8" s="29">
        <v>0.8</v>
      </c>
      <c r="D8" s="7" t="s">
        <v>73</v>
      </c>
    </row>
    <row r="9" spans="1:5">
      <c r="B9" s="27" t="s">
        <v>74</v>
      </c>
      <c r="C9" s="30">
        <v>0.025</v>
      </c>
      <c r="D9" s="7" t="s">
        <v>75</v>
      </c>
    </row>
    <row r="11" spans="1:5" ht="22.2" customHeight="1">
      <c r="B11" s="25" t="s">
        <v>76</v>
      </c>
      <c r="C11" s="25"/>
      <c r="D11" s="25"/>
      <c r="E11" s="25"/>
    </row>
    <row r="13" spans="1:5" ht="21" customHeight="1">
      <c r="B13" s="8" t="s">
        <v>77</v>
      </c>
      <c r="C13" s="8"/>
      <c r="D13" s="8"/>
      <c r="E13" s="8"/>
    </row>
    <row r="14" spans="1:5" ht="5" customHeight="1"/>
    <row r="15" spans="1:5">
      <c r="B15" s="31" t="s">
        <v>78</v>
      </c>
      <c r="C15" s="31"/>
    </row>
    <row r="16" spans="1:5" ht="20" customHeight="1">
      <c r="B16" s="32" t="s">
        <v>62</v>
      </c>
      <c r="C16" s="32" t="s">
        <v>63</v>
      </c>
    </row>
    <row r="17" spans="2:4">
      <c r="B17" s="28" t="s">
        <v>79</v>
      </c>
      <c r="C17" s="33" t="s">
        <v>80</v>
      </c>
    </row>
    <row r="18" spans="2:4">
      <c r="B18" s="28" t="s">
        <v>81</v>
      </c>
      <c r="C18" s="33" t="s">
        <v>82</v>
      </c>
    </row>
    <row r="19" spans="2:4">
      <c r="B19" s="28" t="s">
        <v>83</v>
      </c>
      <c r="C19" s="33" t="s">
        <v>84</v>
      </c>
    </row>
    <row r="21" spans="2:4">
      <c r="B21" s="31" t="s">
        <v>85</v>
      </c>
      <c r="C21" s="31"/>
      <c r="D21" s="31"/>
    </row>
    <row r="22" spans="2:4" ht="29.76" customHeight="1">
      <c r="B22" s="34" t="s">
        <v>86</v>
      </c>
      <c r="C22" s="34"/>
      <c r="D22" s="34"/>
    </row>
    <row r="23" spans="2:4" ht="14" customHeight="1">
      <c r="B23" s="35"/>
      <c r="C23" s="35" t="str">
        <f>Currency</f>
        <v>USD</v>
      </c>
      <c r="D23" s="35"/>
    </row>
    <row r="24" spans="2:4" ht="32" customHeight="1">
      <c r="B24" s="32" t="s">
        <v>64</v>
      </c>
      <c r="C24" s="32" t="s">
        <v>65</v>
      </c>
      <c r="D24" s="32" t="s">
        <v>66</v>
      </c>
    </row>
    <row r="25" spans="2:4">
      <c r="B25" s="28" t="s">
        <v>87</v>
      </c>
      <c r="C25" s="36">
        <v>0.35</v>
      </c>
      <c r="D25" s="33" t="s">
        <v>88</v>
      </c>
    </row>
    <row r="26" spans="2:4">
      <c r="B26" s="28" t="s">
        <v>89</v>
      </c>
      <c r="C26" s="36">
        <v>1.2</v>
      </c>
      <c r="D26" s="33" t="s">
        <v>90</v>
      </c>
    </row>
    <row r="27" spans="2:4">
      <c r="B27" s="28" t="s">
        <v>91</v>
      </c>
      <c r="C27" s="36">
        <v>1.2</v>
      </c>
      <c r="D27" s="33" t="s">
        <v>92</v>
      </c>
    </row>
    <row r="28" spans="2:4">
      <c r="B28" s="28" t="s">
        <v>93</v>
      </c>
      <c r="C28" s="36">
        <v>1.2</v>
      </c>
      <c r="D28" s="33" t="s">
        <v>94</v>
      </c>
    </row>
    <row r="29" spans="2:4">
      <c r="B29" s="28" t="s">
        <v>95</v>
      </c>
      <c r="C29" s="36">
        <v>1.2</v>
      </c>
      <c r="D29" s="33" t="s">
        <v>96</v>
      </c>
    </row>
    <row r="30" spans="2:4">
      <c r="B30" s="28" t="s">
        <v>97</v>
      </c>
      <c r="C30" s="36">
        <v>1.2</v>
      </c>
      <c r="D30" s="33" t="s">
        <v>98</v>
      </c>
    </row>
    <row r="31" spans="2:4">
      <c r="B31" s="28" t="s">
        <v>99</v>
      </c>
      <c r="C31" s="36">
        <v>0.6</v>
      </c>
      <c r="D31" s="33" t="s">
        <v>100</v>
      </c>
    </row>
    <row r="32" spans="2:4">
      <c r="B32" s="28" t="s">
        <v>101</v>
      </c>
      <c r="C32" s="36">
        <v>7.8</v>
      </c>
      <c r="D32" s="33" t="s">
        <v>102</v>
      </c>
    </row>
    <row r="33" spans="2:4">
      <c r="B33" s="28" t="s">
        <v>103</v>
      </c>
      <c r="C33" s="36">
        <v>0.25</v>
      </c>
      <c r="D33" s="33" t="s">
        <v>104</v>
      </c>
    </row>
    <row r="34" spans="2:4">
      <c r="B34" s="28" t="s">
        <v>105</v>
      </c>
      <c r="C34" s="36">
        <v>7.8</v>
      </c>
      <c r="D34" s="33" t="s">
        <v>106</v>
      </c>
    </row>
  </sheetData>
  <mergeCells count="10">
    <mergeCell ref="A1:E1"/>
    <mergeCell ref="B2:D2"/>
    <mergeCell ref="B4:E4"/>
    <mergeCell ref="C6:D6"/>
    <mergeCell ref="C7:D7"/>
    <mergeCell ref="B11:E11"/>
    <mergeCell ref="B13:E13"/>
    <mergeCell ref="B15:C15"/>
    <mergeCell ref="B21:D21"/>
    <mergeCell ref="B22:D22"/>
  </mergeCells>
  <dataValidations count="9">
    <dataValidation type="textLength" allowBlank="1" showInputMessage="1" showErrorMessage="1" errorTitle="Check this entry" error="Text up to 80 characters." promptTitle="Plant or line name" prompt="Shown on the Dashboard. Text up to 80 characters." sqref="C6">
      <formula1>0</formula1>
      <formula2>80</formula2>
    </dataValidation>
    <dataValidation type="textLength" allowBlank="1" showInputMessage="1" showErrorMessage="1" errorTitle="Check this entry" error="Text up to 12 characters." promptTitle="Currency label" prompt="Text shown next to costs, e.g. USD, INR, GBP, EUR, MXN. No exchange rate is applied. Text up to 12 characters." sqref="C7">
      <formula1>0</formula1>
      <formula2>12</formula2>
    </dataValidation>
    <dataValidation type="decimal" allowBlank="1" showInputMessage="1" showErrorMessage="1" errorTitle="Check this entry" error="Enter a percentage from 0% to 100% (type 85% or 0.85)." promptTitle="Pareto cut-off (vital few)" prompt="The share of the total that defines the vital few. 80% is the usual rule of thumb, not a law. Enter a percentage from 0% to 100% (type 85% or 0.85)." sqref="C8">
      <formula1>0</formula1>
      <formula2>1</formula2>
    </dataValidation>
    <dataValidation type="decimal" allowBlank="1" showInputMessage="1" showErrorMessage="1" errorTitle="Check this entry" error="Enter a number from 0 to 1,000." promptTitle="DPU target (maximum)" prompt="Your own target for defects per unit inspected. Lower is better. Enter a number from 0 to 1,000." sqref="C9">
      <formula1>0</formula1>
      <formula2>1000</formula2>
    </dataValidation>
    <dataValidation type="textLength" allowBlank="1" showInputMessage="1" showErrorMessage="1" errorTitle="Check this entry" error="Text up to 40 characters." promptTitle="Area" prompt="Text up to 40 characters." sqref="B17:B119">
      <formula1>0</formula1>
      <formula2>40</formula2>
    </dataValidation>
    <dataValidation type="textLength" allowBlank="1" showInputMessage="1" showErrorMessage="1" errorTitle="Check this entry" error="Text up to 120 characters." promptTitle="Description" prompt="Text up to 120 characters." sqref="C17:C119">
      <formula1>0</formula1>
      <formula2>120</formula2>
    </dataValidation>
    <dataValidation type="textLength" allowBlank="1" showInputMessage="1" showErrorMessage="1" errorTitle="Check this entry" error="Text up to 40 characters." promptTitle="Category" prompt="Text up to 40 characters." sqref="B25:B134">
      <formula1>0</formula1>
      <formula2>40</formula2>
    </dataValidation>
    <dataValidation type="decimal" allowBlank="1" showInputMessage="1" showErrorMessage="1" errorTitle="Check this entry" error="Enter a number from 0 to 10,000,000." promptTitle="Cost per occurrence" prompt="What one occurrence costs you: scrap value, rework labour or relabelling. An estimate; use your own costing. Enter a number from 0 to 10,000,000." sqref="C25:C134">
      <formula1>0</formula1>
      <formula2>10000000.0</formula2>
    </dataValidation>
    <dataValidation type="textLength" allowBlank="1" showInputMessage="1" showErrorMessage="1" errorTitle="Check this entry" error="Text up to 160 characters." promptTitle="Definition" prompt="Text up to 160 characters." sqref="D25:D134">
      <formula1>0</formula1>
      <formula2>160</formula2>
    </dataValidation>
  </dataValidations>
  <hyperlinks>
    <hyperlink ref="E2" r:id="rId1" tooltip="Free manufacturing calculators and templates"/>
  </hyperlinks>
  <pageMargins left="0.4" right="0.4" top="0.7" bottom="0.65" header="0.3" footer="0.3"/>
  <pageSetup fitToHeight="0" orientation="portrait"/>
  <headerFooter>
    <oddHeader>&amp;L&amp;8MFG Calcs - Pareto Analysis&amp;R&amp;8&amp;A</oddHeader>
    <oddFooter>&amp;L&amp;8mfgcalcs.com - free manufacturing templates&amp;R&amp;8Page &amp;P of &amp;N</oddFoot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J265"/>
  <sheetViews>
    <sheetView workbookViewId="0">
      <pane xSplit="4" ySplit="6" topLeftCell="E7" activePane="bottomRight" state="frozen"/>
      <selection pane="topRight" activeCell="E1" sqref="E1"/>
      <selection pane="bottomLeft" activeCell="A7" sqref="A7"/>
      <selection pane="bottomRight"/>
    </sheetView>
  </sheetViews>
  <sheetFormatPr defaultRowHeight="15"/>
  <cols>
    <col min="1" max="1" width="2.7109375" customWidth="1"/>
    <col min="2" max="2" width="12.28515625" customWidth="1"/>
    <col min="3" max="4" width="15.7109375" customWidth="1"/>
    <col min="5" max="5" width="8.7109375" customWidth="1"/>
    <col min="6" max="7" width="11.7109375" customWidth="1"/>
    <col min="8" max="8" width="12.28515625" customWidth="1"/>
    <col min="9" max="10" width="26.7109375" customWidth="1"/>
  </cols>
  <sheetData>
    <row r="1" spans="1:10" ht="30" customHeight="1">
      <c r="A1" s="1" t="s">
        <v>0</v>
      </c>
      <c r="B1" s="1"/>
      <c r="C1" s="1"/>
      <c r="D1" s="1"/>
      <c r="E1" s="1"/>
      <c r="F1" s="1"/>
      <c r="G1" s="1"/>
      <c r="H1" s="1"/>
      <c r="I1" s="1"/>
      <c r="J1" s="1"/>
    </row>
    <row r="2" spans="1:10" ht="21" customHeight="1">
      <c r="B2" s="2" t="s">
        <v>20</v>
      </c>
      <c r="C2" s="2"/>
      <c r="D2" s="2"/>
      <c r="E2" s="2"/>
      <c r="F2" s="2"/>
      <c r="G2" s="2"/>
      <c r="H2" s="2"/>
      <c r="I2" s="2"/>
      <c r="J2" s="3" t="s">
        <v>2</v>
      </c>
    </row>
    <row r="3" spans="1:10" ht="6" customHeight="1"/>
    <row r="4" spans="1:10" ht="29.76" customHeight="1">
      <c r="B4" s="34" t="s">
        <v>113</v>
      </c>
      <c r="C4" s="34"/>
      <c r="D4" s="34"/>
      <c r="E4" s="34"/>
      <c r="F4" s="34"/>
      <c r="G4" s="34"/>
      <c r="H4" s="34"/>
      <c r="I4" s="34"/>
      <c r="J4" s="34"/>
    </row>
    <row r="5" spans="1:10" ht="14" customHeight="1">
      <c r="B5" s="35"/>
      <c r="C5" s="35"/>
      <c r="D5" s="35"/>
      <c r="E5" s="35"/>
      <c r="F5" s="35" t="str">
        <f>Currency</f>
        <v>USD</v>
      </c>
      <c r="G5" s="35" t="str">
        <f>Currency</f>
        <v>USD</v>
      </c>
      <c r="H5" s="35"/>
      <c r="I5" s="35"/>
      <c r="J5" s="35"/>
    </row>
    <row r="6" spans="1:10" ht="32" customHeight="1">
      <c r="B6" s="32" t="s">
        <v>107</v>
      </c>
      <c r="C6" s="32" t="s">
        <v>62</v>
      </c>
      <c r="D6" s="32" t="s">
        <v>64</v>
      </c>
      <c r="E6" s="32" t="s">
        <v>108</v>
      </c>
      <c r="F6" s="32" t="s">
        <v>65</v>
      </c>
      <c r="G6" s="32" t="s">
        <v>109</v>
      </c>
      <c r="H6" s="32" t="s">
        <v>110</v>
      </c>
      <c r="I6" s="32" t="s">
        <v>111</v>
      </c>
      <c r="J6" s="32" t="s">
        <v>112</v>
      </c>
    </row>
    <row r="7" spans="1:10">
      <c r="B7" s="37">
        <v>46272</v>
      </c>
      <c r="C7" s="28" t="s">
        <v>79</v>
      </c>
      <c r="D7" s="28" t="s">
        <v>87</v>
      </c>
      <c r="E7" s="38">
        <v>20</v>
      </c>
      <c r="F7" s="39">
        <f>IF(tblDefects[[#This Row],[Date]]="","",IFERROR(INDEX(tblCategories[Cost per occurrence],MATCH(tblDefects[[#This Row],[Category]],tblCategories[Category],0)),""))</f>
        <v>0.35</v>
      </c>
      <c r="G7" s="39">
        <f>IF(tblDefects[[#This Row],[Date]]="","",IF(tblDefects[[#This Row],[Cost per occurrence]]="","",tblDefects[[#This Row],[Count]]*tblDefects[[#This Row],[Cost per occurrence]]))</f>
        <v>7</v>
      </c>
      <c r="H7" s="40">
        <f>IF(tblDefects[[#This Row],[Date]]="","",IF(AND(tblDefects[[#This Row],[Date]]&gt;=FFrom,tblDefects[[#This Row],[Date]]&lt;=FTo,OR(DashArea="",tblDefects[[#This Row],[Area]]=DashArea)),tblDefects[[#This Row],[Date]],""))</f>
        <v>46272</v>
      </c>
      <c r="I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7" s="28" t="s">
        <v>114</v>
      </c>
    </row>
    <row r="8" spans="1:10">
      <c r="B8" s="37">
        <v>46272</v>
      </c>
      <c r="C8" s="28" t="s">
        <v>79</v>
      </c>
      <c r="D8" s="28" t="s">
        <v>89</v>
      </c>
      <c r="E8" s="38">
        <v>12</v>
      </c>
      <c r="F8" s="39">
        <f>IF(tblDefects[[#This Row],[Date]]="","",IFERROR(INDEX(tblCategories[Cost per occurrence],MATCH(tblDefects[[#This Row],[Category]],tblCategories[Category],0)),""))</f>
        <v>1.2</v>
      </c>
      <c r="G8" s="39">
        <f>IF(tblDefects[[#This Row],[Date]]="","",IF(tblDefects[[#This Row],[Cost per occurrence]]="","",tblDefects[[#This Row],[Count]]*tblDefects[[#This Row],[Cost per occurrence]]))</f>
        <v>14.4</v>
      </c>
      <c r="H8" s="40">
        <f>IF(tblDefects[[#This Row],[Date]]="","",IF(AND(tblDefects[[#This Row],[Date]]&gt;=FFrom,tblDefects[[#This Row],[Date]]&lt;=FTo,OR(DashArea="",tblDefects[[#This Row],[Area]]=DashArea)),tblDefects[[#This Row],[Date]],""))</f>
        <v>46272</v>
      </c>
      <c r="I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8" s="28" t="s">
        <v>114</v>
      </c>
    </row>
    <row r="9" spans="1:10">
      <c r="B9" s="37">
        <v>46272</v>
      </c>
      <c r="C9" s="28" t="s">
        <v>79</v>
      </c>
      <c r="D9" s="28" t="s">
        <v>91</v>
      </c>
      <c r="E9" s="38">
        <v>2</v>
      </c>
      <c r="F9" s="39">
        <f>IF(tblDefects[[#This Row],[Date]]="","",IFERROR(INDEX(tblCategories[Cost per occurrence],MATCH(tblDefects[[#This Row],[Category]],tblCategories[Category],0)),""))</f>
        <v>1.2</v>
      </c>
      <c r="G9" s="39">
        <f>IF(tblDefects[[#This Row],[Date]]="","",IF(tblDefects[[#This Row],[Cost per occurrence]]="","",tblDefects[[#This Row],[Count]]*tblDefects[[#This Row],[Cost per occurrence]]))</f>
        <v>2.4</v>
      </c>
      <c r="H9" s="40">
        <f>IF(tblDefects[[#This Row],[Date]]="","",IF(AND(tblDefects[[#This Row],[Date]]&gt;=FFrom,tblDefects[[#This Row],[Date]]&lt;=FTo,OR(DashArea="",tblDefects[[#This Row],[Area]]=DashArea)),tblDefects[[#This Row],[Date]],""))</f>
        <v>46272</v>
      </c>
      <c r="I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9" s="28" t="s">
        <v>114</v>
      </c>
    </row>
    <row r="10" spans="1:10">
      <c r="B10" s="37">
        <v>46272</v>
      </c>
      <c r="C10" s="28" t="s">
        <v>79</v>
      </c>
      <c r="D10" s="28" t="s">
        <v>93</v>
      </c>
      <c r="E10" s="38">
        <v>3</v>
      </c>
      <c r="F10" s="39">
        <f>IF(tblDefects[[#This Row],[Date]]="","",IFERROR(INDEX(tblCategories[Cost per occurrence],MATCH(tblDefects[[#This Row],[Category]],tblCategories[Category],0)),""))</f>
        <v>1.2</v>
      </c>
      <c r="G10" s="39">
        <f>IF(tblDefects[[#This Row],[Date]]="","",IF(tblDefects[[#This Row],[Cost per occurrence]]="","",tblDefects[[#This Row],[Count]]*tblDefects[[#This Row],[Cost per occurrence]]))</f>
        <v>3.6</v>
      </c>
      <c r="H10" s="40">
        <f>IF(tblDefects[[#This Row],[Date]]="","",IF(AND(tblDefects[[#This Row],[Date]]&gt;=FFrom,tblDefects[[#This Row],[Date]]&lt;=FTo,OR(DashArea="",tblDefects[[#This Row],[Area]]=DashArea)),tblDefects[[#This Row],[Date]],""))</f>
        <v>46272</v>
      </c>
      <c r="I1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0" s="28" t="s">
        <v>114</v>
      </c>
    </row>
    <row r="11" spans="1:10">
      <c r="B11" s="37">
        <v>46272</v>
      </c>
      <c r="C11" s="28" t="s">
        <v>79</v>
      </c>
      <c r="D11" s="28" t="s">
        <v>95</v>
      </c>
      <c r="E11" s="38">
        <v>3</v>
      </c>
      <c r="F11" s="39">
        <f>IF(tblDefects[[#This Row],[Date]]="","",IFERROR(INDEX(tblCategories[Cost per occurrence],MATCH(tblDefects[[#This Row],[Category]],tblCategories[Category],0)),""))</f>
        <v>1.2</v>
      </c>
      <c r="G11" s="39">
        <f>IF(tblDefects[[#This Row],[Date]]="","",IF(tblDefects[[#This Row],[Cost per occurrence]]="","",tblDefects[[#This Row],[Count]]*tblDefects[[#This Row],[Cost per occurrence]]))</f>
        <v>3.6</v>
      </c>
      <c r="H11" s="40">
        <f>IF(tblDefects[[#This Row],[Date]]="","",IF(AND(tblDefects[[#This Row],[Date]]&gt;=FFrom,tblDefects[[#This Row],[Date]]&lt;=FTo,OR(DashArea="",tblDefects[[#This Row],[Area]]=DashArea)),tblDefects[[#This Row],[Date]],""))</f>
        <v>46272</v>
      </c>
      <c r="I1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1" s="28" t="s">
        <v>114</v>
      </c>
    </row>
    <row r="12" spans="1:10">
      <c r="B12" s="37">
        <v>46272</v>
      </c>
      <c r="C12" s="28" t="s">
        <v>81</v>
      </c>
      <c r="D12" s="28" t="s">
        <v>101</v>
      </c>
      <c r="E12" s="38">
        <v>1</v>
      </c>
      <c r="F12" s="39">
        <f>IF(tblDefects[[#This Row],[Date]]="","",IFERROR(INDEX(tblCategories[Cost per occurrence],MATCH(tblDefects[[#This Row],[Category]],tblCategories[Category],0)),""))</f>
        <v>7.8</v>
      </c>
      <c r="G12" s="39">
        <f>IF(tblDefects[[#This Row],[Date]]="","",IF(tblDefects[[#This Row],[Cost per occurrence]]="","",tblDefects[[#This Row],[Count]]*tblDefects[[#This Row],[Cost per occurrence]]))</f>
        <v>7.8</v>
      </c>
      <c r="H12" s="40">
        <f>IF(tblDefects[[#This Row],[Date]]="","",IF(AND(tblDefects[[#This Row],[Date]]&gt;=FFrom,tblDefects[[#This Row],[Date]]&lt;=FTo,OR(DashArea="",tblDefects[[#This Row],[Area]]=DashArea)),tblDefects[[#This Row],[Date]],""))</f>
        <v>46272</v>
      </c>
      <c r="I1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2" s="28" t="s">
        <v>114</v>
      </c>
    </row>
    <row r="13" spans="1:10">
      <c r="B13" s="37">
        <v>46272</v>
      </c>
      <c r="C13" s="28" t="s">
        <v>81</v>
      </c>
      <c r="D13" s="28" t="s">
        <v>103</v>
      </c>
      <c r="E13" s="38">
        <v>4</v>
      </c>
      <c r="F13" s="39">
        <f>IF(tblDefects[[#This Row],[Date]]="","",IFERROR(INDEX(tblCategories[Cost per occurrence],MATCH(tblDefects[[#This Row],[Category]],tblCategories[Category],0)),""))</f>
        <v>0.25</v>
      </c>
      <c r="G13" s="39">
        <f>IF(tblDefects[[#This Row],[Date]]="","",IF(tblDefects[[#This Row],[Cost per occurrence]]="","",tblDefects[[#This Row],[Count]]*tblDefects[[#This Row],[Cost per occurrence]]))</f>
        <v>1</v>
      </c>
      <c r="H13" s="40">
        <f>IF(tblDefects[[#This Row],[Date]]="","",IF(AND(tblDefects[[#This Row],[Date]]&gt;=FFrom,tblDefects[[#This Row],[Date]]&lt;=FTo,OR(DashArea="",tblDefects[[#This Row],[Area]]=DashArea)),tblDefects[[#This Row],[Date]],""))</f>
        <v>46272</v>
      </c>
      <c r="I1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3" s="28" t="s">
        <v>114</v>
      </c>
    </row>
    <row r="14" spans="1:10">
      <c r="B14" s="37">
        <v>46272</v>
      </c>
      <c r="C14" s="28" t="s">
        <v>81</v>
      </c>
      <c r="D14" s="28" t="s">
        <v>99</v>
      </c>
      <c r="E14" s="38">
        <v>4</v>
      </c>
      <c r="F14" s="39">
        <f>IF(tblDefects[[#This Row],[Date]]="","",IFERROR(INDEX(tblCategories[Cost per occurrence],MATCH(tblDefects[[#This Row],[Category]],tblCategories[Category],0)),""))</f>
        <v>0.6</v>
      </c>
      <c r="G14" s="39">
        <f>IF(tblDefects[[#This Row],[Date]]="","",IF(tblDefects[[#This Row],[Cost per occurrence]]="","",tblDefects[[#This Row],[Count]]*tblDefects[[#This Row],[Cost per occurrence]]))</f>
        <v>2.4</v>
      </c>
      <c r="H14" s="40">
        <f>IF(tblDefects[[#This Row],[Date]]="","",IF(AND(tblDefects[[#This Row],[Date]]&gt;=FFrom,tblDefects[[#This Row],[Date]]&lt;=FTo,OR(DashArea="",tblDefects[[#This Row],[Area]]=DashArea)),tblDefects[[#This Row],[Date]],""))</f>
        <v>46272</v>
      </c>
      <c r="I1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4" s="28" t="s">
        <v>114</v>
      </c>
    </row>
    <row r="15" spans="1:10">
      <c r="B15" s="37">
        <v>46272</v>
      </c>
      <c r="C15" s="28" t="s">
        <v>83</v>
      </c>
      <c r="D15" s="28" t="s">
        <v>99</v>
      </c>
      <c r="E15" s="38">
        <v>2</v>
      </c>
      <c r="F15" s="39">
        <f>IF(tblDefects[[#This Row],[Date]]="","",IFERROR(INDEX(tblCategories[Cost per occurrence],MATCH(tblDefects[[#This Row],[Category]],tblCategories[Category],0)),""))</f>
        <v>0.6</v>
      </c>
      <c r="G15" s="39">
        <f>IF(tblDefects[[#This Row],[Date]]="","",IF(tblDefects[[#This Row],[Cost per occurrence]]="","",tblDefects[[#This Row],[Count]]*tblDefects[[#This Row],[Cost per occurrence]]))</f>
        <v>1.2</v>
      </c>
      <c r="H15" s="40">
        <f>IF(tblDefects[[#This Row],[Date]]="","",IF(AND(tblDefects[[#This Row],[Date]]&gt;=FFrom,tblDefects[[#This Row],[Date]]&lt;=FTo,OR(DashArea="",tblDefects[[#This Row],[Area]]=DashArea)),tblDefects[[#This Row],[Date]],""))</f>
        <v>46272</v>
      </c>
      <c r="I1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5" s="28" t="s">
        <v>114</v>
      </c>
    </row>
    <row r="16" spans="1:10">
      <c r="B16" s="37">
        <v>46272</v>
      </c>
      <c r="C16" s="28" t="s">
        <v>83</v>
      </c>
      <c r="D16" s="28" t="s">
        <v>87</v>
      </c>
      <c r="E16" s="38">
        <v>1</v>
      </c>
      <c r="F16" s="39">
        <f>IF(tblDefects[[#This Row],[Date]]="","",IFERROR(INDEX(tblCategories[Cost per occurrence],MATCH(tblDefects[[#This Row],[Category]],tblCategories[Category],0)),""))</f>
        <v>0.35</v>
      </c>
      <c r="G16" s="39">
        <f>IF(tblDefects[[#This Row],[Date]]="","",IF(tblDefects[[#This Row],[Cost per occurrence]]="","",tblDefects[[#This Row],[Count]]*tblDefects[[#This Row],[Cost per occurrence]]))</f>
        <v>0.35</v>
      </c>
      <c r="H16" s="40">
        <f>IF(tblDefects[[#This Row],[Date]]="","",IF(AND(tblDefects[[#This Row],[Date]]&gt;=FFrom,tblDefects[[#This Row],[Date]]&lt;=FTo,OR(DashArea="",tblDefects[[#This Row],[Area]]=DashArea)),tblDefects[[#This Row],[Date]],""))</f>
        <v>46272</v>
      </c>
      <c r="I1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6" s="28" t="s">
        <v>114</v>
      </c>
    </row>
    <row r="17" spans="2:10">
      <c r="B17" s="37">
        <v>46272</v>
      </c>
      <c r="C17" s="28" t="s">
        <v>83</v>
      </c>
      <c r="D17" s="28" t="s">
        <v>103</v>
      </c>
      <c r="E17" s="38">
        <v>1</v>
      </c>
      <c r="F17" s="39">
        <f>IF(tblDefects[[#This Row],[Date]]="","",IFERROR(INDEX(tblCategories[Cost per occurrence],MATCH(tblDefects[[#This Row],[Category]],tblCategories[Category],0)),""))</f>
        <v>0.25</v>
      </c>
      <c r="G17" s="39">
        <f>IF(tblDefects[[#This Row],[Date]]="","",IF(tblDefects[[#This Row],[Cost per occurrence]]="","",tblDefects[[#This Row],[Count]]*tblDefects[[#This Row],[Cost per occurrence]]))</f>
        <v>0.25</v>
      </c>
      <c r="H17" s="40">
        <f>IF(tblDefects[[#This Row],[Date]]="","",IF(AND(tblDefects[[#This Row],[Date]]&gt;=FFrom,tblDefects[[#This Row],[Date]]&lt;=FTo,OR(DashArea="",tblDefects[[#This Row],[Area]]=DashArea)),tblDefects[[#This Row],[Date]],""))</f>
        <v>46272</v>
      </c>
      <c r="I1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7" s="28" t="s">
        <v>114</v>
      </c>
    </row>
    <row r="18" spans="2:10">
      <c r="B18" s="37">
        <v>46272</v>
      </c>
      <c r="C18" s="28" t="s">
        <v>83</v>
      </c>
      <c r="D18" s="28" t="s">
        <v>91</v>
      </c>
      <c r="E18" s="38">
        <v>1</v>
      </c>
      <c r="F18" s="39">
        <f>IF(tblDefects[[#This Row],[Date]]="","",IFERROR(INDEX(tblCategories[Cost per occurrence],MATCH(tblDefects[[#This Row],[Category]],tblCategories[Category],0)),""))</f>
        <v>1.2</v>
      </c>
      <c r="G18" s="39">
        <f>IF(tblDefects[[#This Row],[Date]]="","",IF(tblDefects[[#This Row],[Cost per occurrence]]="","",tblDefects[[#This Row],[Count]]*tblDefects[[#This Row],[Cost per occurrence]]))</f>
        <v>1.2</v>
      </c>
      <c r="H18" s="40">
        <f>IF(tblDefects[[#This Row],[Date]]="","",IF(AND(tblDefects[[#This Row],[Date]]&gt;=FFrom,tblDefects[[#This Row],[Date]]&lt;=FTo,OR(DashArea="",tblDefects[[#This Row],[Area]]=DashArea)),tblDefects[[#This Row],[Date]],""))</f>
        <v>46272</v>
      </c>
      <c r="I1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8" s="28" t="s">
        <v>114</v>
      </c>
    </row>
    <row r="19" spans="2:10">
      <c r="B19" s="37">
        <v>46273</v>
      </c>
      <c r="C19" s="28" t="s">
        <v>79</v>
      </c>
      <c r="D19" s="28" t="s">
        <v>87</v>
      </c>
      <c r="E19" s="38">
        <v>31</v>
      </c>
      <c r="F19" s="39">
        <f>IF(tblDefects[[#This Row],[Date]]="","",IFERROR(INDEX(tblCategories[Cost per occurrence],MATCH(tblDefects[[#This Row],[Category]],tblCategories[Category],0)),""))</f>
        <v>0.35</v>
      </c>
      <c r="G19" s="39">
        <f>IF(tblDefects[[#This Row],[Date]]="","",IF(tblDefects[[#This Row],[Cost per occurrence]]="","",tblDefects[[#This Row],[Count]]*tblDefects[[#This Row],[Cost per occurrence]]))</f>
        <v>10.85</v>
      </c>
      <c r="H19" s="40">
        <f>IF(tblDefects[[#This Row],[Date]]="","",IF(AND(tblDefects[[#This Row],[Date]]&gt;=FFrom,tblDefects[[#This Row],[Date]]&lt;=FTo,OR(DashArea="",tblDefects[[#This Row],[Area]]=DashArea)),tblDefects[[#This Row],[Date]],""))</f>
        <v>46273</v>
      </c>
      <c r="I1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9" s="28" t="s">
        <v>114</v>
      </c>
    </row>
    <row r="20" spans="2:10">
      <c r="B20" s="37">
        <v>46273</v>
      </c>
      <c r="C20" s="28" t="s">
        <v>79</v>
      </c>
      <c r="D20" s="28" t="s">
        <v>89</v>
      </c>
      <c r="E20" s="38">
        <v>11</v>
      </c>
      <c r="F20" s="39">
        <f>IF(tblDefects[[#This Row],[Date]]="","",IFERROR(INDEX(tblCategories[Cost per occurrence],MATCH(tblDefects[[#This Row],[Category]],tblCategories[Category],0)),""))</f>
        <v>1.2</v>
      </c>
      <c r="G20" s="39">
        <f>IF(tblDefects[[#This Row],[Date]]="","",IF(tblDefects[[#This Row],[Cost per occurrence]]="","",tblDefects[[#This Row],[Count]]*tblDefects[[#This Row],[Cost per occurrence]]))</f>
        <v>13.2</v>
      </c>
      <c r="H20" s="40">
        <f>IF(tblDefects[[#This Row],[Date]]="","",IF(AND(tblDefects[[#This Row],[Date]]&gt;=FFrom,tblDefects[[#This Row],[Date]]&lt;=FTo,OR(DashArea="",tblDefects[[#This Row],[Area]]=DashArea)),tblDefects[[#This Row],[Date]],""))</f>
        <v>46273</v>
      </c>
      <c r="I2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0" s="28" t="s">
        <v>114</v>
      </c>
    </row>
    <row r="21" spans="2:10">
      <c r="B21" s="37">
        <v>46273</v>
      </c>
      <c r="C21" s="28" t="s">
        <v>79</v>
      </c>
      <c r="D21" s="28" t="s">
        <v>91</v>
      </c>
      <c r="E21" s="38">
        <v>9</v>
      </c>
      <c r="F21" s="39">
        <f>IF(tblDefects[[#This Row],[Date]]="","",IFERROR(INDEX(tblCategories[Cost per occurrence],MATCH(tblDefects[[#This Row],[Category]],tblCategories[Category],0)),""))</f>
        <v>1.2</v>
      </c>
      <c r="G21" s="39">
        <f>IF(tblDefects[[#This Row],[Date]]="","",IF(tblDefects[[#This Row],[Cost per occurrence]]="","",tblDefects[[#This Row],[Count]]*tblDefects[[#This Row],[Cost per occurrence]]))</f>
        <v>10.8</v>
      </c>
      <c r="H21" s="40">
        <f>IF(tblDefects[[#This Row],[Date]]="","",IF(AND(tblDefects[[#This Row],[Date]]&gt;=FFrom,tblDefects[[#This Row],[Date]]&lt;=FTo,OR(DashArea="",tblDefects[[#This Row],[Area]]=DashArea)),tblDefects[[#This Row],[Date]],""))</f>
        <v>46273</v>
      </c>
      <c r="I2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1" s="28" t="s">
        <v>114</v>
      </c>
    </row>
    <row r="22" spans="2:10">
      <c r="B22" s="37">
        <v>46273</v>
      </c>
      <c r="C22" s="28" t="s">
        <v>79</v>
      </c>
      <c r="D22" s="28" t="s">
        <v>93</v>
      </c>
      <c r="E22" s="38">
        <v>2</v>
      </c>
      <c r="F22" s="39">
        <f>IF(tblDefects[[#This Row],[Date]]="","",IFERROR(INDEX(tblCategories[Cost per occurrence],MATCH(tblDefects[[#This Row],[Category]],tblCategories[Category],0)),""))</f>
        <v>1.2</v>
      </c>
      <c r="G22" s="39">
        <f>IF(tblDefects[[#This Row],[Date]]="","",IF(tblDefects[[#This Row],[Cost per occurrence]]="","",tblDefects[[#This Row],[Count]]*tblDefects[[#This Row],[Cost per occurrence]]))</f>
        <v>2.4</v>
      </c>
      <c r="H22" s="40">
        <f>IF(tblDefects[[#This Row],[Date]]="","",IF(AND(tblDefects[[#This Row],[Date]]&gt;=FFrom,tblDefects[[#This Row],[Date]]&lt;=FTo,OR(DashArea="",tblDefects[[#This Row],[Area]]=DashArea)),tblDefects[[#This Row],[Date]],""))</f>
        <v>46273</v>
      </c>
      <c r="I2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2" s="28" t="s">
        <v>114</v>
      </c>
    </row>
    <row r="23" spans="2:10">
      <c r="B23" s="37">
        <v>46273</v>
      </c>
      <c r="C23" s="28" t="s">
        <v>79</v>
      </c>
      <c r="D23" s="28" t="s">
        <v>95</v>
      </c>
      <c r="E23" s="38">
        <v>3</v>
      </c>
      <c r="F23" s="39">
        <f>IF(tblDefects[[#This Row],[Date]]="","",IFERROR(INDEX(tblCategories[Cost per occurrence],MATCH(tblDefects[[#This Row],[Category]],tblCategories[Category],0)),""))</f>
        <v>1.2</v>
      </c>
      <c r="G23" s="39">
        <f>IF(tblDefects[[#This Row],[Date]]="","",IF(tblDefects[[#This Row],[Cost per occurrence]]="","",tblDefects[[#This Row],[Count]]*tblDefects[[#This Row],[Cost per occurrence]]))</f>
        <v>3.6</v>
      </c>
      <c r="H23" s="40">
        <f>IF(tblDefects[[#This Row],[Date]]="","",IF(AND(tblDefects[[#This Row],[Date]]&gt;=FFrom,tblDefects[[#This Row],[Date]]&lt;=FTo,OR(DashArea="",tblDefects[[#This Row],[Area]]=DashArea)),tblDefects[[#This Row],[Date]],""))</f>
        <v>46273</v>
      </c>
      <c r="I2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3" s="28" t="s">
        <v>114</v>
      </c>
    </row>
    <row r="24" spans="2:10">
      <c r="B24" s="37">
        <v>46273</v>
      </c>
      <c r="C24" s="28" t="s">
        <v>81</v>
      </c>
      <c r="D24" s="28" t="s">
        <v>101</v>
      </c>
      <c r="E24" s="38">
        <v>3</v>
      </c>
      <c r="F24" s="39">
        <f>IF(tblDefects[[#This Row],[Date]]="","",IFERROR(INDEX(tblCategories[Cost per occurrence],MATCH(tblDefects[[#This Row],[Category]],tblCategories[Category],0)),""))</f>
        <v>7.8</v>
      </c>
      <c r="G24" s="39">
        <f>IF(tblDefects[[#This Row],[Date]]="","",IF(tblDefects[[#This Row],[Cost per occurrence]]="","",tblDefects[[#This Row],[Count]]*tblDefects[[#This Row],[Cost per occurrence]]))</f>
        <v>23.4</v>
      </c>
      <c r="H24" s="40">
        <f>IF(tblDefects[[#This Row],[Date]]="","",IF(AND(tblDefects[[#This Row],[Date]]&gt;=FFrom,tblDefects[[#This Row],[Date]]&lt;=FTo,OR(DashArea="",tblDefects[[#This Row],[Area]]=DashArea)),tblDefects[[#This Row],[Date]],""))</f>
        <v>46273</v>
      </c>
      <c r="I2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4" s="28" t="s">
        <v>114</v>
      </c>
    </row>
    <row r="25" spans="2:10">
      <c r="B25" s="37">
        <v>46273</v>
      </c>
      <c r="C25" s="28" t="s">
        <v>81</v>
      </c>
      <c r="D25" s="28" t="s">
        <v>105</v>
      </c>
      <c r="E25" s="38">
        <v>2</v>
      </c>
      <c r="F25" s="39">
        <f>IF(tblDefects[[#This Row],[Date]]="","",IFERROR(INDEX(tblCategories[Cost per occurrence],MATCH(tblDefects[[#This Row],[Category]],tblCategories[Category],0)),""))</f>
        <v>7.8</v>
      </c>
      <c r="G25" s="39">
        <f>IF(tblDefects[[#This Row],[Date]]="","",IF(tblDefects[[#This Row],[Cost per occurrence]]="","",tblDefects[[#This Row],[Count]]*tblDefects[[#This Row],[Cost per occurrence]]))</f>
        <v>15.6</v>
      </c>
      <c r="H25" s="40">
        <f>IF(tblDefects[[#This Row],[Date]]="","",IF(AND(tblDefects[[#This Row],[Date]]&gt;=FFrom,tblDefects[[#This Row],[Date]]&lt;=FTo,OR(DashArea="",tblDefects[[#This Row],[Area]]=DashArea)),tblDefects[[#This Row],[Date]],""))</f>
        <v>46273</v>
      </c>
      <c r="I2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5" s="28" t="s">
        <v>114</v>
      </c>
    </row>
    <row r="26" spans="2:10">
      <c r="B26" s="37">
        <v>46273</v>
      </c>
      <c r="C26" s="28" t="s">
        <v>81</v>
      </c>
      <c r="D26" s="28" t="s">
        <v>103</v>
      </c>
      <c r="E26" s="38">
        <v>6</v>
      </c>
      <c r="F26" s="39">
        <f>IF(tblDefects[[#This Row],[Date]]="","",IFERROR(INDEX(tblCategories[Cost per occurrence],MATCH(tblDefects[[#This Row],[Category]],tblCategories[Category],0)),""))</f>
        <v>0.25</v>
      </c>
      <c r="G26" s="39">
        <f>IF(tblDefects[[#This Row],[Date]]="","",IF(tblDefects[[#This Row],[Cost per occurrence]]="","",tblDefects[[#This Row],[Count]]*tblDefects[[#This Row],[Cost per occurrence]]))</f>
        <v>1.5</v>
      </c>
      <c r="H26" s="40">
        <f>IF(tblDefects[[#This Row],[Date]]="","",IF(AND(tblDefects[[#This Row],[Date]]&gt;=FFrom,tblDefects[[#This Row],[Date]]&lt;=FTo,OR(DashArea="",tblDefects[[#This Row],[Area]]=DashArea)),tblDefects[[#This Row],[Date]],""))</f>
        <v>46273</v>
      </c>
      <c r="I2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6" s="28" t="s">
        <v>114</v>
      </c>
    </row>
    <row r="27" spans="2:10">
      <c r="B27" s="37">
        <v>46273</v>
      </c>
      <c r="C27" s="28" t="s">
        <v>81</v>
      </c>
      <c r="D27" s="28" t="s">
        <v>99</v>
      </c>
      <c r="E27" s="38">
        <v>2</v>
      </c>
      <c r="F27" s="39">
        <f>IF(tblDefects[[#This Row],[Date]]="","",IFERROR(INDEX(tblCategories[Cost per occurrence],MATCH(tblDefects[[#This Row],[Category]],tblCategories[Category],0)),""))</f>
        <v>0.6</v>
      </c>
      <c r="G27" s="39">
        <f>IF(tblDefects[[#This Row],[Date]]="","",IF(tblDefects[[#This Row],[Cost per occurrence]]="","",tblDefects[[#This Row],[Count]]*tblDefects[[#This Row],[Cost per occurrence]]))</f>
        <v>1.2</v>
      </c>
      <c r="H27" s="40">
        <f>IF(tblDefects[[#This Row],[Date]]="","",IF(AND(tblDefects[[#This Row],[Date]]&gt;=FFrom,tblDefects[[#This Row],[Date]]&lt;=FTo,OR(DashArea="",tblDefects[[#This Row],[Area]]=DashArea)),tblDefects[[#This Row],[Date]],""))</f>
        <v>46273</v>
      </c>
      <c r="I2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7" s="28" t="s">
        <v>114</v>
      </c>
    </row>
    <row r="28" spans="2:10">
      <c r="B28" s="37">
        <v>46273</v>
      </c>
      <c r="C28" s="28" t="s">
        <v>83</v>
      </c>
      <c r="D28" s="28" t="s">
        <v>99</v>
      </c>
      <c r="E28" s="38">
        <v>4</v>
      </c>
      <c r="F28" s="39">
        <f>IF(tblDefects[[#This Row],[Date]]="","",IFERROR(INDEX(tblCategories[Cost per occurrence],MATCH(tblDefects[[#This Row],[Category]],tblCategories[Category],0)),""))</f>
        <v>0.6</v>
      </c>
      <c r="G28" s="39">
        <f>IF(tblDefects[[#This Row],[Date]]="","",IF(tblDefects[[#This Row],[Cost per occurrence]]="","",tblDefects[[#This Row],[Count]]*tblDefects[[#This Row],[Cost per occurrence]]))</f>
        <v>2.4</v>
      </c>
      <c r="H28" s="40">
        <f>IF(tblDefects[[#This Row],[Date]]="","",IF(AND(tblDefects[[#This Row],[Date]]&gt;=FFrom,tblDefects[[#This Row],[Date]]&lt;=FTo,OR(DashArea="",tblDefects[[#This Row],[Area]]=DashArea)),tblDefects[[#This Row],[Date]],""))</f>
        <v>46273</v>
      </c>
      <c r="I2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8" s="28" t="s">
        <v>114</v>
      </c>
    </row>
    <row r="29" spans="2:10">
      <c r="B29" s="37">
        <v>46273</v>
      </c>
      <c r="C29" s="28" t="s">
        <v>83</v>
      </c>
      <c r="D29" s="28" t="s">
        <v>87</v>
      </c>
      <c r="E29" s="38">
        <v>4</v>
      </c>
      <c r="F29" s="39">
        <f>IF(tblDefects[[#This Row],[Date]]="","",IFERROR(INDEX(tblCategories[Cost per occurrence],MATCH(tblDefects[[#This Row],[Category]],tblCategories[Category],0)),""))</f>
        <v>0.35</v>
      </c>
      <c r="G29" s="39">
        <f>IF(tblDefects[[#This Row],[Date]]="","",IF(tblDefects[[#This Row],[Cost per occurrence]]="","",tblDefects[[#This Row],[Count]]*tblDefects[[#This Row],[Cost per occurrence]]))</f>
        <v>1.4</v>
      </c>
      <c r="H29" s="40">
        <f>IF(tblDefects[[#This Row],[Date]]="","",IF(AND(tblDefects[[#This Row],[Date]]&gt;=FFrom,tblDefects[[#This Row],[Date]]&lt;=FTo,OR(DashArea="",tblDefects[[#This Row],[Area]]=DashArea)),tblDefects[[#This Row],[Date]],""))</f>
        <v>46273</v>
      </c>
      <c r="I2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9" s="28" t="s">
        <v>114</v>
      </c>
    </row>
    <row r="30" spans="2:10">
      <c r="B30" s="37">
        <v>46274</v>
      </c>
      <c r="C30" s="28" t="s">
        <v>79</v>
      </c>
      <c r="D30" s="28" t="s">
        <v>87</v>
      </c>
      <c r="E30" s="38">
        <v>27</v>
      </c>
      <c r="F30" s="39">
        <f>IF(tblDefects[[#This Row],[Date]]="","",IFERROR(INDEX(tblCategories[Cost per occurrence],MATCH(tblDefects[[#This Row],[Category]],tblCategories[Category],0)),""))</f>
        <v>0.35</v>
      </c>
      <c r="G30" s="39">
        <f>IF(tblDefects[[#This Row],[Date]]="","",IF(tblDefects[[#This Row],[Cost per occurrence]]="","",tblDefects[[#This Row],[Count]]*tblDefects[[#This Row],[Cost per occurrence]]))</f>
        <v>9.45</v>
      </c>
      <c r="H30" s="40">
        <f>IF(tblDefects[[#This Row],[Date]]="","",IF(AND(tblDefects[[#This Row],[Date]]&gt;=FFrom,tblDefects[[#This Row],[Date]]&lt;=FTo,OR(DashArea="",tblDefects[[#This Row],[Area]]=DashArea)),tblDefects[[#This Row],[Date]],""))</f>
        <v>46274</v>
      </c>
      <c r="I3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30" s="28" t="s">
        <v>114</v>
      </c>
    </row>
    <row r="31" spans="2:10">
      <c r="B31" s="37">
        <v>46274</v>
      </c>
      <c r="C31" s="28" t="s">
        <v>79</v>
      </c>
      <c r="D31" s="28" t="s">
        <v>89</v>
      </c>
      <c r="E31" s="38">
        <v>15</v>
      </c>
      <c r="F31" s="39">
        <f>IF(tblDefects[[#This Row],[Date]]="","",IFERROR(INDEX(tblCategories[Cost per occurrence],MATCH(tblDefects[[#This Row],[Category]],tblCategories[Category],0)),""))</f>
        <v>1.2</v>
      </c>
      <c r="G31" s="39">
        <f>IF(tblDefects[[#This Row],[Date]]="","",IF(tblDefects[[#This Row],[Cost per occurrence]]="","",tblDefects[[#This Row],[Count]]*tblDefects[[#This Row],[Cost per occurrence]]))</f>
        <v>18</v>
      </c>
      <c r="H31" s="40">
        <f>IF(tblDefects[[#This Row],[Date]]="","",IF(AND(tblDefects[[#This Row],[Date]]&gt;=FFrom,tblDefects[[#This Row],[Date]]&lt;=FTo,OR(DashArea="",tblDefects[[#This Row],[Area]]=DashArea)),tblDefects[[#This Row],[Date]],""))</f>
        <v>46274</v>
      </c>
      <c r="I3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31" s="28" t="s">
        <v>114</v>
      </c>
    </row>
    <row r="32" spans="2:10">
      <c r="B32" s="37">
        <v>46274</v>
      </c>
      <c r="C32" s="28" t="s">
        <v>79</v>
      </c>
      <c r="D32" s="28" t="s">
        <v>91</v>
      </c>
      <c r="E32" s="38">
        <v>5</v>
      </c>
      <c r="F32" s="39">
        <f>IF(tblDefects[[#This Row],[Date]]="","",IFERROR(INDEX(tblCategories[Cost per occurrence],MATCH(tblDefects[[#This Row],[Category]],tblCategories[Category],0)),""))</f>
        <v>1.2</v>
      </c>
      <c r="G32" s="39">
        <f>IF(tblDefects[[#This Row],[Date]]="","",IF(tblDefects[[#This Row],[Cost per occurrence]]="","",tblDefects[[#This Row],[Count]]*tblDefects[[#This Row],[Cost per occurrence]]))</f>
        <v>6</v>
      </c>
      <c r="H32" s="40">
        <f>IF(tblDefects[[#This Row],[Date]]="","",IF(AND(tblDefects[[#This Row],[Date]]&gt;=FFrom,tblDefects[[#This Row],[Date]]&lt;=FTo,OR(DashArea="",tblDefects[[#This Row],[Area]]=DashArea)),tblDefects[[#This Row],[Date]],""))</f>
        <v>46274</v>
      </c>
      <c r="I3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32" s="28" t="s">
        <v>114</v>
      </c>
    </row>
    <row r="33" spans="2:10">
      <c r="B33" s="37">
        <v>46274</v>
      </c>
      <c r="C33" s="28" t="s">
        <v>79</v>
      </c>
      <c r="D33" s="28" t="s">
        <v>95</v>
      </c>
      <c r="E33" s="38">
        <v>2</v>
      </c>
      <c r="F33" s="39">
        <f>IF(tblDefects[[#This Row],[Date]]="","",IFERROR(INDEX(tblCategories[Cost per occurrence],MATCH(tblDefects[[#This Row],[Category]],tblCategories[Category],0)),""))</f>
        <v>1.2</v>
      </c>
      <c r="G33" s="39">
        <f>IF(tblDefects[[#This Row],[Date]]="","",IF(tblDefects[[#This Row],[Cost per occurrence]]="","",tblDefects[[#This Row],[Count]]*tblDefects[[#This Row],[Cost per occurrence]]))</f>
        <v>2.4</v>
      </c>
      <c r="H33" s="40">
        <f>IF(tblDefects[[#This Row],[Date]]="","",IF(AND(tblDefects[[#This Row],[Date]]&gt;=FFrom,tblDefects[[#This Row],[Date]]&lt;=FTo,OR(DashArea="",tblDefects[[#This Row],[Area]]=DashArea)),tblDefects[[#This Row],[Date]],""))</f>
        <v>46274</v>
      </c>
      <c r="I3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33" s="28" t="s">
        <v>114</v>
      </c>
    </row>
    <row r="34" spans="2:10">
      <c r="B34" s="37">
        <v>46274</v>
      </c>
      <c r="C34" s="28" t="s">
        <v>79</v>
      </c>
      <c r="D34" s="28" t="s">
        <v>97</v>
      </c>
      <c r="E34" s="38">
        <v>2</v>
      </c>
      <c r="F34" s="39">
        <f>IF(tblDefects[[#This Row],[Date]]="","",IFERROR(INDEX(tblCategories[Cost per occurrence],MATCH(tblDefects[[#This Row],[Category]],tblCategories[Category],0)),""))</f>
        <v>1.2</v>
      </c>
      <c r="G34" s="39">
        <f>IF(tblDefects[[#This Row],[Date]]="","",IF(tblDefects[[#This Row],[Cost per occurrence]]="","",tblDefects[[#This Row],[Count]]*tblDefects[[#This Row],[Cost per occurrence]]))</f>
        <v>2.4</v>
      </c>
      <c r="H34" s="40">
        <f>IF(tblDefects[[#This Row],[Date]]="","",IF(AND(tblDefects[[#This Row],[Date]]&gt;=FFrom,tblDefects[[#This Row],[Date]]&lt;=FTo,OR(DashArea="",tblDefects[[#This Row],[Area]]=DashArea)),tblDefects[[#This Row],[Date]],""))</f>
        <v>46274</v>
      </c>
      <c r="I3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34" s="28" t="s">
        <v>114</v>
      </c>
    </row>
    <row r="35" spans="2:10">
      <c r="B35" s="37">
        <v>46274</v>
      </c>
      <c r="C35" s="28" t="s">
        <v>81</v>
      </c>
      <c r="D35" s="28" t="s">
        <v>101</v>
      </c>
      <c r="E35" s="38">
        <v>2</v>
      </c>
      <c r="F35" s="39">
        <f>IF(tblDefects[[#This Row],[Date]]="","",IFERROR(INDEX(tblCategories[Cost per occurrence],MATCH(tblDefects[[#This Row],[Category]],tblCategories[Category],0)),""))</f>
        <v>7.8</v>
      </c>
      <c r="G35" s="39">
        <f>IF(tblDefects[[#This Row],[Date]]="","",IF(tblDefects[[#This Row],[Cost per occurrence]]="","",tblDefects[[#This Row],[Count]]*tblDefects[[#This Row],[Cost per occurrence]]))</f>
        <v>15.6</v>
      </c>
      <c r="H35" s="40">
        <f>IF(tblDefects[[#This Row],[Date]]="","",IF(AND(tblDefects[[#This Row],[Date]]&gt;=FFrom,tblDefects[[#This Row],[Date]]&lt;=FTo,OR(DashArea="",tblDefects[[#This Row],[Area]]=DashArea)),tblDefects[[#This Row],[Date]],""))</f>
        <v>46274</v>
      </c>
      <c r="I3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35" s="28" t="s">
        <v>114</v>
      </c>
    </row>
    <row r="36" spans="2:10">
      <c r="B36" s="37">
        <v>46274</v>
      </c>
      <c r="C36" s="28" t="s">
        <v>81</v>
      </c>
      <c r="D36" s="28" t="s">
        <v>105</v>
      </c>
      <c r="E36" s="38">
        <v>2</v>
      </c>
      <c r="F36" s="39">
        <f>IF(tblDefects[[#This Row],[Date]]="","",IFERROR(INDEX(tblCategories[Cost per occurrence],MATCH(tblDefects[[#This Row],[Category]],tblCategories[Category],0)),""))</f>
        <v>7.8</v>
      </c>
      <c r="G36" s="39">
        <f>IF(tblDefects[[#This Row],[Date]]="","",IF(tblDefects[[#This Row],[Cost per occurrence]]="","",tblDefects[[#This Row],[Count]]*tblDefects[[#This Row],[Cost per occurrence]]))</f>
        <v>15.6</v>
      </c>
      <c r="H36" s="40">
        <f>IF(tblDefects[[#This Row],[Date]]="","",IF(AND(tblDefects[[#This Row],[Date]]&gt;=FFrom,tblDefects[[#This Row],[Date]]&lt;=FTo,OR(DashArea="",tblDefects[[#This Row],[Area]]=DashArea)),tblDefects[[#This Row],[Date]],""))</f>
        <v>46274</v>
      </c>
      <c r="I3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36" s="28" t="s">
        <v>114</v>
      </c>
    </row>
    <row r="37" spans="2:10">
      <c r="B37" s="37">
        <v>46274</v>
      </c>
      <c r="C37" s="28" t="s">
        <v>81</v>
      </c>
      <c r="D37" s="28" t="s">
        <v>103</v>
      </c>
      <c r="E37" s="38">
        <v>6</v>
      </c>
      <c r="F37" s="39">
        <f>IF(tblDefects[[#This Row],[Date]]="","",IFERROR(INDEX(tblCategories[Cost per occurrence],MATCH(tblDefects[[#This Row],[Category]],tblCategories[Category],0)),""))</f>
        <v>0.25</v>
      </c>
      <c r="G37" s="39">
        <f>IF(tblDefects[[#This Row],[Date]]="","",IF(tblDefects[[#This Row],[Cost per occurrence]]="","",tblDefects[[#This Row],[Count]]*tblDefects[[#This Row],[Cost per occurrence]]))</f>
        <v>1.5</v>
      </c>
      <c r="H37" s="40">
        <f>IF(tblDefects[[#This Row],[Date]]="","",IF(AND(tblDefects[[#This Row],[Date]]&gt;=FFrom,tblDefects[[#This Row],[Date]]&lt;=FTo,OR(DashArea="",tblDefects[[#This Row],[Area]]=DashArea)),tblDefects[[#This Row],[Date]],""))</f>
        <v>46274</v>
      </c>
      <c r="I3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37" s="28" t="s">
        <v>114</v>
      </c>
    </row>
    <row r="38" spans="2:10">
      <c r="B38" s="37">
        <v>46274</v>
      </c>
      <c r="C38" s="28" t="s">
        <v>81</v>
      </c>
      <c r="D38" s="28" t="s">
        <v>99</v>
      </c>
      <c r="E38" s="38">
        <v>2</v>
      </c>
      <c r="F38" s="39">
        <f>IF(tblDefects[[#This Row],[Date]]="","",IFERROR(INDEX(tblCategories[Cost per occurrence],MATCH(tblDefects[[#This Row],[Category]],tblCategories[Category],0)),""))</f>
        <v>0.6</v>
      </c>
      <c r="G38" s="39">
        <f>IF(tblDefects[[#This Row],[Date]]="","",IF(tblDefects[[#This Row],[Cost per occurrence]]="","",tblDefects[[#This Row],[Count]]*tblDefects[[#This Row],[Cost per occurrence]]))</f>
        <v>1.2</v>
      </c>
      <c r="H38" s="40">
        <f>IF(tblDefects[[#This Row],[Date]]="","",IF(AND(tblDefects[[#This Row],[Date]]&gt;=FFrom,tblDefects[[#This Row],[Date]]&lt;=FTo,OR(DashArea="",tblDefects[[#This Row],[Area]]=DashArea)),tblDefects[[#This Row],[Date]],""))</f>
        <v>46274</v>
      </c>
      <c r="I3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38" s="28" t="s">
        <v>114</v>
      </c>
    </row>
    <row r="39" spans="2:10">
      <c r="B39" s="37">
        <v>46274</v>
      </c>
      <c r="C39" s="28" t="s">
        <v>83</v>
      </c>
      <c r="D39" s="28" t="s">
        <v>99</v>
      </c>
      <c r="E39" s="38">
        <v>2</v>
      </c>
      <c r="F39" s="39">
        <f>IF(tblDefects[[#This Row],[Date]]="","",IFERROR(INDEX(tblCategories[Cost per occurrence],MATCH(tblDefects[[#This Row],[Category]],tblCategories[Category],0)),""))</f>
        <v>0.6</v>
      </c>
      <c r="G39" s="39">
        <f>IF(tblDefects[[#This Row],[Date]]="","",IF(tblDefects[[#This Row],[Cost per occurrence]]="","",tblDefects[[#This Row],[Count]]*tblDefects[[#This Row],[Cost per occurrence]]))</f>
        <v>1.2</v>
      </c>
      <c r="H39" s="40">
        <f>IF(tblDefects[[#This Row],[Date]]="","",IF(AND(tblDefects[[#This Row],[Date]]&gt;=FFrom,tblDefects[[#This Row],[Date]]&lt;=FTo,OR(DashArea="",tblDefects[[#This Row],[Area]]=DashArea)),tblDefects[[#This Row],[Date]],""))</f>
        <v>46274</v>
      </c>
      <c r="I3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39" s="28" t="s">
        <v>114</v>
      </c>
    </row>
    <row r="40" spans="2:10">
      <c r="B40" s="37">
        <v>46274</v>
      </c>
      <c r="C40" s="28" t="s">
        <v>83</v>
      </c>
      <c r="D40" s="28" t="s">
        <v>87</v>
      </c>
      <c r="E40" s="38">
        <v>3</v>
      </c>
      <c r="F40" s="39">
        <f>IF(tblDefects[[#This Row],[Date]]="","",IFERROR(INDEX(tblCategories[Cost per occurrence],MATCH(tblDefects[[#This Row],[Category]],tblCategories[Category],0)),""))</f>
        <v>0.35</v>
      </c>
      <c r="G40" s="39">
        <f>IF(tblDefects[[#This Row],[Date]]="","",IF(tblDefects[[#This Row],[Cost per occurrence]]="","",tblDefects[[#This Row],[Count]]*tblDefects[[#This Row],[Cost per occurrence]]))</f>
        <v>1.05</v>
      </c>
      <c r="H40" s="40">
        <f>IF(tblDefects[[#This Row],[Date]]="","",IF(AND(tblDefects[[#This Row],[Date]]&gt;=FFrom,tblDefects[[#This Row],[Date]]&lt;=FTo,OR(DashArea="",tblDefects[[#This Row],[Area]]=DashArea)),tblDefects[[#This Row],[Date]],""))</f>
        <v>46274</v>
      </c>
      <c r="I4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40" s="28" t="s">
        <v>114</v>
      </c>
    </row>
    <row r="41" spans="2:10">
      <c r="B41" s="37">
        <v>46274</v>
      </c>
      <c r="C41" s="28" t="s">
        <v>83</v>
      </c>
      <c r="D41" s="28" t="s">
        <v>103</v>
      </c>
      <c r="E41" s="38">
        <v>1</v>
      </c>
      <c r="F41" s="39">
        <f>IF(tblDefects[[#This Row],[Date]]="","",IFERROR(INDEX(tblCategories[Cost per occurrence],MATCH(tblDefects[[#This Row],[Category]],tblCategories[Category],0)),""))</f>
        <v>0.25</v>
      </c>
      <c r="G41" s="39">
        <f>IF(tblDefects[[#This Row],[Date]]="","",IF(tblDefects[[#This Row],[Cost per occurrence]]="","",tblDefects[[#This Row],[Count]]*tblDefects[[#This Row],[Cost per occurrence]]))</f>
        <v>0.25</v>
      </c>
      <c r="H41" s="40">
        <f>IF(tblDefects[[#This Row],[Date]]="","",IF(AND(tblDefects[[#This Row],[Date]]&gt;=FFrom,tblDefects[[#This Row],[Date]]&lt;=FTo,OR(DashArea="",tblDefects[[#This Row],[Area]]=DashArea)),tblDefects[[#This Row],[Date]],""))</f>
        <v>46274</v>
      </c>
      <c r="I4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41" s="28" t="s">
        <v>114</v>
      </c>
    </row>
    <row r="42" spans="2:10">
      <c r="B42" s="37">
        <v>46274</v>
      </c>
      <c r="C42" s="28" t="s">
        <v>83</v>
      </c>
      <c r="D42" s="28" t="s">
        <v>101</v>
      </c>
      <c r="E42" s="38">
        <v>1</v>
      </c>
      <c r="F42" s="39">
        <f>IF(tblDefects[[#This Row],[Date]]="","",IFERROR(INDEX(tblCategories[Cost per occurrence],MATCH(tblDefects[[#This Row],[Category]],tblCategories[Category],0)),""))</f>
        <v>7.8</v>
      </c>
      <c r="G42" s="39">
        <f>IF(tblDefects[[#This Row],[Date]]="","",IF(tblDefects[[#This Row],[Cost per occurrence]]="","",tblDefects[[#This Row],[Count]]*tblDefects[[#This Row],[Cost per occurrence]]))</f>
        <v>7.8</v>
      </c>
      <c r="H42" s="40">
        <f>IF(tblDefects[[#This Row],[Date]]="","",IF(AND(tblDefects[[#This Row],[Date]]&gt;=FFrom,tblDefects[[#This Row],[Date]]&lt;=FTo,OR(DashArea="",tblDefects[[#This Row],[Area]]=DashArea)),tblDefects[[#This Row],[Date]],""))</f>
        <v>46274</v>
      </c>
      <c r="I4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42" s="28" t="s">
        <v>114</v>
      </c>
    </row>
    <row r="43" spans="2:10">
      <c r="B43" s="37">
        <v>46274</v>
      </c>
      <c r="C43" s="28" t="s">
        <v>83</v>
      </c>
      <c r="D43" s="28" t="s">
        <v>91</v>
      </c>
      <c r="E43" s="38">
        <v>2</v>
      </c>
      <c r="F43" s="39">
        <f>IF(tblDefects[[#This Row],[Date]]="","",IFERROR(INDEX(tblCategories[Cost per occurrence],MATCH(tblDefects[[#This Row],[Category]],tblCategories[Category],0)),""))</f>
        <v>1.2</v>
      </c>
      <c r="G43" s="39">
        <f>IF(tblDefects[[#This Row],[Date]]="","",IF(tblDefects[[#This Row],[Cost per occurrence]]="","",tblDefects[[#This Row],[Count]]*tblDefects[[#This Row],[Cost per occurrence]]))</f>
        <v>2.4</v>
      </c>
      <c r="H43" s="40">
        <f>IF(tblDefects[[#This Row],[Date]]="","",IF(AND(tblDefects[[#This Row],[Date]]&gt;=FFrom,tblDefects[[#This Row],[Date]]&lt;=FTo,OR(DashArea="",tblDefects[[#This Row],[Area]]=DashArea)),tblDefects[[#This Row],[Date]],""))</f>
        <v>46274</v>
      </c>
      <c r="I4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43" s="28" t="s">
        <v>114</v>
      </c>
    </row>
    <row r="44" spans="2:10">
      <c r="B44" s="37">
        <v>46275</v>
      </c>
      <c r="C44" s="28" t="s">
        <v>79</v>
      </c>
      <c r="D44" s="28" t="s">
        <v>87</v>
      </c>
      <c r="E44" s="38">
        <v>27</v>
      </c>
      <c r="F44" s="39">
        <f>IF(tblDefects[[#This Row],[Date]]="","",IFERROR(INDEX(tblCategories[Cost per occurrence],MATCH(tblDefects[[#This Row],[Category]],tblCategories[Category],0)),""))</f>
        <v>0.35</v>
      </c>
      <c r="G44" s="39">
        <f>IF(tblDefects[[#This Row],[Date]]="","",IF(tblDefects[[#This Row],[Cost per occurrence]]="","",tblDefects[[#This Row],[Count]]*tblDefects[[#This Row],[Cost per occurrence]]))</f>
        <v>9.45</v>
      </c>
      <c r="H44" s="40">
        <f>IF(tblDefects[[#This Row],[Date]]="","",IF(AND(tblDefects[[#This Row],[Date]]&gt;=FFrom,tblDefects[[#This Row],[Date]]&lt;=FTo,OR(DashArea="",tblDefects[[#This Row],[Area]]=DashArea)),tblDefects[[#This Row],[Date]],""))</f>
        <v>46275</v>
      </c>
      <c r="I4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44" s="28" t="s">
        <v>114</v>
      </c>
    </row>
    <row r="45" spans="2:10">
      <c r="B45" s="37">
        <v>46275</v>
      </c>
      <c r="C45" s="28" t="s">
        <v>79</v>
      </c>
      <c r="D45" s="28" t="s">
        <v>89</v>
      </c>
      <c r="E45" s="38">
        <v>18</v>
      </c>
      <c r="F45" s="39">
        <f>IF(tblDefects[[#This Row],[Date]]="","",IFERROR(INDEX(tblCategories[Cost per occurrence],MATCH(tblDefects[[#This Row],[Category]],tblCategories[Category],0)),""))</f>
        <v>1.2</v>
      </c>
      <c r="G45" s="39">
        <f>IF(tblDefects[[#This Row],[Date]]="","",IF(tblDefects[[#This Row],[Cost per occurrence]]="","",tblDefects[[#This Row],[Count]]*tblDefects[[#This Row],[Cost per occurrence]]))</f>
        <v>21.6</v>
      </c>
      <c r="H45" s="40">
        <f>IF(tblDefects[[#This Row],[Date]]="","",IF(AND(tblDefects[[#This Row],[Date]]&gt;=FFrom,tblDefects[[#This Row],[Date]]&lt;=FTo,OR(DashArea="",tblDefects[[#This Row],[Area]]=DashArea)),tblDefects[[#This Row],[Date]],""))</f>
        <v>46275</v>
      </c>
      <c r="I4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45" s="28" t="s">
        <v>114</v>
      </c>
    </row>
    <row r="46" spans="2:10">
      <c r="B46" s="37">
        <v>46275</v>
      </c>
      <c r="C46" s="28" t="s">
        <v>79</v>
      </c>
      <c r="D46" s="28" t="s">
        <v>91</v>
      </c>
      <c r="E46" s="38">
        <v>6</v>
      </c>
      <c r="F46" s="39">
        <f>IF(tblDefects[[#This Row],[Date]]="","",IFERROR(INDEX(tblCategories[Cost per occurrence],MATCH(tblDefects[[#This Row],[Category]],tblCategories[Category],0)),""))</f>
        <v>1.2</v>
      </c>
      <c r="G46" s="39">
        <f>IF(tblDefects[[#This Row],[Date]]="","",IF(tblDefects[[#This Row],[Cost per occurrence]]="","",tblDefects[[#This Row],[Count]]*tblDefects[[#This Row],[Cost per occurrence]]))</f>
        <v>7.2</v>
      </c>
      <c r="H46" s="40">
        <f>IF(tblDefects[[#This Row],[Date]]="","",IF(AND(tblDefects[[#This Row],[Date]]&gt;=FFrom,tblDefects[[#This Row],[Date]]&lt;=FTo,OR(DashArea="",tblDefects[[#This Row],[Area]]=DashArea)),tblDefects[[#This Row],[Date]],""))</f>
        <v>46275</v>
      </c>
      <c r="I4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46" s="28" t="s">
        <v>114</v>
      </c>
    </row>
    <row r="47" spans="2:10">
      <c r="B47" s="37">
        <v>46275</v>
      </c>
      <c r="C47" s="28" t="s">
        <v>79</v>
      </c>
      <c r="D47" s="28" t="s">
        <v>93</v>
      </c>
      <c r="E47" s="38">
        <v>8</v>
      </c>
      <c r="F47" s="39">
        <f>IF(tblDefects[[#This Row],[Date]]="","",IFERROR(INDEX(tblCategories[Cost per occurrence],MATCH(tblDefects[[#This Row],[Category]],tblCategories[Category],0)),""))</f>
        <v>1.2</v>
      </c>
      <c r="G47" s="39">
        <f>IF(tblDefects[[#This Row],[Date]]="","",IF(tblDefects[[#This Row],[Cost per occurrence]]="","",tblDefects[[#This Row],[Count]]*tblDefects[[#This Row],[Cost per occurrence]]))</f>
        <v>9.6</v>
      </c>
      <c r="H47" s="40">
        <f>IF(tblDefects[[#This Row],[Date]]="","",IF(AND(tblDefects[[#This Row],[Date]]&gt;=FFrom,tblDefects[[#This Row],[Date]]&lt;=FTo,OR(DashArea="",tblDefects[[#This Row],[Area]]=DashArea)),tblDefects[[#This Row],[Date]],""))</f>
        <v>46275</v>
      </c>
      <c r="I4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47" s="28" t="s">
        <v>114</v>
      </c>
    </row>
    <row r="48" spans="2:10">
      <c r="B48" s="37">
        <v>46275</v>
      </c>
      <c r="C48" s="28" t="s">
        <v>79</v>
      </c>
      <c r="D48" s="28" t="s">
        <v>95</v>
      </c>
      <c r="E48" s="38">
        <v>2</v>
      </c>
      <c r="F48" s="39">
        <f>IF(tblDefects[[#This Row],[Date]]="","",IFERROR(INDEX(tblCategories[Cost per occurrence],MATCH(tblDefects[[#This Row],[Category]],tblCategories[Category],0)),""))</f>
        <v>1.2</v>
      </c>
      <c r="G48" s="39">
        <f>IF(tblDefects[[#This Row],[Date]]="","",IF(tblDefects[[#This Row],[Cost per occurrence]]="","",tblDefects[[#This Row],[Count]]*tblDefects[[#This Row],[Cost per occurrence]]))</f>
        <v>2.4</v>
      </c>
      <c r="H48" s="40">
        <f>IF(tblDefects[[#This Row],[Date]]="","",IF(AND(tblDefects[[#This Row],[Date]]&gt;=FFrom,tblDefects[[#This Row],[Date]]&lt;=FTo,OR(DashArea="",tblDefects[[#This Row],[Area]]=DashArea)),tblDefects[[#This Row],[Date]],""))</f>
        <v>46275</v>
      </c>
      <c r="I4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48" s="28" t="s">
        <v>114</v>
      </c>
    </row>
    <row r="49" spans="2:10">
      <c r="B49" s="37">
        <v>46275</v>
      </c>
      <c r="C49" s="28" t="s">
        <v>79</v>
      </c>
      <c r="D49" s="28" t="s">
        <v>97</v>
      </c>
      <c r="E49" s="38">
        <v>1</v>
      </c>
      <c r="F49" s="39">
        <f>IF(tblDefects[[#This Row],[Date]]="","",IFERROR(INDEX(tblCategories[Cost per occurrence],MATCH(tblDefects[[#This Row],[Category]],tblCategories[Category],0)),""))</f>
        <v>1.2</v>
      </c>
      <c r="G49" s="39">
        <f>IF(tblDefects[[#This Row],[Date]]="","",IF(tblDefects[[#This Row],[Cost per occurrence]]="","",tblDefects[[#This Row],[Count]]*tblDefects[[#This Row],[Cost per occurrence]]))</f>
        <v>1.2</v>
      </c>
      <c r="H49" s="40">
        <f>IF(tblDefects[[#This Row],[Date]]="","",IF(AND(tblDefects[[#This Row],[Date]]&gt;=FFrom,tblDefects[[#This Row],[Date]]&lt;=FTo,OR(DashArea="",tblDefects[[#This Row],[Area]]=DashArea)),tblDefects[[#This Row],[Date]],""))</f>
        <v>46275</v>
      </c>
      <c r="I4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49" s="28" t="s">
        <v>114</v>
      </c>
    </row>
    <row r="50" spans="2:10">
      <c r="B50" s="37">
        <v>46275</v>
      </c>
      <c r="C50" s="28" t="s">
        <v>81</v>
      </c>
      <c r="D50" s="28" t="s">
        <v>101</v>
      </c>
      <c r="E50" s="38">
        <v>3</v>
      </c>
      <c r="F50" s="39">
        <f>IF(tblDefects[[#This Row],[Date]]="","",IFERROR(INDEX(tblCategories[Cost per occurrence],MATCH(tblDefects[[#This Row],[Category]],tblCategories[Category],0)),""))</f>
        <v>7.8</v>
      </c>
      <c r="G50" s="39">
        <f>IF(tblDefects[[#This Row],[Date]]="","",IF(tblDefects[[#This Row],[Cost per occurrence]]="","",tblDefects[[#This Row],[Count]]*tblDefects[[#This Row],[Cost per occurrence]]))</f>
        <v>23.4</v>
      </c>
      <c r="H50" s="40">
        <f>IF(tblDefects[[#This Row],[Date]]="","",IF(AND(tblDefects[[#This Row],[Date]]&gt;=FFrom,tblDefects[[#This Row],[Date]]&lt;=FTo,OR(DashArea="",tblDefects[[#This Row],[Area]]=DashArea)),tblDefects[[#This Row],[Date]],""))</f>
        <v>46275</v>
      </c>
      <c r="I5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50" s="28" t="s">
        <v>114</v>
      </c>
    </row>
    <row r="51" spans="2:10">
      <c r="B51" s="37">
        <v>46275</v>
      </c>
      <c r="C51" s="28" t="s">
        <v>81</v>
      </c>
      <c r="D51" s="28" t="s">
        <v>103</v>
      </c>
      <c r="E51" s="38">
        <v>4</v>
      </c>
      <c r="F51" s="39">
        <f>IF(tblDefects[[#This Row],[Date]]="","",IFERROR(INDEX(tblCategories[Cost per occurrence],MATCH(tblDefects[[#This Row],[Category]],tblCategories[Category],0)),""))</f>
        <v>0.25</v>
      </c>
      <c r="G51" s="39">
        <f>IF(tblDefects[[#This Row],[Date]]="","",IF(tblDefects[[#This Row],[Cost per occurrence]]="","",tblDefects[[#This Row],[Count]]*tblDefects[[#This Row],[Cost per occurrence]]))</f>
        <v>1</v>
      </c>
      <c r="H51" s="40">
        <f>IF(tblDefects[[#This Row],[Date]]="","",IF(AND(tblDefects[[#This Row],[Date]]&gt;=FFrom,tblDefects[[#This Row],[Date]]&lt;=FTo,OR(DashArea="",tblDefects[[#This Row],[Area]]=DashArea)),tblDefects[[#This Row],[Date]],""))</f>
        <v>46275</v>
      </c>
      <c r="I5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51" s="28" t="s">
        <v>114</v>
      </c>
    </row>
    <row r="52" spans="2:10">
      <c r="B52" s="37">
        <v>46275</v>
      </c>
      <c r="C52" s="28" t="s">
        <v>81</v>
      </c>
      <c r="D52" s="28" t="s">
        <v>99</v>
      </c>
      <c r="E52" s="38">
        <v>5</v>
      </c>
      <c r="F52" s="39">
        <f>IF(tblDefects[[#This Row],[Date]]="","",IFERROR(INDEX(tblCategories[Cost per occurrence],MATCH(tblDefects[[#This Row],[Category]],tblCategories[Category],0)),""))</f>
        <v>0.6</v>
      </c>
      <c r="G52" s="39">
        <f>IF(tblDefects[[#This Row],[Date]]="","",IF(tblDefects[[#This Row],[Cost per occurrence]]="","",tblDefects[[#This Row],[Count]]*tblDefects[[#This Row],[Cost per occurrence]]))</f>
        <v>3</v>
      </c>
      <c r="H52" s="40">
        <f>IF(tblDefects[[#This Row],[Date]]="","",IF(AND(tblDefects[[#This Row],[Date]]&gt;=FFrom,tblDefects[[#This Row],[Date]]&lt;=FTo,OR(DashArea="",tblDefects[[#This Row],[Area]]=DashArea)),tblDefects[[#This Row],[Date]],""))</f>
        <v>46275</v>
      </c>
      <c r="I5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52" s="28" t="s">
        <v>114</v>
      </c>
    </row>
    <row r="53" spans="2:10">
      <c r="B53" s="37">
        <v>46275</v>
      </c>
      <c r="C53" s="28" t="s">
        <v>83</v>
      </c>
      <c r="D53" s="28" t="s">
        <v>87</v>
      </c>
      <c r="E53" s="38">
        <v>3</v>
      </c>
      <c r="F53" s="39">
        <f>IF(tblDefects[[#This Row],[Date]]="","",IFERROR(INDEX(tblCategories[Cost per occurrence],MATCH(tblDefects[[#This Row],[Category]],tblCategories[Category],0)),""))</f>
        <v>0.35</v>
      </c>
      <c r="G53" s="39">
        <f>IF(tblDefects[[#This Row],[Date]]="","",IF(tblDefects[[#This Row],[Cost per occurrence]]="","",tblDefects[[#This Row],[Count]]*tblDefects[[#This Row],[Cost per occurrence]]))</f>
        <v>1.05</v>
      </c>
      <c r="H53" s="40">
        <f>IF(tblDefects[[#This Row],[Date]]="","",IF(AND(tblDefects[[#This Row],[Date]]&gt;=FFrom,tblDefects[[#This Row],[Date]]&lt;=FTo,OR(DashArea="",tblDefects[[#This Row],[Area]]=DashArea)),tblDefects[[#This Row],[Date]],""))</f>
        <v>46275</v>
      </c>
      <c r="I5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53" s="28" t="s">
        <v>114</v>
      </c>
    </row>
    <row r="54" spans="2:10">
      <c r="B54" s="37">
        <v>46275</v>
      </c>
      <c r="C54" s="28" t="s">
        <v>83</v>
      </c>
      <c r="D54" s="28" t="s">
        <v>103</v>
      </c>
      <c r="E54" s="38">
        <v>2</v>
      </c>
      <c r="F54" s="39">
        <f>IF(tblDefects[[#This Row],[Date]]="","",IFERROR(INDEX(tblCategories[Cost per occurrence],MATCH(tblDefects[[#This Row],[Category]],tblCategories[Category],0)),""))</f>
        <v>0.25</v>
      </c>
      <c r="G54" s="39">
        <f>IF(tblDefects[[#This Row],[Date]]="","",IF(tblDefects[[#This Row],[Cost per occurrence]]="","",tblDefects[[#This Row],[Count]]*tblDefects[[#This Row],[Cost per occurrence]]))</f>
        <v>0.5</v>
      </c>
      <c r="H54" s="40">
        <f>IF(tblDefects[[#This Row],[Date]]="","",IF(AND(tblDefects[[#This Row],[Date]]&gt;=FFrom,tblDefects[[#This Row],[Date]]&lt;=FTo,OR(DashArea="",tblDefects[[#This Row],[Area]]=DashArea)),tblDefects[[#This Row],[Date]],""))</f>
        <v>46275</v>
      </c>
      <c r="I5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54" s="28" t="s">
        <v>114</v>
      </c>
    </row>
    <row r="55" spans="2:10">
      <c r="B55" s="37">
        <v>46276</v>
      </c>
      <c r="C55" s="28" t="s">
        <v>79</v>
      </c>
      <c r="D55" s="28" t="s">
        <v>87</v>
      </c>
      <c r="E55" s="38">
        <v>29</v>
      </c>
      <c r="F55" s="39">
        <f>IF(tblDefects[[#This Row],[Date]]="","",IFERROR(INDEX(tblCategories[Cost per occurrence],MATCH(tblDefects[[#This Row],[Category]],tblCategories[Category],0)),""))</f>
        <v>0.35</v>
      </c>
      <c r="G55" s="39">
        <f>IF(tblDefects[[#This Row],[Date]]="","",IF(tblDefects[[#This Row],[Cost per occurrence]]="","",tblDefects[[#This Row],[Count]]*tblDefects[[#This Row],[Cost per occurrence]]))</f>
        <v>10.15</v>
      </c>
      <c r="H55" s="40">
        <f>IF(tblDefects[[#This Row],[Date]]="","",IF(AND(tblDefects[[#This Row],[Date]]&gt;=FFrom,tblDefects[[#This Row],[Date]]&lt;=FTo,OR(DashArea="",tblDefects[[#This Row],[Area]]=DashArea)),tblDefects[[#This Row],[Date]],""))</f>
        <v>46276</v>
      </c>
      <c r="I5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55" s="28" t="s">
        <v>114</v>
      </c>
    </row>
    <row r="56" spans="2:10">
      <c r="B56" s="37">
        <v>46276</v>
      </c>
      <c r="C56" s="28" t="s">
        <v>79</v>
      </c>
      <c r="D56" s="28" t="s">
        <v>89</v>
      </c>
      <c r="E56" s="38">
        <v>24</v>
      </c>
      <c r="F56" s="39">
        <f>IF(tblDefects[[#This Row],[Date]]="","",IFERROR(INDEX(tblCategories[Cost per occurrence],MATCH(tblDefects[[#This Row],[Category]],tblCategories[Category],0)),""))</f>
        <v>1.2</v>
      </c>
      <c r="G56" s="39">
        <f>IF(tblDefects[[#This Row],[Date]]="","",IF(tblDefects[[#This Row],[Cost per occurrence]]="","",tblDefects[[#This Row],[Count]]*tblDefects[[#This Row],[Cost per occurrence]]))</f>
        <v>28.8</v>
      </c>
      <c r="H56" s="40">
        <f>IF(tblDefects[[#This Row],[Date]]="","",IF(AND(tblDefects[[#This Row],[Date]]&gt;=FFrom,tblDefects[[#This Row],[Date]]&lt;=FTo,OR(DashArea="",tblDefects[[#This Row],[Area]]=DashArea)),tblDefects[[#This Row],[Date]],""))</f>
        <v>46276</v>
      </c>
      <c r="I5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56" s="28" t="s">
        <v>114</v>
      </c>
    </row>
    <row r="57" spans="2:10">
      <c r="B57" s="37">
        <v>46276</v>
      </c>
      <c r="C57" s="28" t="s">
        <v>79</v>
      </c>
      <c r="D57" s="28" t="s">
        <v>91</v>
      </c>
      <c r="E57" s="38">
        <v>3</v>
      </c>
      <c r="F57" s="39">
        <f>IF(tblDefects[[#This Row],[Date]]="","",IFERROR(INDEX(tblCategories[Cost per occurrence],MATCH(tblDefects[[#This Row],[Category]],tblCategories[Category],0)),""))</f>
        <v>1.2</v>
      </c>
      <c r="G57" s="39">
        <f>IF(tblDefects[[#This Row],[Date]]="","",IF(tblDefects[[#This Row],[Cost per occurrence]]="","",tblDefects[[#This Row],[Count]]*tblDefects[[#This Row],[Cost per occurrence]]))</f>
        <v>3.6</v>
      </c>
      <c r="H57" s="40">
        <f>IF(tblDefects[[#This Row],[Date]]="","",IF(AND(tblDefects[[#This Row],[Date]]&gt;=FFrom,tblDefects[[#This Row],[Date]]&lt;=FTo,OR(DashArea="",tblDefects[[#This Row],[Area]]=DashArea)),tblDefects[[#This Row],[Date]],""))</f>
        <v>46276</v>
      </c>
      <c r="I5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57" s="28" t="s">
        <v>114</v>
      </c>
    </row>
    <row r="58" spans="2:10">
      <c r="B58" s="37">
        <v>46276</v>
      </c>
      <c r="C58" s="28" t="s">
        <v>79</v>
      </c>
      <c r="D58" s="28" t="s">
        <v>93</v>
      </c>
      <c r="E58" s="38">
        <v>1</v>
      </c>
      <c r="F58" s="39">
        <f>IF(tblDefects[[#This Row],[Date]]="","",IFERROR(INDEX(tblCategories[Cost per occurrence],MATCH(tblDefects[[#This Row],[Category]],tblCategories[Category],0)),""))</f>
        <v>1.2</v>
      </c>
      <c r="G58" s="39">
        <f>IF(tblDefects[[#This Row],[Date]]="","",IF(tblDefects[[#This Row],[Cost per occurrence]]="","",tblDefects[[#This Row],[Count]]*tblDefects[[#This Row],[Cost per occurrence]]))</f>
        <v>1.2</v>
      </c>
      <c r="H58" s="40">
        <f>IF(tblDefects[[#This Row],[Date]]="","",IF(AND(tblDefects[[#This Row],[Date]]&gt;=FFrom,tblDefects[[#This Row],[Date]]&lt;=FTo,OR(DashArea="",tblDefects[[#This Row],[Area]]=DashArea)),tblDefects[[#This Row],[Date]],""))</f>
        <v>46276</v>
      </c>
      <c r="I5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58" s="28" t="s">
        <v>114</v>
      </c>
    </row>
    <row r="59" spans="2:10">
      <c r="B59" s="37">
        <v>46276</v>
      </c>
      <c r="C59" s="28" t="s">
        <v>79</v>
      </c>
      <c r="D59" s="28" t="s">
        <v>95</v>
      </c>
      <c r="E59" s="38">
        <v>5</v>
      </c>
      <c r="F59" s="39">
        <f>IF(tblDefects[[#This Row],[Date]]="","",IFERROR(INDEX(tblCategories[Cost per occurrence],MATCH(tblDefects[[#This Row],[Category]],tblCategories[Category],0)),""))</f>
        <v>1.2</v>
      </c>
      <c r="G59" s="39">
        <f>IF(tblDefects[[#This Row],[Date]]="","",IF(tblDefects[[#This Row],[Cost per occurrence]]="","",tblDefects[[#This Row],[Count]]*tblDefects[[#This Row],[Cost per occurrence]]))</f>
        <v>6</v>
      </c>
      <c r="H59" s="40">
        <f>IF(tblDefects[[#This Row],[Date]]="","",IF(AND(tblDefects[[#This Row],[Date]]&gt;=FFrom,tblDefects[[#This Row],[Date]]&lt;=FTo,OR(DashArea="",tblDefects[[#This Row],[Area]]=DashArea)),tblDefects[[#This Row],[Date]],""))</f>
        <v>46276</v>
      </c>
      <c r="I5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59" s="28" t="s">
        <v>114</v>
      </c>
    </row>
    <row r="60" spans="2:10">
      <c r="B60" s="37">
        <v>46276</v>
      </c>
      <c r="C60" s="28" t="s">
        <v>79</v>
      </c>
      <c r="D60" s="28" t="s">
        <v>97</v>
      </c>
      <c r="E60" s="38">
        <v>2</v>
      </c>
      <c r="F60" s="39">
        <f>IF(tblDefects[[#This Row],[Date]]="","",IFERROR(INDEX(tblCategories[Cost per occurrence],MATCH(tblDefects[[#This Row],[Category]],tblCategories[Category],0)),""))</f>
        <v>1.2</v>
      </c>
      <c r="G60" s="39">
        <f>IF(tblDefects[[#This Row],[Date]]="","",IF(tblDefects[[#This Row],[Cost per occurrence]]="","",tblDefects[[#This Row],[Count]]*tblDefects[[#This Row],[Cost per occurrence]]))</f>
        <v>2.4</v>
      </c>
      <c r="H60" s="40">
        <f>IF(tblDefects[[#This Row],[Date]]="","",IF(AND(tblDefects[[#This Row],[Date]]&gt;=FFrom,tblDefects[[#This Row],[Date]]&lt;=FTo,OR(DashArea="",tblDefects[[#This Row],[Area]]=DashArea)),tblDefects[[#This Row],[Date]],""))</f>
        <v>46276</v>
      </c>
      <c r="I6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60" s="28" t="s">
        <v>114</v>
      </c>
    </row>
    <row r="61" spans="2:10">
      <c r="B61" s="37">
        <v>46276</v>
      </c>
      <c r="C61" s="28" t="s">
        <v>81</v>
      </c>
      <c r="D61" s="28" t="s">
        <v>101</v>
      </c>
      <c r="E61" s="38">
        <v>2</v>
      </c>
      <c r="F61" s="39">
        <f>IF(tblDefects[[#This Row],[Date]]="","",IFERROR(INDEX(tblCategories[Cost per occurrence],MATCH(tblDefects[[#This Row],[Category]],tblCategories[Category],0)),""))</f>
        <v>7.8</v>
      </c>
      <c r="G61" s="39">
        <f>IF(tblDefects[[#This Row],[Date]]="","",IF(tblDefects[[#This Row],[Cost per occurrence]]="","",tblDefects[[#This Row],[Count]]*tblDefects[[#This Row],[Cost per occurrence]]))</f>
        <v>15.6</v>
      </c>
      <c r="H61" s="40">
        <f>IF(tblDefects[[#This Row],[Date]]="","",IF(AND(tblDefects[[#This Row],[Date]]&gt;=FFrom,tblDefects[[#This Row],[Date]]&lt;=FTo,OR(DashArea="",tblDefects[[#This Row],[Area]]=DashArea)),tblDefects[[#This Row],[Date]],""))</f>
        <v>46276</v>
      </c>
      <c r="I6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61" s="28" t="s">
        <v>114</v>
      </c>
    </row>
    <row r="62" spans="2:10">
      <c r="B62" s="37">
        <v>46276</v>
      </c>
      <c r="C62" s="28" t="s">
        <v>81</v>
      </c>
      <c r="D62" s="28" t="s">
        <v>105</v>
      </c>
      <c r="E62" s="38">
        <v>1</v>
      </c>
      <c r="F62" s="39">
        <f>IF(tblDefects[[#This Row],[Date]]="","",IFERROR(INDEX(tblCategories[Cost per occurrence],MATCH(tblDefects[[#This Row],[Category]],tblCategories[Category],0)),""))</f>
        <v>7.8</v>
      </c>
      <c r="G62" s="39">
        <f>IF(tblDefects[[#This Row],[Date]]="","",IF(tblDefects[[#This Row],[Cost per occurrence]]="","",tblDefects[[#This Row],[Count]]*tblDefects[[#This Row],[Cost per occurrence]]))</f>
        <v>7.8</v>
      </c>
      <c r="H62" s="40">
        <f>IF(tblDefects[[#This Row],[Date]]="","",IF(AND(tblDefects[[#This Row],[Date]]&gt;=FFrom,tblDefects[[#This Row],[Date]]&lt;=FTo,OR(DashArea="",tblDefects[[#This Row],[Area]]=DashArea)),tblDefects[[#This Row],[Date]],""))</f>
        <v>46276</v>
      </c>
      <c r="I6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62" s="28" t="s">
        <v>114</v>
      </c>
    </row>
    <row r="63" spans="2:10">
      <c r="B63" s="37">
        <v>46276</v>
      </c>
      <c r="C63" s="28" t="s">
        <v>81</v>
      </c>
      <c r="D63" s="28" t="s">
        <v>103</v>
      </c>
      <c r="E63" s="38">
        <v>6</v>
      </c>
      <c r="F63" s="39">
        <f>IF(tblDefects[[#This Row],[Date]]="","",IFERROR(INDEX(tblCategories[Cost per occurrence],MATCH(tblDefects[[#This Row],[Category]],tblCategories[Category],0)),""))</f>
        <v>0.25</v>
      </c>
      <c r="G63" s="39">
        <f>IF(tblDefects[[#This Row],[Date]]="","",IF(tblDefects[[#This Row],[Cost per occurrence]]="","",tblDefects[[#This Row],[Count]]*tblDefects[[#This Row],[Cost per occurrence]]))</f>
        <v>1.5</v>
      </c>
      <c r="H63" s="40">
        <f>IF(tblDefects[[#This Row],[Date]]="","",IF(AND(tblDefects[[#This Row],[Date]]&gt;=FFrom,tblDefects[[#This Row],[Date]]&lt;=FTo,OR(DashArea="",tblDefects[[#This Row],[Area]]=DashArea)),tblDefects[[#This Row],[Date]],""))</f>
        <v>46276</v>
      </c>
      <c r="I6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63" s="28" t="s">
        <v>114</v>
      </c>
    </row>
    <row r="64" spans="2:10">
      <c r="B64" s="37">
        <v>46276</v>
      </c>
      <c r="C64" s="28" t="s">
        <v>81</v>
      </c>
      <c r="D64" s="28" t="s">
        <v>99</v>
      </c>
      <c r="E64" s="38">
        <v>7</v>
      </c>
      <c r="F64" s="39">
        <f>IF(tblDefects[[#This Row],[Date]]="","",IFERROR(INDEX(tblCategories[Cost per occurrence],MATCH(tblDefects[[#This Row],[Category]],tblCategories[Category],0)),""))</f>
        <v>0.6</v>
      </c>
      <c r="G64" s="39">
        <f>IF(tblDefects[[#This Row],[Date]]="","",IF(tblDefects[[#This Row],[Cost per occurrence]]="","",tblDefects[[#This Row],[Count]]*tblDefects[[#This Row],[Cost per occurrence]]))</f>
        <v>4.2</v>
      </c>
      <c r="H64" s="40">
        <f>IF(tblDefects[[#This Row],[Date]]="","",IF(AND(tblDefects[[#This Row],[Date]]&gt;=FFrom,tblDefects[[#This Row],[Date]]&lt;=FTo,OR(DashArea="",tblDefects[[#This Row],[Area]]=DashArea)),tblDefects[[#This Row],[Date]],""))</f>
        <v>46276</v>
      </c>
      <c r="I6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64" s="28" t="s">
        <v>114</v>
      </c>
    </row>
    <row r="65" spans="2:10">
      <c r="B65" s="37">
        <v>46276</v>
      </c>
      <c r="C65" s="28" t="s">
        <v>83</v>
      </c>
      <c r="D65" s="28" t="s">
        <v>99</v>
      </c>
      <c r="E65" s="38">
        <v>4</v>
      </c>
      <c r="F65" s="39">
        <f>IF(tblDefects[[#This Row],[Date]]="","",IFERROR(INDEX(tblCategories[Cost per occurrence],MATCH(tblDefects[[#This Row],[Category]],tblCategories[Category],0)),""))</f>
        <v>0.6</v>
      </c>
      <c r="G65" s="39">
        <f>IF(tblDefects[[#This Row],[Date]]="","",IF(tblDefects[[#This Row],[Cost per occurrence]]="","",tblDefects[[#This Row],[Count]]*tblDefects[[#This Row],[Cost per occurrence]]))</f>
        <v>2.4</v>
      </c>
      <c r="H65" s="40">
        <f>IF(tblDefects[[#This Row],[Date]]="","",IF(AND(tblDefects[[#This Row],[Date]]&gt;=FFrom,tblDefects[[#This Row],[Date]]&lt;=FTo,OR(DashArea="",tblDefects[[#This Row],[Area]]=DashArea)),tblDefects[[#This Row],[Date]],""))</f>
        <v>46276</v>
      </c>
      <c r="I6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65" s="28" t="s">
        <v>114</v>
      </c>
    </row>
    <row r="66" spans="2:10">
      <c r="B66" s="37">
        <v>46276</v>
      </c>
      <c r="C66" s="28" t="s">
        <v>83</v>
      </c>
      <c r="D66" s="28" t="s">
        <v>87</v>
      </c>
      <c r="E66" s="38">
        <v>3</v>
      </c>
      <c r="F66" s="39">
        <f>IF(tblDefects[[#This Row],[Date]]="","",IFERROR(INDEX(tblCategories[Cost per occurrence],MATCH(tblDefects[[#This Row],[Category]],tblCategories[Category],0)),""))</f>
        <v>0.35</v>
      </c>
      <c r="G66" s="39">
        <f>IF(tblDefects[[#This Row],[Date]]="","",IF(tblDefects[[#This Row],[Cost per occurrence]]="","",tblDefects[[#This Row],[Count]]*tblDefects[[#This Row],[Cost per occurrence]]))</f>
        <v>1.05</v>
      </c>
      <c r="H66" s="40">
        <f>IF(tblDefects[[#This Row],[Date]]="","",IF(AND(tblDefects[[#This Row],[Date]]&gt;=FFrom,tblDefects[[#This Row],[Date]]&lt;=FTo,OR(DashArea="",tblDefects[[#This Row],[Area]]=DashArea)),tblDefects[[#This Row],[Date]],""))</f>
        <v>46276</v>
      </c>
      <c r="I6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66" s="28" t="s">
        <v>114</v>
      </c>
    </row>
    <row r="67" spans="2:10">
      <c r="B67" s="37">
        <v>46279</v>
      </c>
      <c r="C67" s="28" t="s">
        <v>79</v>
      </c>
      <c r="D67" s="28" t="s">
        <v>87</v>
      </c>
      <c r="E67" s="38">
        <v>20</v>
      </c>
      <c r="F67" s="39">
        <f>IF(tblDefects[[#This Row],[Date]]="","",IFERROR(INDEX(tblCategories[Cost per occurrence],MATCH(tblDefects[[#This Row],[Category]],tblCategories[Category],0)),""))</f>
        <v>0.35</v>
      </c>
      <c r="G67" s="39">
        <f>IF(tblDefects[[#This Row],[Date]]="","",IF(tblDefects[[#This Row],[Cost per occurrence]]="","",tblDefects[[#This Row],[Count]]*tblDefects[[#This Row],[Cost per occurrence]]))</f>
        <v>7</v>
      </c>
      <c r="H67" s="40">
        <f>IF(tblDefects[[#This Row],[Date]]="","",IF(AND(tblDefects[[#This Row],[Date]]&gt;=FFrom,tblDefects[[#This Row],[Date]]&lt;=FTo,OR(DashArea="",tblDefects[[#This Row],[Area]]=DashArea)),tblDefects[[#This Row],[Date]],""))</f>
        <v>46279</v>
      </c>
      <c r="I6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67" s="28" t="s">
        <v>114</v>
      </c>
    </row>
    <row r="68" spans="2:10">
      <c r="B68" s="37">
        <v>46279</v>
      </c>
      <c r="C68" s="28" t="s">
        <v>79</v>
      </c>
      <c r="D68" s="28" t="s">
        <v>89</v>
      </c>
      <c r="E68" s="38">
        <v>16</v>
      </c>
      <c r="F68" s="39">
        <f>IF(tblDefects[[#This Row],[Date]]="","",IFERROR(INDEX(tblCategories[Cost per occurrence],MATCH(tblDefects[[#This Row],[Category]],tblCategories[Category],0)),""))</f>
        <v>1.2</v>
      </c>
      <c r="G68" s="39">
        <f>IF(tblDefects[[#This Row],[Date]]="","",IF(tblDefects[[#This Row],[Cost per occurrence]]="","",tblDefects[[#This Row],[Count]]*tblDefects[[#This Row],[Cost per occurrence]]))</f>
        <v>19.2</v>
      </c>
      <c r="H68" s="40">
        <f>IF(tblDefects[[#This Row],[Date]]="","",IF(AND(tblDefects[[#This Row],[Date]]&gt;=FFrom,tblDefects[[#This Row],[Date]]&lt;=FTo,OR(DashArea="",tblDefects[[#This Row],[Area]]=DashArea)),tblDefects[[#This Row],[Date]],""))</f>
        <v>46279</v>
      </c>
      <c r="I6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68" s="28" t="s">
        <v>114</v>
      </c>
    </row>
    <row r="69" spans="2:10">
      <c r="B69" s="37">
        <v>46279</v>
      </c>
      <c r="C69" s="28" t="s">
        <v>79</v>
      </c>
      <c r="D69" s="28" t="s">
        <v>91</v>
      </c>
      <c r="E69" s="38">
        <v>6</v>
      </c>
      <c r="F69" s="39">
        <f>IF(tblDefects[[#This Row],[Date]]="","",IFERROR(INDEX(tblCategories[Cost per occurrence],MATCH(tblDefects[[#This Row],[Category]],tblCategories[Category],0)),""))</f>
        <v>1.2</v>
      </c>
      <c r="G69" s="39">
        <f>IF(tblDefects[[#This Row],[Date]]="","",IF(tblDefects[[#This Row],[Cost per occurrence]]="","",tblDefects[[#This Row],[Count]]*tblDefects[[#This Row],[Cost per occurrence]]))</f>
        <v>7.2</v>
      </c>
      <c r="H69" s="40">
        <f>IF(tblDefects[[#This Row],[Date]]="","",IF(AND(tblDefects[[#This Row],[Date]]&gt;=FFrom,tblDefects[[#This Row],[Date]]&lt;=FTo,OR(DashArea="",tblDefects[[#This Row],[Area]]=DashArea)),tblDefects[[#This Row],[Date]],""))</f>
        <v>46279</v>
      </c>
      <c r="I6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69" s="28" t="s">
        <v>114</v>
      </c>
    </row>
    <row r="70" spans="2:10">
      <c r="B70" s="37">
        <v>46279</v>
      </c>
      <c r="C70" s="28" t="s">
        <v>79</v>
      </c>
      <c r="D70" s="28" t="s">
        <v>93</v>
      </c>
      <c r="E70" s="38">
        <v>3</v>
      </c>
      <c r="F70" s="39">
        <f>IF(tblDefects[[#This Row],[Date]]="","",IFERROR(INDEX(tblCategories[Cost per occurrence],MATCH(tblDefects[[#This Row],[Category]],tblCategories[Category],0)),""))</f>
        <v>1.2</v>
      </c>
      <c r="G70" s="39">
        <f>IF(tblDefects[[#This Row],[Date]]="","",IF(tblDefects[[#This Row],[Cost per occurrence]]="","",tblDefects[[#This Row],[Count]]*tblDefects[[#This Row],[Cost per occurrence]]))</f>
        <v>3.6</v>
      </c>
      <c r="H70" s="40">
        <f>IF(tblDefects[[#This Row],[Date]]="","",IF(AND(tblDefects[[#This Row],[Date]]&gt;=FFrom,tblDefects[[#This Row],[Date]]&lt;=FTo,OR(DashArea="",tblDefects[[#This Row],[Area]]=DashArea)),tblDefects[[#This Row],[Date]],""))</f>
        <v>46279</v>
      </c>
      <c r="I7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70" s="28" t="s">
        <v>114</v>
      </c>
    </row>
    <row r="71" spans="2:10">
      <c r="B71" s="37">
        <v>46279</v>
      </c>
      <c r="C71" s="28" t="s">
        <v>79</v>
      </c>
      <c r="D71" s="28" t="s">
        <v>95</v>
      </c>
      <c r="E71" s="38">
        <v>3</v>
      </c>
      <c r="F71" s="39">
        <f>IF(tblDefects[[#This Row],[Date]]="","",IFERROR(INDEX(tblCategories[Cost per occurrence],MATCH(tblDefects[[#This Row],[Category]],tblCategories[Category],0)),""))</f>
        <v>1.2</v>
      </c>
      <c r="G71" s="39">
        <f>IF(tblDefects[[#This Row],[Date]]="","",IF(tblDefects[[#This Row],[Cost per occurrence]]="","",tblDefects[[#This Row],[Count]]*tblDefects[[#This Row],[Cost per occurrence]]))</f>
        <v>3.6</v>
      </c>
      <c r="H71" s="40">
        <f>IF(tblDefects[[#This Row],[Date]]="","",IF(AND(tblDefects[[#This Row],[Date]]&gt;=FFrom,tblDefects[[#This Row],[Date]]&lt;=FTo,OR(DashArea="",tblDefects[[#This Row],[Area]]=DashArea)),tblDefects[[#This Row],[Date]],""))</f>
        <v>46279</v>
      </c>
      <c r="I7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71" s="28" t="s">
        <v>114</v>
      </c>
    </row>
    <row r="72" spans="2:10">
      <c r="B72" s="37">
        <v>46279</v>
      </c>
      <c r="C72" s="28" t="s">
        <v>81</v>
      </c>
      <c r="D72" s="28" t="s">
        <v>101</v>
      </c>
      <c r="E72" s="38">
        <v>3</v>
      </c>
      <c r="F72" s="39">
        <f>IF(tblDefects[[#This Row],[Date]]="","",IFERROR(INDEX(tblCategories[Cost per occurrence],MATCH(tblDefects[[#This Row],[Category]],tblCategories[Category],0)),""))</f>
        <v>7.8</v>
      </c>
      <c r="G72" s="39">
        <f>IF(tblDefects[[#This Row],[Date]]="","",IF(tblDefects[[#This Row],[Cost per occurrence]]="","",tblDefects[[#This Row],[Count]]*tblDefects[[#This Row],[Cost per occurrence]]))</f>
        <v>23.4</v>
      </c>
      <c r="H72" s="40">
        <f>IF(tblDefects[[#This Row],[Date]]="","",IF(AND(tblDefects[[#This Row],[Date]]&gt;=FFrom,tblDefects[[#This Row],[Date]]&lt;=FTo,OR(DashArea="",tblDefects[[#This Row],[Area]]=DashArea)),tblDefects[[#This Row],[Date]],""))</f>
        <v>46279</v>
      </c>
      <c r="I7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72" s="28" t="s">
        <v>114</v>
      </c>
    </row>
    <row r="73" spans="2:10">
      <c r="B73" s="37">
        <v>46279</v>
      </c>
      <c r="C73" s="28" t="s">
        <v>81</v>
      </c>
      <c r="D73" s="28" t="s">
        <v>105</v>
      </c>
      <c r="E73" s="38">
        <v>2</v>
      </c>
      <c r="F73" s="39">
        <f>IF(tblDefects[[#This Row],[Date]]="","",IFERROR(INDEX(tblCategories[Cost per occurrence],MATCH(tblDefects[[#This Row],[Category]],tblCategories[Category],0)),""))</f>
        <v>7.8</v>
      </c>
      <c r="G73" s="39">
        <f>IF(tblDefects[[#This Row],[Date]]="","",IF(tblDefects[[#This Row],[Cost per occurrence]]="","",tblDefects[[#This Row],[Count]]*tblDefects[[#This Row],[Cost per occurrence]]))</f>
        <v>15.6</v>
      </c>
      <c r="H73" s="40">
        <f>IF(tblDefects[[#This Row],[Date]]="","",IF(AND(tblDefects[[#This Row],[Date]]&gt;=FFrom,tblDefects[[#This Row],[Date]]&lt;=FTo,OR(DashArea="",tblDefects[[#This Row],[Area]]=DashArea)),tblDefects[[#This Row],[Date]],""))</f>
        <v>46279</v>
      </c>
      <c r="I7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73" s="28" t="s">
        <v>114</v>
      </c>
    </row>
    <row r="74" spans="2:10">
      <c r="B74" s="37">
        <v>46279</v>
      </c>
      <c r="C74" s="28" t="s">
        <v>81</v>
      </c>
      <c r="D74" s="28" t="s">
        <v>103</v>
      </c>
      <c r="E74" s="38">
        <v>1</v>
      </c>
      <c r="F74" s="39">
        <f>IF(tblDefects[[#This Row],[Date]]="","",IFERROR(INDEX(tblCategories[Cost per occurrence],MATCH(tblDefects[[#This Row],[Category]],tblCategories[Category],0)),""))</f>
        <v>0.25</v>
      </c>
      <c r="G74" s="39">
        <f>IF(tblDefects[[#This Row],[Date]]="","",IF(tblDefects[[#This Row],[Cost per occurrence]]="","",tblDefects[[#This Row],[Count]]*tblDefects[[#This Row],[Cost per occurrence]]))</f>
        <v>0.25</v>
      </c>
      <c r="H74" s="40">
        <f>IF(tblDefects[[#This Row],[Date]]="","",IF(AND(tblDefects[[#This Row],[Date]]&gt;=FFrom,tblDefects[[#This Row],[Date]]&lt;=FTo,OR(DashArea="",tblDefects[[#This Row],[Area]]=DashArea)),tblDefects[[#This Row],[Date]],""))</f>
        <v>46279</v>
      </c>
      <c r="I7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74" s="28" t="s">
        <v>114</v>
      </c>
    </row>
    <row r="75" spans="2:10">
      <c r="B75" s="37">
        <v>46279</v>
      </c>
      <c r="C75" s="28" t="s">
        <v>81</v>
      </c>
      <c r="D75" s="28" t="s">
        <v>99</v>
      </c>
      <c r="E75" s="38">
        <v>2</v>
      </c>
      <c r="F75" s="39">
        <f>IF(tblDefects[[#This Row],[Date]]="","",IFERROR(INDEX(tblCategories[Cost per occurrence],MATCH(tblDefects[[#This Row],[Category]],tblCategories[Category],0)),""))</f>
        <v>0.6</v>
      </c>
      <c r="G75" s="39">
        <f>IF(tblDefects[[#This Row],[Date]]="","",IF(tblDefects[[#This Row],[Cost per occurrence]]="","",tblDefects[[#This Row],[Count]]*tblDefects[[#This Row],[Cost per occurrence]]))</f>
        <v>1.2</v>
      </c>
      <c r="H75" s="40">
        <f>IF(tblDefects[[#This Row],[Date]]="","",IF(AND(tblDefects[[#This Row],[Date]]&gt;=FFrom,tblDefects[[#This Row],[Date]]&lt;=FTo,OR(DashArea="",tblDefects[[#This Row],[Area]]=DashArea)),tblDefects[[#This Row],[Date]],""))</f>
        <v>46279</v>
      </c>
      <c r="I7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75" s="28" t="s">
        <v>114</v>
      </c>
    </row>
    <row r="76" spans="2:10">
      <c r="B76" s="37">
        <v>46279</v>
      </c>
      <c r="C76" s="28" t="s">
        <v>83</v>
      </c>
      <c r="D76" s="28" t="s">
        <v>99</v>
      </c>
      <c r="E76" s="38">
        <v>1</v>
      </c>
      <c r="F76" s="39">
        <f>IF(tblDefects[[#This Row],[Date]]="","",IFERROR(INDEX(tblCategories[Cost per occurrence],MATCH(tblDefects[[#This Row],[Category]],tblCategories[Category],0)),""))</f>
        <v>0.6</v>
      </c>
      <c r="G76" s="39">
        <f>IF(tblDefects[[#This Row],[Date]]="","",IF(tblDefects[[#This Row],[Cost per occurrence]]="","",tblDefects[[#This Row],[Count]]*tblDefects[[#This Row],[Cost per occurrence]]))</f>
        <v>0.6</v>
      </c>
      <c r="H76" s="40">
        <f>IF(tblDefects[[#This Row],[Date]]="","",IF(AND(tblDefects[[#This Row],[Date]]&gt;=FFrom,tblDefects[[#This Row],[Date]]&lt;=FTo,OR(DashArea="",tblDefects[[#This Row],[Area]]=DashArea)),tblDefects[[#This Row],[Date]],""))</f>
        <v>46279</v>
      </c>
      <c r="I7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76" s="28" t="s">
        <v>114</v>
      </c>
    </row>
    <row r="77" spans="2:10">
      <c r="B77" s="37">
        <v>46279</v>
      </c>
      <c r="C77" s="28" t="s">
        <v>83</v>
      </c>
      <c r="D77" s="28" t="s">
        <v>87</v>
      </c>
      <c r="E77" s="38">
        <v>1</v>
      </c>
      <c r="F77" s="39">
        <f>IF(tblDefects[[#This Row],[Date]]="","",IFERROR(INDEX(tblCategories[Cost per occurrence],MATCH(tblDefects[[#This Row],[Category]],tblCategories[Category],0)),""))</f>
        <v>0.35</v>
      </c>
      <c r="G77" s="39">
        <f>IF(tblDefects[[#This Row],[Date]]="","",IF(tblDefects[[#This Row],[Cost per occurrence]]="","",tblDefects[[#This Row],[Count]]*tblDefects[[#This Row],[Cost per occurrence]]))</f>
        <v>0.35</v>
      </c>
      <c r="H77" s="40">
        <f>IF(tblDefects[[#This Row],[Date]]="","",IF(AND(tblDefects[[#This Row],[Date]]&gt;=FFrom,tblDefects[[#This Row],[Date]]&lt;=FTo,OR(DashArea="",tblDefects[[#This Row],[Area]]=DashArea)),tblDefects[[#This Row],[Date]],""))</f>
        <v>46279</v>
      </c>
      <c r="I7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77" s="28" t="s">
        <v>114</v>
      </c>
    </row>
    <row r="78" spans="2:10">
      <c r="B78" s="37">
        <v>46279</v>
      </c>
      <c r="C78" s="28" t="s">
        <v>83</v>
      </c>
      <c r="D78" s="28" t="s">
        <v>103</v>
      </c>
      <c r="E78" s="38">
        <v>1</v>
      </c>
      <c r="F78" s="39">
        <f>IF(tblDefects[[#This Row],[Date]]="","",IFERROR(INDEX(tblCategories[Cost per occurrence],MATCH(tblDefects[[#This Row],[Category]],tblCategories[Category],0)),""))</f>
        <v>0.25</v>
      </c>
      <c r="G78" s="39">
        <f>IF(tblDefects[[#This Row],[Date]]="","",IF(tblDefects[[#This Row],[Cost per occurrence]]="","",tblDefects[[#This Row],[Count]]*tblDefects[[#This Row],[Cost per occurrence]]))</f>
        <v>0.25</v>
      </c>
      <c r="H78" s="40">
        <f>IF(tblDefects[[#This Row],[Date]]="","",IF(AND(tblDefects[[#This Row],[Date]]&gt;=FFrom,tblDefects[[#This Row],[Date]]&lt;=FTo,OR(DashArea="",tblDefects[[#This Row],[Area]]=DashArea)),tblDefects[[#This Row],[Date]],""))</f>
        <v>46279</v>
      </c>
      <c r="I7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78" s="28" t="s">
        <v>114</v>
      </c>
    </row>
    <row r="79" spans="2:10">
      <c r="B79" s="37">
        <v>46279</v>
      </c>
      <c r="C79" s="28" t="s">
        <v>83</v>
      </c>
      <c r="D79" s="28" t="s">
        <v>101</v>
      </c>
      <c r="E79" s="38">
        <v>1</v>
      </c>
      <c r="F79" s="39">
        <f>IF(tblDefects[[#This Row],[Date]]="","",IFERROR(INDEX(tblCategories[Cost per occurrence],MATCH(tblDefects[[#This Row],[Category]],tblCategories[Category],0)),""))</f>
        <v>7.8</v>
      </c>
      <c r="G79" s="39">
        <f>IF(tblDefects[[#This Row],[Date]]="","",IF(tblDefects[[#This Row],[Cost per occurrence]]="","",tblDefects[[#This Row],[Count]]*tblDefects[[#This Row],[Cost per occurrence]]))</f>
        <v>7.8</v>
      </c>
      <c r="H79" s="40">
        <f>IF(tblDefects[[#This Row],[Date]]="","",IF(AND(tblDefects[[#This Row],[Date]]&gt;=FFrom,tblDefects[[#This Row],[Date]]&lt;=FTo,OR(DashArea="",tblDefects[[#This Row],[Area]]=DashArea)),tblDefects[[#This Row],[Date]],""))</f>
        <v>46279</v>
      </c>
      <c r="I7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79" s="28" t="s">
        <v>114</v>
      </c>
    </row>
    <row r="80" spans="2:10">
      <c r="B80" s="37">
        <v>46279</v>
      </c>
      <c r="C80" s="28" t="s">
        <v>83</v>
      </c>
      <c r="D80" s="28" t="s">
        <v>91</v>
      </c>
      <c r="E80" s="38">
        <v>2</v>
      </c>
      <c r="F80" s="39">
        <f>IF(tblDefects[[#This Row],[Date]]="","",IFERROR(INDEX(tblCategories[Cost per occurrence],MATCH(tblDefects[[#This Row],[Category]],tblCategories[Category],0)),""))</f>
        <v>1.2</v>
      </c>
      <c r="G80" s="39">
        <f>IF(tblDefects[[#This Row],[Date]]="","",IF(tblDefects[[#This Row],[Cost per occurrence]]="","",tblDefects[[#This Row],[Count]]*tblDefects[[#This Row],[Cost per occurrence]]))</f>
        <v>2.4</v>
      </c>
      <c r="H80" s="40">
        <f>IF(tblDefects[[#This Row],[Date]]="","",IF(AND(tblDefects[[#This Row],[Date]]&gt;=FFrom,tblDefects[[#This Row],[Date]]&lt;=FTo,OR(DashArea="",tblDefects[[#This Row],[Area]]=DashArea)),tblDefects[[#This Row],[Date]],""))</f>
        <v>46279</v>
      </c>
      <c r="I8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80" s="28" t="s">
        <v>114</v>
      </c>
    </row>
    <row r="81" spans="2:10">
      <c r="B81" s="37">
        <v>46280</v>
      </c>
      <c r="C81" s="28" t="s">
        <v>79</v>
      </c>
      <c r="D81" s="28" t="s">
        <v>87</v>
      </c>
      <c r="E81" s="38">
        <v>21</v>
      </c>
      <c r="F81" s="39">
        <f>IF(tblDefects[[#This Row],[Date]]="","",IFERROR(INDEX(tblCategories[Cost per occurrence],MATCH(tblDefects[[#This Row],[Category]],tblCategories[Category],0)),""))</f>
        <v>0.35</v>
      </c>
      <c r="G81" s="39">
        <f>IF(tblDefects[[#This Row],[Date]]="","",IF(tblDefects[[#This Row],[Cost per occurrence]]="","",tblDefects[[#This Row],[Count]]*tblDefects[[#This Row],[Cost per occurrence]]))</f>
        <v>7.35</v>
      </c>
      <c r="H81" s="40">
        <f>IF(tblDefects[[#This Row],[Date]]="","",IF(AND(tblDefects[[#This Row],[Date]]&gt;=FFrom,tblDefects[[#This Row],[Date]]&lt;=FTo,OR(DashArea="",tblDefects[[#This Row],[Area]]=DashArea)),tblDefects[[#This Row],[Date]],""))</f>
        <v>46280</v>
      </c>
      <c r="I8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81" s="28" t="s">
        <v>114</v>
      </c>
    </row>
    <row r="82" spans="2:10">
      <c r="B82" s="37">
        <v>46280</v>
      </c>
      <c r="C82" s="28" t="s">
        <v>79</v>
      </c>
      <c r="D82" s="28" t="s">
        <v>89</v>
      </c>
      <c r="E82" s="38">
        <v>20</v>
      </c>
      <c r="F82" s="39">
        <f>IF(tblDefects[[#This Row],[Date]]="","",IFERROR(INDEX(tblCategories[Cost per occurrence],MATCH(tblDefects[[#This Row],[Category]],tblCategories[Category],0)),""))</f>
        <v>1.2</v>
      </c>
      <c r="G82" s="39">
        <f>IF(tblDefects[[#This Row],[Date]]="","",IF(tblDefects[[#This Row],[Cost per occurrence]]="","",tblDefects[[#This Row],[Count]]*tblDefects[[#This Row],[Cost per occurrence]]))</f>
        <v>24</v>
      </c>
      <c r="H82" s="40">
        <f>IF(tblDefects[[#This Row],[Date]]="","",IF(AND(tblDefects[[#This Row],[Date]]&gt;=FFrom,tblDefects[[#This Row],[Date]]&lt;=FTo,OR(DashArea="",tblDefects[[#This Row],[Area]]=DashArea)),tblDefects[[#This Row],[Date]],""))</f>
        <v>46280</v>
      </c>
      <c r="I8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82" s="28" t="s">
        <v>114</v>
      </c>
    </row>
    <row r="83" spans="2:10">
      <c r="B83" s="37">
        <v>46280</v>
      </c>
      <c r="C83" s="28" t="s">
        <v>79</v>
      </c>
      <c r="D83" s="28" t="s">
        <v>91</v>
      </c>
      <c r="E83" s="38">
        <v>9</v>
      </c>
      <c r="F83" s="39">
        <f>IF(tblDefects[[#This Row],[Date]]="","",IFERROR(INDEX(tblCategories[Cost per occurrence],MATCH(tblDefects[[#This Row],[Category]],tblCategories[Category],0)),""))</f>
        <v>1.2</v>
      </c>
      <c r="G83" s="39">
        <f>IF(tblDefects[[#This Row],[Date]]="","",IF(tblDefects[[#This Row],[Cost per occurrence]]="","",tblDefects[[#This Row],[Count]]*tblDefects[[#This Row],[Cost per occurrence]]))</f>
        <v>10.8</v>
      </c>
      <c r="H83" s="40">
        <f>IF(tblDefects[[#This Row],[Date]]="","",IF(AND(tblDefects[[#This Row],[Date]]&gt;=FFrom,tblDefects[[#This Row],[Date]]&lt;=FTo,OR(DashArea="",tblDefects[[#This Row],[Area]]=DashArea)),tblDefects[[#This Row],[Date]],""))</f>
        <v>46280</v>
      </c>
      <c r="I8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83" s="28" t="s">
        <v>114</v>
      </c>
    </row>
    <row r="84" spans="2:10">
      <c r="B84" s="37">
        <v>46280</v>
      </c>
      <c r="C84" s="28" t="s">
        <v>79</v>
      </c>
      <c r="D84" s="28" t="s">
        <v>93</v>
      </c>
      <c r="E84" s="38">
        <v>6</v>
      </c>
      <c r="F84" s="39">
        <f>IF(tblDefects[[#This Row],[Date]]="","",IFERROR(INDEX(tblCategories[Cost per occurrence],MATCH(tblDefects[[#This Row],[Category]],tblCategories[Category],0)),""))</f>
        <v>1.2</v>
      </c>
      <c r="G84" s="39">
        <f>IF(tblDefects[[#This Row],[Date]]="","",IF(tblDefects[[#This Row],[Cost per occurrence]]="","",tblDefects[[#This Row],[Count]]*tblDefects[[#This Row],[Cost per occurrence]]))</f>
        <v>7.2</v>
      </c>
      <c r="H84" s="40">
        <f>IF(tblDefects[[#This Row],[Date]]="","",IF(AND(tblDefects[[#This Row],[Date]]&gt;=FFrom,tblDefects[[#This Row],[Date]]&lt;=FTo,OR(DashArea="",tblDefects[[#This Row],[Area]]=DashArea)),tblDefects[[#This Row],[Date]],""))</f>
        <v>46280</v>
      </c>
      <c r="I8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84" s="28" t="s">
        <v>114</v>
      </c>
    </row>
    <row r="85" spans="2:10">
      <c r="B85" s="37">
        <v>46280</v>
      </c>
      <c r="C85" s="28" t="s">
        <v>79</v>
      </c>
      <c r="D85" s="28" t="s">
        <v>95</v>
      </c>
      <c r="E85" s="38">
        <v>3</v>
      </c>
      <c r="F85" s="39">
        <f>IF(tblDefects[[#This Row],[Date]]="","",IFERROR(INDEX(tblCategories[Cost per occurrence],MATCH(tblDefects[[#This Row],[Category]],tblCategories[Category],0)),""))</f>
        <v>1.2</v>
      </c>
      <c r="G85" s="39">
        <f>IF(tblDefects[[#This Row],[Date]]="","",IF(tblDefects[[#This Row],[Cost per occurrence]]="","",tblDefects[[#This Row],[Count]]*tblDefects[[#This Row],[Cost per occurrence]]))</f>
        <v>3.6</v>
      </c>
      <c r="H85" s="40">
        <f>IF(tblDefects[[#This Row],[Date]]="","",IF(AND(tblDefects[[#This Row],[Date]]&gt;=FFrom,tblDefects[[#This Row],[Date]]&lt;=FTo,OR(DashArea="",tblDefects[[#This Row],[Area]]=DashArea)),tblDefects[[#This Row],[Date]],""))</f>
        <v>46280</v>
      </c>
      <c r="I8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85" s="28" t="s">
        <v>114</v>
      </c>
    </row>
    <row r="86" spans="2:10">
      <c r="B86" s="37">
        <v>46280</v>
      </c>
      <c r="C86" s="28" t="s">
        <v>79</v>
      </c>
      <c r="D86" s="28" t="s">
        <v>97</v>
      </c>
      <c r="E86" s="38">
        <v>4</v>
      </c>
      <c r="F86" s="39">
        <f>IF(tblDefects[[#This Row],[Date]]="","",IFERROR(INDEX(tblCategories[Cost per occurrence],MATCH(tblDefects[[#This Row],[Category]],tblCategories[Category],0)),""))</f>
        <v>1.2</v>
      </c>
      <c r="G86" s="39">
        <f>IF(tblDefects[[#This Row],[Date]]="","",IF(tblDefects[[#This Row],[Cost per occurrence]]="","",tblDefects[[#This Row],[Count]]*tblDefects[[#This Row],[Cost per occurrence]]))</f>
        <v>4.8</v>
      </c>
      <c r="H86" s="40">
        <f>IF(tblDefects[[#This Row],[Date]]="","",IF(AND(tblDefects[[#This Row],[Date]]&gt;=FFrom,tblDefects[[#This Row],[Date]]&lt;=FTo,OR(DashArea="",tblDefects[[#This Row],[Area]]=DashArea)),tblDefects[[#This Row],[Date]],""))</f>
        <v>46280</v>
      </c>
      <c r="I8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86" s="28" t="s">
        <v>114</v>
      </c>
    </row>
    <row r="87" spans="2:10">
      <c r="B87" s="37">
        <v>46280</v>
      </c>
      <c r="C87" s="28" t="s">
        <v>81</v>
      </c>
      <c r="D87" s="28" t="s">
        <v>101</v>
      </c>
      <c r="E87" s="38">
        <v>3</v>
      </c>
      <c r="F87" s="39">
        <f>IF(tblDefects[[#This Row],[Date]]="","",IFERROR(INDEX(tblCategories[Cost per occurrence],MATCH(tblDefects[[#This Row],[Category]],tblCategories[Category],0)),""))</f>
        <v>7.8</v>
      </c>
      <c r="G87" s="39">
        <f>IF(tblDefects[[#This Row],[Date]]="","",IF(tblDefects[[#This Row],[Cost per occurrence]]="","",tblDefects[[#This Row],[Count]]*tblDefects[[#This Row],[Cost per occurrence]]))</f>
        <v>23.4</v>
      </c>
      <c r="H87" s="40">
        <f>IF(tblDefects[[#This Row],[Date]]="","",IF(AND(tblDefects[[#This Row],[Date]]&gt;=FFrom,tblDefects[[#This Row],[Date]]&lt;=FTo,OR(DashArea="",tblDefects[[#This Row],[Area]]=DashArea)),tblDefects[[#This Row],[Date]],""))</f>
        <v>46280</v>
      </c>
      <c r="I8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87" s="28" t="s">
        <v>114</v>
      </c>
    </row>
    <row r="88" spans="2:10">
      <c r="B88" s="37">
        <v>46280</v>
      </c>
      <c r="C88" s="28" t="s">
        <v>81</v>
      </c>
      <c r="D88" s="28" t="s">
        <v>103</v>
      </c>
      <c r="E88" s="38">
        <v>1</v>
      </c>
      <c r="F88" s="39">
        <f>IF(tblDefects[[#This Row],[Date]]="","",IFERROR(INDEX(tblCategories[Cost per occurrence],MATCH(tblDefects[[#This Row],[Category]],tblCategories[Category],0)),""))</f>
        <v>0.25</v>
      </c>
      <c r="G88" s="39">
        <f>IF(tblDefects[[#This Row],[Date]]="","",IF(tblDefects[[#This Row],[Cost per occurrence]]="","",tblDefects[[#This Row],[Count]]*tblDefects[[#This Row],[Cost per occurrence]]))</f>
        <v>0.25</v>
      </c>
      <c r="H88" s="40">
        <f>IF(tblDefects[[#This Row],[Date]]="","",IF(AND(tblDefects[[#This Row],[Date]]&gt;=FFrom,tblDefects[[#This Row],[Date]]&lt;=FTo,OR(DashArea="",tblDefects[[#This Row],[Area]]=DashArea)),tblDefects[[#This Row],[Date]],""))</f>
        <v>46280</v>
      </c>
      <c r="I8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88" s="28" t="s">
        <v>114</v>
      </c>
    </row>
    <row r="89" spans="2:10">
      <c r="B89" s="37">
        <v>46280</v>
      </c>
      <c r="C89" s="28" t="s">
        <v>81</v>
      </c>
      <c r="D89" s="28" t="s">
        <v>99</v>
      </c>
      <c r="E89" s="38">
        <v>3</v>
      </c>
      <c r="F89" s="39">
        <f>IF(tblDefects[[#This Row],[Date]]="","",IFERROR(INDEX(tblCategories[Cost per occurrence],MATCH(tblDefects[[#This Row],[Category]],tblCategories[Category],0)),""))</f>
        <v>0.6</v>
      </c>
      <c r="G89" s="39">
        <f>IF(tblDefects[[#This Row],[Date]]="","",IF(tblDefects[[#This Row],[Cost per occurrence]]="","",tblDefects[[#This Row],[Count]]*tblDefects[[#This Row],[Cost per occurrence]]))</f>
        <v>1.8</v>
      </c>
      <c r="H89" s="40">
        <f>IF(tblDefects[[#This Row],[Date]]="","",IF(AND(tblDefects[[#This Row],[Date]]&gt;=FFrom,tblDefects[[#This Row],[Date]]&lt;=FTo,OR(DashArea="",tblDefects[[#This Row],[Area]]=DashArea)),tblDefects[[#This Row],[Date]],""))</f>
        <v>46280</v>
      </c>
      <c r="I8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89" s="28" t="s">
        <v>114</v>
      </c>
    </row>
    <row r="90" spans="2:10">
      <c r="B90" s="37">
        <v>46280</v>
      </c>
      <c r="C90" s="28" t="s">
        <v>83</v>
      </c>
      <c r="D90" s="28" t="s">
        <v>99</v>
      </c>
      <c r="E90" s="38">
        <v>1</v>
      </c>
      <c r="F90" s="39">
        <f>IF(tblDefects[[#This Row],[Date]]="","",IFERROR(INDEX(tblCategories[Cost per occurrence],MATCH(tblDefects[[#This Row],[Category]],tblCategories[Category],0)),""))</f>
        <v>0.6</v>
      </c>
      <c r="G90" s="39">
        <f>IF(tblDefects[[#This Row],[Date]]="","",IF(tblDefects[[#This Row],[Cost per occurrence]]="","",tblDefects[[#This Row],[Count]]*tblDefects[[#This Row],[Cost per occurrence]]))</f>
        <v>0.6</v>
      </c>
      <c r="H90" s="40">
        <f>IF(tblDefects[[#This Row],[Date]]="","",IF(AND(tblDefects[[#This Row],[Date]]&gt;=FFrom,tblDefects[[#This Row],[Date]]&lt;=FTo,OR(DashArea="",tblDefects[[#This Row],[Area]]=DashArea)),tblDefects[[#This Row],[Date]],""))</f>
        <v>46280</v>
      </c>
      <c r="I9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90" s="28" t="s">
        <v>114</v>
      </c>
    </row>
    <row r="91" spans="2:10">
      <c r="B91" s="37">
        <v>46280</v>
      </c>
      <c r="C91" s="28" t="s">
        <v>83</v>
      </c>
      <c r="D91" s="28" t="s">
        <v>87</v>
      </c>
      <c r="E91" s="38">
        <v>2</v>
      </c>
      <c r="F91" s="39">
        <f>IF(tblDefects[[#This Row],[Date]]="","",IFERROR(INDEX(tblCategories[Cost per occurrence],MATCH(tblDefects[[#This Row],[Category]],tblCategories[Category],0)),""))</f>
        <v>0.35</v>
      </c>
      <c r="G91" s="39">
        <f>IF(tblDefects[[#This Row],[Date]]="","",IF(tblDefects[[#This Row],[Cost per occurrence]]="","",tblDefects[[#This Row],[Count]]*tblDefects[[#This Row],[Cost per occurrence]]))</f>
        <v>0.7</v>
      </c>
      <c r="H91" s="40">
        <f>IF(tblDefects[[#This Row],[Date]]="","",IF(AND(tblDefects[[#This Row],[Date]]&gt;=FFrom,tblDefects[[#This Row],[Date]]&lt;=FTo,OR(DashArea="",tblDefects[[#This Row],[Area]]=DashArea)),tblDefects[[#This Row],[Date]],""))</f>
        <v>46280</v>
      </c>
      <c r="I9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91" s="28" t="s">
        <v>114</v>
      </c>
    </row>
    <row r="92" spans="2:10">
      <c r="B92" s="37">
        <v>46280</v>
      </c>
      <c r="C92" s="28" t="s">
        <v>83</v>
      </c>
      <c r="D92" s="28" t="s">
        <v>103</v>
      </c>
      <c r="E92" s="38">
        <v>1</v>
      </c>
      <c r="F92" s="39">
        <f>IF(tblDefects[[#This Row],[Date]]="","",IFERROR(INDEX(tblCategories[Cost per occurrence],MATCH(tblDefects[[#This Row],[Category]],tblCategories[Category],0)),""))</f>
        <v>0.25</v>
      </c>
      <c r="G92" s="39">
        <f>IF(tblDefects[[#This Row],[Date]]="","",IF(tblDefects[[#This Row],[Cost per occurrence]]="","",tblDefects[[#This Row],[Count]]*tblDefects[[#This Row],[Cost per occurrence]]))</f>
        <v>0.25</v>
      </c>
      <c r="H92" s="40">
        <f>IF(tblDefects[[#This Row],[Date]]="","",IF(AND(tblDefects[[#This Row],[Date]]&gt;=FFrom,tblDefects[[#This Row],[Date]]&lt;=FTo,OR(DashArea="",tblDefects[[#This Row],[Area]]=DashArea)),tblDefects[[#This Row],[Date]],""))</f>
        <v>46280</v>
      </c>
      <c r="I9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92" s="28" t="s">
        <v>114</v>
      </c>
    </row>
    <row r="93" spans="2:10">
      <c r="B93" s="37">
        <v>46280</v>
      </c>
      <c r="C93" s="28" t="s">
        <v>83</v>
      </c>
      <c r="D93" s="28" t="s">
        <v>101</v>
      </c>
      <c r="E93" s="38">
        <v>1</v>
      </c>
      <c r="F93" s="39">
        <f>IF(tblDefects[[#This Row],[Date]]="","",IFERROR(INDEX(tblCategories[Cost per occurrence],MATCH(tblDefects[[#This Row],[Category]],tblCategories[Category],0)),""))</f>
        <v>7.8</v>
      </c>
      <c r="G93" s="39">
        <f>IF(tblDefects[[#This Row],[Date]]="","",IF(tblDefects[[#This Row],[Cost per occurrence]]="","",tblDefects[[#This Row],[Count]]*tblDefects[[#This Row],[Cost per occurrence]]))</f>
        <v>7.8</v>
      </c>
      <c r="H93" s="40">
        <f>IF(tblDefects[[#This Row],[Date]]="","",IF(AND(tblDefects[[#This Row],[Date]]&gt;=FFrom,tblDefects[[#This Row],[Date]]&lt;=FTo,OR(DashArea="",tblDefects[[#This Row],[Area]]=DashArea)),tblDefects[[#This Row],[Date]],""))</f>
        <v>46280</v>
      </c>
      <c r="I9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93" s="28" t="s">
        <v>114</v>
      </c>
    </row>
    <row r="94" spans="2:10">
      <c r="B94" s="37">
        <v>46281</v>
      </c>
      <c r="C94" s="28" t="s">
        <v>79</v>
      </c>
      <c r="D94" s="28" t="s">
        <v>87</v>
      </c>
      <c r="E94" s="38">
        <v>28</v>
      </c>
      <c r="F94" s="39">
        <f>IF(tblDefects[[#This Row],[Date]]="","",IFERROR(INDEX(tblCategories[Cost per occurrence],MATCH(tblDefects[[#This Row],[Category]],tblCategories[Category],0)),""))</f>
        <v>0.35</v>
      </c>
      <c r="G94" s="39">
        <f>IF(tblDefects[[#This Row],[Date]]="","",IF(tblDefects[[#This Row],[Cost per occurrence]]="","",tblDefects[[#This Row],[Count]]*tblDefects[[#This Row],[Cost per occurrence]]))</f>
        <v>9.8</v>
      </c>
      <c r="H94" s="40">
        <f>IF(tblDefects[[#This Row],[Date]]="","",IF(AND(tblDefects[[#This Row],[Date]]&gt;=FFrom,tblDefects[[#This Row],[Date]]&lt;=FTo,OR(DashArea="",tblDefects[[#This Row],[Area]]=DashArea)),tblDefects[[#This Row],[Date]],""))</f>
        <v>46281</v>
      </c>
      <c r="I9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94" s="28" t="s">
        <v>114</v>
      </c>
    </row>
    <row r="95" spans="2:10">
      <c r="B95" s="37">
        <v>46281</v>
      </c>
      <c r="C95" s="28" t="s">
        <v>79</v>
      </c>
      <c r="D95" s="28" t="s">
        <v>89</v>
      </c>
      <c r="E95" s="38">
        <v>10</v>
      </c>
      <c r="F95" s="39">
        <f>IF(tblDefects[[#This Row],[Date]]="","",IFERROR(INDEX(tblCategories[Cost per occurrence],MATCH(tblDefects[[#This Row],[Category]],tblCategories[Category],0)),""))</f>
        <v>1.2</v>
      </c>
      <c r="G95" s="39">
        <f>IF(tblDefects[[#This Row],[Date]]="","",IF(tblDefects[[#This Row],[Cost per occurrence]]="","",tblDefects[[#This Row],[Count]]*tblDefects[[#This Row],[Cost per occurrence]]))</f>
        <v>12</v>
      </c>
      <c r="H95" s="40">
        <f>IF(tblDefects[[#This Row],[Date]]="","",IF(AND(tblDefects[[#This Row],[Date]]&gt;=FFrom,tblDefects[[#This Row],[Date]]&lt;=FTo,OR(DashArea="",tblDefects[[#This Row],[Area]]=DashArea)),tblDefects[[#This Row],[Date]],""))</f>
        <v>46281</v>
      </c>
      <c r="I9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95" s="28" t="s">
        <v>114</v>
      </c>
    </row>
    <row r="96" spans="2:10">
      <c r="B96" s="37">
        <v>46281</v>
      </c>
      <c r="C96" s="28" t="s">
        <v>79</v>
      </c>
      <c r="D96" s="28" t="s">
        <v>91</v>
      </c>
      <c r="E96" s="38">
        <v>5</v>
      </c>
      <c r="F96" s="39">
        <f>IF(tblDefects[[#This Row],[Date]]="","",IFERROR(INDEX(tblCategories[Cost per occurrence],MATCH(tblDefects[[#This Row],[Category]],tblCategories[Category],0)),""))</f>
        <v>1.2</v>
      </c>
      <c r="G96" s="39">
        <f>IF(tblDefects[[#This Row],[Date]]="","",IF(tblDefects[[#This Row],[Cost per occurrence]]="","",tblDefects[[#This Row],[Count]]*tblDefects[[#This Row],[Cost per occurrence]]))</f>
        <v>6</v>
      </c>
      <c r="H96" s="40">
        <f>IF(tblDefects[[#This Row],[Date]]="","",IF(AND(tblDefects[[#This Row],[Date]]&gt;=FFrom,tblDefects[[#This Row],[Date]]&lt;=FTo,OR(DashArea="",tblDefects[[#This Row],[Area]]=DashArea)),tblDefects[[#This Row],[Date]],""))</f>
        <v>46281</v>
      </c>
      <c r="I9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96" s="28" t="s">
        <v>114</v>
      </c>
    </row>
    <row r="97" spans="2:10">
      <c r="B97" s="37">
        <v>46281</v>
      </c>
      <c r="C97" s="28" t="s">
        <v>79</v>
      </c>
      <c r="D97" s="28" t="s">
        <v>93</v>
      </c>
      <c r="E97" s="38">
        <v>7</v>
      </c>
      <c r="F97" s="39">
        <f>IF(tblDefects[[#This Row],[Date]]="","",IFERROR(INDEX(tblCategories[Cost per occurrence],MATCH(tblDefects[[#This Row],[Category]],tblCategories[Category],0)),""))</f>
        <v>1.2</v>
      </c>
      <c r="G97" s="39">
        <f>IF(tblDefects[[#This Row],[Date]]="","",IF(tblDefects[[#This Row],[Cost per occurrence]]="","",tblDefects[[#This Row],[Count]]*tblDefects[[#This Row],[Cost per occurrence]]))</f>
        <v>8.4</v>
      </c>
      <c r="H97" s="40">
        <f>IF(tblDefects[[#This Row],[Date]]="","",IF(AND(tblDefects[[#This Row],[Date]]&gt;=FFrom,tblDefects[[#This Row],[Date]]&lt;=FTo,OR(DashArea="",tblDefects[[#This Row],[Area]]=DashArea)),tblDefects[[#This Row],[Date]],""))</f>
        <v>46281</v>
      </c>
      <c r="I9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97" s="28" t="s">
        <v>114</v>
      </c>
    </row>
    <row r="98" spans="2:10">
      <c r="B98" s="37">
        <v>46281</v>
      </c>
      <c r="C98" s="28" t="s">
        <v>79</v>
      </c>
      <c r="D98" s="28" t="s">
        <v>95</v>
      </c>
      <c r="E98" s="38">
        <v>4</v>
      </c>
      <c r="F98" s="39">
        <f>IF(tblDefects[[#This Row],[Date]]="","",IFERROR(INDEX(tblCategories[Cost per occurrence],MATCH(tblDefects[[#This Row],[Category]],tblCategories[Category],0)),""))</f>
        <v>1.2</v>
      </c>
      <c r="G98" s="39">
        <f>IF(tblDefects[[#This Row],[Date]]="","",IF(tblDefects[[#This Row],[Cost per occurrence]]="","",tblDefects[[#This Row],[Count]]*tblDefects[[#This Row],[Cost per occurrence]]))</f>
        <v>4.8</v>
      </c>
      <c r="H98" s="40">
        <f>IF(tblDefects[[#This Row],[Date]]="","",IF(AND(tblDefects[[#This Row],[Date]]&gt;=FFrom,tblDefects[[#This Row],[Date]]&lt;=FTo,OR(DashArea="",tblDefects[[#This Row],[Area]]=DashArea)),tblDefects[[#This Row],[Date]],""))</f>
        <v>46281</v>
      </c>
      <c r="I9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98" s="28" t="s">
        <v>114</v>
      </c>
    </row>
    <row r="99" spans="2:10">
      <c r="B99" s="37">
        <v>46281</v>
      </c>
      <c r="C99" s="28" t="s">
        <v>79</v>
      </c>
      <c r="D99" s="28" t="s">
        <v>97</v>
      </c>
      <c r="E99" s="38">
        <v>2</v>
      </c>
      <c r="F99" s="39">
        <f>IF(tblDefects[[#This Row],[Date]]="","",IFERROR(INDEX(tblCategories[Cost per occurrence],MATCH(tblDefects[[#This Row],[Category]],tblCategories[Category],0)),""))</f>
        <v>1.2</v>
      </c>
      <c r="G99" s="39">
        <f>IF(tblDefects[[#This Row],[Date]]="","",IF(tblDefects[[#This Row],[Cost per occurrence]]="","",tblDefects[[#This Row],[Count]]*tblDefects[[#This Row],[Cost per occurrence]]))</f>
        <v>2.4</v>
      </c>
      <c r="H99" s="40">
        <f>IF(tblDefects[[#This Row],[Date]]="","",IF(AND(tblDefects[[#This Row],[Date]]&gt;=FFrom,tblDefects[[#This Row],[Date]]&lt;=FTo,OR(DashArea="",tblDefects[[#This Row],[Area]]=DashArea)),tblDefects[[#This Row],[Date]],""))</f>
        <v>46281</v>
      </c>
      <c r="I9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99" s="28" t="s">
        <v>114</v>
      </c>
    </row>
    <row r="100" spans="2:10">
      <c r="B100" s="37">
        <v>46281</v>
      </c>
      <c r="C100" s="28" t="s">
        <v>81</v>
      </c>
      <c r="D100" s="28" t="s">
        <v>101</v>
      </c>
      <c r="E100" s="38">
        <v>4</v>
      </c>
      <c r="F100" s="39">
        <f>IF(tblDefects[[#This Row],[Date]]="","",IFERROR(INDEX(tblCategories[Cost per occurrence],MATCH(tblDefects[[#This Row],[Category]],tblCategories[Category],0)),""))</f>
        <v>7.8</v>
      </c>
      <c r="G100" s="39">
        <f>IF(tblDefects[[#This Row],[Date]]="","",IF(tblDefects[[#This Row],[Cost per occurrence]]="","",tblDefects[[#This Row],[Count]]*tblDefects[[#This Row],[Cost per occurrence]]))</f>
        <v>31.2</v>
      </c>
      <c r="H100" s="40">
        <f>IF(tblDefects[[#This Row],[Date]]="","",IF(AND(tblDefects[[#This Row],[Date]]&gt;=FFrom,tblDefects[[#This Row],[Date]]&lt;=FTo,OR(DashArea="",tblDefects[[#This Row],[Area]]=DashArea)),tblDefects[[#This Row],[Date]],""))</f>
        <v>46281</v>
      </c>
      <c r="I10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00" s="28" t="s">
        <v>114</v>
      </c>
    </row>
    <row r="101" spans="2:10">
      <c r="B101" s="37">
        <v>46281</v>
      </c>
      <c r="C101" s="28" t="s">
        <v>81</v>
      </c>
      <c r="D101" s="28" t="s">
        <v>105</v>
      </c>
      <c r="E101" s="38">
        <v>2</v>
      </c>
      <c r="F101" s="39">
        <f>IF(tblDefects[[#This Row],[Date]]="","",IFERROR(INDEX(tblCategories[Cost per occurrence],MATCH(tblDefects[[#This Row],[Category]],tblCategories[Category],0)),""))</f>
        <v>7.8</v>
      </c>
      <c r="G101" s="39">
        <f>IF(tblDefects[[#This Row],[Date]]="","",IF(tblDefects[[#This Row],[Cost per occurrence]]="","",tblDefects[[#This Row],[Count]]*tblDefects[[#This Row],[Cost per occurrence]]))</f>
        <v>15.6</v>
      </c>
      <c r="H101" s="40">
        <f>IF(tblDefects[[#This Row],[Date]]="","",IF(AND(tblDefects[[#This Row],[Date]]&gt;=FFrom,tblDefects[[#This Row],[Date]]&lt;=FTo,OR(DashArea="",tblDefects[[#This Row],[Area]]=DashArea)),tblDefects[[#This Row],[Date]],""))</f>
        <v>46281</v>
      </c>
      <c r="I10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01" s="28" t="s">
        <v>114</v>
      </c>
    </row>
    <row r="102" spans="2:10">
      <c r="B102" s="37">
        <v>46281</v>
      </c>
      <c r="C102" s="28" t="s">
        <v>81</v>
      </c>
      <c r="D102" s="28" t="s">
        <v>103</v>
      </c>
      <c r="E102" s="38">
        <v>6</v>
      </c>
      <c r="F102" s="39">
        <f>IF(tblDefects[[#This Row],[Date]]="","",IFERROR(INDEX(tblCategories[Cost per occurrence],MATCH(tblDefects[[#This Row],[Category]],tblCategories[Category],0)),""))</f>
        <v>0.25</v>
      </c>
      <c r="G102" s="39">
        <f>IF(tblDefects[[#This Row],[Date]]="","",IF(tblDefects[[#This Row],[Cost per occurrence]]="","",tblDefects[[#This Row],[Count]]*tblDefects[[#This Row],[Cost per occurrence]]))</f>
        <v>1.5</v>
      </c>
      <c r="H102" s="40">
        <f>IF(tblDefects[[#This Row],[Date]]="","",IF(AND(tblDefects[[#This Row],[Date]]&gt;=FFrom,tblDefects[[#This Row],[Date]]&lt;=FTo,OR(DashArea="",tblDefects[[#This Row],[Area]]=DashArea)),tblDefects[[#This Row],[Date]],""))</f>
        <v>46281</v>
      </c>
      <c r="I10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02" s="28" t="s">
        <v>114</v>
      </c>
    </row>
    <row r="103" spans="2:10">
      <c r="B103" s="37">
        <v>46281</v>
      </c>
      <c r="C103" s="28" t="s">
        <v>81</v>
      </c>
      <c r="D103" s="28" t="s">
        <v>99</v>
      </c>
      <c r="E103" s="38">
        <v>2</v>
      </c>
      <c r="F103" s="39">
        <f>IF(tblDefects[[#This Row],[Date]]="","",IFERROR(INDEX(tblCategories[Cost per occurrence],MATCH(tblDefects[[#This Row],[Category]],tblCategories[Category],0)),""))</f>
        <v>0.6</v>
      </c>
      <c r="G103" s="39">
        <f>IF(tblDefects[[#This Row],[Date]]="","",IF(tblDefects[[#This Row],[Cost per occurrence]]="","",tblDefects[[#This Row],[Count]]*tblDefects[[#This Row],[Cost per occurrence]]))</f>
        <v>1.2</v>
      </c>
      <c r="H103" s="40">
        <f>IF(tblDefects[[#This Row],[Date]]="","",IF(AND(tblDefects[[#This Row],[Date]]&gt;=FFrom,tblDefects[[#This Row],[Date]]&lt;=FTo,OR(DashArea="",tblDefects[[#This Row],[Area]]=DashArea)),tblDefects[[#This Row],[Date]],""))</f>
        <v>46281</v>
      </c>
      <c r="I10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03" s="28" t="s">
        <v>114</v>
      </c>
    </row>
    <row r="104" spans="2:10">
      <c r="B104" s="37">
        <v>46281</v>
      </c>
      <c r="C104" s="28" t="s">
        <v>83</v>
      </c>
      <c r="D104" s="28" t="s">
        <v>99</v>
      </c>
      <c r="E104" s="38">
        <v>3</v>
      </c>
      <c r="F104" s="39">
        <f>IF(tblDefects[[#This Row],[Date]]="","",IFERROR(INDEX(tblCategories[Cost per occurrence],MATCH(tblDefects[[#This Row],[Category]],tblCategories[Category],0)),""))</f>
        <v>0.6</v>
      </c>
      <c r="G104" s="39">
        <f>IF(tblDefects[[#This Row],[Date]]="","",IF(tblDefects[[#This Row],[Cost per occurrence]]="","",tblDefects[[#This Row],[Count]]*tblDefects[[#This Row],[Cost per occurrence]]))</f>
        <v>1.8</v>
      </c>
      <c r="H104" s="40">
        <f>IF(tblDefects[[#This Row],[Date]]="","",IF(AND(tblDefects[[#This Row],[Date]]&gt;=FFrom,tblDefects[[#This Row],[Date]]&lt;=FTo,OR(DashArea="",tblDefects[[#This Row],[Area]]=DashArea)),tblDefects[[#This Row],[Date]],""))</f>
        <v>46281</v>
      </c>
      <c r="I10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04" s="28" t="s">
        <v>114</v>
      </c>
    </row>
    <row r="105" spans="2:10">
      <c r="B105" s="37">
        <v>46281</v>
      </c>
      <c r="C105" s="28" t="s">
        <v>83</v>
      </c>
      <c r="D105" s="28" t="s">
        <v>87</v>
      </c>
      <c r="E105" s="38">
        <v>2</v>
      </c>
      <c r="F105" s="39">
        <f>IF(tblDefects[[#This Row],[Date]]="","",IFERROR(INDEX(tblCategories[Cost per occurrence],MATCH(tblDefects[[#This Row],[Category]],tblCategories[Category],0)),""))</f>
        <v>0.35</v>
      </c>
      <c r="G105" s="39">
        <f>IF(tblDefects[[#This Row],[Date]]="","",IF(tblDefects[[#This Row],[Cost per occurrence]]="","",tblDefects[[#This Row],[Count]]*tblDefects[[#This Row],[Cost per occurrence]]))</f>
        <v>0.7</v>
      </c>
      <c r="H105" s="40">
        <f>IF(tblDefects[[#This Row],[Date]]="","",IF(AND(tblDefects[[#This Row],[Date]]&gt;=FFrom,tblDefects[[#This Row],[Date]]&lt;=FTo,OR(DashArea="",tblDefects[[#This Row],[Area]]=DashArea)),tblDefects[[#This Row],[Date]],""))</f>
        <v>46281</v>
      </c>
      <c r="I10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05" s="28" t="s">
        <v>114</v>
      </c>
    </row>
    <row r="106" spans="2:10">
      <c r="B106" s="37">
        <v>46281</v>
      </c>
      <c r="C106" s="28" t="s">
        <v>83</v>
      </c>
      <c r="D106" s="28" t="s">
        <v>103</v>
      </c>
      <c r="E106" s="38">
        <v>1</v>
      </c>
      <c r="F106" s="39">
        <f>IF(tblDefects[[#This Row],[Date]]="","",IFERROR(INDEX(tblCategories[Cost per occurrence],MATCH(tblDefects[[#This Row],[Category]],tblCategories[Category],0)),""))</f>
        <v>0.25</v>
      </c>
      <c r="G106" s="39">
        <f>IF(tblDefects[[#This Row],[Date]]="","",IF(tblDefects[[#This Row],[Cost per occurrence]]="","",tblDefects[[#This Row],[Count]]*tblDefects[[#This Row],[Cost per occurrence]]))</f>
        <v>0.25</v>
      </c>
      <c r="H106" s="40">
        <f>IF(tblDefects[[#This Row],[Date]]="","",IF(AND(tblDefects[[#This Row],[Date]]&gt;=FFrom,tblDefects[[#This Row],[Date]]&lt;=FTo,OR(DashArea="",tblDefects[[#This Row],[Area]]=DashArea)),tblDefects[[#This Row],[Date]],""))</f>
        <v>46281</v>
      </c>
      <c r="I10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06" s="28" t="s">
        <v>114</v>
      </c>
    </row>
    <row r="107" spans="2:10">
      <c r="B107" s="37">
        <v>46281</v>
      </c>
      <c r="C107" s="28" t="s">
        <v>83</v>
      </c>
      <c r="D107" s="28" t="s">
        <v>91</v>
      </c>
      <c r="E107" s="38">
        <v>3</v>
      </c>
      <c r="F107" s="39">
        <f>IF(tblDefects[[#This Row],[Date]]="","",IFERROR(INDEX(tblCategories[Cost per occurrence],MATCH(tblDefects[[#This Row],[Category]],tblCategories[Category],0)),""))</f>
        <v>1.2</v>
      </c>
      <c r="G107" s="39">
        <f>IF(tblDefects[[#This Row],[Date]]="","",IF(tblDefects[[#This Row],[Cost per occurrence]]="","",tblDefects[[#This Row],[Count]]*tblDefects[[#This Row],[Cost per occurrence]]))</f>
        <v>3.6</v>
      </c>
      <c r="H107" s="40">
        <f>IF(tblDefects[[#This Row],[Date]]="","",IF(AND(tblDefects[[#This Row],[Date]]&gt;=FFrom,tblDefects[[#This Row],[Date]]&lt;=FTo,OR(DashArea="",tblDefects[[#This Row],[Area]]=DashArea)),tblDefects[[#This Row],[Date]],""))</f>
        <v>46281</v>
      </c>
      <c r="I10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07" s="28" t="s">
        <v>114</v>
      </c>
    </row>
    <row r="108" spans="2:10">
      <c r="B108" s="37">
        <v>46282</v>
      </c>
      <c r="C108" s="28" t="s">
        <v>79</v>
      </c>
      <c r="D108" s="28" t="s">
        <v>87</v>
      </c>
      <c r="E108" s="38">
        <v>31</v>
      </c>
      <c r="F108" s="39">
        <f>IF(tblDefects[[#This Row],[Date]]="","",IFERROR(INDEX(tblCategories[Cost per occurrence],MATCH(tblDefects[[#This Row],[Category]],tblCategories[Category],0)),""))</f>
        <v>0.35</v>
      </c>
      <c r="G108" s="39">
        <f>IF(tblDefects[[#This Row],[Date]]="","",IF(tblDefects[[#This Row],[Cost per occurrence]]="","",tblDefects[[#This Row],[Count]]*tblDefects[[#This Row],[Cost per occurrence]]))</f>
        <v>10.85</v>
      </c>
      <c r="H108" s="40">
        <f>IF(tblDefects[[#This Row],[Date]]="","",IF(AND(tblDefects[[#This Row],[Date]]&gt;=FFrom,tblDefects[[#This Row],[Date]]&lt;=FTo,OR(DashArea="",tblDefects[[#This Row],[Area]]=DashArea)),tblDefects[[#This Row],[Date]],""))</f>
        <v>46282</v>
      </c>
      <c r="I10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08" s="28" t="s">
        <v>114</v>
      </c>
    </row>
    <row r="109" spans="2:10">
      <c r="B109" s="37">
        <v>46282</v>
      </c>
      <c r="C109" s="28" t="s">
        <v>79</v>
      </c>
      <c r="D109" s="28" t="s">
        <v>89</v>
      </c>
      <c r="E109" s="38">
        <v>22</v>
      </c>
      <c r="F109" s="39">
        <f>IF(tblDefects[[#This Row],[Date]]="","",IFERROR(INDEX(tblCategories[Cost per occurrence],MATCH(tblDefects[[#This Row],[Category]],tblCategories[Category],0)),""))</f>
        <v>1.2</v>
      </c>
      <c r="G109" s="39">
        <f>IF(tblDefects[[#This Row],[Date]]="","",IF(tblDefects[[#This Row],[Cost per occurrence]]="","",tblDefects[[#This Row],[Count]]*tblDefects[[#This Row],[Cost per occurrence]]))</f>
        <v>26.4</v>
      </c>
      <c r="H109" s="40">
        <f>IF(tblDefects[[#This Row],[Date]]="","",IF(AND(tblDefects[[#This Row],[Date]]&gt;=FFrom,tblDefects[[#This Row],[Date]]&lt;=FTo,OR(DashArea="",tblDefects[[#This Row],[Area]]=DashArea)),tblDefects[[#This Row],[Date]],""))</f>
        <v>46282</v>
      </c>
      <c r="I10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09" s="28" t="s">
        <v>114</v>
      </c>
    </row>
    <row r="110" spans="2:10">
      <c r="B110" s="37">
        <v>46282</v>
      </c>
      <c r="C110" s="28" t="s">
        <v>79</v>
      </c>
      <c r="D110" s="28" t="s">
        <v>91</v>
      </c>
      <c r="E110" s="38">
        <v>8</v>
      </c>
      <c r="F110" s="39">
        <f>IF(tblDefects[[#This Row],[Date]]="","",IFERROR(INDEX(tblCategories[Cost per occurrence],MATCH(tblDefects[[#This Row],[Category]],tblCategories[Category],0)),""))</f>
        <v>1.2</v>
      </c>
      <c r="G110" s="39">
        <f>IF(tblDefects[[#This Row],[Date]]="","",IF(tblDefects[[#This Row],[Cost per occurrence]]="","",tblDefects[[#This Row],[Count]]*tblDefects[[#This Row],[Cost per occurrence]]))</f>
        <v>9.6</v>
      </c>
      <c r="H110" s="40">
        <f>IF(tblDefects[[#This Row],[Date]]="","",IF(AND(tblDefects[[#This Row],[Date]]&gt;=FFrom,tblDefects[[#This Row],[Date]]&lt;=FTo,OR(DashArea="",tblDefects[[#This Row],[Area]]=DashArea)),tblDefects[[#This Row],[Date]],""))</f>
        <v>46282</v>
      </c>
      <c r="I11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10" s="28" t="s">
        <v>114</v>
      </c>
    </row>
    <row r="111" spans="2:10">
      <c r="B111" s="37">
        <v>46282</v>
      </c>
      <c r="C111" s="28" t="s">
        <v>79</v>
      </c>
      <c r="D111" s="28" t="s">
        <v>93</v>
      </c>
      <c r="E111" s="38">
        <v>4</v>
      </c>
      <c r="F111" s="39">
        <f>IF(tblDefects[[#This Row],[Date]]="","",IFERROR(INDEX(tblCategories[Cost per occurrence],MATCH(tblDefects[[#This Row],[Category]],tblCategories[Category],0)),""))</f>
        <v>1.2</v>
      </c>
      <c r="G111" s="39">
        <f>IF(tblDefects[[#This Row],[Date]]="","",IF(tblDefects[[#This Row],[Cost per occurrence]]="","",tblDefects[[#This Row],[Count]]*tblDefects[[#This Row],[Cost per occurrence]]))</f>
        <v>4.8</v>
      </c>
      <c r="H111" s="40">
        <f>IF(tblDefects[[#This Row],[Date]]="","",IF(AND(tblDefects[[#This Row],[Date]]&gt;=FFrom,tblDefects[[#This Row],[Date]]&lt;=FTo,OR(DashArea="",tblDefects[[#This Row],[Area]]=DashArea)),tblDefects[[#This Row],[Date]],""))</f>
        <v>46282</v>
      </c>
      <c r="I11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11" s="28" t="s">
        <v>114</v>
      </c>
    </row>
    <row r="112" spans="2:10">
      <c r="B112" s="37">
        <v>46282</v>
      </c>
      <c r="C112" s="28" t="s">
        <v>79</v>
      </c>
      <c r="D112" s="28" t="s">
        <v>95</v>
      </c>
      <c r="E112" s="38">
        <v>2</v>
      </c>
      <c r="F112" s="39">
        <f>IF(tblDefects[[#This Row],[Date]]="","",IFERROR(INDEX(tblCategories[Cost per occurrence],MATCH(tblDefects[[#This Row],[Category]],tblCategories[Category],0)),""))</f>
        <v>1.2</v>
      </c>
      <c r="G112" s="39">
        <f>IF(tblDefects[[#This Row],[Date]]="","",IF(tblDefects[[#This Row],[Cost per occurrence]]="","",tblDefects[[#This Row],[Count]]*tblDefects[[#This Row],[Cost per occurrence]]))</f>
        <v>2.4</v>
      </c>
      <c r="H112" s="40">
        <f>IF(tblDefects[[#This Row],[Date]]="","",IF(AND(tblDefects[[#This Row],[Date]]&gt;=FFrom,tblDefects[[#This Row],[Date]]&lt;=FTo,OR(DashArea="",tblDefects[[#This Row],[Area]]=DashArea)),tblDefects[[#This Row],[Date]],""))</f>
        <v>46282</v>
      </c>
      <c r="I11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12" s="28" t="s">
        <v>114</v>
      </c>
    </row>
    <row r="113" spans="2:10">
      <c r="B113" s="37">
        <v>46282</v>
      </c>
      <c r="C113" s="28" t="s">
        <v>79</v>
      </c>
      <c r="D113" s="28" t="s">
        <v>97</v>
      </c>
      <c r="E113" s="38">
        <v>1</v>
      </c>
      <c r="F113" s="39">
        <f>IF(tblDefects[[#This Row],[Date]]="","",IFERROR(INDEX(tblCategories[Cost per occurrence],MATCH(tblDefects[[#This Row],[Category]],tblCategories[Category],0)),""))</f>
        <v>1.2</v>
      </c>
      <c r="G113" s="39">
        <f>IF(tblDefects[[#This Row],[Date]]="","",IF(tblDefects[[#This Row],[Cost per occurrence]]="","",tblDefects[[#This Row],[Count]]*tblDefects[[#This Row],[Cost per occurrence]]))</f>
        <v>1.2</v>
      </c>
      <c r="H113" s="40">
        <f>IF(tblDefects[[#This Row],[Date]]="","",IF(AND(tblDefects[[#This Row],[Date]]&gt;=FFrom,tblDefects[[#This Row],[Date]]&lt;=FTo,OR(DashArea="",tblDefects[[#This Row],[Area]]=DashArea)),tblDefects[[#This Row],[Date]],""))</f>
        <v>46282</v>
      </c>
      <c r="I11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13" s="28" t="s">
        <v>114</v>
      </c>
    </row>
    <row r="114" spans="2:10">
      <c r="B114" s="37">
        <v>46282</v>
      </c>
      <c r="C114" s="28" t="s">
        <v>81</v>
      </c>
      <c r="D114" s="28" t="s">
        <v>101</v>
      </c>
      <c r="E114" s="38">
        <v>3</v>
      </c>
      <c r="F114" s="39">
        <f>IF(tblDefects[[#This Row],[Date]]="","",IFERROR(INDEX(tblCategories[Cost per occurrence],MATCH(tblDefects[[#This Row],[Category]],tblCategories[Category],0)),""))</f>
        <v>7.8</v>
      </c>
      <c r="G114" s="39">
        <f>IF(tblDefects[[#This Row],[Date]]="","",IF(tblDefects[[#This Row],[Cost per occurrence]]="","",tblDefects[[#This Row],[Count]]*tblDefects[[#This Row],[Cost per occurrence]]))</f>
        <v>23.4</v>
      </c>
      <c r="H114" s="40">
        <f>IF(tblDefects[[#This Row],[Date]]="","",IF(AND(tblDefects[[#This Row],[Date]]&gt;=FFrom,tblDefects[[#This Row],[Date]]&lt;=FTo,OR(DashArea="",tblDefects[[#This Row],[Area]]=DashArea)),tblDefects[[#This Row],[Date]],""))</f>
        <v>46282</v>
      </c>
      <c r="I11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14" s="28" t="s">
        <v>114</v>
      </c>
    </row>
    <row r="115" spans="2:10">
      <c r="B115" s="37">
        <v>46282</v>
      </c>
      <c r="C115" s="28" t="s">
        <v>81</v>
      </c>
      <c r="D115" s="28" t="s">
        <v>99</v>
      </c>
      <c r="E115" s="38">
        <v>6</v>
      </c>
      <c r="F115" s="39">
        <f>IF(tblDefects[[#This Row],[Date]]="","",IFERROR(INDEX(tblCategories[Cost per occurrence],MATCH(tblDefects[[#This Row],[Category]],tblCategories[Category],0)),""))</f>
        <v>0.6</v>
      </c>
      <c r="G115" s="39">
        <f>IF(tblDefects[[#This Row],[Date]]="","",IF(tblDefects[[#This Row],[Cost per occurrence]]="","",tblDefects[[#This Row],[Count]]*tblDefects[[#This Row],[Cost per occurrence]]))</f>
        <v>3.6</v>
      </c>
      <c r="H115" s="40">
        <f>IF(tblDefects[[#This Row],[Date]]="","",IF(AND(tblDefects[[#This Row],[Date]]&gt;=FFrom,tblDefects[[#This Row],[Date]]&lt;=FTo,OR(DashArea="",tblDefects[[#This Row],[Area]]=DashArea)),tblDefects[[#This Row],[Date]],""))</f>
        <v>46282</v>
      </c>
      <c r="I11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15" s="28" t="s">
        <v>114</v>
      </c>
    </row>
    <row r="116" spans="2:10">
      <c r="B116" s="37">
        <v>46282</v>
      </c>
      <c r="C116" s="28" t="s">
        <v>83</v>
      </c>
      <c r="D116" s="28" t="s">
        <v>87</v>
      </c>
      <c r="E116" s="38">
        <v>2</v>
      </c>
      <c r="F116" s="39">
        <f>IF(tblDefects[[#This Row],[Date]]="","",IFERROR(INDEX(tblCategories[Cost per occurrence],MATCH(tblDefects[[#This Row],[Category]],tblCategories[Category],0)),""))</f>
        <v>0.35</v>
      </c>
      <c r="G116" s="39">
        <f>IF(tblDefects[[#This Row],[Date]]="","",IF(tblDefects[[#This Row],[Cost per occurrence]]="","",tblDefects[[#This Row],[Count]]*tblDefects[[#This Row],[Cost per occurrence]]))</f>
        <v>0.7</v>
      </c>
      <c r="H116" s="40">
        <f>IF(tblDefects[[#This Row],[Date]]="","",IF(AND(tblDefects[[#This Row],[Date]]&gt;=FFrom,tblDefects[[#This Row],[Date]]&lt;=FTo,OR(DashArea="",tblDefects[[#This Row],[Area]]=DashArea)),tblDefects[[#This Row],[Date]],""))</f>
        <v>46282</v>
      </c>
      <c r="I11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16" s="28" t="s">
        <v>114</v>
      </c>
    </row>
    <row r="117" spans="2:10">
      <c r="B117" s="37">
        <v>46282</v>
      </c>
      <c r="C117" s="28" t="s">
        <v>83</v>
      </c>
      <c r="D117" s="28" t="s">
        <v>103</v>
      </c>
      <c r="E117" s="38">
        <v>2</v>
      </c>
      <c r="F117" s="39">
        <f>IF(tblDefects[[#This Row],[Date]]="","",IFERROR(INDEX(tblCategories[Cost per occurrence],MATCH(tblDefects[[#This Row],[Category]],tblCategories[Category],0)),""))</f>
        <v>0.25</v>
      </c>
      <c r="G117" s="39">
        <f>IF(tblDefects[[#This Row],[Date]]="","",IF(tblDefects[[#This Row],[Cost per occurrence]]="","",tblDefects[[#This Row],[Count]]*tblDefects[[#This Row],[Cost per occurrence]]))</f>
        <v>0.5</v>
      </c>
      <c r="H117" s="40">
        <f>IF(tblDefects[[#This Row],[Date]]="","",IF(AND(tblDefects[[#This Row],[Date]]&gt;=FFrom,tblDefects[[#This Row],[Date]]&lt;=FTo,OR(DashArea="",tblDefects[[#This Row],[Area]]=DashArea)),tblDefects[[#This Row],[Date]],""))</f>
        <v>46282</v>
      </c>
      <c r="I11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17" s="28" t="s">
        <v>114</v>
      </c>
    </row>
    <row r="118" spans="2:10">
      <c r="B118" s="37">
        <v>46282</v>
      </c>
      <c r="C118" s="28" t="s">
        <v>83</v>
      </c>
      <c r="D118" s="28" t="s">
        <v>91</v>
      </c>
      <c r="E118" s="38">
        <v>3</v>
      </c>
      <c r="F118" s="39">
        <f>IF(tblDefects[[#This Row],[Date]]="","",IFERROR(INDEX(tblCategories[Cost per occurrence],MATCH(tblDefects[[#This Row],[Category]],tblCategories[Category],0)),""))</f>
        <v>1.2</v>
      </c>
      <c r="G118" s="39">
        <f>IF(tblDefects[[#This Row],[Date]]="","",IF(tblDefects[[#This Row],[Cost per occurrence]]="","",tblDefects[[#This Row],[Count]]*tblDefects[[#This Row],[Cost per occurrence]]))</f>
        <v>3.6</v>
      </c>
      <c r="H118" s="40">
        <f>IF(tblDefects[[#This Row],[Date]]="","",IF(AND(tblDefects[[#This Row],[Date]]&gt;=FFrom,tblDefects[[#This Row],[Date]]&lt;=FTo,OR(DashArea="",tblDefects[[#This Row],[Area]]=DashArea)),tblDefects[[#This Row],[Date]],""))</f>
        <v>46282</v>
      </c>
      <c r="I11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18" s="28" t="s">
        <v>114</v>
      </c>
    </row>
    <row r="119" spans="2:10">
      <c r="B119" s="37">
        <v>46283</v>
      </c>
      <c r="C119" s="28" t="s">
        <v>79</v>
      </c>
      <c r="D119" s="28" t="s">
        <v>87</v>
      </c>
      <c r="E119" s="38">
        <v>30</v>
      </c>
      <c r="F119" s="39">
        <f>IF(tblDefects[[#This Row],[Date]]="","",IFERROR(INDEX(tblCategories[Cost per occurrence],MATCH(tblDefects[[#This Row],[Category]],tblCategories[Category],0)),""))</f>
        <v>0.35</v>
      </c>
      <c r="G119" s="39">
        <f>IF(tblDefects[[#This Row],[Date]]="","",IF(tblDefects[[#This Row],[Cost per occurrence]]="","",tblDefects[[#This Row],[Count]]*tblDefects[[#This Row],[Cost per occurrence]]))</f>
        <v>10.5</v>
      </c>
      <c r="H119" s="40">
        <f>IF(tblDefects[[#This Row],[Date]]="","",IF(AND(tblDefects[[#This Row],[Date]]&gt;=FFrom,tblDefects[[#This Row],[Date]]&lt;=FTo,OR(DashArea="",tblDefects[[#This Row],[Area]]=DashArea)),tblDefects[[#This Row],[Date]],""))</f>
        <v>46283</v>
      </c>
      <c r="I11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19" s="28" t="s">
        <v>114</v>
      </c>
    </row>
    <row r="120" spans="2:10">
      <c r="B120" s="37">
        <v>46283</v>
      </c>
      <c r="C120" s="28" t="s">
        <v>79</v>
      </c>
      <c r="D120" s="28" t="s">
        <v>89</v>
      </c>
      <c r="E120" s="38">
        <v>12</v>
      </c>
      <c r="F120" s="39">
        <f>IF(tblDefects[[#This Row],[Date]]="","",IFERROR(INDEX(tblCategories[Cost per occurrence],MATCH(tblDefects[[#This Row],[Category]],tblCategories[Category],0)),""))</f>
        <v>1.2</v>
      </c>
      <c r="G120" s="39">
        <f>IF(tblDefects[[#This Row],[Date]]="","",IF(tblDefects[[#This Row],[Cost per occurrence]]="","",tblDefects[[#This Row],[Count]]*tblDefects[[#This Row],[Cost per occurrence]]))</f>
        <v>14.4</v>
      </c>
      <c r="H120" s="40">
        <f>IF(tblDefects[[#This Row],[Date]]="","",IF(AND(tblDefects[[#This Row],[Date]]&gt;=FFrom,tblDefects[[#This Row],[Date]]&lt;=FTo,OR(DashArea="",tblDefects[[#This Row],[Area]]=DashArea)),tblDefects[[#This Row],[Date]],""))</f>
        <v>46283</v>
      </c>
      <c r="I12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20" s="28" t="s">
        <v>114</v>
      </c>
    </row>
    <row r="121" spans="2:10">
      <c r="B121" s="37">
        <v>46283</v>
      </c>
      <c r="C121" s="28" t="s">
        <v>79</v>
      </c>
      <c r="D121" s="28" t="s">
        <v>91</v>
      </c>
      <c r="E121" s="38">
        <v>9</v>
      </c>
      <c r="F121" s="39">
        <f>IF(tblDefects[[#This Row],[Date]]="","",IFERROR(INDEX(tblCategories[Cost per occurrence],MATCH(tblDefects[[#This Row],[Category]],tblCategories[Category],0)),""))</f>
        <v>1.2</v>
      </c>
      <c r="G121" s="39">
        <f>IF(tblDefects[[#This Row],[Date]]="","",IF(tblDefects[[#This Row],[Cost per occurrence]]="","",tblDefects[[#This Row],[Count]]*tblDefects[[#This Row],[Cost per occurrence]]))</f>
        <v>10.8</v>
      </c>
      <c r="H121" s="40">
        <f>IF(tblDefects[[#This Row],[Date]]="","",IF(AND(tblDefects[[#This Row],[Date]]&gt;=FFrom,tblDefects[[#This Row],[Date]]&lt;=FTo,OR(DashArea="",tblDefects[[#This Row],[Area]]=DashArea)),tblDefects[[#This Row],[Date]],""))</f>
        <v>46283</v>
      </c>
      <c r="I12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21" s="28" t="s">
        <v>114</v>
      </c>
    </row>
    <row r="122" spans="2:10">
      <c r="B122" s="37">
        <v>46283</v>
      </c>
      <c r="C122" s="28" t="s">
        <v>79</v>
      </c>
      <c r="D122" s="28" t="s">
        <v>93</v>
      </c>
      <c r="E122" s="38">
        <v>5</v>
      </c>
      <c r="F122" s="39">
        <f>IF(tblDefects[[#This Row],[Date]]="","",IFERROR(INDEX(tblCategories[Cost per occurrence],MATCH(tblDefects[[#This Row],[Category]],tblCategories[Category],0)),""))</f>
        <v>1.2</v>
      </c>
      <c r="G122" s="39">
        <f>IF(tblDefects[[#This Row],[Date]]="","",IF(tblDefects[[#This Row],[Cost per occurrence]]="","",tblDefects[[#This Row],[Count]]*tblDefects[[#This Row],[Cost per occurrence]]))</f>
        <v>6</v>
      </c>
      <c r="H122" s="40">
        <f>IF(tblDefects[[#This Row],[Date]]="","",IF(AND(tblDefects[[#This Row],[Date]]&gt;=FFrom,tblDefects[[#This Row],[Date]]&lt;=FTo,OR(DashArea="",tblDefects[[#This Row],[Area]]=DashArea)),tblDefects[[#This Row],[Date]],""))</f>
        <v>46283</v>
      </c>
      <c r="I12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22" s="28" t="s">
        <v>114</v>
      </c>
    </row>
    <row r="123" spans="2:10">
      <c r="B123" s="37">
        <v>46283</v>
      </c>
      <c r="C123" s="28" t="s">
        <v>79</v>
      </c>
      <c r="D123" s="28" t="s">
        <v>95</v>
      </c>
      <c r="E123" s="38">
        <v>4</v>
      </c>
      <c r="F123" s="39">
        <f>IF(tblDefects[[#This Row],[Date]]="","",IFERROR(INDEX(tblCategories[Cost per occurrence],MATCH(tblDefects[[#This Row],[Category]],tblCategories[Category],0)),""))</f>
        <v>1.2</v>
      </c>
      <c r="G123" s="39">
        <f>IF(tblDefects[[#This Row],[Date]]="","",IF(tblDefects[[#This Row],[Cost per occurrence]]="","",tblDefects[[#This Row],[Count]]*tblDefects[[#This Row],[Cost per occurrence]]))</f>
        <v>4.8</v>
      </c>
      <c r="H123" s="40">
        <f>IF(tblDefects[[#This Row],[Date]]="","",IF(AND(tblDefects[[#This Row],[Date]]&gt;=FFrom,tblDefects[[#This Row],[Date]]&lt;=FTo,OR(DashArea="",tblDefects[[#This Row],[Area]]=DashArea)),tblDefects[[#This Row],[Date]],""))</f>
        <v>46283</v>
      </c>
      <c r="I12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23" s="28" t="s">
        <v>114</v>
      </c>
    </row>
    <row r="124" spans="2:10">
      <c r="B124" s="37">
        <v>46283</v>
      </c>
      <c r="C124" s="28" t="s">
        <v>79</v>
      </c>
      <c r="D124" s="28" t="s">
        <v>97</v>
      </c>
      <c r="E124" s="38">
        <v>5</v>
      </c>
      <c r="F124" s="39">
        <f>IF(tblDefects[[#This Row],[Date]]="","",IFERROR(INDEX(tblCategories[Cost per occurrence],MATCH(tblDefects[[#This Row],[Category]],tblCategories[Category],0)),""))</f>
        <v>1.2</v>
      </c>
      <c r="G124" s="39">
        <f>IF(tblDefects[[#This Row],[Date]]="","",IF(tblDefects[[#This Row],[Cost per occurrence]]="","",tblDefects[[#This Row],[Count]]*tblDefects[[#This Row],[Cost per occurrence]]))</f>
        <v>6</v>
      </c>
      <c r="H124" s="40">
        <f>IF(tblDefects[[#This Row],[Date]]="","",IF(AND(tblDefects[[#This Row],[Date]]&gt;=FFrom,tblDefects[[#This Row],[Date]]&lt;=FTo,OR(DashArea="",tblDefects[[#This Row],[Area]]=DashArea)),tblDefects[[#This Row],[Date]],""))</f>
        <v>46283</v>
      </c>
      <c r="I12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24" s="28" t="s">
        <v>114</v>
      </c>
    </row>
    <row r="125" spans="2:10">
      <c r="B125" s="37">
        <v>46283</v>
      </c>
      <c r="C125" s="28" t="s">
        <v>81</v>
      </c>
      <c r="D125" s="28" t="s">
        <v>101</v>
      </c>
      <c r="E125" s="38">
        <v>1</v>
      </c>
      <c r="F125" s="39">
        <f>IF(tblDefects[[#This Row],[Date]]="","",IFERROR(INDEX(tblCategories[Cost per occurrence],MATCH(tblDefects[[#This Row],[Category]],tblCategories[Category],0)),""))</f>
        <v>7.8</v>
      </c>
      <c r="G125" s="39">
        <f>IF(tblDefects[[#This Row],[Date]]="","",IF(tblDefects[[#This Row],[Cost per occurrence]]="","",tblDefects[[#This Row],[Count]]*tblDefects[[#This Row],[Cost per occurrence]]))</f>
        <v>7.8</v>
      </c>
      <c r="H125" s="40">
        <f>IF(tblDefects[[#This Row],[Date]]="","",IF(AND(tblDefects[[#This Row],[Date]]&gt;=FFrom,tblDefects[[#This Row],[Date]]&lt;=FTo,OR(DashArea="",tblDefects[[#This Row],[Area]]=DashArea)),tblDefects[[#This Row],[Date]],""))</f>
        <v>46283</v>
      </c>
      <c r="I12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25" s="28" t="s">
        <v>114</v>
      </c>
    </row>
    <row r="126" spans="2:10">
      <c r="B126" s="37">
        <v>46283</v>
      </c>
      <c r="C126" s="28" t="s">
        <v>81</v>
      </c>
      <c r="D126" s="28" t="s">
        <v>105</v>
      </c>
      <c r="E126" s="38">
        <v>2</v>
      </c>
      <c r="F126" s="39">
        <f>IF(tblDefects[[#This Row],[Date]]="","",IFERROR(INDEX(tblCategories[Cost per occurrence],MATCH(tblDefects[[#This Row],[Category]],tblCategories[Category],0)),""))</f>
        <v>7.8</v>
      </c>
      <c r="G126" s="39">
        <f>IF(tblDefects[[#This Row],[Date]]="","",IF(tblDefects[[#This Row],[Cost per occurrence]]="","",tblDefects[[#This Row],[Count]]*tblDefects[[#This Row],[Cost per occurrence]]))</f>
        <v>15.6</v>
      </c>
      <c r="H126" s="40">
        <f>IF(tblDefects[[#This Row],[Date]]="","",IF(AND(tblDefects[[#This Row],[Date]]&gt;=FFrom,tblDefects[[#This Row],[Date]]&lt;=FTo,OR(DashArea="",tblDefects[[#This Row],[Area]]=DashArea)),tblDefects[[#This Row],[Date]],""))</f>
        <v>46283</v>
      </c>
      <c r="I12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26" s="28" t="s">
        <v>114</v>
      </c>
    </row>
    <row r="127" spans="2:10">
      <c r="B127" s="37">
        <v>46283</v>
      </c>
      <c r="C127" s="28" t="s">
        <v>81</v>
      </c>
      <c r="D127" s="28" t="s">
        <v>103</v>
      </c>
      <c r="E127" s="38">
        <v>5</v>
      </c>
      <c r="F127" s="39">
        <f>IF(tblDefects[[#This Row],[Date]]="","",IFERROR(INDEX(tblCategories[Cost per occurrence],MATCH(tblDefects[[#This Row],[Category]],tblCategories[Category],0)),""))</f>
        <v>0.25</v>
      </c>
      <c r="G127" s="39">
        <f>IF(tblDefects[[#This Row],[Date]]="","",IF(tblDefects[[#This Row],[Cost per occurrence]]="","",tblDefects[[#This Row],[Count]]*tblDefects[[#This Row],[Cost per occurrence]]))</f>
        <v>1.25</v>
      </c>
      <c r="H127" s="40">
        <f>IF(tblDefects[[#This Row],[Date]]="","",IF(AND(tblDefects[[#This Row],[Date]]&gt;=FFrom,tblDefects[[#This Row],[Date]]&lt;=FTo,OR(DashArea="",tblDefects[[#This Row],[Area]]=DashArea)),tblDefects[[#This Row],[Date]],""))</f>
        <v>46283</v>
      </c>
      <c r="I12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27" s="28" t="s">
        <v>114</v>
      </c>
    </row>
    <row r="128" spans="2:10">
      <c r="B128" s="37">
        <v>46283</v>
      </c>
      <c r="C128" s="28" t="s">
        <v>81</v>
      </c>
      <c r="D128" s="28" t="s">
        <v>99</v>
      </c>
      <c r="E128" s="38">
        <v>8</v>
      </c>
      <c r="F128" s="39">
        <f>IF(tblDefects[[#This Row],[Date]]="","",IFERROR(INDEX(tblCategories[Cost per occurrence],MATCH(tblDefects[[#This Row],[Category]],tblCategories[Category],0)),""))</f>
        <v>0.6</v>
      </c>
      <c r="G128" s="39">
        <f>IF(tblDefects[[#This Row],[Date]]="","",IF(tblDefects[[#This Row],[Cost per occurrence]]="","",tblDefects[[#This Row],[Count]]*tblDefects[[#This Row],[Cost per occurrence]]))</f>
        <v>4.8</v>
      </c>
      <c r="H128" s="40">
        <f>IF(tblDefects[[#This Row],[Date]]="","",IF(AND(tblDefects[[#This Row],[Date]]&gt;=FFrom,tblDefects[[#This Row],[Date]]&lt;=FTo,OR(DashArea="",tblDefects[[#This Row],[Area]]=DashArea)),tblDefects[[#This Row],[Date]],""))</f>
        <v>46283</v>
      </c>
      <c r="I12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28" s="28" t="s">
        <v>114</v>
      </c>
    </row>
    <row r="129" spans="2:10">
      <c r="B129" s="37">
        <v>46283</v>
      </c>
      <c r="C129" s="28" t="s">
        <v>83</v>
      </c>
      <c r="D129" s="28" t="s">
        <v>99</v>
      </c>
      <c r="E129" s="38">
        <v>3</v>
      </c>
      <c r="F129" s="39">
        <f>IF(tblDefects[[#This Row],[Date]]="","",IFERROR(INDEX(tblCategories[Cost per occurrence],MATCH(tblDefects[[#This Row],[Category]],tblCategories[Category],0)),""))</f>
        <v>0.6</v>
      </c>
      <c r="G129" s="39">
        <f>IF(tblDefects[[#This Row],[Date]]="","",IF(tblDefects[[#This Row],[Cost per occurrence]]="","",tblDefects[[#This Row],[Count]]*tblDefects[[#This Row],[Cost per occurrence]]))</f>
        <v>1.8</v>
      </c>
      <c r="H129" s="40">
        <f>IF(tblDefects[[#This Row],[Date]]="","",IF(AND(tblDefects[[#This Row],[Date]]&gt;=FFrom,tblDefects[[#This Row],[Date]]&lt;=FTo,OR(DashArea="",tblDefects[[#This Row],[Area]]=DashArea)),tblDefects[[#This Row],[Date]],""))</f>
        <v>46283</v>
      </c>
      <c r="I12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29" s="28" t="s">
        <v>114</v>
      </c>
    </row>
    <row r="130" spans="2:10">
      <c r="B130" s="37">
        <v>46283</v>
      </c>
      <c r="C130" s="28" t="s">
        <v>83</v>
      </c>
      <c r="D130" s="28" t="s">
        <v>87</v>
      </c>
      <c r="E130" s="38">
        <v>3</v>
      </c>
      <c r="F130" s="39">
        <f>IF(tblDefects[[#This Row],[Date]]="","",IFERROR(INDEX(tblCategories[Cost per occurrence],MATCH(tblDefects[[#This Row],[Category]],tblCategories[Category],0)),""))</f>
        <v>0.35</v>
      </c>
      <c r="G130" s="39">
        <f>IF(tblDefects[[#This Row],[Date]]="","",IF(tblDefects[[#This Row],[Cost per occurrence]]="","",tblDefects[[#This Row],[Count]]*tblDefects[[#This Row],[Cost per occurrence]]))</f>
        <v>1.05</v>
      </c>
      <c r="H130" s="40">
        <f>IF(tblDefects[[#This Row],[Date]]="","",IF(AND(tblDefects[[#This Row],[Date]]&gt;=FFrom,tblDefects[[#This Row],[Date]]&lt;=FTo,OR(DashArea="",tblDefects[[#This Row],[Area]]=DashArea)),tblDefects[[#This Row],[Date]],""))</f>
        <v>46283</v>
      </c>
      <c r="I13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30" s="28" t="s">
        <v>114</v>
      </c>
    </row>
    <row r="131" spans="2:10">
      <c r="B131" s="37">
        <v>46283</v>
      </c>
      <c r="C131" s="28" t="s">
        <v>83</v>
      </c>
      <c r="D131" s="28" t="s">
        <v>91</v>
      </c>
      <c r="E131" s="38">
        <v>1</v>
      </c>
      <c r="F131" s="39">
        <f>IF(tblDefects[[#This Row],[Date]]="","",IFERROR(INDEX(tblCategories[Cost per occurrence],MATCH(tblDefects[[#This Row],[Category]],tblCategories[Category],0)),""))</f>
        <v>1.2</v>
      </c>
      <c r="G131" s="39">
        <f>IF(tblDefects[[#This Row],[Date]]="","",IF(tblDefects[[#This Row],[Cost per occurrence]]="","",tblDefects[[#This Row],[Count]]*tblDefects[[#This Row],[Cost per occurrence]]))</f>
        <v>1.2</v>
      </c>
      <c r="H131" s="40">
        <f>IF(tblDefects[[#This Row],[Date]]="","",IF(AND(tblDefects[[#This Row],[Date]]&gt;=FFrom,tblDefects[[#This Row],[Date]]&lt;=FTo,OR(DashArea="",tblDefects[[#This Row],[Area]]=DashArea)),tblDefects[[#This Row],[Date]],""))</f>
        <v>46283</v>
      </c>
      <c r="I13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31" s="28" t="s">
        <v>114</v>
      </c>
    </row>
    <row r="132" spans="2:10">
      <c r="B132" s="37">
        <v>46286</v>
      </c>
      <c r="C132" s="28" t="s">
        <v>79</v>
      </c>
      <c r="D132" s="28" t="s">
        <v>87</v>
      </c>
      <c r="E132" s="38">
        <v>22</v>
      </c>
      <c r="F132" s="39">
        <f>IF(tblDefects[[#This Row],[Date]]="","",IFERROR(INDEX(tblCategories[Cost per occurrence],MATCH(tblDefects[[#This Row],[Category]],tblCategories[Category],0)),""))</f>
        <v>0.35</v>
      </c>
      <c r="G132" s="39">
        <f>IF(tblDefects[[#This Row],[Date]]="","",IF(tblDefects[[#This Row],[Cost per occurrence]]="","",tblDefects[[#This Row],[Count]]*tblDefects[[#This Row],[Cost per occurrence]]))</f>
        <v>7.7</v>
      </c>
      <c r="H132" s="40">
        <f>IF(tblDefects[[#This Row],[Date]]="","",IF(AND(tblDefects[[#This Row],[Date]]&gt;=FFrom,tblDefects[[#This Row],[Date]]&lt;=FTo,OR(DashArea="",tblDefects[[#This Row],[Area]]=DashArea)),tblDefects[[#This Row],[Date]],""))</f>
        <v>46286</v>
      </c>
      <c r="I13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32" s="28" t="s">
        <v>114</v>
      </c>
    </row>
    <row r="133" spans="2:10">
      <c r="B133" s="37">
        <v>46286</v>
      </c>
      <c r="C133" s="28" t="s">
        <v>79</v>
      </c>
      <c r="D133" s="28" t="s">
        <v>89</v>
      </c>
      <c r="E133" s="38">
        <v>31</v>
      </c>
      <c r="F133" s="39">
        <f>IF(tblDefects[[#This Row],[Date]]="","",IFERROR(INDEX(tblCategories[Cost per occurrence],MATCH(tblDefects[[#This Row],[Category]],tblCategories[Category],0)),""))</f>
        <v>1.2</v>
      </c>
      <c r="G133" s="39">
        <f>IF(tblDefects[[#This Row],[Date]]="","",IF(tblDefects[[#This Row],[Cost per occurrence]]="","",tblDefects[[#This Row],[Count]]*tblDefects[[#This Row],[Cost per occurrence]]))</f>
        <v>37.2</v>
      </c>
      <c r="H133" s="40">
        <f>IF(tblDefects[[#This Row],[Date]]="","",IF(AND(tblDefects[[#This Row],[Date]]&gt;=FFrom,tblDefects[[#This Row],[Date]]&lt;=FTo,OR(DashArea="",tblDefects[[#This Row],[Area]]=DashArea)),tblDefects[[#This Row],[Date]],""))</f>
        <v>46286</v>
      </c>
      <c r="I13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33" s="28" t="s">
        <v>114</v>
      </c>
    </row>
    <row r="134" spans="2:10">
      <c r="B134" s="37">
        <v>46286</v>
      </c>
      <c r="C134" s="28" t="s">
        <v>79</v>
      </c>
      <c r="D134" s="28" t="s">
        <v>91</v>
      </c>
      <c r="E134" s="38">
        <v>7</v>
      </c>
      <c r="F134" s="39">
        <f>IF(tblDefects[[#This Row],[Date]]="","",IFERROR(INDEX(tblCategories[Cost per occurrence],MATCH(tblDefects[[#This Row],[Category]],tblCategories[Category],0)),""))</f>
        <v>1.2</v>
      </c>
      <c r="G134" s="39">
        <f>IF(tblDefects[[#This Row],[Date]]="","",IF(tblDefects[[#This Row],[Cost per occurrence]]="","",tblDefects[[#This Row],[Count]]*tblDefects[[#This Row],[Cost per occurrence]]))</f>
        <v>8.4</v>
      </c>
      <c r="H134" s="40">
        <f>IF(tblDefects[[#This Row],[Date]]="","",IF(AND(tblDefects[[#This Row],[Date]]&gt;=FFrom,tblDefects[[#This Row],[Date]]&lt;=FTo,OR(DashArea="",tblDefects[[#This Row],[Area]]=DashArea)),tblDefects[[#This Row],[Date]],""))</f>
        <v>46286</v>
      </c>
      <c r="I13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34" s="28" t="s">
        <v>114</v>
      </c>
    </row>
    <row r="135" spans="2:10">
      <c r="B135" s="37">
        <v>46286</v>
      </c>
      <c r="C135" s="28" t="s">
        <v>79</v>
      </c>
      <c r="D135" s="28" t="s">
        <v>93</v>
      </c>
      <c r="E135" s="38">
        <v>6</v>
      </c>
      <c r="F135" s="39">
        <f>IF(tblDefects[[#This Row],[Date]]="","",IFERROR(INDEX(tblCategories[Cost per occurrence],MATCH(tblDefects[[#This Row],[Category]],tblCategories[Category],0)),""))</f>
        <v>1.2</v>
      </c>
      <c r="G135" s="39">
        <f>IF(tblDefects[[#This Row],[Date]]="","",IF(tblDefects[[#This Row],[Cost per occurrence]]="","",tblDefects[[#This Row],[Count]]*tblDefects[[#This Row],[Cost per occurrence]]))</f>
        <v>7.2</v>
      </c>
      <c r="H135" s="40">
        <f>IF(tblDefects[[#This Row],[Date]]="","",IF(AND(tblDefects[[#This Row],[Date]]&gt;=FFrom,tblDefects[[#This Row],[Date]]&lt;=FTo,OR(DashArea="",tblDefects[[#This Row],[Area]]=DashArea)),tblDefects[[#This Row],[Date]],""))</f>
        <v>46286</v>
      </c>
      <c r="I13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35" s="28" t="s">
        <v>114</v>
      </c>
    </row>
    <row r="136" spans="2:10">
      <c r="B136" s="37">
        <v>46286</v>
      </c>
      <c r="C136" s="28" t="s">
        <v>79</v>
      </c>
      <c r="D136" s="28" t="s">
        <v>95</v>
      </c>
      <c r="E136" s="38">
        <v>1</v>
      </c>
      <c r="F136" s="39">
        <f>IF(tblDefects[[#This Row],[Date]]="","",IFERROR(INDEX(tblCategories[Cost per occurrence],MATCH(tblDefects[[#This Row],[Category]],tblCategories[Category],0)),""))</f>
        <v>1.2</v>
      </c>
      <c r="G136" s="39">
        <f>IF(tblDefects[[#This Row],[Date]]="","",IF(tblDefects[[#This Row],[Cost per occurrence]]="","",tblDefects[[#This Row],[Count]]*tblDefects[[#This Row],[Cost per occurrence]]))</f>
        <v>1.2</v>
      </c>
      <c r="H136" s="40">
        <f>IF(tblDefects[[#This Row],[Date]]="","",IF(AND(tblDefects[[#This Row],[Date]]&gt;=FFrom,tblDefects[[#This Row],[Date]]&lt;=FTo,OR(DashArea="",tblDefects[[#This Row],[Area]]=DashArea)),tblDefects[[#This Row],[Date]],""))</f>
        <v>46286</v>
      </c>
      <c r="I13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36" s="28" t="s">
        <v>114</v>
      </c>
    </row>
    <row r="137" spans="2:10">
      <c r="B137" s="37">
        <v>46286</v>
      </c>
      <c r="C137" s="28" t="s">
        <v>79</v>
      </c>
      <c r="D137" s="28" t="s">
        <v>97</v>
      </c>
      <c r="E137" s="38">
        <v>3</v>
      </c>
      <c r="F137" s="39">
        <f>IF(tblDefects[[#This Row],[Date]]="","",IFERROR(INDEX(tblCategories[Cost per occurrence],MATCH(tblDefects[[#This Row],[Category]],tblCategories[Category],0)),""))</f>
        <v>1.2</v>
      </c>
      <c r="G137" s="39">
        <f>IF(tblDefects[[#This Row],[Date]]="","",IF(tblDefects[[#This Row],[Cost per occurrence]]="","",tblDefects[[#This Row],[Count]]*tblDefects[[#This Row],[Cost per occurrence]]))</f>
        <v>3.6</v>
      </c>
      <c r="H137" s="40">
        <f>IF(tblDefects[[#This Row],[Date]]="","",IF(AND(tblDefects[[#This Row],[Date]]&gt;=FFrom,tblDefects[[#This Row],[Date]]&lt;=FTo,OR(DashArea="",tblDefects[[#This Row],[Area]]=DashArea)),tblDefects[[#This Row],[Date]],""))</f>
        <v>46286</v>
      </c>
      <c r="I13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37" s="28" t="s">
        <v>114</v>
      </c>
    </row>
    <row r="138" spans="2:10">
      <c r="B138" s="37">
        <v>46286</v>
      </c>
      <c r="C138" s="28" t="s">
        <v>81</v>
      </c>
      <c r="D138" s="28" t="s">
        <v>101</v>
      </c>
      <c r="E138" s="38">
        <v>3</v>
      </c>
      <c r="F138" s="39">
        <f>IF(tblDefects[[#This Row],[Date]]="","",IFERROR(INDEX(tblCategories[Cost per occurrence],MATCH(tblDefects[[#This Row],[Category]],tblCategories[Category],0)),""))</f>
        <v>7.8</v>
      </c>
      <c r="G138" s="39">
        <f>IF(tblDefects[[#This Row],[Date]]="","",IF(tblDefects[[#This Row],[Cost per occurrence]]="","",tblDefects[[#This Row],[Count]]*tblDefects[[#This Row],[Cost per occurrence]]))</f>
        <v>23.4</v>
      </c>
      <c r="H138" s="40">
        <f>IF(tblDefects[[#This Row],[Date]]="","",IF(AND(tblDefects[[#This Row],[Date]]&gt;=FFrom,tblDefects[[#This Row],[Date]]&lt;=FTo,OR(DashArea="",tblDefects[[#This Row],[Area]]=DashArea)),tblDefects[[#This Row],[Date]],""))</f>
        <v>46286</v>
      </c>
      <c r="I13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38" s="28" t="s">
        <v>114</v>
      </c>
    </row>
    <row r="139" spans="2:10">
      <c r="B139" s="37">
        <v>46286</v>
      </c>
      <c r="C139" s="28" t="s">
        <v>81</v>
      </c>
      <c r="D139" s="28" t="s">
        <v>105</v>
      </c>
      <c r="E139" s="38">
        <v>2</v>
      </c>
      <c r="F139" s="39">
        <f>IF(tblDefects[[#This Row],[Date]]="","",IFERROR(INDEX(tblCategories[Cost per occurrence],MATCH(tblDefects[[#This Row],[Category]],tblCategories[Category],0)),""))</f>
        <v>7.8</v>
      </c>
      <c r="G139" s="39">
        <f>IF(tblDefects[[#This Row],[Date]]="","",IF(tblDefects[[#This Row],[Cost per occurrence]]="","",tblDefects[[#This Row],[Count]]*tblDefects[[#This Row],[Cost per occurrence]]))</f>
        <v>15.6</v>
      </c>
      <c r="H139" s="40">
        <f>IF(tblDefects[[#This Row],[Date]]="","",IF(AND(tblDefects[[#This Row],[Date]]&gt;=FFrom,tblDefects[[#This Row],[Date]]&lt;=FTo,OR(DashArea="",tblDefects[[#This Row],[Area]]=DashArea)),tblDefects[[#This Row],[Date]],""))</f>
        <v>46286</v>
      </c>
      <c r="I13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39" s="28" t="s">
        <v>114</v>
      </c>
    </row>
    <row r="140" spans="2:10">
      <c r="B140" s="37">
        <v>46286</v>
      </c>
      <c r="C140" s="28" t="s">
        <v>81</v>
      </c>
      <c r="D140" s="28" t="s">
        <v>103</v>
      </c>
      <c r="E140" s="38">
        <v>3</v>
      </c>
      <c r="F140" s="39">
        <f>IF(tblDefects[[#This Row],[Date]]="","",IFERROR(INDEX(tblCategories[Cost per occurrence],MATCH(tblDefects[[#This Row],[Category]],tblCategories[Category],0)),""))</f>
        <v>0.25</v>
      </c>
      <c r="G140" s="39">
        <f>IF(tblDefects[[#This Row],[Date]]="","",IF(tblDefects[[#This Row],[Cost per occurrence]]="","",tblDefects[[#This Row],[Count]]*tblDefects[[#This Row],[Cost per occurrence]]))</f>
        <v>0.75</v>
      </c>
      <c r="H140" s="40">
        <f>IF(tblDefects[[#This Row],[Date]]="","",IF(AND(tblDefects[[#This Row],[Date]]&gt;=FFrom,tblDefects[[#This Row],[Date]]&lt;=FTo,OR(DashArea="",tblDefects[[#This Row],[Area]]=DashArea)),tblDefects[[#This Row],[Date]],""))</f>
        <v>46286</v>
      </c>
      <c r="I14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40" s="28" t="s">
        <v>114</v>
      </c>
    </row>
    <row r="141" spans="2:10">
      <c r="B141" s="37">
        <v>46286</v>
      </c>
      <c r="C141" s="28" t="s">
        <v>81</v>
      </c>
      <c r="D141" s="28" t="s">
        <v>99</v>
      </c>
      <c r="E141" s="38">
        <v>5</v>
      </c>
      <c r="F141" s="39">
        <f>IF(tblDefects[[#This Row],[Date]]="","",IFERROR(INDEX(tblCategories[Cost per occurrence],MATCH(tblDefects[[#This Row],[Category]],tblCategories[Category],0)),""))</f>
        <v>0.6</v>
      </c>
      <c r="G141" s="39">
        <f>IF(tblDefects[[#This Row],[Date]]="","",IF(tblDefects[[#This Row],[Cost per occurrence]]="","",tblDefects[[#This Row],[Count]]*tblDefects[[#This Row],[Cost per occurrence]]))</f>
        <v>3</v>
      </c>
      <c r="H141" s="40">
        <f>IF(tblDefects[[#This Row],[Date]]="","",IF(AND(tblDefects[[#This Row],[Date]]&gt;=FFrom,tblDefects[[#This Row],[Date]]&lt;=FTo,OR(DashArea="",tblDefects[[#This Row],[Area]]=DashArea)),tblDefects[[#This Row],[Date]],""))</f>
        <v>46286</v>
      </c>
      <c r="I14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41" s="28" t="s">
        <v>114</v>
      </c>
    </row>
    <row r="142" spans="2:10">
      <c r="B142" s="37">
        <v>46286</v>
      </c>
      <c r="C142" s="28" t="s">
        <v>83</v>
      </c>
      <c r="D142" s="28" t="s">
        <v>99</v>
      </c>
      <c r="E142" s="38">
        <v>3</v>
      </c>
      <c r="F142" s="39">
        <f>IF(tblDefects[[#This Row],[Date]]="","",IFERROR(INDEX(tblCategories[Cost per occurrence],MATCH(tblDefects[[#This Row],[Category]],tblCategories[Category],0)),""))</f>
        <v>0.6</v>
      </c>
      <c r="G142" s="39">
        <f>IF(tblDefects[[#This Row],[Date]]="","",IF(tblDefects[[#This Row],[Cost per occurrence]]="","",tblDefects[[#This Row],[Count]]*tblDefects[[#This Row],[Cost per occurrence]]))</f>
        <v>1.8</v>
      </c>
      <c r="H142" s="40">
        <f>IF(tblDefects[[#This Row],[Date]]="","",IF(AND(tblDefects[[#This Row],[Date]]&gt;=FFrom,tblDefects[[#This Row],[Date]]&lt;=FTo,OR(DashArea="",tblDefects[[#This Row],[Area]]=DashArea)),tblDefects[[#This Row],[Date]],""))</f>
        <v>46286</v>
      </c>
      <c r="I14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42" s="28" t="s">
        <v>114</v>
      </c>
    </row>
    <row r="143" spans="2:10">
      <c r="B143" s="37">
        <v>46286</v>
      </c>
      <c r="C143" s="28" t="s">
        <v>83</v>
      </c>
      <c r="D143" s="28" t="s">
        <v>87</v>
      </c>
      <c r="E143" s="38">
        <v>1</v>
      </c>
      <c r="F143" s="39">
        <f>IF(tblDefects[[#This Row],[Date]]="","",IFERROR(INDEX(tblCategories[Cost per occurrence],MATCH(tblDefects[[#This Row],[Category]],tblCategories[Category],0)),""))</f>
        <v>0.35</v>
      </c>
      <c r="G143" s="39">
        <f>IF(tblDefects[[#This Row],[Date]]="","",IF(tblDefects[[#This Row],[Cost per occurrence]]="","",tblDefects[[#This Row],[Count]]*tblDefects[[#This Row],[Cost per occurrence]]))</f>
        <v>0.35</v>
      </c>
      <c r="H143" s="40">
        <f>IF(tblDefects[[#This Row],[Date]]="","",IF(AND(tblDefects[[#This Row],[Date]]&gt;=FFrom,tblDefects[[#This Row],[Date]]&lt;=FTo,OR(DashArea="",tblDefects[[#This Row],[Area]]=DashArea)),tblDefects[[#This Row],[Date]],""))</f>
        <v>46286</v>
      </c>
      <c r="I14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43" s="28" t="s">
        <v>114</v>
      </c>
    </row>
    <row r="144" spans="2:10">
      <c r="B144" s="37">
        <v>46286</v>
      </c>
      <c r="C144" s="28" t="s">
        <v>83</v>
      </c>
      <c r="D144" s="28" t="s">
        <v>101</v>
      </c>
      <c r="E144" s="38">
        <v>1</v>
      </c>
      <c r="F144" s="39">
        <f>IF(tblDefects[[#This Row],[Date]]="","",IFERROR(INDEX(tblCategories[Cost per occurrence],MATCH(tblDefects[[#This Row],[Category]],tblCategories[Category],0)),""))</f>
        <v>7.8</v>
      </c>
      <c r="G144" s="39">
        <f>IF(tblDefects[[#This Row],[Date]]="","",IF(tblDefects[[#This Row],[Cost per occurrence]]="","",tblDefects[[#This Row],[Count]]*tblDefects[[#This Row],[Cost per occurrence]]))</f>
        <v>7.8</v>
      </c>
      <c r="H144" s="40">
        <f>IF(tblDefects[[#This Row],[Date]]="","",IF(AND(tblDefects[[#This Row],[Date]]&gt;=FFrom,tblDefects[[#This Row],[Date]]&lt;=FTo,OR(DashArea="",tblDefects[[#This Row],[Area]]=DashArea)),tblDefects[[#This Row],[Date]],""))</f>
        <v>46286</v>
      </c>
      <c r="I14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44" s="28" t="s">
        <v>114</v>
      </c>
    </row>
    <row r="145" spans="2:10">
      <c r="B145" s="37">
        <v>46286</v>
      </c>
      <c r="C145" s="28" t="s">
        <v>83</v>
      </c>
      <c r="D145" s="28" t="s">
        <v>91</v>
      </c>
      <c r="E145" s="38">
        <v>1</v>
      </c>
      <c r="F145" s="39">
        <f>IF(tblDefects[[#This Row],[Date]]="","",IFERROR(INDEX(tblCategories[Cost per occurrence],MATCH(tblDefects[[#This Row],[Category]],tblCategories[Category],0)),""))</f>
        <v>1.2</v>
      </c>
      <c r="G145" s="39">
        <f>IF(tblDefects[[#This Row],[Date]]="","",IF(tblDefects[[#This Row],[Cost per occurrence]]="","",tblDefects[[#This Row],[Count]]*tblDefects[[#This Row],[Cost per occurrence]]))</f>
        <v>1.2</v>
      </c>
      <c r="H145" s="40">
        <f>IF(tblDefects[[#This Row],[Date]]="","",IF(AND(tblDefects[[#This Row],[Date]]&gt;=FFrom,tblDefects[[#This Row],[Date]]&lt;=FTo,OR(DashArea="",tblDefects[[#This Row],[Area]]=DashArea)),tblDefects[[#This Row],[Date]],""))</f>
        <v>46286</v>
      </c>
      <c r="I14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45" s="28" t="s">
        <v>114</v>
      </c>
    </row>
    <row r="146" spans="2:10">
      <c r="B146" s="37">
        <v>46287</v>
      </c>
      <c r="C146" s="28" t="s">
        <v>79</v>
      </c>
      <c r="D146" s="28" t="s">
        <v>87</v>
      </c>
      <c r="E146" s="38">
        <v>28</v>
      </c>
      <c r="F146" s="39">
        <f>IF(tblDefects[[#This Row],[Date]]="","",IFERROR(INDEX(tblCategories[Cost per occurrence],MATCH(tblDefects[[#This Row],[Category]],tblCategories[Category],0)),""))</f>
        <v>0.35</v>
      </c>
      <c r="G146" s="39">
        <f>IF(tblDefects[[#This Row],[Date]]="","",IF(tblDefects[[#This Row],[Cost per occurrence]]="","",tblDefects[[#This Row],[Count]]*tblDefects[[#This Row],[Cost per occurrence]]))</f>
        <v>9.8</v>
      </c>
      <c r="H146" s="40">
        <f>IF(tblDefects[[#This Row],[Date]]="","",IF(AND(tblDefects[[#This Row],[Date]]&gt;=FFrom,tblDefects[[#This Row],[Date]]&lt;=FTo,OR(DashArea="",tblDefects[[#This Row],[Area]]=DashArea)),tblDefects[[#This Row],[Date]],""))</f>
        <v>46287</v>
      </c>
      <c r="I14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46" s="28" t="s">
        <v>114</v>
      </c>
    </row>
    <row r="147" spans="2:10">
      <c r="B147" s="37">
        <v>46287</v>
      </c>
      <c r="C147" s="28" t="s">
        <v>79</v>
      </c>
      <c r="D147" s="28" t="s">
        <v>89</v>
      </c>
      <c r="E147" s="38">
        <v>39</v>
      </c>
      <c r="F147" s="39">
        <f>IF(tblDefects[[#This Row],[Date]]="","",IFERROR(INDEX(tblCategories[Cost per occurrence],MATCH(tblDefects[[#This Row],[Category]],tblCategories[Category],0)),""))</f>
        <v>1.2</v>
      </c>
      <c r="G147" s="39">
        <f>IF(tblDefects[[#This Row],[Date]]="","",IF(tblDefects[[#This Row],[Cost per occurrence]]="","",tblDefects[[#This Row],[Count]]*tblDefects[[#This Row],[Cost per occurrence]]))</f>
        <v>46.8</v>
      </c>
      <c r="H147" s="40">
        <f>IF(tblDefects[[#This Row],[Date]]="","",IF(AND(tblDefects[[#This Row],[Date]]&gt;=FFrom,tblDefects[[#This Row],[Date]]&lt;=FTo,OR(DashArea="",tblDefects[[#This Row],[Area]]=DashArea)),tblDefects[[#This Row],[Date]],""))</f>
        <v>46287</v>
      </c>
      <c r="I14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47" s="28" t="s">
        <v>115</v>
      </c>
    </row>
    <row r="148" spans="2:10">
      <c r="B148" s="37">
        <v>46287</v>
      </c>
      <c r="C148" s="28" t="s">
        <v>79</v>
      </c>
      <c r="D148" s="28" t="s">
        <v>91</v>
      </c>
      <c r="E148" s="38">
        <v>9</v>
      </c>
      <c r="F148" s="39">
        <f>IF(tblDefects[[#This Row],[Date]]="","",IFERROR(INDEX(tblCategories[Cost per occurrence],MATCH(tblDefects[[#This Row],[Category]],tblCategories[Category],0)),""))</f>
        <v>1.2</v>
      </c>
      <c r="G148" s="39">
        <f>IF(tblDefects[[#This Row],[Date]]="","",IF(tblDefects[[#This Row],[Cost per occurrence]]="","",tblDefects[[#This Row],[Count]]*tblDefects[[#This Row],[Cost per occurrence]]))</f>
        <v>10.8</v>
      </c>
      <c r="H148" s="40">
        <f>IF(tblDefects[[#This Row],[Date]]="","",IF(AND(tblDefects[[#This Row],[Date]]&gt;=FFrom,tblDefects[[#This Row],[Date]]&lt;=FTo,OR(DashArea="",tblDefects[[#This Row],[Area]]=DashArea)),tblDefects[[#This Row],[Date]],""))</f>
        <v>46287</v>
      </c>
      <c r="I14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48" s="28" t="s">
        <v>114</v>
      </c>
    </row>
    <row r="149" spans="2:10">
      <c r="B149" s="37">
        <v>46287</v>
      </c>
      <c r="C149" s="28" t="s">
        <v>79</v>
      </c>
      <c r="D149" s="28" t="s">
        <v>93</v>
      </c>
      <c r="E149" s="38">
        <v>6</v>
      </c>
      <c r="F149" s="39">
        <f>IF(tblDefects[[#This Row],[Date]]="","",IFERROR(INDEX(tblCategories[Cost per occurrence],MATCH(tblDefects[[#This Row],[Category]],tblCategories[Category],0)),""))</f>
        <v>1.2</v>
      </c>
      <c r="G149" s="39">
        <f>IF(tblDefects[[#This Row],[Date]]="","",IF(tblDefects[[#This Row],[Cost per occurrence]]="","",tblDefects[[#This Row],[Count]]*tblDefects[[#This Row],[Cost per occurrence]]))</f>
        <v>7.2</v>
      </c>
      <c r="H149" s="40">
        <f>IF(tblDefects[[#This Row],[Date]]="","",IF(AND(tblDefects[[#This Row],[Date]]&gt;=FFrom,tblDefects[[#This Row],[Date]]&lt;=FTo,OR(DashArea="",tblDefects[[#This Row],[Area]]=DashArea)),tblDefects[[#This Row],[Date]],""))</f>
        <v>46287</v>
      </c>
      <c r="I14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49" s="28" t="s">
        <v>114</v>
      </c>
    </row>
    <row r="150" spans="2:10">
      <c r="B150" s="37">
        <v>46287</v>
      </c>
      <c r="C150" s="28" t="s">
        <v>79</v>
      </c>
      <c r="D150" s="28" t="s">
        <v>95</v>
      </c>
      <c r="E150" s="38">
        <v>3</v>
      </c>
      <c r="F150" s="39">
        <f>IF(tblDefects[[#This Row],[Date]]="","",IFERROR(INDEX(tblCategories[Cost per occurrence],MATCH(tblDefects[[#This Row],[Category]],tblCategories[Category],0)),""))</f>
        <v>1.2</v>
      </c>
      <c r="G150" s="39">
        <f>IF(tblDefects[[#This Row],[Date]]="","",IF(tblDefects[[#This Row],[Cost per occurrence]]="","",tblDefects[[#This Row],[Count]]*tblDefects[[#This Row],[Cost per occurrence]]))</f>
        <v>3.6</v>
      </c>
      <c r="H150" s="40">
        <f>IF(tblDefects[[#This Row],[Date]]="","",IF(AND(tblDefects[[#This Row],[Date]]&gt;=FFrom,tblDefects[[#This Row],[Date]]&lt;=FTo,OR(DashArea="",tblDefects[[#This Row],[Area]]=DashArea)),tblDefects[[#This Row],[Date]],""))</f>
        <v>46287</v>
      </c>
      <c r="I15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50" s="28" t="s">
        <v>114</v>
      </c>
    </row>
    <row r="151" spans="2:10">
      <c r="B151" s="37">
        <v>46287</v>
      </c>
      <c r="C151" s="28" t="s">
        <v>81</v>
      </c>
      <c r="D151" s="28" t="s">
        <v>101</v>
      </c>
      <c r="E151" s="38">
        <v>4</v>
      </c>
      <c r="F151" s="39">
        <f>IF(tblDefects[[#This Row],[Date]]="","",IFERROR(INDEX(tblCategories[Cost per occurrence],MATCH(tblDefects[[#This Row],[Category]],tblCategories[Category],0)),""))</f>
        <v>7.8</v>
      </c>
      <c r="G151" s="39">
        <f>IF(tblDefects[[#This Row],[Date]]="","",IF(tblDefects[[#This Row],[Cost per occurrence]]="","",tblDefects[[#This Row],[Count]]*tblDefects[[#This Row],[Cost per occurrence]]))</f>
        <v>31.2</v>
      </c>
      <c r="H151" s="40">
        <f>IF(tblDefects[[#This Row],[Date]]="","",IF(AND(tblDefects[[#This Row],[Date]]&gt;=FFrom,tblDefects[[#This Row],[Date]]&lt;=FTo,OR(DashArea="",tblDefects[[#This Row],[Area]]=DashArea)),tblDefects[[#This Row],[Date]],""))</f>
        <v>46287</v>
      </c>
      <c r="I15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51" s="28" t="s">
        <v>114</v>
      </c>
    </row>
    <row r="152" spans="2:10">
      <c r="B152" s="37">
        <v>46287</v>
      </c>
      <c r="C152" s="28" t="s">
        <v>81</v>
      </c>
      <c r="D152" s="28" t="s">
        <v>105</v>
      </c>
      <c r="E152" s="38">
        <v>1</v>
      </c>
      <c r="F152" s="39">
        <f>IF(tblDefects[[#This Row],[Date]]="","",IFERROR(INDEX(tblCategories[Cost per occurrence],MATCH(tblDefects[[#This Row],[Category]],tblCategories[Category],0)),""))</f>
        <v>7.8</v>
      </c>
      <c r="G152" s="39">
        <f>IF(tblDefects[[#This Row],[Date]]="","",IF(tblDefects[[#This Row],[Cost per occurrence]]="","",tblDefects[[#This Row],[Count]]*tblDefects[[#This Row],[Cost per occurrence]]))</f>
        <v>7.8</v>
      </c>
      <c r="H152" s="40">
        <f>IF(tblDefects[[#This Row],[Date]]="","",IF(AND(tblDefects[[#This Row],[Date]]&gt;=FFrom,tblDefects[[#This Row],[Date]]&lt;=FTo,OR(DashArea="",tblDefects[[#This Row],[Area]]=DashArea)),tblDefects[[#This Row],[Date]],""))</f>
        <v>46287</v>
      </c>
      <c r="I15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52" s="28" t="s">
        <v>114</v>
      </c>
    </row>
    <row r="153" spans="2:10">
      <c r="B153" s="37">
        <v>46287</v>
      </c>
      <c r="C153" s="28" t="s">
        <v>81</v>
      </c>
      <c r="D153" s="28" t="s">
        <v>103</v>
      </c>
      <c r="E153" s="38">
        <v>7</v>
      </c>
      <c r="F153" s="39">
        <f>IF(tblDefects[[#This Row],[Date]]="","",IFERROR(INDEX(tblCategories[Cost per occurrence],MATCH(tblDefects[[#This Row],[Category]],tblCategories[Category],0)),""))</f>
        <v>0.25</v>
      </c>
      <c r="G153" s="39">
        <f>IF(tblDefects[[#This Row],[Date]]="","",IF(tblDefects[[#This Row],[Cost per occurrence]]="","",tblDefects[[#This Row],[Count]]*tblDefects[[#This Row],[Cost per occurrence]]))</f>
        <v>1.75</v>
      </c>
      <c r="H153" s="40">
        <f>IF(tblDefects[[#This Row],[Date]]="","",IF(AND(tblDefects[[#This Row],[Date]]&gt;=FFrom,tblDefects[[#This Row],[Date]]&lt;=FTo,OR(DashArea="",tblDefects[[#This Row],[Area]]=DashArea)),tblDefects[[#This Row],[Date]],""))</f>
        <v>46287</v>
      </c>
      <c r="I15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53" s="28" t="s">
        <v>114</v>
      </c>
    </row>
    <row r="154" spans="2:10">
      <c r="B154" s="37">
        <v>46287</v>
      </c>
      <c r="C154" s="28" t="s">
        <v>81</v>
      </c>
      <c r="D154" s="28" t="s">
        <v>99</v>
      </c>
      <c r="E154" s="38">
        <v>7</v>
      </c>
      <c r="F154" s="39">
        <f>IF(tblDefects[[#This Row],[Date]]="","",IFERROR(INDEX(tblCategories[Cost per occurrence],MATCH(tblDefects[[#This Row],[Category]],tblCategories[Category],0)),""))</f>
        <v>0.6</v>
      </c>
      <c r="G154" s="39">
        <f>IF(tblDefects[[#This Row],[Date]]="","",IF(tblDefects[[#This Row],[Cost per occurrence]]="","",tblDefects[[#This Row],[Count]]*tblDefects[[#This Row],[Cost per occurrence]]))</f>
        <v>4.2</v>
      </c>
      <c r="H154" s="40">
        <f>IF(tblDefects[[#This Row],[Date]]="","",IF(AND(tblDefects[[#This Row],[Date]]&gt;=FFrom,tblDefects[[#This Row],[Date]]&lt;=FTo,OR(DashArea="",tblDefects[[#This Row],[Area]]=DashArea)),tblDefects[[#This Row],[Date]],""))</f>
        <v>46287</v>
      </c>
      <c r="I15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54" s="28" t="s">
        <v>114</v>
      </c>
    </row>
    <row r="155" spans="2:10">
      <c r="B155" s="37">
        <v>46287</v>
      </c>
      <c r="C155" s="28" t="s">
        <v>83</v>
      </c>
      <c r="D155" s="28" t="s">
        <v>99</v>
      </c>
      <c r="E155" s="38">
        <v>5</v>
      </c>
      <c r="F155" s="39">
        <f>IF(tblDefects[[#This Row],[Date]]="","",IFERROR(INDEX(tblCategories[Cost per occurrence],MATCH(tblDefects[[#This Row],[Category]],tblCategories[Category],0)),""))</f>
        <v>0.6</v>
      </c>
      <c r="G155" s="39">
        <f>IF(tblDefects[[#This Row],[Date]]="","",IF(tblDefects[[#This Row],[Cost per occurrence]]="","",tblDefects[[#This Row],[Count]]*tblDefects[[#This Row],[Cost per occurrence]]))</f>
        <v>3</v>
      </c>
      <c r="H155" s="40">
        <f>IF(tblDefects[[#This Row],[Date]]="","",IF(AND(tblDefects[[#This Row],[Date]]&gt;=FFrom,tblDefects[[#This Row],[Date]]&lt;=FTo,OR(DashArea="",tblDefects[[#This Row],[Area]]=DashArea)),tblDefects[[#This Row],[Date]],""))</f>
        <v>46287</v>
      </c>
      <c r="I15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55" s="28" t="s">
        <v>114</v>
      </c>
    </row>
    <row r="156" spans="2:10">
      <c r="B156" s="37">
        <v>46287</v>
      </c>
      <c r="C156" s="28" t="s">
        <v>83</v>
      </c>
      <c r="D156" s="28" t="s">
        <v>87</v>
      </c>
      <c r="E156" s="38">
        <v>3</v>
      </c>
      <c r="F156" s="39">
        <f>IF(tblDefects[[#This Row],[Date]]="","",IFERROR(INDEX(tblCategories[Cost per occurrence],MATCH(tblDefects[[#This Row],[Category]],tblCategories[Category],0)),""))</f>
        <v>0.35</v>
      </c>
      <c r="G156" s="39">
        <f>IF(tblDefects[[#This Row],[Date]]="","",IF(tblDefects[[#This Row],[Cost per occurrence]]="","",tblDefects[[#This Row],[Count]]*tblDefects[[#This Row],[Cost per occurrence]]))</f>
        <v>1.05</v>
      </c>
      <c r="H156" s="40">
        <f>IF(tblDefects[[#This Row],[Date]]="","",IF(AND(tblDefects[[#This Row],[Date]]&gt;=FFrom,tblDefects[[#This Row],[Date]]&lt;=FTo,OR(DashArea="",tblDefects[[#This Row],[Area]]=DashArea)),tblDefects[[#This Row],[Date]],""))</f>
        <v>46287</v>
      </c>
      <c r="I15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56" s="28" t="s">
        <v>114</v>
      </c>
    </row>
    <row r="157" spans="2:10">
      <c r="B157" s="37">
        <v>46287</v>
      </c>
      <c r="C157" s="28" t="s">
        <v>83</v>
      </c>
      <c r="D157" s="28" t="s">
        <v>103</v>
      </c>
      <c r="E157" s="38">
        <v>1</v>
      </c>
      <c r="F157" s="39">
        <f>IF(tblDefects[[#This Row],[Date]]="","",IFERROR(INDEX(tblCategories[Cost per occurrence],MATCH(tblDefects[[#This Row],[Category]],tblCategories[Category],0)),""))</f>
        <v>0.25</v>
      </c>
      <c r="G157" s="39">
        <f>IF(tblDefects[[#This Row],[Date]]="","",IF(tblDefects[[#This Row],[Cost per occurrence]]="","",tblDefects[[#This Row],[Count]]*tblDefects[[#This Row],[Cost per occurrence]]))</f>
        <v>0.25</v>
      </c>
      <c r="H157" s="40">
        <f>IF(tblDefects[[#This Row],[Date]]="","",IF(AND(tblDefects[[#This Row],[Date]]&gt;=FFrom,tblDefects[[#This Row],[Date]]&lt;=FTo,OR(DashArea="",tblDefects[[#This Row],[Area]]=DashArea)),tblDefects[[#This Row],[Date]],""))</f>
        <v>46287</v>
      </c>
      <c r="I15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57" s="28" t="s">
        <v>114</v>
      </c>
    </row>
    <row r="158" spans="2:10">
      <c r="B158" s="37">
        <v>46287</v>
      </c>
      <c r="C158" s="28" t="s">
        <v>83</v>
      </c>
      <c r="D158" s="28" t="s">
        <v>91</v>
      </c>
      <c r="E158" s="38">
        <v>2</v>
      </c>
      <c r="F158" s="39">
        <f>IF(tblDefects[[#This Row],[Date]]="","",IFERROR(INDEX(tblCategories[Cost per occurrence],MATCH(tblDefects[[#This Row],[Category]],tblCategories[Category],0)),""))</f>
        <v>1.2</v>
      </c>
      <c r="G158" s="39">
        <f>IF(tblDefects[[#This Row],[Date]]="","",IF(tblDefects[[#This Row],[Cost per occurrence]]="","",tblDefects[[#This Row],[Count]]*tblDefects[[#This Row],[Cost per occurrence]]))</f>
        <v>2.4</v>
      </c>
      <c r="H158" s="40">
        <f>IF(tblDefects[[#This Row],[Date]]="","",IF(AND(tblDefects[[#This Row],[Date]]&gt;=FFrom,tblDefects[[#This Row],[Date]]&lt;=FTo,OR(DashArea="",tblDefects[[#This Row],[Area]]=DashArea)),tblDefects[[#This Row],[Date]],""))</f>
        <v>46287</v>
      </c>
      <c r="I15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58" s="28" t="s">
        <v>114</v>
      </c>
    </row>
    <row r="159" spans="2:10">
      <c r="B159" s="37">
        <v>46288</v>
      </c>
      <c r="C159" s="28" t="s">
        <v>79</v>
      </c>
      <c r="D159" s="28" t="s">
        <v>87</v>
      </c>
      <c r="E159" s="38">
        <v>23</v>
      </c>
      <c r="F159" s="39">
        <f>IF(tblDefects[[#This Row],[Date]]="","",IFERROR(INDEX(tblCategories[Cost per occurrence],MATCH(tblDefects[[#This Row],[Category]],tblCategories[Category],0)),""))</f>
        <v>0.35</v>
      </c>
      <c r="G159" s="39">
        <f>IF(tblDefects[[#This Row],[Date]]="","",IF(tblDefects[[#This Row],[Cost per occurrence]]="","",tblDefects[[#This Row],[Count]]*tblDefects[[#This Row],[Cost per occurrence]]))</f>
        <v>8.05</v>
      </c>
      <c r="H159" s="40">
        <f>IF(tblDefects[[#This Row],[Date]]="","",IF(AND(tblDefects[[#This Row],[Date]]&gt;=FFrom,tblDefects[[#This Row],[Date]]&lt;=FTo,OR(DashArea="",tblDefects[[#This Row],[Area]]=DashArea)),tblDefects[[#This Row],[Date]],""))</f>
        <v>46288</v>
      </c>
      <c r="I15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59" s="28" t="s">
        <v>114</v>
      </c>
    </row>
    <row r="160" spans="2:10">
      <c r="B160" s="37">
        <v>46288</v>
      </c>
      <c r="C160" s="28" t="s">
        <v>79</v>
      </c>
      <c r="D160" s="28" t="s">
        <v>89</v>
      </c>
      <c r="E160" s="38">
        <v>34</v>
      </c>
      <c r="F160" s="39">
        <f>IF(tblDefects[[#This Row],[Date]]="","",IFERROR(INDEX(tblCategories[Cost per occurrence],MATCH(tblDefects[[#This Row],[Category]],tblCategories[Category],0)),""))</f>
        <v>1.2</v>
      </c>
      <c r="G160" s="39">
        <f>IF(tblDefects[[#This Row],[Date]]="","",IF(tblDefects[[#This Row],[Cost per occurrence]]="","",tblDefects[[#This Row],[Count]]*tblDefects[[#This Row],[Cost per occurrence]]))</f>
        <v>40.8</v>
      </c>
      <c r="H160" s="40">
        <f>IF(tblDefects[[#This Row],[Date]]="","",IF(AND(tblDefects[[#This Row],[Date]]&gt;=FFrom,tblDefects[[#This Row],[Date]]&lt;=FTo,OR(DashArea="",tblDefects[[#This Row],[Area]]=DashArea)),tblDefects[[#This Row],[Date]],""))</f>
        <v>46288</v>
      </c>
      <c r="I16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60" s="28" t="s">
        <v>114</v>
      </c>
    </row>
    <row r="161" spans="2:10">
      <c r="B161" s="37">
        <v>46288</v>
      </c>
      <c r="C161" s="28" t="s">
        <v>79</v>
      </c>
      <c r="D161" s="28" t="s">
        <v>91</v>
      </c>
      <c r="E161" s="38">
        <v>11</v>
      </c>
      <c r="F161" s="39">
        <f>IF(tblDefects[[#This Row],[Date]]="","",IFERROR(INDEX(tblCategories[Cost per occurrence],MATCH(tblDefects[[#This Row],[Category]],tblCategories[Category],0)),""))</f>
        <v>1.2</v>
      </c>
      <c r="G161" s="39">
        <f>IF(tblDefects[[#This Row],[Date]]="","",IF(tblDefects[[#This Row],[Cost per occurrence]]="","",tblDefects[[#This Row],[Count]]*tblDefects[[#This Row],[Cost per occurrence]]))</f>
        <v>13.2</v>
      </c>
      <c r="H161" s="40">
        <f>IF(tblDefects[[#This Row],[Date]]="","",IF(AND(tblDefects[[#This Row],[Date]]&gt;=FFrom,tblDefects[[#This Row],[Date]]&lt;=FTo,OR(DashArea="",tblDefects[[#This Row],[Area]]=DashArea)),tblDefects[[#This Row],[Date]],""))</f>
        <v>46288</v>
      </c>
      <c r="I16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61" s="28" t="s">
        <v>114</v>
      </c>
    </row>
    <row r="162" spans="2:10">
      <c r="B162" s="37">
        <v>46288</v>
      </c>
      <c r="C162" s="28" t="s">
        <v>79</v>
      </c>
      <c r="D162" s="28" t="s">
        <v>93</v>
      </c>
      <c r="E162" s="38">
        <v>3</v>
      </c>
      <c r="F162" s="39">
        <f>IF(tblDefects[[#This Row],[Date]]="","",IFERROR(INDEX(tblCategories[Cost per occurrence],MATCH(tblDefects[[#This Row],[Category]],tblCategories[Category],0)),""))</f>
        <v>1.2</v>
      </c>
      <c r="G162" s="39">
        <f>IF(tblDefects[[#This Row],[Date]]="","",IF(tblDefects[[#This Row],[Cost per occurrence]]="","",tblDefects[[#This Row],[Count]]*tblDefects[[#This Row],[Cost per occurrence]]))</f>
        <v>3.6</v>
      </c>
      <c r="H162" s="40">
        <f>IF(tblDefects[[#This Row],[Date]]="","",IF(AND(tblDefects[[#This Row],[Date]]&gt;=FFrom,tblDefects[[#This Row],[Date]]&lt;=FTo,OR(DashArea="",tblDefects[[#This Row],[Area]]=DashArea)),tblDefects[[#This Row],[Date]],""))</f>
        <v>46288</v>
      </c>
      <c r="I16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62" s="28" t="s">
        <v>114</v>
      </c>
    </row>
    <row r="163" spans="2:10">
      <c r="B163" s="37">
        <v>46288</v>
      </c>
      <c r="C163" s="28" t="s">
        <v>79</v>
      </c>
      <c r="D163" s="28" t="s">
        <v>95</v>
      </c>
      <c r="E163" s="38">
        <v>2</v>
      </c>
      <c r="F163" s="39">
        <f>IF(tblDefects[[#This Row],[Date]]="","",IFERROR(INDEX(tblCategories[Cost per occurrence],MATCH(tblDefects[[#This Row],[Category]],tblCategories[Category],0)),""))</f>
        <v>1.2</v>
      </c>
      <c r="G163" s="39">
        <f>IF(tblDefects[[#This Row],[Date]]="","",IF(tblDefects[[#This Row],[Cost per occurrence]]="","",tblDefects[[#This Row],[Count]]*tblDefects[[#This Row],[Cost per occurrence]]))</f>
        <v>2.4</v>
      </c>
      <c r="H163" s="40">
        <f>IF(tblDefects[[#This Row],[Date]]="","",IF(AND(tblDefects[[#This Row],[Date]]&gt;=FFrom,tblDefects[[#This Row],[Date]]&lt;=FTo,OR(DashArea="",tblDefects[[#This Row],[Area]]=DashArea)),tblDefects[[#This Row],[Date]],""))</f>
        <v>46288</v>
      </c>
      <c r="I16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63" s="28" t="s">
        <v>114</v>
      </c>
    </row>
    <row r="164" spans="2:10">
      <c r="B164" s="37">
        <v>46288</v>
      </c>
      <c r="C164" s="28" t="s">
        <v>79</v>
      </c>
      <c r="D164" s="28" t="s">
        <v>97</v>
      </c>
      <c r="E164" s="38">
        <v>4</v>
      </c>
      <c r="F164" s="39">
        <f>IF(tblDefects[[#This Row],[Date]]="","",IFERROR(INDEX(tblCategories[Cost per occurrence],MATCH(tblDefects[[#This Row],[Category]],tblCategories[Category],0)),""))</f>
        <v>1.2</v>
      </c>
      <c r="G164" s="39">
        <f>IF(tblDefects[[#This Row],[Date]]="","",IF(tblDefects[[#This Row],[Cost per occurrence]]="","",tblDefects[[#This Row],[Count]]*tblDefects[[#This Row],[Cost per occurrence]]))</f>
        <v>4.8</v>
      </c>
      <c r="H164" s="40">
        <f>IF(tblDefects[[#This Row],[Date]]="","",IF(AND(tblDefects[[#This Row],[Date]]&gt;=FFrom,tblDefects[[#This Row],[Date]]&lt;=FTo,OR(DashArea="",tblDefects[[#This Row],[Area]]=DashArea)),tblDefects[[#This Row],[Date]],""))</f>
        <v>46288</v>
      </c>
      <c r="I16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64" s="28" t="s">
        <v>114</v>
      </c>
    </row>
    <row r="165" spans="2:10">
      <c r="B165" s="37">
        <v>46288</v>
      </c>
      <c r="C165" s="28" t="s">
        <v>81</v>
      </c>
      <c r="D165" s="28" t="s">
        <v>101</v>
      </c>
      <c r="E165" s="38">
        <v>5</v>
      </c>
      <c r="F165" s="39">
        <f>IF(tblDefects[[#This Row],[Date]]="","",IFERROR(INDEX(tblCategories[Cost per occurrence],MATCH(tblDefects[[#This Row],[Category]],tblCategories[Category],0)),""))</f>
        <v>7.8</v>
      </c>
      <c r="G165" s="39">
        <f>IF(tblDefects[[#This Row],[Date]]="","",IF(tblDefects[[#This Row],[Cost per occurrence]]="","",tblDefects[[#This Row],[Count]]*tblDefects[[#This Row],[Cost per occurrence]]))</f>
        <v>39</v>
      </c>
      <c r="H165" s="40">
        <f>IF(tblDefects[[#This Row],[Date]]="","",IF(AND(tblDefects[[#This Row],[Date]]&gt;=FFrom,tblDefects[[#This Row],[Date]]&lt;=FTo,OR(DashArea="",tblDefects[[#This Row],[Area]]=DashArea)),tblDefects[[#This Row],[Date]],""))</f>
        <v>46288</v>
      </c>
      <c r="I16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65" s="28" t="s">
        <v>114</v>
      </c>
    </row>
    <row r="166" spans="2:10">
      <c r="B166" s="37">
        <v>46288</v>
      </c>
      <c r="C166" s="28" t="s">
        <v>81</v>
      </c>
      <c r="D166" s="28" t="s">
        <v>105</v>
      </c>
      <c r="E166" s="38">
        <v>1</v>
      </c>
      <c r="F166" s="39">
        <f>IF(tblDefects[[#This Row],[Date]]="","",IFERROR(INDEX(tblCategories[Cost per occurrence],MATCH(tblDefects[[#This Row],[Category]],tblCategories[Category],0)),""))</f>
        <v>7.8</v>
      </c>
      <c r="G166" s="39">
        <f>IF(tblDefects[[#This Row],[Date]]="","",IF(tblDefects[[#This Row],[Cost per occurrence]]="","",tblDefects[[#This Row],[Count]]*tblDefects[[#This Row],[Cost per occurrence]]))</f>
        <v>7.8</v>
      </c>
      <c r="H166" s="40">
        <f>IF(tblDefects[[#This Row],[Date]]="","",IF(AND(tblDefects[[#This Row],[Date]]&gt;=FFrom,tblDefects[[#This Row],[Date]]&lt;=FTo,OR(DashArea="",tblDefects[[#This Row],[Area]]=DashArea)),tblDefects[[#This Row],[Date]],""))</f>
        <v>46288</v>
      </c>
      <c r="I16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66" s="28" t="s">
        <v>114</v>
      </c>
    </row>
    <row r="167" spans="2:10">
      <c r="B167" s="37">
        <v>46288</v>
      </c>
      <c r="C167" s="28" t="s">
        <v>81</v>
      </c>
      <c r="D167" s="28" t="s">
        <v>103</v>
      </c>
      <c r="E167" s="38">
        <v>6</v>
      </c>
      <c r="F167" s="39">
        <f>IF(tblDefects[[#This Row],[Date]]="","",IFERROR(INDEX(tblCategories[Cost per occurrence],MATCH(tblDefects[[#This Row],[Category]],tblCategories[Category],0)),""))</f>
        <v>0.25</v>
      </c>
      <c r="G167" s="39">
        <f>IF(tblDefects[[#This Row],[Date]]="","",IF(tblDefects[[#This Row],[Cost per occurrence]]="","",tblDefects[[#This Row],[Count]]*tblDefects[[#This Row],[Cost per occurrence]]))</f>
        <v>1.5</v>
      </c>
      <c r="H167" s="40">
        <f>IF(tblDefects[[#This Row],[Date]]="","",IF(AND(tblDefects[[#This Row],[Date]]&gt;=FFrom,tblDefects[[#This Row],[Date]]&lt;=FTo,OR(DashArea="",tblDefects[[#This Row],[Area]]=DashArea)),tblDefects[[#This Row],[Date]],""))</f>
        <v>46288</v>
      </c>
      <c r="I16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67" s="28" t="s">
        <v>114</v>
      </c>
    </row>
    <row r="168" spans="2:10">
      <c r="B168" s="37">
        <v>46288</v>
      </c>
      <c r="C168" s="28" t="s">
        <v>81</v>
      </c>
      <c r="D168" s="28" t="s">
        <v>99</v>
      </c>
      <c r="E168" s="38">
        <v>8</v>
      </c>
      <c r="F168" s="39">
        <f>IF(tblDefects[[#This Row],[Date]]="","",IFERROR(INDEX(tblCategories[Cost per occurrence],MATCH(tblDefects[[#This Row],[Category]],tblCategories[Category],0)),""))</f>
        <v>0.6</v>
      </c>
      <c r="G168" s="39">
        <f>IF(tblDefects[[#This Row],[Date]]="","",IF(tblDefects[[#This Row],[Cost per occurrence]]="","",tblDefects[[#This Row],[Count]]*tblDefects[[#This Row],[Cost per occurrence]]))</f>
        <v>4.8</v>
      </c>
      <c r="H168" s="40">
        <f>IF(tblDefects[[#This Row],[Date]]="","",IF(AND(tblDefects[[#This Row],[Date]]&gt;=FFrom,tblDefects[[#This Row],[Date]]&lt;=FTo,OR(DashArea="",tblDefects[[#This Row],[Area]]=DashArea)),tblDefects[[#This Row],[Date]],""))</f>
        <v>46288</v>
      </c>
      <c r="I16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68" s="28" t="s">
        <v>114</v>
      </c>
    </row>
    <row r="169" spans="2:10">
      <c r="B169" s="37">
        <v>46288</v>
      </c>
      <c r="C169" s="28" t="s">
        <v>83</v>
      </c>
      <c r="D169" s="28" t="s">
        <v>99</v>
      </c>
      <c r="E169" s="38">
        <v>2</v>
      </c>
      <c r="F169" s="39">
        <f>IF(tblDefects[[#This Row],[Date]]="","",IFERROR(INDEX(tblCategories[Cost per occurrence],MATCH(tblDefects[[#This Row],[Category]],tblCategories[Category],0)),""))</f>
        <v>0.6</v>
      </c>
      <c r="G169" s="39">
        <f>IF(tblDefects[[#This Row],[Date]]="","",IF(tblDefects[[#This Row],[Cost per occurrence]]="","",tblDefects[[#This Row],[Count]]*tblDefects[[#This Row],[Cost per occurrence]]))</f>
        <v>1.2</v>
      </c>
      <c r="H169" s="40">
        <f>IF(tblDefects[[#This Row],[Date]]="","",IF(AND(tblDefects[[#This Row],[Date]]&gt;=FFrom,tblDefects[[#This Row],[Date]]&lt;=FTo,OR(DashArea="",tblDefects[[#This Row],[Area]]=DashArea)),tblDefects[[#This Row],[Date]],""))</f>
        <v>46288</v>
      </c>
      <c r="I16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69" s="28" t="s">
        <v>114</v>
      </c>
    </row>
    <row r="170" spans="2:10">
      <c r="B170" s="37">
        <v>46288</v>
      </c>
      <c r="C170" s="28" t="s">
        <v>83</v>
      </c>
      <c r="D170" s="28" t="s">
        <v>103</v>
      </c>
      <c r="E170" s="38">
        <v>1</v>
      </c>
      <c r="F170" s="39">
        <f>IF(tblDefects[[#This Row],[Date]]="","",IFERROR(INDEX(tblCategories[Cost per occurrence],MATCH(tblDefects[[#This Row],[Category]],tblCategories[Category],0)),""))</f>
        <v>0.25</v>
      </c>
      <c r="G170" s="39">
        <f>IF(tblDefects[[#This Row],[Date]]="","",IF(tblDefects[[#This Row],[Cost per occurrence]]="","",tblDefects[[#This Row],[Count]]*tblDefects[[#This Row],[Cost per occurrence]]))</f>
        <v>0.25</v>
      </c>
      <c r="H170" s="40">
        <f>IF(tblDefects[[#This Row],[Date]]="","",IF(AND(tblDefects[[#This Row],[Date]]&gt;=FFrom,tblDefects[[#This Row],[Date]]&lt;=FTo,OR(DashArea="",tblDefects[[#This Row],[Area]]=DashArea)),tblDefects[[#This Row],[Date]],""))</f>
        <v>46288</v>
      </c>
      <c r="I17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70" s="28" t="s">
        <v>114</v>
      </c>
    </row>
    <row r="171" spans="2:10">
      <c r="B171" s="37">
        <v>46288</v>
      </c>
      <c r="C171" s="28" t="s">
        <v>83</v>
      </c>
      <c r="D171" s="28" t="s">
        <v>101</v>
      </c>
      <c r="E171" s="38">
        <v>1</v>
      </c>
      <c r="F171" s="39">
        <f>IF(tblDefects[[#This Row],[Date]]="","",IFERROR(INDEX(tblCategories[Cost per occurrence],MATCH(tblDefects[[#This Row],[Category]],tblCategories[Category],0)),""))</f>
        <v>7.8</v>
      </c>
      <c r="G171" s="39">
        <f>IF(tblDefects[[#This Row],[Date]]="","",IF(tblDefects[[#This Row],[Cost per occurrence]]="","",tblDefects[[#This Row],[Count]]*tblDefects[[#This Row],[Cost per occurrence]]))</f>
        <v>7.8</v>
      </c>
      <c r="H171" s="40">
        <f>IF(tblDefects[[#This Row],[Date]]="","",IF(AND(tblDefects[[#This Row],[Date]]&gt;=FFrom,tblDefects[[#This Row],[Date]]&lt;=FTo,OR(DashArea="",tblDefects[[#This Row],[Area]]=DashArea)),tblDefects[[#This Row],[Date]],""))</f>
        <v>46288</v>
      </c>
      <c r="I17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71" s="28" t="s">
        <v>114</v>
      </c>
    </row>
    <row r="172" spans="2:10">
      <c r="B172" s="37">
        <v>46288</v>
      </c>
      <c r="C172" s="28" t="s">
        <v>83</v>
      </c>
      <c r="D172" s="28" t="s">
        <v>91</v>
      </c>
      <c r="E172" s="38">
        <v>1</v>
      </c>
      <c r="F172" s="39">
        <f>IF(tblDefects[[#This Row],[Date]]="","",IFERROR(INDEX(tblCategories[Cost per occurrence],MATCH(tblDefects[[#This Row],[Category]],tblCategories[Category],0)),""))</f>
        <v>1.2</v>
      </c>
      <c r="G172" s="39">
        <f>IF(tblDefects[[#This Row],[Date]]="","",IF(tblDefects[[#This Row],[Cost per occurrence]]="","",tblDefects[[#This Row],[Count]]*tblDefects[[#This Row],[Cost per occurrence]]))</f>
        <v>1.2</v>
      </c>
      <c r="H172" s="40">
        <f>IF(tblDefects[[#This Row],[Date]]="","",IF(AND(tblDefects[[#This Row],[Date]]&gt;=FFrom,tblDefects[[#This Row],[Date]]&lt;=FTo,OR(DashArea="",tblDefects[[#This Row],[Area]]=DashArea)),tblDefects[[#This Row],[Date]],""))</f>
        <v>46288</v>
      </c>
      <c r="I17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72" s="28" t="s">
        <v>114</v>
      </c>
    </row>
    <row r="173" spans="2:10">
      <c r="B173" s="37">
        <v>46289</v>
      </c>
      <c r="C173" s="28" t="s">
        <v>79</v>
      </c>
      <c r="D173" s="28" t="s">
        <v>87</v>
      </c>
      <c r="E173" s="38">
        <v>28</v>
      </c>
      <c r="F173" s="39">
        <f>IF(tblDefects[[#This Row],[Date]]="","",IFERROR(INDEX(tblCategories[Cost per occurrence],MATCH(tblDefects[[#This Row],[Category]],tblCategories[Category],0)),""))</f>
        <v>0.35</v>
      </c>
      <c r="G173" s="39">
        <f>IF(tblDefects[[#This Row],[Date]]="","",IF(tblDefects[[#This Row],[Cost per occurrence]]="","",tblDefects[[#This Row],[Count]]*tblDefects[[#This Row],[Cost per occurrence]]))</f>
        <v>9.8</v>
      </c>
      <c r="H173" s="40">
        <f>IF(tblDefects[[#This Row],[Date]]="","",IF(AND(tblDefects[[#This Row],[Date]]&gt;=FFrom,tblDefects[[#This Row],[Date]]&lt;=FTo,OR(DashArea="",tblDefects[[#This Row],[Area]]=DashArea)),tblDefects[[#This Row],[Date]],""))</f>
        <v>46289</v>
      </c>
      <c r="I17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73" s="28" t="s">
        <v>114</v>
      </c>
    </row>
    <row r="174" spans="2:10">
      <c r="B174" s="37">
        <v>46289</v>
      </c>
      <c r="C174" s="28" t="s">
        <v>79</v>
      </c>
      <c r="D174" s="28" t="s">
        <v>89</v>
      </c>
      <c r="E174" s="38">
        <v>18</v>
      </c>
      <c r="F174" s="39">
        <f>IF(tblDefects[[#This Row],[Date]]="","",IFERROR(INDEX(tblCategories[Cost per occurrence],MATCH(tblDefects[[#This Row],[Category]],tblCategories[Category],0)),""))</f>
        <v>1.2</v>
      </c>
      <c r="G174" s="39">
        <f>IF(tblDefects[[#This Row],[Date]]="","",IF(tblDefects[[#This Row],[Cost per occurrence]]="","",tblDefects[[#This Row],[Count]]*tblDefects[[#This Row],[Cost per occurrence]]))</f>
        <v>21.6</v>
      </c>
      <c r="H174" s="40">
        <f>IF(tblDefects[[#This Row],[Date]]="","",IF(AND(tblDefects[[#This Row],[Date]]&gt;=FFrom,tblDefects[[#This Row],[Date]]&lt;=FTo,OR(DashArea="",tblDefects[[#This Row],[Area]]=DashArea)),tblDefects[[#This Row],[Date]],""))</f>
        <v>46289</v>
      </c>
      <c r="I17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74" s="28" t="s">
        <v>114</v>
      </c>
    </row>
    <row r="175" spans="2:10">
      <c r="B175" s="37">
        <v>46289</v>
      </c>
      <c r="C175" s="28" t="s">
        <v>79</v>
      </c>
      <c r="D175" s="28" t="s">
        <v>91</v>
      </c>
      <c r="E175" s="38">
        <v>5</v>
      </c>
      <c r="F175" s="39">
        <f>IF(tblDefects[[#This Row],[Date]]="","",IFERROR(INDEX(tblCategories[Cost per occurrence],MATCH(tblDefects[[#This Row],[Category]],tblCategories[Category],0)),""))</f>
        <v>1.2</v>
      </c>
      <c r="G175" s="39">
        <f>IF(tblDefects[[#This Row],[Date]]="","",IF(tblDefects[[#This Row],[Cost per occurrence]]="","",tblDefects[[#This Row],[Count]]*tblDefects[[#This Row],[Cost per occurrence]]))</f>
        <v>6</v>
      </c>
      <c r="H175" s="40">
        <f>IF(tblDefects[[#This Row],[Date]]="","",IF(AND(tblDefects[[#This Row],[Date]]&gt;=FFrom,tblDefects[[#This Row],[Date]]&lt;=FTo,OR(DashArea="",tblDefects[[#This Row],[Area]]=DashArea)),tblDefects[[#This Row],[Date]],""))</f>
        <v>46289</v>
      </c>
      <c r="I17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75" s="28" t="s">
        <v>114</v>
      </c>
    </row>
    <row r="176" spans="2:10">
      <c r="B176" s="37">
        <v>46289</v>
      </c>
      <c r="C176" s="28" t="s">
        <v>79</v>
      </c>
      <c r="D176" s="28" t="s">
        <v>93</v>
      </c>
      <c r="E176" s="38">
        <v>8</v>
      </c>
      <c r="F176" s="39">
        <f>IF(tblDefects[[#This Row],[Date]]="","",IFERROR(INDEX(tblCategories[Cost per occurrence],MATCH(tblDefects[[#This Row],[Category]],tblCategories[Category],0)),""))</f>
        <v>1.2</v>
      </c>
      <c r="G176" s="39">
        <f>IF(tblDefects[[#This Row],[Date]]="","",IF(tblDefects[[#This Row],[Cost per occurrence]]="","",tblDefects[[#This Row],[Count]]*tblDefects[[#This Row],[Cost per occurrence]]))</f>
        <v>9.6</v>
      </c>
      <c r="H176" s="40">
        <f>IF(tblDefects[[#This Row],[Date]]="","",IF(AND(tblDefects[[#This Row],[Date]]&gt;=FFrom,tblDefects[[#This Row],[Date]]&lt;=FTo,OR(DashArea="",tblDefects[[#This Row],[Area]]=DashArea)),tblDefects[[#This Row],[Date]],""))</f>
        <v>46289</v>
      </c>
      <c r="I17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76" s="28" t="s">
        <v>114</v>
      </c>
    </row>
    <row r="177" spans="2:10">
      <c r="B177" s="37">
        <v>46289</v>
      </c>
      <c r="C177" s="28" t="s">
        <v>79</v>
      </c>
      <c r="D177" s="28" t="s">
        <v>95</v>
      </c>
      <c r="E177" s="38">
        <v>2</v>
      </c>
      <c r="F177" s="39">
        <f>IF(tblDefects[[#This Row],[Date]]="","",IFERROR(INDEX(tblCategories[Cost per occurrence],MATCH(tblDefects[[#This Row],[Category]],tblCategories[Category],0)),""))</f>
        <v>1.2</v>
      </c>
      <c r="G177" s="39">
        <f>IF(tblDefects[[#This Row],[Date]]="","",IF(tblDefects[[#This Row],[Cost per occurrence]]="","",tblDefects[[#This Row],[Count]]*tblDefects[[#This Row],[Cost per occurrence]]))</f>
        <v>2.4</v>
      </c>
      <c r="H177" s="40">
        <f>IF(tblDefects[[#This Row],[Date]]="","",IF(AND(tblDefects[[#This Row],[Date]]&gt;=FFrom,tblDefects[[#This Row],[Date]]&lt;=FTo,OR(DashArea="",tblDefects[[#This Row],[Area]]=DashArea)),tblDefects[[#This Row],[Date]],""))</f>
        <v>46289</v>
      </c>
      <c r="I17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77" s="28" t="s">
        <v>114</v>
      </c>
    </row>
    <row r="178" spans="2:10">
      <c r="B178" s="37">
        <v>46289</v>
      </c>
      <c r="C178" s="28" t="s">
        <v>79</v>
      </c>
      <c r="D178" s="28" t="s">
        <v>97</v>
      </c>
      <c r="E178" s="38">
        <v>1</v>
      </c>
      <c r="F178" s="39">
        <f>IF(tblDefects[[#This Row],[Date]]="","",IFERROR(INDEX(tblCategories[Cost per occurrence],MATCH(tblDefects[[#This Row],[Category]],tblCategories[Category],0)),""))</f>
        <v>1.2</v>
      </c>
      <c r="G178" s="39">
        <f>IF(tblDefects[[#This Row],[Date]]="","",IF(tblDefects[[#This Row],[Cost per occurrence]]="","",tblDefects[[#This Row],[Count]]*tblDefects[[#This Row],[Cost per occurrence]]))</f>
        <v>1.2</v>
      </c>
      <c r="H178" s="40">
        <f>IF(tblDefects[[#This Row],[Date]]="","",IF(AND(tblDefects[[#This Row],[Date]]&gt;=FFrom,tblDefects[[#This Row],[Date]]&lt;=FTo,OR(DashArea="",tblDefects[[#This Row],[Area]]=DashArea)),tblDefects[[#This Row],[Date]],""))</f>
        <v>46289</v>
      </c>
      <c r="I17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78" s="28" t="s">
        <v>114</v>
      </c>
    </row>
    <row r="179" spans="2:10">
      <c r="B179" s="37">
        <v>46289</v>
      </c>
      <c r="C179" s="28" t="s">
        <v>81</v>
      </c>
      <c r="D179" s="28" t="s">
        <v>101</v>
      </c>
      <c r="E179" s="38">
        <v>4</v>
      </c>
      <c r="F179" s="39">
        <f>IF(tblDefects[[#This Row],[Date]]="","",IFERROR(INDEX(tblCategories[Cost per occurrence],MATCH(tblDefects[[#This Row],[Category]],tblCategories[Category],0)),""))</f>
        <v>7.8</v>
      </c>
      <c r="G179" s="39">
        <f>IF(tblDefects[[#This Row],[Date]]="","",IF(tblDefects[[#This Row],[Cost per occurrence]]="","",tblDefects[[#This Row],[Count]]*tblDefects[[#This Row],[Cost per occurrence]]))</f>
        <v>31.2</v>
      </c>
      <c r="H179" s="40">
        <f>IF(tblDefects[[#This Row],[Date]]="","",IF(AND(tblDefects[[#This Row],[Date]]&gt;=FFrom,tblDefects[[#This Row],[Date]]&lt;=FTo,OR(DashArea="",tblDefects[[#This Row],[Area]]=DashArea)),tblDefects[[#This Row],[Date]],""))</f>
        <v>46289</v>
      </c>
      <c r="I17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79" s="28" t="s">
        <v>114</v>
      </c>
    </row>
    <row r="180" spans="2:10">
      <c r="B180" s="37">
        <v>46289</v>
      </c>
      <c r="C180" s="28" t="s">
        <v>81</v>
      </c>
      <c r="D180" s="28" t="s">
        <v>105</v>
      </c>
      <c r="E180" s="38">
        <v>3</v>
      </c>
      <c r="F180" s="39">
        <f>IF(tblDefects[[#This Row],[Date]]="","",IFERROR(INDEX(tblCategories[Cost per occurrence],MATCH(tblDefects[[#This Row],[Category]],tblCategories[Category],0)),""))</f>
        <v>7.8</v>
      </c>
      <c r="G180" s="39">
        <f>IF(tblDefects[[#This Row],[Date]]="","",IF(tblDefects[[#This Row],[Cost per occurrence]]="","",tblDefects[[#This Row],[Count]]*tblDefects[[#This Row],[Cost per occurrence]]))</f>
        <v>23.4</v>
      </c>
      <c r="H180" s="40">
        <f>IF(tblDefects[[#This Row],[Date]]="","",IF(AND(tblDefects[[#This Row],[Date]]&gt;=FFrom,tblDefects[[#This Row],[Date]]&lt;=FTo,OR(DashArea="",tblDefects[[#This Row],[Area]]=DashArea)),tblDefects[[#This Row],[Date]],""))</f>
        <v>46289</v>
      </c>
      <c r="I18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80" s="28" t="s">
        <v>114</v>
      </c>
    </row>
    <row r="181" spans="2:10">
      <c r="B181" s="37">
        <v>46289</v>
      </c>
      <c r="C181" s="28" t="s">
        <v>81</v>
      </c>
      <c r="D181" s="28" t="s">
        <v>103</v>
      </c>
      <c r="E181" s="38">
        <v>7</v>
      </c>
      <c r="F181" s="39">
        <f>IF(tblDefects[[#This Row],[Date]]="","",IFERROR(INDEX(tblCategories[Cost per occurrence],MATCH(tblDefects[[#This Row],[Category]],tblCategories[Category],0)),""))</f>
        <v>0.25</v>
      </c>
      <c r="G181" s="39">
        <f>IF(tblDefects[[#This Row],[Date]]="","",IF(tblDefects[[#This Row],[Cost per occurrence]]="","",tblDefects[[#This Row],[Count]]*tblDefects[[#This Row],[Cost per occurrence]]))</f>
        <v>1.75</v>
      </c>
      <c r="H181" s="40">
        <f>IF(tblDefects[[#This Row],[Date]]="","",IF(AND(tblDefects[[#This Row],[Date]]&gt;=FFrom,tblDefects[[#This Row],[Date]]&lt;=FTo,OR(DashArea="",tblDefects[[#This Row],[Area]]=DashArea)),tblDefects[[#This Row],[Date]],""))</f>
        <v>46289</v>
      </c>
      <c r="I18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81" s="28" t="s">
        <v>114</v>
      </c>
    </row>
    <row r="182" spans="2:10">
      <c r="B182" s="37">
        <v>46289</v>
      </c>
      <c r="C182" s="28" t="s">
        <v>81</v>
      </c>
      <c r="D182" s="28" t="s">
        <v>99</v>
      </c>
      <c r="E182" s="38">
        <v>4</v>
      </c>
      <c r="F182" s="39">
        <f>IF(tblDefects[[#This Row],[Date]]="","",IFERROR(INDEX(tblCategories[Cost per occurrence],MATCH(tblDefects[[#This Row],[Category]],tblCategories[Category],0)),""))</f>
        <v>0.6</v>
      </c>
      <c r="G182" s="39">
        <f>IF(tblDefects[[#This Row],[Date]]="","",IF(tblDefects[[#This Row],[Cost per occurrence]]="","",tblDefects[[#This Row],[Count]]*tblDefects[[#This Row],[Cost per occurrence]]))</f>
        <v>2.4</v>
      </c>
      <c r="H182" s="40">
        <f>IF(tblDefects[[#This Row],[Date]]="","",IF(AND(tblDefects[[#This Row],[Date]]&gt;=FFrom,tblDefects[[#This Row],[Date]]&lt;=FTo,OR(DashArea="",tblDefects[[#This Row],[Area]]=DashArea)),tblDefects[[#This Row],[Date]],""))</f>
        <v>46289</v>
      </c>
      <c r="I18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82" s="28" t="s">
        <v>114</v>
      </c>
    </row>
    <row r="183" spans="2:10">
      <c r="B183" s="37">
        <v>46289</v>
      </c>
      <c r="C183" s="28" t="s">
        <v>83</v>
      </c>
      <c r="D183" s="28" t="s">
        <v>99</v>
      </c>
      <c r="E183" s="38">
        <v>1</v>
      </c>
      <c r="F183" s="39">
        <f>IF(tblDefects[[#This Row],[Date]]="","",IFERROR(INDEX(tblCategories[Cost per occurrence],MATCH(tblDefects[[#This Row],[Category]],tblCategories[Category],0)),""))</f>
        <v>0.6</v>
      </c>
      <c r="G183" s="39">
        <f>IF(tblDefects[[#This Row],[Date]]="","",IF(tblDefects[[#This Row],[Cost per occurrence]]="","",tblDefects[[#This Row],[Count]]*tblDefects[[#This Row],[Cost per occurrence]]))</f>
        <v>0.6</v>
      </c>
      <c r="H183" s="40">
        <f>IF(tblDefects[[#This Row],[Date]]="","",IF(AND(tblDefects[[#This Row],[Date]]&gt;=FFrom,tblDefects[[#This Row],[Date]]&lt;=FTo,OR(DashArea="",tblDefects[[#This Row],[Area]]=DashArea)),tblDefects[[#This Row],[Date]],""))</f>
        <v>46289</v>
      </c>
      <c r="I18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83" s="28" t="s">
        <v>114</v>
      </c>
    </row>
    <row r="184" spans="2:10">
      <c r="B184" s="37">
        <v>46289</v>
      </c>
      <c r="C184" s="28" t="s">
        <v>83</v>
      </c>
      <c r="D184" s="28" t="s">
        <v>87</v>
      </c>
      <c r="E184" s="38">
        <v>2</v>
      </c>
      <c r="F184" s="39">
        <f>IF(tblDefects[[#This Row],[Date]]="","",IFERROR(INDEX(tblCategories[Cost per occurrence],MATCH(tblDefects[[#This Row],[Category]],tblCategories[Category],0)),""))</f>
        <v>0.35</v>
      </c>
      <c r="G184" s="39">
        <f>IF(tblDefects[[#This Row],[Date]]="","",IF(tblDefects[[#This Row],[Cost per occurrence]]="","",tblDefects[[#This Row],[Count]]*tblDefects[[#This Row],[Cost per occurrence]]))</f>
        <v>0.7</v>
      </c>
      <c r="H184" s="40">
        <f>IF(tblDefects[[#This Row],[Date]]="","",IF(AND(tblDefects[[#This Row],[Date]]&gt;=FFrom,tblDefects[[#This Row],[Date]]&lt;=FTo,OR(DashArea="",tblDefects[[#This Row],[Area]]=DashArea)),tblDefects[[#This Row],[Date]],""))</f>
        <v>46289</v>
      </c>
      <c r="I18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84" s="28" t="s">
        <v>114</v>
      </c>
    </row>
    <row r="185" spans="2:10">
      <c r="B185" s="37">
        <v>46289</v>
      </c>
      <c r="C185" s="28" t="s">
        <v>83</v>
      </c>
      <c r="D185" s="28" t="s">
        <v>103</v>
      </c>
      <c r="E185" s="38">
        <v>3</v>
      </c>
      <c r="F185" s="39">
        <f>IF(tblDefects[[#This Row],[Date]]="","",IFERROR(INDEX(tblCategories[Cost per occurrence],MATCH(tblDefects[[#This Row],[Category]],tblCategories[Category],0)),""))</f>
        <v>0.25</v>
      </c>
      <c r="G185" s="39">
        <f>IF(tblDefects[[#This Row],[Date]]="","",IF(tblDefects[[#This Row],[Cost per occurrence]]="","",tblDefects[[#This Row],[Count]]*tblDefects[[#This Row],[Cost per occurrence]]))</f>
        <v>0.75</v>
      </c>
      <c r="H185" s="40">
        <f>IF(tblDefects[[#This Row],[Date]]="","",IF(AND(tblDefects[[#This Row],[Date]]&gt;=FFrom,tblDefects[[#This Row],[Date]]&lt;=FTo,OR(DashArea="",tblDefects[[#This Row],[Area]]=DashArea)),tblDefects[[#This Row],[Date]],""))</f>
        <v>46289</v>
      </c>
      <c r="I18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85" s="28" t="s">
        <v>114</v>
      </c>
    </row>
    <row r="186" spans="2:10">
      <c r="B186" s="37">
        <v>46289</v>
      </c>
      <c r="C186" s="28" t="s">
        <v>83</v>
      </c>
      <c r="D186" s="28" t="s">
        <v>91</v>
      </c>
      <c r="E186" s="38">
        <v>1</v>
      </c>
      <c r="F186" s="39">
        <f>IF(tblDefects[[#This Row],[Date]]="","",IFERROR(INDEX(tblCategories[Cost per occurrence],MATCH(tblDefects[[#This Row],[Category]],tblCategories[Category],0)),""))</f>
        <v>1.2</v>
      </c>
      <c r="G186" s="39">
        <f>IF(tblDefects[[#This Row],[Date]]="","",IF(tblDefects[[#This Row],[Cost per occurrence]]="","",tblDefects[[#This Row],[Count]]*tblDefects[[#This Row],[Cost per occurrence]]))</f>
        <v>1.2</v>
      </c>
      <c r="H186" s="40">
        <f>IF(tblDefects[[#This Row],[Date]]="","",IF(AND(tblDefects[[#This Row],[Date]]&gt;=FFrom,tblDefects[[#This Row],[Date]]&lt;=FTo,OR(DashArea="",tblDefects[[#This Row],[Area]]=DashArea)),tblDefects[[#This Row],[Date]],""))</f>
        <v>46289</v>
      </c>
      <c r="I18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86" s="28" t="s">
        <v>114</v>
      </c>
    </row>
    <row r="187" spans="2:10">
      <c r="B187" s="37">
        <v>46290</v>
      </c>
      <c r="C187" s="28" t="s">
        <v>79</v>
      </c>
      <c r="D187" s="28" t="s">
        <v>87</v>
      </c>
      <c r="E187" s="38">
        <v>29</v>
      </c>
      <c r="F187" s="39">
        <f>IF(tblDefects[[#This Row],[Date]]="","",IFERROR(INDEX(tblCategories[Cost per occurrence],MATCH(tblDefects[[#This Row],[Category]],tblCategories[Category],0)),""))</f>
        <v>0.35</v>
      </c>
      <c r="G187" s="39">
        <f>IF(tblDefects[[#This Row],[Date]]="","",IF(tblDefects[[#This Row],[Cost per occurrence]]="","",tblDefects[[#This Row],[Count]]*tblDefects[[#This Row],[Cost per occurrence]]))</f>
        <v>10.15</v>
      </c>
      <c r="H187" s="40">
        <f>IF(tblDefects[[#This Row],[Date]]="","",IF(AND(tblDefects[[#This Row],[Date]]&gt;=FFrom,tblDefects[[#This Row],[Date]]&lt;=FTo,OR(DashArea="",tblDefects[[#This Row],[Area]]=DashArea)),tblDefects[[#This Row],[Date]],""))</f>
        <v>46290</v>
      </c>
      <c r="I18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87" s="28" t="s">
        <v>114</v>
      </c>
    </row>
    <row r="188" spans="2:10">
      <c r="B188" s="37">
        <v>46290</v>
      </c>
      <c r="C188" s="28" t="s">
        <v>79</v>
      </c>
      <c r="D188" s="28" t="s">
        <v>89</v>
      </c>
      <c r="E188" s="38">
        <v>20</v>
      </c>
      <c r="F188" s="39">
        <f>IF(tblDefects[[#This Row],[Date]]="","",IFERROR(INDEX(tblCategories[Cost per occurrence],MATCH(tblDefects[[#This Row],[Category]],tblCategories[Category],0)),""))</f>
        <v>1.2</v>
      </c>
      <c r="G188" s="39">
        <f>IF(tblDefects[[#This Row],[Date]]="","",IF(tblDefects[[#This Row],[Cost per occurrence]]="","",tblDefects[[#This Row],[Count]]*tblDefects[[#This Row],[Cost per occurrence]]))</f>
        <v>24</v>
      </c>
      <c r="H188" s="40">
        <f>IF(tblDefects[[#This Row],[Date]]="","",IF(AND(tblDefects[[#This Row],[Date]]&gt;=FFrom,tblDefects[[#This Row],[Date]]&lt;=FTo,OR(DashArea="",tblDefects[[#This Row],[Area]]=DashArea)),tblDefects[[#This Row],[Date]],""))</f>
        <v>46290</v>
      </c>
      <c r="I18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88" s="28" t="s">
        <v>114</v>
      </c>
    </row>
    <row r="189" spans="2:10">
      <c r="B189" s="37">
        <v>46290</v>
      </c>
      <c r="C189" s="28" t="s">
        <v>79</v>
      </c>
      <c r="D189" s="28" t="s">
        <v>91</v>
      </c>
      <c r="E189" s="38">
        <v>9</v>
      </c>
      <c r="F189" s="39">
        <f>IF(tblDefects[[#This Row],[Date]]="","",IFERROR(INDEX(tblCategories[Cost per occurrence],MATCH(tblDefects[[#This Row],[Category]],tblCategories[Category],0)),""))</f>
        <v>1.2</v>
      </c>
      <c r="G189" s="39">
        <f>IF(tblDefects[[#This Row],[Date]]="","",IF(tblDefects[[#This Row],[Cost per occurrence]]="","",tblDefects[[#This Row],[Count]]*tblDefects[[#This Row],[Cost per occurrence]]))</f>
        <v>10.8</v>
      </c>
      <c r="H189" s="40">
        <f>IF(tblDefects[[#This Row],[Date]]="","",IF(AND(tblDefects[[#This Row],[Date]]&gt;=FFrom,tblDefects[[#This Row],[Date]]&lt;=FTo,OR(DashArea="",tblDefects[[#This Row],[Area]]=DashArea)),tblDefects[[#This Row],[Date]],""))</f>
        <v>46290</v>
      </c>
      <c r="I18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89" s="28" t="s">
        <v>114</v>
      </c>
    </row>
    <row r="190" spans="2:10">
      <c r="B190" s="37">
        <v>46290</v>
      </c>
      <c r="C190" s="28" t="s">
        <v>79</v>
      </c>
      <c r="D190" s="28" t="s">
        <v>93</v>
      </c>
      <c r="E190" s="38">
        <v>10</v>
      </c>
      <c r="F190" s="39">
        <f>IF(tblDefects[[#This Row],[Date]]="","",IFERROR(INDEX(tblCategories[Cost per occurrence],MATCH(tblDefects[[#This Row],[Category]],tblCategories[Category],0)),""))</f>
        <v>1.2</v>
      </c>
      <c r="G190" s="39">
        <f>IF(tblDefects[[#This Row],[Date]]="","",IF(tblDefects[[#This Row],[Cost per occurrence]]="","",tblDefects[[#This Row],[Count]]*tblDefects[[#This Row],[Cost per occurrence]]))</f>
        <v>12</v>
      </c>
      <c r="H190" s="40">
        <f>IF(tblDefects[[#This Row],[Date]]="","",IF(AND(tblDefects[[#This Row],[Date]]&gt;=FFrom,tblDefects[[#This Row],[Date]]&lt;=FTo,OR(DashArea="",tblDefects[[#This Row],[Area]]=DashArea)),tblDefects[[#This Row],[Date]],""))</f>
        <v>46290</v>
      </c>
      <c r="I19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90" s="28" t="s">
        <v>114</v>
      </c>
    </row>
    <row r="191" spans="2:10">
      <c r="B191" s="37">
        <v>46290</v>
      </c>
      <c r="C191" s="28" t="s">
        <v>79</v>
      </c>
      <c r="D191" s="28" t="s">
        <v>95</v>
      </c>
      <c r="E191" s="38">
        <v>4</v>
      </c>
      <c r="F191" s="39">
        <f>IF(tblDefects[[#This Row],[Date]]="","",IFERROR(INDEX(tblCategories[Cost per occurrence],MATCH(tblDefects[[#This Row],[Category]],tblCategories[Category],0)),""))</f>
        <v>1.2</v>
      </c>
      <c r="G191" s="39">
        <f>IF(tblDefects[[#This Row],[Date]]="","",IF(tblDefects[[#This Row],[Cost per occurrence]]="","",tblDefects[[#This Row],[Count]]*tblDefects[[#This Row],[Cost per occurrence]]))</f>
        <v>4.8</v>
      </c>
      <c r="H191" s="40">
        <f>IF(tblDefects[[#This Row],[Date]]="","",IF(AND(tblDefects[[#This Row],[Date]]&gt;=FFrom,tblDefects[[#This Row],[Date]]&lt;=FTo,OR(DashArea="",tblDefects[[#This Row],[Area]]=DashArea)),tblDefects[[#This Row],[Date]],""))</f>
        <v>46290</v>
      </c>
      <c r="I19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91" s="28" t="s">
        <v>114</v>
      </c>
    </row>
    <row r="192" spans="2:10">
      <c r="B192" s="37">
        <v>46290</v>
      </c>
      <c r="C192" s="28" t="s">
        <v>79</v>
      </c>
      <c r="D192" s="28" t="s">
        <v>97</v>
      </c>
      <c r="E192" s="38">
        <v>2</v>
      </c>
      <c r="F192" s="39">
        <f>IF(tblDefects[[#This Row],[Date]]="","",IFERROR(INDEX(tblCategories[Cost per occurrence],MATCH(tblDefects[[#This Row],[Category]],tblCategories[Category],0)),""))</f>
        <v>1.2</v>
      </c>
      <c r="G192" s="39">
        <f>IF(tblDefects[[#This Row],[Date]]="","",IF(tblDefects[[#This Row],[Cost per occurrence]]="","",tblDefects[[#This Row],[Count]]*tblDefects[[#This Row],[Cost per occurrence]]))</f>
        <v>2.4</v>
      </c>
      <c r="H192" s="40">
        <f>IF(tblDefects[[#This Row],[Date]]="","",IF(AND(tblDefects[[#This Row],[Date]]&gt;=FFrom,tblDefects[[#This Row],[Date]]&lt;=FTo,OR(DashArea="",tblDefects[[#This Row],[Area]]=DashArea)),tblDefects[[#This Row],[Date]],""))</f>
        <v>46290</v>
      </c>
      <c r="I19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92" s="28" t="s">
        <v>114</v>
      </c>
    </row>
    <row r="193" spans="2:10">
      <c r="B193" s="37">
        <v>46290</v>
      </c>
      <c r="C193" s="28" t="s">
        <v>81</v>
      </c>
      <c r="D193" s="28" t="s">
        <v>101</v>
      </c>
      <c r="E193" s="38">
        <v>1</v>
      </c>
      <c r="F193" s="39">
        <f>IF(tblDefects[[#This Row],[Date]]="","",IFERROR(INDEX(tblCategories[Cost per occurrence],MATCH(tblDefects[[#This Row],[Category]],tblCategories[Category],0)),""))</f>
        <v>7.8</v>
      </c>
      <c r="G193" s="39">
        <f>IF(tblDefects[[#This Row],[Date]]="","",IF(tblDefects[[#This Row],[Cost per occurrence]]="","",tblDefects[[#This Row],[Count]]*tblDefects[[#This Row],[Cost per occurrence]]))</f>
        <v>7.8</v>
      </c>
      <c r="H193" s="40">
        <f>IF(tblDefects[[#This Row],[Date]]="","",IF(AND(tblDefects[[#This Row],[Date]]&gt;=FFrom,tblDefects[[#This Row],[Date]]&lt;=FTo,OR(DashArea="",tblDefects[[#This Row],[Area]]=DashArea)),tblDefects[[#This Row],[Date]],""))</f>
        <v>46290</v>
      </c>
      <c r="I19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93" s="28" t="s">
        <v>114</v>
      </c>
    </row>
    <row r="194" spans="2:10">
      <c r="B194" s="37">
        <v>46290</v>
      </c>
      <c r="C194" s="28" t="s">
        <v>81</v>
      </c>
      <c r="D194" s="28" t="s">
        <v>105</v>
      </c>
      <c r="E194" s="38">
        <v>1</v>
      </c>
      <c r="F194" s="39">
        <f>IF(tblDefects[[#This Row],[Date]]="","",IFERROR(INDEX(tblCategories[Cost per occurrence],MATCH(tblDefects[[#This Row],[Category]],tblCategories[Category],0)),""))</f>
        <v>7.8</v>
      </c>
      <c r="G194" s="39">
        <f>IF(tblDefects[[#This Row],[Date]]="","",IF(tblDefects[[#This Row],[Cost per occurrence]]="","",tblDefects[[#This Row],[Count]]*tblDefects[[#This Row],[Cost per occurrence]]))</f>
        <v>7.8</v>
      </c>
      <c r="H194" s="40">
        <f>IF(tblDefects[[#This Row],[Date]]="","",IF(AND(tblDefects[[#This Row],[Date]]&gt;=FFrom,tblDefects[[#This Row],[Date]]&lt;=FTo,OR(DashArea="",tblDefects[[#This Row],[Area]]=DashArea)),tblDefects[[#This Row],[Date]],""))</f>
        <v>46290</v>
      </c>
      <c r="I19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94" s="28" t="s">
        <v>114</v>
      </c>
    </row>
    <row r="195" spans="2:10">
      <c r="B195" s="37">
        <v>46290</v>
      </c>
      <c r="C195" s="28" t="s">
        <v>81</v>
      </c>
      <c r="D195" s="28" t="s">
        <v>103</v>
      </c>
      <c r="E195" s="38">
        <v>10</v>
      </c>
      <c r="F195" s="39">
        <f>IF(tblDefects[[#This Row],[Date]]="","",IFERROR(INDEX(tblCategories[Cost per occurrence],MATCH(tblDefects[[#This Row],[Category]],tblCategories[Category],0)),""))</f>
        <v>0.25</v>
      </c>
      <c r="G195" s="39">
        <f>IF(tblDefects[[#This Row],[Date]]="","",IF(tblDefects[[#This Row],[Cost per occurrence]]="","",tblDefects[[#This Row],[Count]]*tblDefects[[#This Row],[Cost per occurrence]]))</f>
        <v>2.5</v>
      </c>
      <c r="H195" s="40">
        <f>IF(tblDefects[[#This Row],[Date]]="","",IF(AND(tblDefects[[#This Row],[Date]]&gt;=FFrom,tblDefects[[#This Row],[Date]]&lt;=FTo,OR(DashArea="",tblDefects[[#This Row],[Area]]=DashArea)),tblDefects[[#This Row],[Date]],""))</f>
        <v>46290</v>
      </c>
      <c r="I19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95" s="28" t="s">
        <v>114</v>
      </c>
    </row>
    <row r="196" spans="2:10">
      <c r="B196" s="37">
        <v>46290</v>
      </c>
      <c r="C196" s="28" t="s">
        <v>81</v>
      </c>
      <c r="D196" s="28" t="s">
        <v>99</v>
      </c>
      <c r="E196" s="38">
        <v>4</v>
      </c>
      <c r="F196" s="39">
        <f>IF(tblDefects[[#This Row],[Date]]="","",IFERROR(INDEX(tblCategories[Cost per occurrence],MATCH(tblDefects[[#This Row],[Category]],tblCategories[Category],0)),""))</f>
        <v>0.6</v>
      </c>
      <c r="G196" s="39">
        <f>IF(tblDefects[[#This Row],[Date]]="","",IF(tblDefects[[#This Row],[Cost per occurrence]]="","",tblDefects[[#This Row],[Count]]*tblDefects[[#This Row],[Cost per occurrence]]))</f>
        <v>2.4</v>
      </c>
      <c r="H196" s="40">
        <f>IF(tblDefects[[#This Row],[Date]]="","",IF(AND(tblDefects[[#This Row],[Date]]&gt;=FFrom,tblDefects[[#This Row],[Date]]&lt;=FTo,OR(DashArea="",tblDefects[[#This Row],[Area]]=DashArea)),tblDefects[[#This Row],[Date]],""))</f>
        <v>46290</v>
      </c>
      <c r="I19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96" s="28" t="s">
        <v>114</v>
      </c>
    </row>
    <row r="197" spans="2:10">
      <c r="B197" s="37">
        <v>46290</v>
      </c>
      <c r="C197" s="28" t="s">
        <v>83</v>
      </c>
      <c r="D197" s="28" t="s">
        <v>99</v>
      </c>
      <c r="E197" s="38">
        <v>3</v>
      </c>
      <c r="F197" s="39">
        <f>IF(tblDefects[[#This Row],[Date]]="","",IFERROR(INDEX(tblCategories[Cost per occurrence],MATCH(tblDefects[[#This Row],[Category]],tblCategories[Category],0)),""))</f>
        <v>0.6</v>
      </c>
      <c r="G197" s="39">
        <f>IF(tblDefects[[#This Row],[Date]]="","",IF(tblDefects[[#This Row],[Cost per occurrence]]="","",tblDefects[[#This Row],[Count]]*tblDefects[[#This Row],[Cost per occurrence]]))</f>
        <v>1.8</v>
      </c>
      <c r="H197" s="40">
        <f>IF(tblDefects[[#This Row],[Date]]="","",IF(AND(tblDefects[[#This Row],[Date]]&gt;=FFrom,tblDefects[[#This Row],[Date]]&lt;=FTo,OR(DashArea="",tblDefects[[#This Row],[Area]]=DashArea)),tblDefects[[#This Row],[Date]],""))</f>
        <v>46290</v>
      </c>
      <c r="I19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97" s="28" t="s">
        <v>114</v>
      </c>
    </row>
    <row r="198" spans="2:10">
      <c r="B198" s="37">
        <v>46290</v>
      </c>
      <c r="C198" s="28" t="s">
        <v>83</v>
      </c>
      <c r="D198" s="28" t="s">
        <v>87</v>
      </c>
      <c r="E198" s="38">
        <v>5</v>
      </c>
      <c r="F198" s="39">
        <f>IF(tblDefects[[#This Row],[Date]]="","",IFERROR(INDEX(tblCategories[Cost per occurrence],MATCH(tblDefects[[#This Row],[Category]],tblCategories[Category],0)),""))</f>
        <v>0.35</v>
      </c>
      <c r="G198" s="39">
        <f>IF(tblDefects[[#This Row],[Date]]="","",IF(tblDefects[[#This Row],[Cost per occurrence]]="","",tblDefects[[#This Row],[Count]]*tblDefects[[#This Row],[Cost per occurrence]]))</f>
        <v>1.75</v>
      </c>
      <c r="H198" s="40">
        <f>IF(tblDefects[[#This Row],[Date]]="","",IF(AND(tblDefects[[#This Row],[Date]]&gt;=FFrom,tblDefects[[#This Row],[Date]]&lt;=FTo,OR(DashArea="",tblDefects[[#This Row],[Area]]=DashArea)),tblDefects[[#This Row],[Date]],""))</f>
        <v>46290</v>
      </c>
      <c r="I19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98" s="28" t="s">
        <v>114</v>
      </c>
    </row>
    <row r="199" spans="2:10">
      <c r="B199" s="37">
        <v>46290</v>
      </c>
      <c r="C199" s="28" t="s">
        <v>83</v>
      </c>
      <c r="D199" s="28" t="s">
        <v>103</v>
      </c>
      <c r="E199" s="38">
        <v>1</v>
      </c>
      <c r="F199" s="39">
        <f>IF(tblDefects[[#This Row],[Date]]="","",IFERROR(INDEX(tblCategories[Cost per occurrence],MATCH(tblDefects[[#This Row],[Category]],tblCategories[Category],0)),""))</f>
        <v>0.25</v>
      </c>
      <c r="G199" s="39">
        <f>IF(tblDefects[[#This Row],[Date]]="","",IF(tblDefects[[#This Row],[Cost per occurrence]]="","",tblDefects[[#This Row],[Count]]*tblDefects[[#This Row],[Cost per occurrence]]))</f>
        <v>0.25</v>
      </c>
      <c r="H199" s="40">
        <f>IF(tblDefects[[#This Row],[Date]]="","",IF(AND(tblDefects[[#This Row],[Date]]&gt;=FFrom,tblDefects[[#This Row],[Date]]&lt;=FTo,OR(DashArea="",tblDefects[[#This Row],[Area]]=DashArea)),tblDefects[[#This Row],[Date]],""))</f>
        <v>46290</v>
      </c>
      <c r="I19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199" s="28" t="s">
        <v>114</v>
      </c>
    </row>
    <row r="200" spans="2:10">
      <c r="B200" s="37">
        <v>46293</v>
      </c>
      <c r="C200" s="28" t="s">
        <v>79</v>
      </c>
      <c r="D200" s="28" t="s">
        <v>87</v>
      </c>
      <c r="E200" s="38">
        <v>27</v>
      </c>
      <c r="F200" s="39">
        <f>IF(tblDefects[[#This Row],[Date]]="","",IFERROR(INDEX(tblCategories[Cost per occurrence],MATCH(tblDefects[[#This Row],[Category]],tblCategories[Category],0)),""))</f>
        <v>0.35</v>
      </c>
      <c r="G200" s="39">
        <f>IF(tblDefects[[#This Row],[Date]]="","",IF(tblDefects[[#This Row],[Cost per occurrence]]="","",tblDefects[[#This Row],[Count]]*tblDefects[[#This Row],[Cost per occurrence]]))</f>
        <v>9.45</v>
      </c>
      <c r="H200" s="40">
        <f>IF(tblDefects[[#This Row],[Date]]="","",IF(AND(tblDefects[[#This Row],[Date]]&gt;=FFrom,tblDefects[[#This Row],[Date]]&lt;=FTo,OR(DashArea="",tblDefects[[#This Row],[Area]]=DashArea)),tblDefects[[#This Row],[Date]],""))</f>
        <v>46293</v>
      </c>
      <c r="I20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00" s="28" t="s">
        <v>114</v>
      </c>
    </row>
    <row r="201" spans="2:10">
      <c r="B201" s="37">
        <v>46293</v>
      </c>
      <c r="C201" s="28" t="s">
        <v>79</v>
      </c>
      <c r="D201" s="28" t="s">
        <v>89</v>
      </c>
      <c r="E201" s="38">
        <v>12</v>
      </c>
      <c r="F201" s="39">
        <f>IF(tblDefects[[#This Row],[Date]]="","",IFERROR(INDEX(tblCategories[Cost per occurrence],MATCH(tblDefects[[#This Row],[Category]],tblCategories[Category],0)),""))</f>
        <v>1.2</v>
      </c>
      <c r="G201" s="39">
        <f>IF(tblDefects[[#This Row],[Date]]="","",IF(tblDefects[[#This Row],[Cost per occurrence]]="","",tblDefects[[#This Row],[Count]]*tblDefects[[#This Row],[Cost per occurrence]]))</f>
        <v>14.4</v>
      </c>
      <c r="H201" s="40">
        <f>IF(tblDefects[[#This Row],[Date]]="","",IF(AND(tblDefects[[#This Row],[Date]]&gt;=FFrom,tblDefects[[#This Row],[Date]]&lt;=FTo,OR(DashArea="",tblDefects[[#This Row],[Area]]=DashArea)),tblDefects[[#This Row],[Date]],""))</f>
        <v>46293</v>
      </c>
      <c r="I20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01" s="28" t="s">
        <v>114</v>
      </c>
    </row>
    <row r="202" spans="2:10">
      <c r="B202" s="37">
        <v>46293</v>
      </c>
      <c r="C202" s="28" t="s">
        <v>79</v>
      </c>
      <c r="D202" s="28" t="s">
        <v>91</v>
      </c>
      <c r="E202" s="38">
        <v>5</v>
      </c>
      <c r="F202" s="39">
        <f>IF(tblDefects[[#This Row],[Date]]="","",IFERROR(INDEX(tblCategories[Cost per occurrence],MATCH(tblDefects[[#This Row],[Category]],tblCategories[Category],0)),""))</f>
        <v>1.2</v>
      </c>
      <c r="G202" s="39">
        <f>IF(tblDefects[[#This Row],[Date]]="","",IF(tblDefects[[#This Row],[Cost per occurrence]]="","",tblDefects[[#This Row],[Count]]*tblDefects[[#This Row],[Cost per occurrence]]))</f>
        <v>6</v>
      </c>
      <c r="H202" s="40">
        <f>IF(tblDefects[[#This Row],[Date]]="","",IF(AND(tblDefects[[#This Row],[Date]]&gt;=FFrom,tblDefects[[#This Row],[Date]]&lt;=FTo,OR(DashArea="",tblDefects[[#This Row],[Area]]=DashArea)),tblDefects[[#This Row],[Date]],""))</f>
        <v>46293</v>
      </c>
      <c r="I20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02" s="28" t="s">
        <v>114</v>
      </c>
    </row>
    <row r="203" spans="2:10">
      <c r="B203" s="37">
        <v>46293</v>
      </c>
      <c r="C203" s="28" t="s">
        <v>79</v>
      </c>
      <c r="D203" s="28" t="s">
        <v>93</v>
      </c>
      <c r="E203" s="38">
        <v>5</v>
      </c>
      <c r="F203" s="39">
        <f>IF(tblDefects[[#This Row],[Date]]="","",IFERROR(INDEX(tblCategories[Cost per occurrence],MATCH(tblDefects[[#This Row],[Category]],tblCategories[Category],0)),""))</f>
        <v>1.2</v>
      </c>
      <c r="G203" s="39">
        <f>IF(tblDefects[[#This Row],[Date]]="","",IF(tblDefects[[#This Row],[Cost per occurrence]]="","",tblDefects[[#This Row],[Count]]*tblDefects[[#This Row],[Cost per occurrence]]))</f>
        <v>6</v>
      </c>
      <c r="H203" s="40">
        <f>IF(tblDefects[[#This Row],[Date]]="","",IF(AND(tblDefects[[#This Row],[Date]]&gt;=FFrom,tblDefects[[#This Row],[Date]]&lt;=FTo,OR(DashArea="",tblDefects[[#This Row],[Area]]=DashArea)),tblDefects[[#This Row],[Date]],""))</f>
        <v>46293</v>
      </c>
      <c r="I20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03" s="28" t="s">
        <v>114</v>
      </c>
    </row>
    <row r="204" spans="2:10">
      <c r="B204" s="37">
        <v>46293</v>
      </c>
      <c r="C204" s="28" t="s">
        <v>79</v>
      </c>
      <c r="D204" s="28" t="s">
        <v>95</v>
      </c>
      <c r="E204" s="38">
        <v>3</v>
      </c>
      <c r="F204" s="39">
        <f>IF(tblDefects[[#This Row],[Date]]="","",IFERROR(INDEX(tblCategories[Cost per occurrence],MATCH(tblDefects[[#This Row],[Category]],tblCategories[Category],0)),""))</f>
        <v>1.2</v>
      </c>
      <c r="G204" s="39">
        <f>IF(tblDefects[[#This Row],[Date]]="","",IF(tblDefects[[#This Row],[Cost per occurrence]]="","",tblDefects[[#This Row],[Count]]*tblDefects[[#This Row],[Cost per occurrence]]))</f>
        <v>3.6</v>
      </c>
      <c r="H204" s="40">
        <f>IF(tblDefects[[#This Row],[Date]]="","",IF(AND(tblDefects[[#This Row],[Date]]&gt;=FFrom,tblDefects[[#This Row],[Date]]&lt;=FTo,OR(DashArea="",tblDefects[[#This Row],[Area]]=DashArea)),tblDefects[[#This Row],[Date]],""))</f>
        <v>46293</v>
      </c>
      <c r="I20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04" s="28" t="s">
        <v>114</v>
      </c>
    </row>
    <row r="205" spans="2:10">
      <c r="B205" s="37">
        <v>46293</v>
      </c>
      <c r="C205" s="28" t="s">
        <v>79</v>
      </c>
      <c r="D205" s="28" t="s">
        <v>97</v>
      </c>
      <c r="E205" s="38">
        <v>4</v>
      </c>
      <c r="F205" s="39">
        <f>IF(tblDefects[[#This Row],[Date]]="","",IFERROR(INDEX(tblCategories[Cost per occurrence],MATCH(tblDefects[[#This Row],[Category]],tblCategories[Category],0)),""))</f>
        <v>1.2</v>
      </c>
      <c r="G205" s="39">
        <f>IF(tblDefects[[#This Row],[Date]]="","",IF(tblDefects[[#This Row],[Cost per occurrence]]="","",tblDefects[[#This Row],[Count]]*tblDefects[[#This Row],[Cost per occurrence]]))</f>
        <v>4.8</v>
      </c>
      <c r="H205" s="40">
        <f>IF(tblDefects[[#This Row],[Date]]="","",IF(AND(tblDefects[[#This Row],[Date]]&gt;=FFrom,tblDefects[[#This Row],[Date]]&lt;=FTo,OR(DashArea="",tblDefects[[#This Row],[Area]]=DashArea)),tblDefects[[#This Row],[Date]],""))</f>
        <v>46293</v>
      </c>
      <c r="I20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05" s="28" t="s">
        <v>114</v>
      </c>
    </row>
    <row r="206" spans="2:10">
      <c r="B206" s="37">
        <v>46293</v>
      </c>
      <c r="C206" s="28" t="s">
        <v>81</v>
      </c>
      <c r="D206" s="28" t="s">
        <v>101</v>
      </c>
      <c r="E206" s="38">
        <v>3</v>
      </c>
      <c r="F206" s="39">
        <f>IF(tblDefects[[#This Row],[Date]]="","",IFERROR(INDEX(tblCategories[Cost per occurrence],MATCH(tblDefects[[#This Row],[Category]],tblCategories[Category],0)),""))</f>
        <v>7.8</v>
      </c>
      <c r="G206" s="39">
        <f>IF(tblDefects[[#This Row],[Date]]="","",IF(tblDefects[[#This Row],[Cost per occurrence]]="","",tblDefects[[#This Row],[Count]]*tblDefects[[#This Row],[Cost per occurrence]]))</f>
        <v>23.4</v>
      </c>
      <c r="H206" s="40">
        <f>IF(tblDefects[[#This Row],[Date]]="","",IF(AND(tblDefects[[#This Row],[Date]]&gt;=FFrom,tblDefects[[#This Row],[Date]]&lt;=FTo,OR(DashArea="",tblDefects[[#This Row],[Area]]=DashArea)),tblDefects[[#This Row],[Date]],""))</f>
        <v>46293</v>
      </c>
      <c r="I20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06" s="28" t="s">
        <v>114</v>
      </c>
    </row>
    <row r="207" spans="2:10">
      <c r="B207" s="37">
        <v>46293</v>
      </c>
      <c r="C207" s="28" t="s">
        <v>81</v>
      </c>
      <c r="D207" s="28" t="s">
        <v>105</v>
      </c>
      <c r="E207" s="38">
        <v>4</v>
      </c>
      <c r="F207" s="39">
        <f>IF(tblDefects[[#This Row],[Date]]="","",IFERROR(INDEX(tblCategories[Cost per occurrence],MATCH(tblDefects[[#This Row],[Category]],tblCategories[Category],0)),""))</f>
        <v>7.8</v>
      </c>
      <c r="G207" s="39">
        <f>IF(tblDefects[[#This Row],[Date]]="","",IF(tblDefects[[#This Row],[Cost per occurrence]]="","",tblDefects[[#This Row],[Count]]*tblDefects[[#This Row],[Cost per occurrence]]))</f>
        <v>31.2</v>
      </c>
      <c r="H207" s="40">
        <f>IF(tblDefects[[#This Row],[Date]]="","",IF(AND(tblDefects[[#This Row],[Date]]&gt;=FFrom,tblDefects[[#This Row],[Date]]&lt;=FTo,OR(DashArea="",tblDefects[[#This Row],[Area]]=DashArea)),tblDefects[[#This Row],[Date]],""))</f>
        <v>46293</v>
      </c>
      <c r="I20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07" s="28" t="s">
        <v>114</v>
      </c>
    </row>
    <row r="208" spans="2:10">
      <c r="B208" s="37">
        <v>46293</v>
      </c>
      <c r="C208" s="28" t="s">
        <v>81</v>
      </c>
      <c r="D208" s="28" t="s">
        <v>103</v>
      </c>
      <c r="E208" s="38">
        <v>6</v>
      </c>
      <c r="F208" s="39">
        <f>IF(tblDefects[[#This Row],[Date]]="","",IFERROR(INDEX(tblCategories[Cost per occurrence],MATCH(tblDefects[[#This Row],[Category]],tblCategories[Category],0)),""))</f>
        <v>0.25</v>
      </c>
      <c r="G208" s="39">
        <f>IF(tblDefects[[#This Row],[Date]]="","",IF(tblDefects[[#This Row],[Cost per occurrence]]="","",tblDefects[[#This Row],[Count]]*tblDefects[[#This Row],[Cost per occurrence]]))</f>
        <v>1.5</v>
      </c>
      <c r="H208" s="40">
        <f>IF(tblDefects[[#This Row],[Date]]="","",IF(AND(tblDefects[[#This Row],[Date]]&gt;=FFrom,tblDefects[[#This Row],[Date]]&lt;=FTo,OR(DashArea="",tblDefects[[#This Row],[Area]]=DashArea)),tblDefects[[#This Row],[Date]],""))</f>
        <v>46293</v>
      </c>
      <c r="I20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08" s="28" t="s">
        <v>114</v>
      </c>
    </row>
    <row r="209" spans="2:10">
      <c r="B209" s="37">
        <v>46293</v>
      </c>
      <c r="C209" s="28" t="s">
        <v>81</v>
      </c>
      <c r="D209" s="28" t="s">
        <v>99</v>
      </c>
      <c r="E209" s="38">
        <v>3</v>
      </c>
      <c r="F209" s="39">
        <f>IF(tblDefects[[#This Row],[Date]]="","",IFERROR(INDEX(tblCategories[Cost per occurrence],MATCH(tblDefects[[#This Row],[Category]],tblCategories[Category],0)),""))</f>
        <v>0.6</v>
      </c>
      <c r="G209" s="39">
        <f>IF(tblDefects[[#This Row],[Date]]="","",IF(tblDefects[[#This Row],[Cost per occurrence]]="","",tblDefects[[#This Row],[Count]]*tblDefects[[#This Row],[Cost per occurrence]]))</f>
        <v>1.8</v>
      </c>
      <c r="H209" s="40">
        <f>IF(tblDefects[[#This Row],[Date]]="","",IF(AND(tblDefects[[#This Row],[Date]]&gt;=FFrom,tblDefects[[#This Row],[Date]]&lt;=FTo,OR(DashArea="",tblDefects[[#This Row],[Area]]=DashArea)),tblDefects[[#This Row],[Date]],""))</f>
        <v>46293</v>
      </c>
      <c r="I20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09" s="28" t="s">
        <v>114</v>
      </c>
    </row>
    <row r="210" spans="2:10">
      <c r="B210" s="37">
        <v>46293</v>
      </c>
      <c r="C210" s="28" t="s">
        <v>83</v>
      </c>
      <c r="D210" s="28" t="s">
        <v>99</v>
      </c>
      <c r="E210" s="38">
        <v>5</v>
      </c>
      <c r="F210" s="39">
        <f>IF(tblDefects[[#This Row],[Date]]="","",IFERROR(INDEX(tblCategories[Cost per occurrence],MATCH(tblDefects[[#This Row],[Category]],tblCategories[Category],0)),""))</f>
        <v>0.6</v>
      </c>
      <c r="G210" s="39">
        <f>IF(tblDefects[[#This Row],[Date]]="","",IF(tblDefects[[#This Row],[Cost per occurrence]]="","",tblDefects[[#This Row],[Count]]*tblDefects[[#This Row],[Cost per occurrence]]))</f>
        <v>3</v>
      </c>
      <c r="H210" s="40">
        <f>IF(tblDefects[[#This Row],[Date]]="","",IF(AND(tblDefects[[#This Row],[Date]]&gt;=FFrom,tblDefects[[#This Row],[Date]]&lt;=FTo,OR(DashArea="",tblDefects[[#This Row],[Area]]=DashArea)),tblDefects[[#This Row],[Date]],""))</f>
        <v>46293</v>
      </c>
      <c r="I21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10" s="28" t="s">
        <v>114</v>
      </c>
    </row>
    <row r="211" spans="2:10">
      <c r="B211" s="37">
        <v>46293</v>
      </c>
      <c r="C211" s="28" t="s">
        <v>83</v>
      </c>
      <c r="D211" s="28" t="s">
        <v>87</v>
      </c>
      <c r="E211" s="38">
        <v>4</v>
      </c>
      <c r="F211" s="39">
        <f>IF(tblDefects[[#This Row],[Date]]="","",IFERROR(INDEX(tblCategories[Cost per occurrence],MATCH(tblDefects[[#This Row],[Category]],tblCategories[Category],0)),""))</f>
        <v>0.35</v>
      </c>
      <c r="G211" s="39">
        <f>IF(tblDefects[[#This Row],[Date]]="","",IF(tblDefects[[#This Row],[Cost per occurrence]]="","",tblDefects[[#This Row],[Count]]*tblDefects[[#This Row],[Cost per occurrence]]))</f>
        <v>1.4</v>
      </c>
      <c r="H211" s="40">
        <f>IF(tblDefects[[#This Row],[Date]]="","",IF(AND(tblDefects[[#This Row],[Date]]&gt;=FFrom,tblDefects[[#This Row],[Date]]&lt;=FTo,OR(DashArea="",tblDefects[[#This Row],[Area]]=DashArea)),tblDefects[[#This Row],[Date]],""))</f>
        <v>46293</v>
      </c>
      <c r="I21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11" s="28" t="s">
        <v>114</v>
      </c>
    </row>
    <row r="212" spans="2:10">
      <c r="B212" s="37">
        <v>46293</v>
      </c>
      <c r="C212" s="28" t="s">
        <v>83</v>
      </c>
      <c r="D212" s="28" t="s">
        <v>101</v>
      </c>
      <c r="E212" s="38">
        <v>1</v>
      </c>
      <c r="F212" s="39">
        <f>IF(tblDefects[[#This Row],[Date]]="","",IFERROR(INDEX(tblCategories[Cost per occurrence],MATCH(tblDefects[[#This Row],[Category]],tblCategories[Category],0)),""))</f>
        <v>7.8</v>
      </c>
      <c r="G212" s="39">
        <f>IF(tblDefects[[#This Row],[Date]]="","",IF(tblDefects[[#This Row],[Cost per occurrence]]="","",tblDefects[[#This Row],[Count]]*tblDefects[[#This Row],[Cost per occurrence]]))</f>
        <v>7.8</v>
      </c>
      <c r="H212" s="40">
        <f>IF(tblDefects[[#This Row],[Date]]="","",IF(AND(tblDefects[[#This Row],[Date]]&gt;=FFrom,tblDefects[[#This Row],[Date]]&lt;=FTo,OR(DashArea="",tblDefects[[#This Row],[Area]]=DashArea)),tblDefects[[#This Row],[Date]],""))</f>
        <v>46293</v>
      </c>
      <c r="I21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12" s="28" t="s">
        <v>114</v>
      </c>
    </row>
    <row r="213" spans="2:10">
      <c r="B213" s="37">
        <v>46294</v>
      </c>
      <c r="C213" s="28" t="s">
        <v>79</v>
      </c>
      <c r="D213" s="28" t="s">
        <v>87</v>
      </c>
      <c r="E213" s="38">
        <v>24</v>
      </c>
      <c r="F213" s="39">
        <f>IF(tblDefects[[#This Row],[Date]]="","",IFERROR(INDEX(tblCategories[Cost per occurrence],MATCH(tblDefects[[#This Row],[Category]],tblCategories[Category],0)),""))</f>
        <v>0.35</v>
      </c>
      <c r="G213" s="39">
        <f>IF(tblDefects[[#This Row],[Date]]="","",IF(tblDefects[[#This Row],[Cost per occurrence]]="","",tblDefects[[#This Row],[Count]]*tblDefects[[#This Row],[Cost per occurrence]]))</f>
        <v>8.4</v>
      </c>
      <c r="H213" s="40">
        <f>IF(tblDefects[[#This Row],[Date]]="","",IF(AND(tblDefects[[#This Row],[Date]]&gt;=FFrom,tblDefects[[#This Row],[Date]]&lt;=FTo,OR(DashArea="",tblDefects[[#This Row],[Area]]=DashArea)),tblDefects[[#This Row],[Date]],""))</f>
        <v>46294</v>
      </c>
      <c r="I21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13" s="28" t="s">
        <v>114</v>
      </c>
    </row>
    <row r="214" spans="2:10">
      <c r="B214" s="37">
        <v>46294</v>
      </c>
      <c r="C214" s="28" t="s">
        <v>79</v>
      </c>
      <c r="D214" s="28" t="s">
        <v>89</v>
      </c>
      <c r="E214" s="38">
        <v>16</v>
      </c>
      <c r="F214" s="39">
        <f>IF(tblDefects[[#This Row],[Date]]="","",IFERROR(INDEX(tblCategories[Cost per occurrence],MATCH(tblDefects[[#This Row],[Category]],tblCategories[Category],0)),""))</f>
        <v>1.2</v>
      </c>
      <c r="G214" s="39">
        <f>IF(tblDefects[[#This Row],[Date]]="","",IF(tblDefects[[#This Row],[Cost per occurrence]]="","",tblDefects[[#This Row],[Count]]*tblDefects[[#This Row],[Cost per occurrence]]))</f>
        <v>19.2</v>
      </c>
      <c r="H214" s="40">
        <f>IF(tblDefects[[#This Row],[Date]]="","",IF(AND(tblDefects[[#This Row],[Date]]&gt;=FFrom,tblDefects[[#This Row],[Date]]&lt;=FTo,OR(DashArea="",tblDefects[[#This Row],[Area]]=DashArea)),tblDefects[[#This Row],[Date]],""))</f>
        <v>46294</v>
      </c>
      <c r="I21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14" s="28" t="s">
        <v>114</v>
      </c>
    </row>
    <row r="215" spans="2:10">
      <c r="B215" s="37">
        <v>46294</v>
      </c>
      <c r="C215" s="28" t="s">
        <v>79</v>
      </c>
      <c r="D215" s="28" t="s">
        <v>91</v>
      </c>
      <c r="E215" s="38">
        <v>5</v>
      </c>
      <c r="F215" s="39">
        <f>IF(tblDefects[[#This Row],[Date]]="","",IFERROR(INDEX(tblCategories[Cost per occurrence],MATCH(tblDefects[[#This Row],[Category]],tblCategories[Category],0)),""))</f>
        <v>1.2</v>
      </c>
      <c r="G215" s="39">
        <f>IF(tblDefects[[#This Row],[Date]]="","",IF(tblDefects[[#This Row],[Cost per occurrence]]="","",tblDefects[[#This Row],[Count]]*tblDefects[[#This Row],[Cost per occurrence]]))</f>
        <v>6</v>
      </c>
      <c r="H215" s="40">
        <f>IF(tblDefects[[#This Row],[Date]]="","",IF(AND(tblDefects[[#This Row],[Date]]&gt;=FFrom,tblDefects[[#This Row],[Date]]&lt;=FTo,OR(DashArea="",tblDefects[[#This Row],[Area]]=DashArea)),tblDefects[[#This Row],[Date]],""))</f>
        <v>46294</v>
      </c>
      <c r="I21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15" s="28" t="s">
        <v>114</v>
      </c>
    </row>
    <row r="216" spans="2:10">
      <c r="B216" s="37">
        <v>46294</v>
      </c>
      <c r="C216" s="28" t="s">
        <v>79</v>
      </c>
      <c r="D216" s="28" t="s">
        <v>93</v>
      </c>
      <c r="E216" s="38">
        <v>7</v>
      </c>
      <c r="F216" s="39">
        <f>IF(tblDefects[[#This Row],[Date]]="","",IFERROR(INDEX(tblCategories[Cost per occurrence],MATCH(tblDefects[[#This Row],[Category]],tblCategories[Category],0)),""))</f>
        <v>1.2</v>
      </c>
      <c r="G216" s="39">
        <f>IF(tblDefects[[#This Row],[Date]]="","",IF(tblDefects[[#This Row],[Cost per occurrence]]="","",tblDefects[[#This Row],[Count]]*tblDefects[[#This Row],[Cost per occurrence]]))</f>
        <v>8.4</v>
      </c>
      <c r="H216" s="40">
        <f>IF(tblDefects[[#This Row],[Date]]="","",IF(AND(tblDefects[[#This Row],[Date]]&gt;=FFrom,tblDefects[[#This Row],[Date]]&lt;=FTo,OR(DashArea="",tblDefects[[#This Row],[Area]]=DashArea)),tblDefects[[#This Row],[Date]],""))</f>
        <v>46294</v>
      </c>
      <c r="I21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16" s="28" t="s">
        <v>114</v>
      </c>
    </row>
    <row r="217" spans="2:10">
      <c r="B217" s="37">
        <v>46294</v>
      </c>
      <c r="C217" s="28" t="s">
        <v>79</v>
      </c>
      <c r="D217" s="28" t="s">
        <v>95</v>
      </c>
      <c r="E217" s="38">
        <v>2</v>
      </c>
      <c r="F217" s="39">
        <f>IF(tblDefects[[#This Row],[Date]]="","",IFERROR(INDEX(tblCategories[Cost per occurrence],MATCH(tblDefects[[#This Row],[Category]],tblCategories[Category],0)),""))</f>
        <v>1.2</v>
      </c>
      <c r="G217" s="39">
        <f>IF(tblDefects[[#This Row],[Date]]="","",IF(tblDefects[[#This Row],[Cost per occurrence]]="","",tblDefects[[#This Row],[Count]]*tblDefects[[#This Row],[Cost per occurrence]]))</f>
        <v>2.4</v>
      </c>
      <c r="H217" s="40">
        <f>IF(tblDefects[[#This Row],[Date]]="","",IF(AND(tblDefects[[#This Row],[Date]]&gt;=FFrom,tblDefects[[#This Row],[Date]]&lt;=FTo,OR(DashArea="",tblDefects[[#This Row],[Area]]=DashArea)),tblDefects[[#This Row],[Date]],""))</f>
        <v>46294</v>
      </c>
      <c r="I21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17" s="28" t="s">
        <v>114</v>
      </c>
    </row>
    <row r="218" spans="2:10">
      <c r="B218" s="37">
        <v>46294</v>
      </c>
      <c r="C218" s="28" t="s">
        <v>79</v>
      </c>
      <c r="D218" s="28" t="s">
        <v>97</v>
      </c>
      <c r="E218" s="38">
        <v>2</v>
      </c>
      <c r="F218" s="39">
        <f>IF(tblDefects[[#This Row],[Date]]="","",IFERROR(INDEX(tblCategories[Cost per occurrence],MATCH(tblDefects[[#This Row],[Category]],tblCategories[Category],0)),""))</f>
        <v>1.2</v>
      </c>
      <c r="G218" s="39">
        <f>IF(tblDefects[[#This Row],[Date]]="","",IF(tblDefects[[#This Row],[Cost per occurrence]]="","",tblDefects[[#This Row],[Count]]*tblDefects[[#This Row],[Cost per occurrence]]))</f>
        <v>2.4</v>
      </c>
      <c r="H218" s="40">
        <f>IF(tblDefects[[#This Row],[Date]]="","",IF(AND(tblDefects[[#This Row],[Date]]&gt;=FFrom,tblDefects[[#This Row],[Date]]&lt;=FTo,OR(DashArea="",tblDefects[[#This Row],[Area]]=DashArea)),tblDefects[[#This Row],[Date]],""))</f>
        <v>46294</v>
      </c>
      <c r="I21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18" s="28" t="s">
        <v>114</v>
      </c>
    </row>
    <row r="219" spans="2:10">
      <c r="B219" s="37">
        <v>46294</v>
      </c>
      <c r="C219" s="28" t="s">
        <v>81</v>
      </c>
      <c r="D219" s="28" t="s">
        <v>101</v>
      </c>
      <c r="E219" s="38">
        <v>1</v>
      </c>
      <c r="F219" s="39">
        <f>IF(tblDefects[[#This Row],[Date]]="","",IFERROR(INDEX(tblCategories[Cost per occurrence],MATCH(tblDefects[[#This Row],[Category]],tblCategories[Category],0)),""))</f>
        <v>7.8</v>
      </c>
      <c r="G219" s="39">
        <f>IF(tblDefects[[#This Row],[Date]]="","",IF(tblDefects[[#This Row],[Cost per occurrence]]="","",tblDefects[[#This Row],[Count]]*tblDefects[[#This Row],[Cost per occurrence]]))</f>
        <v>7.8</v>
      </c>
      <c r="H219" s="40">
        <f>IF(tblDefects[[#This Row],[Date]]="","",IF(AND(tblDefects[[#This Row],[Date]]&gt;=FFrom,tblDefects[[#This Row],[Date]]&lt;=FTo,OR(DashArea="",tblDefects[[#This Row],[Area]]=DashArea)),tblDefects[[#This Row],[Date]],""))</f>
        <v>46294</v>
      </c>
      <c r="I21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19" s="28" t="s">
        <v>114</v>
      </c>
    </row>
    <row r="220" spans="2:10">
      <c r="B220" s="37">
        <v>46294</v>
      </c>
      <c r="C220" s="28" t="s">
        <v>81</v>
      </c>
      <c r="D220" s="28" t="s">
        <v>105</v>
      </c>
      <c r="E220" s="38">
        <v>2</v>
      </c>
      <c r="F220" s="39">
        <f>IF(tblDefects[[#This Row],[Date]]="","",IFERROR(INDEX(tblCategories[Cost per occurrence],MATCH(tblDefects[[#This Row],[Category]],tblCategories[Category],0)),""))</f>
        <v>7.8</v>
      </c>
      <c r="G220" s="39">
        <f>IF(tblDefects[[#This Row],[Date]]="","",IF(tblDefects[[#This Row],[Cost per occurrence]]="","",tblDefects[[#This Row],[Count]]*tblDefects[[#This Row],[Cost per occurrence]]))</f>
        <v>15.6</v>
      </c>
      <c r="H220" s="40">
        <f>IF(tblDefects[[#This Row],[Date]]="","",IF(AND(tblDefects[[#This Row],[Date]]&gt;=FFrom,tblDefects[[#This Row],[Date]]&lt;=FTo,OR(DashArea="",tblDefects[[#This Row],[Area]]=DashArea)),tblDefects[[#This Row],[Date]],""))</f>
        <v>46294</v>
      </c>
      <c r="I22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20" s="28" t="s">
        <v>114</v>
      </c>
    </row>
    <row r="221" spans="2:10">
      <c r="B221" s="37">
        <v>46294</v>
      </c>
      <c r="C221" s="28" t="s">
        <v>81</v>
      </c>
      <c r="D221" s="28" t="s">
        <v>103</v>
      </c>
      <c r="E221" s="38">
        <v>2</v>
      </c>
      <c r="F221" s="39">
        <f>IF(tblDefects[[#This Row],[Date]]="","",IFERROR(INDEX(tblCategories[Cost per occurrence],MATCH(tblDefects[[#This Row],[Category]],tblCategories[Category],0)),""))</f>
        <v>0.25</v>
      </c>
      <c r="G221" s="39">
        <f>IF(tblDefects[[#This Row],[Date]]="","",IF(tblDefects[[#This Row],[Cost per occurrence]]="","",tblDefects[[#This Row],[Count]]*tblDefects[[#This Row],[Cost per occurrence]]))</f>
        <v>0.5</v>
      </c>
      <c r="H221" s="40">
        <f>IF(tblDefects[[#This Row],[Date]]="","",IF(AND(tblDefects[[#This Row],[Date]]&gt;=FFrom,tblDefects[[#This Row],[Date]]&lt;=FTo,OR(DashArea="",tblDefects[[#This Row],[Area]]=DashArea)),tblDefects[[#This Row],[Date]],""))</f>
        <v>46294</v>
      </c>
      <c r="I22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21" s="28" t="s">
        <v>114</v>
      </c>
    </row>
    <row r="222" spans="2:10">
      <c r="B222" s="37">
        <v>46294</v>
      </c>
      <c r="C222" s="28" t="s">
        <v>83</v>
      </c>
      <c r="D222" s="28" t="s">
        <v>99</v>
      </c>
      <c r="E222" s="38">
        <v>1</v>
      </c>
      <c r="F222" s="39">
        <f>IF(tblDefects[[#This Row],[Date]]="","",IFERROR(INDEX(tblCategories[Cost per occurrence],MATCH(tblDefects[[#This Row],[Category]],tblCategories[Category],0)),""))</f>
        <v>0.6</v>
      </c>
      <c r="G222" s="39">
        <f>IF(tblDefects[[#This Row],[Date]]="","",IF(tblDefects[[#This Row],[Cost per occurrence]]="","",tblDefects[[#This Row],[Count]]*tblDefects[[#This Row],[Cost per occurrence]]))</f>
        <v>0.6</v>
      </c>
      <c r="H222" s="40">
        <f>IF(tblDefects[[#This Row],[Date]]="","",IF(AND(tblDefects[[#This Row],[Date]]&gt;=FFrom,tblDefects[[#This Row],[Date]]&lt;=FTo,OR(DashArea="",tblDefects[[#This Row],[Area]]=DashArea)),tblDefects[[#This Row],[Date]],""))</f>
        <v>46294</v>
      </c>
      <c r="I22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22" s="28" t="s">
        <v>114</v>
      </c>
    </row>
    <row r="223" spans="2:10">
      <c r="B223" s="37">
        <v>46294</v>
      </c>
      <c r="C223" s="28" t="s">
        <v>83</v>
      </c>
      <c r="D223" s="28" t="s">
        <v>87</v>
      </c>
      <c r="E223" s="38">
        <v>4</v>
      </c>
      <c r="F223" s="39">
        <f>IF(tblDefects[[#This Row],[Date]]="","",IFERROR(INDEX(tblCategories[Cost per occurrence],MATCH(tblDefects[[#This Row],[Category]],tblCategories[Category],0)),""))</f>
        <v>0.35</v>
      </c>
      <c r="G223" s="39">
        <f>IF(tblDefects[[#This Row],[Date]]="","",IF(tblDefects[[#This Row],[Cost per occurrence]]="","",tblDefects[[#This Row],[Count]]*tblDefects[[#This Row],[Cost per occurrence]]))</f>
        <v>1.4</v>
      </c>
      <c r="H223" s="40">
        <f>IF(tblDefects[[#This Row],[Date]]="","",IF(AND(tblDefects[[#This Row],[Date]]&gt;=FFrom,tblDefects[[#This Row],[Date]]&lt;=FTo,OR(DashArea="",tblDefects[[#This Row],[Area]]=DashArea)),tblDefects[[#This Row],[Date]],""))</f>
        <v>46294</v>
      </c>
      <c r="I22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23" s="28" t="s">
        <v>114</v>
      </c>
    </row>
    <row r="224" spans="2:10">
      <c r="B224" s="37">
        <v>46294</v>
      </c>
      <c r="C224" s="28" t="s">
        <v>83</v>
      </c>
      <c r="D224" s="28" t="s">
        <v>103</v>
      </c>
      <c r="E224" s="38">
        <v>3</v>
      </c>
      <c r="F224" s="39">
        <f>IF(tblDefects[[#This Row],[Date]]="","",IFERROR(INDEX(tblCategories[Cost per occurrence],MATCH(tblDefects[[#This Row],[Category]],tblCategories[Category],0)),""))</f>
        <v>0.25</v>
      </c>
      <c r="G224" s="39">
        <f>IF(tblDefects[[#This Row],[Date]]="","",IF(tblDefects[[#This Row],[Cost per occurrence]]="","",tblDefects[[#This Row],[Count]]*tblDefects[[#This Row],[Cost per occurrence]]))</f>
        <v>0.75</v>
      </c>
      <c r="H224" s="40">
        <f>IF(tblDefects[[#This Row],[Date]]="","",IF(AND(tblDefects[[#This Row],[Date]]&gt;=FFrom,tblDefects[[#This Row],[Date]]&lt;=FTo,OR(DashArea="",tblDefects[[#This Row],[Area]]=DashArea)),tblDefects[[#This Row],[Date]],""))</f>
        <v>46294</v>
      </c>
      <c r="I22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24" s="28" t="s">
        <v>114</v>
      </c>
    </row>
    <row r="225" spans="2:10">
      <c r="B225" s="37">
        <v>46294</v>
      </c>
      <c r="C225" s="28" t="s">
        <v>83</v>
      </c>
      <c r="D225" s="28" t="s">
        <v>91</v>
      </c>
      <c r="E225" s="38">
        <v>2</v>
      </c>
      <c r="F225" s="39">
        <f>IF(tblDefects[[#This Row],[Date]]="","",IFERROR(INDEX(tblCategories[Cost per occurrence],MATCH(tblDefects[[#This Row],[Category]],tblCategories[Category],0)),""))</f>
        <v>1.2</v>
      </c>
      <c r="G225" s="39">
        <f>IF(tblDefects[[#This Row],[Date]]="","",IF(tblDefects[[#This Row],[Cost per occurrence]]="","",tblDefects[[#This Row],[Count]]*tblDefects[[#This Row],[Cost per occurrence]]))</f>
        <v>2.4</v>
      </c>
      <c r="H225" s="40">
        <f>IF(tblDefects[[#This Row],[Date]]="","",IF(AND(tblDefects[[#This Row],[Date]]&gt;=FFrom,tblDefects[[#This Row],[Date]]&lt;=FTo,OR(DashArea="",tblDefects[[#This Row],[Area]]=DashArea)),tblDefects[[#This Row],[Date]],""))</f>
        <v>46294</v>
      </c>
      <c r="I22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25" s="28" t="s">
        <v>114</v>
      </c>
    </row>
    <row r="226" spans="2:10">
      <c r="B226" s="37">
        <v>46295</v>
      </c>
      <c r="C226" s="28" t="s">
        <v>79</v>
      </c>
      <c r="D226" s="28" t="s">
        <v>87</v>
      </c>
      <c r="E226" s="38">
        <v>28</v>
      </c>
      <c r="F226" s="39">
        <f>IF(tblDefects[[#This Row],[Date]]="","",IFERROR(INDEX(tblCategories[Cost per occurrence],MATCH(tblDefects[[#This Row],[Category]],tblCategories[Category],0)),""))</f>
        <v>0.35</v>
      </c>
      <c r="G226" s="39">
        <f>IF(tblDefects[[#This Row],[Date]]="","",IF(tblDefects[[#This Row],[Cost per occurrence]]="","",tblDefects[[#This Row],[Count]]*tblDefects[[#This Row],[Cost per occurrence]]))</f>
        <v>9.8</v>
      </c>
      <c r="H226" s="40">
        <f>IF(tblDefects[[#This Row],[Date]]="","",IF(AND(tblDefects[[#This Row],[Date]]&gt;=FFrom,tblDefects[[#This Row],[Date]]&lt;=FTo,OR(DashArea="",tblDefects[[#This Row],[Area]]=DashArea)),tblDefects[[#This Row],[Date]],""))</f>
        <v>46295</v>
      </c>
      <c r="I22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26" s="28" t="s">
        <v>114</v>
      </c>
    </row>
    <row r="227" spans="2:10">
      <c r="B227" s="37">
        <v>46295</v>
      </c>
      <c r="C227" s="28" t="s">
        <v>79</v>
      </c>
      <c r="D227" s="28" t="s">
        <v>89</v>
      </c>
      <c r="E227" s="38">
        <v>24</v>
      </c>
      <c r="F227" s="39">
        <f>IF(tblDefects[[#This Row],[Date]]="","",IFERROR(INDEX(tblCategories[Cost per occurrence],MATCH(tblDefects[[#This Row],[Category]],tblCategories[Category],0)),""))</f>
        <v>1.2</v>
      </c>
      <c r="G227" s="39">
        <f>IF(tblDefects[[#This Row],[Date]]="","",IF(tblDefects[[#This Row],[Cost per occurrence]]="","",tblDefects[[#This Row],[Count]]*tblDefects[[#This Row],[Cost per occurrence]]))</f>
        <v>28.8</v>
      </c>
      <c r="H227" s="40">
        <f>IF(tblDefects[[#This Row],[Date]]="","",IF(AND(tblDefects[[#This Row],[Date]]&gt;=FFrom,tblDefects[[#This Row],[Date]]&lt;=FTo,OR(DashArea="",tblDefects[[#This Row],[Area]]=DashArea)),tblDefects[[#This Row],[Date]],""))</f>
        <v>46295</v>
      </c>
      <c r="I22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27" s="28" t="s">
        <v>114</v>
      </c>
    </row>
    <row r="228" spans="2:10">
      <c r="B228" s="37">
        <v>46295</v>
      </c>
      <c r="C228" s="28" t="s">
        <v>79</v>
      </c>
      <c r="D228" s="28" t="s">
        <v>91</v>
      </c>
      <c r="E228" s="38">
        <v>6</v>
      </c>
      <c r="F228" s="39">
        <f>IF(tblDefects[[#This Row],[Date]]="","",IFERROR(INDEX(tblCategories[Cost per occurrence],MATCH(tblDefects[[#This Row],[Category]],tblCategories[Category],0)),""))</f>
        <v>1.2</v>
      </c>
      <c r="G228" s="39">
        <f>IF(tblDefects[[#This Row],[Date]]="","",IF(tblDefects[[#This Row],[Cost per occurrence]]="","",tblDefects[[#This Row],[Count]]*tblDefects[[#This Row],[Cost per occurrence]]))</f>
        <v>7.2</v>
      </c>
      <c r="H228" s="40">
        <f>IF(tblDefects[[#This Row],[Date]]="","",IF(AND(tblDefects[[#This Row],[Date]]&gt;=FFrom,tblDefects[[#This Row],[Date]]&lt;=FTo,OR(DashArea="",tblDefects[[#This Row],[Area]]=DashArea)),tblDefects[[#This Row],[Date]],""))</f>
        <v>46295</v>
      </c>
      <c r="I22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28" s="28" t="s">
        <v>114</v>
      </c>
    </row>
    <row r="229" spans="2:10">
      <c r="B229" s="37">
        <v>46295</v>
      </c>
      <c r="C229" s="28" t="s">
        <v>79</v>
      </c>
      <c r="D229" s="28" t="s">
        <v>93</v>
      </c>
      <c r="E229" s="38">
        <v>3</v>
      </c>
      <c r="F229" s="39">
        <f>IF(tblDefects[[#This Row],[Date]]="","",IFERROR(INDEX(tblCategories[Cost per occurrence],MATCH(tblDefects[[#This Row],[Category]],tblCategories[Category],0)),""))</f>
        <v>1.2</v>
      </c>
      <c r="G229" s="39">
        <f>IF(tblDefects[[#This Row],[Date]]="","",IF(tblDefects[[#This Row],[Cost per occurrence]]="","",tblDefects[[#This Row],[Count]]*tblDefects[[#This Row],[Cost per occurrence]]))</f>
        <v>3.6</v>
      </c>
      <c r="H229" s="40">
        <f>IF(tblDefects[[#This Row],[Date]]="","",IF(AND(tblDefects[[#This Row],[Date]]&gt;=FFrom,tblDefects[[#This Row],[Date]]&lt;=FTo,OR(DashArea="",tblDefects[[#This Row],[Area]]=DashArea)),tblDefects[[#This Row],[Date]],""))</f>
        <v>46295</v>
      </c>
      <c r="I22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29" s="28" t="s">
        <v>114</v>
      </c>
    </row>
    <row r="230" spans="2:10">
      <c r="B230" s="37">
        <v>46295</v>
      </c>
      <c r="C230" s="28" t="s">
        <v>79</v>
      </c>
      <c r="D230" s="28" t="s">
        <v>95</v>
      </c>
      <c r="E230" s="38">
        <v>2</v>
      </c>
      <c r="F230" s="39">
        <f>IF(tblDefects[[#This Row],[Date]]="","",IFERROR(INDEX(tblCategories[Cost per occurrence],MATCH(tblDefects[[#This Row],[Category]],tblCategories[Category],0)),""))</f>
        <v>1.2</v>
      </c>
      <c r="G230" s="39">
        <f>IF(tblDefects[[#This Row],[Date]]="","",IF(tblDefects[[#This Row],[Cost per occurrence]]="","",tblDefects[[#This Row],[Count]]*tblDefects[[#This Row],[Cost per occurrence]]))</f>
        <v>2.4</v>
      </c>
      <c r="H230" s="40">
        <f>IF(tblDefects[[#This Row],[Date]]="","",IF(AND(tblDefects[[#This Row],[Date]]&gt;=FFrom,tblDefects[[#This Row],[Date]]&lt;=FTo,OR(DashArea="",tblDefects[[#This Row],[Area]]=DashArea)),tblDefects[[#This Row],[Date]],""))</f>
        <v>46295</v>
      </c>
      <c r="I23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30" s="28" t="s">
        <v>114</v>
      </c>
    </row>
    <row r="231" spans="2:10">
      <c r="B231" s="37">
        <v>46295</v>
      </c>
      <c r="C231" s="28" t="s">
        <v>79</v>
      </c>
      <c r="D231" s="28" t="s">
        <v>97</v>
      </c>
      <c r="E231" s="38">
        <v>1</v>
      </c>
      <c r="F231" s="39">
        <f>IF(tblDefects[[#This Row],[Date]]="","",IFERROR(INDEX(tblCategories[Cost per occurrence],MATCH(tblDefects[[#This Row],[Category]],tblCategories[Category],0)),""))</f>
        <v>1.2</v>
      </c>
      <c r="G231" s="39">
        <f>IF(tblDefects[[#This Row],[Date]]="","",IF(tblDefects[[#This Row],[Cost per occurrence]]="","",tblDefects[[#This Row],[Count]]*tblDefects[[#This Row],[Cost per occurrence]]))</f>
        <v>1.2</v>
      </c>
      <c r="H231" s="40">
        <f>IF(tblDefects[[#This Row],[Date]]="","",IF(AND(tblDefects[[#This Row],[Date]]&gt;=FFrom,tblDefects[[#This Row],[Date]]&lt;=FTo,OR(DashArea="",tblDefects[[#This Row],[Area]]=DashArea)),tblDefects[[#This Row],[Date]],""))</f>
        <v>46295</v>
      </c>
      <c r="I23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31" s="28" t="s">
        <v>114</v>
      </c>
    </row>
    <row r="232" spans="2:10">
      <c r="B232" s="37">
        <v>46295</v>
      </c>
      <c r="C232" s="28" t="s">
        <v>81</v>
      </c>
      <c r="D232" s="28" t="s">
        <v>101</v>
      </c>
      <c r="E232" s="38">
        <v>4</v>
      </c>
      <c r="F232" s="39">
        <f>IF(tblDefects[[#This Row],[Date]]="","",IFERROR(INDEX(tblCategories[Cost per occurrence],MATCH(tblDefects[[#This Row],[Category]],tblCategories[Category],0)),""))</f>
        <v>7.8</v>
      </c>
      <c r="G232" s="39">
        <f>IF(tblDefects[[#This Row],[Date]]="","",IF(tblDefects[[#This Row],[Cost per occurrence]]="","",tblDefects[[#This Row],[Count]]*tblDefects[[#This Row],[Cost per occurrence]]))</f>
        <v>31.2</v>
      </c>
      <c r="H232" s="40">
        <f>IF(tblDefects[[#This Row],[Date]]="","",IF(AND(tblDefects[[#This Row],[Date]]&gt;=FFrom,tblDefects[[#This Row],[Date]]&lt;=FTo,OR(DashArea="",tblDefects[[#This Row],[Area]]=DashArea)),tblDefects[[#This Row],[Date]],""))</f>
        <v>46295</v>
      </c>
      <c r="I23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32" s="28" t="s">
        <v>114</v>
      </c>
    </row>
    <row r="233" spans="2:10">
      <c r="B233" s="37">
        <v>46295</v>
      </c>
      <c r="C233" s="28" t="s">
        <v>81</v>
      </c>
      <c r="D233" s="28" t="s">
        <v>105</v>
      </c>
      <c r="E233" s="38">
        <v>4</v>
      </c>
      <c r="F233" s="39">
        <f>IF(tblDefects[[#This Row],[Date]]="","",IFERROR(INDEX(tblCategories[Cost per occurrence],MATCH(tblDefects[[#This Row],[Category]],tblCategories[Category],0)),""))</f>
        <v>7.8</v>
      </c>
      <c r="G233" s="39">
        <f>IF(tblDefects[[#This Row],[Date]]="","",IF(tblDefects[[#This Row],[Cost per occurrence]]="","",tblDefects[[#This Row],[Count]]*tblDefects[[#This Row],[Cost per occurrence]]))</f>
        <v>31.2</v>
      </c>
      <c r="H233" s="40">
        <f>IF(tblDefects[[#This Row],[Date]]="","",IF(AND(tblDefects[[#This Row],[Date]]&gt;=FFrom,tblDefects[[#This Row],[Date]]&lt;=FTo,OR(DashArea="",tblDefects[[#This Row],[Area]]=DashArea)),tblDefects[[#This Row],[Date]],""))</f>
        <v>46295</v>
      </c>
      <c r="I23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33" s="28" t="s">
        <v>114</v>
      </c>
    </row>
    <row r="234" spans="2:10">
      <c r="B234" s="37">
        <v>46295</v>
      </c>
      <c r="C234" s="28" t="s">
        <v>81</v>
      </c>
      <c r="D234" s="28" t="s">
        <v>103</v>
      </c>
      <c r="E234" s="38">
        <v>3</v>
      </c>
      <c r="F234" s="39">
        <f>IF(tblDefects[[#This Row],[Date]]="","",IFERROR(INDEX(tblCategories[Cost per occurrence],MATCH(tblDefects[[#This Row],[Category]],tblCategories[Category],0)),""))</f>
        <v>0.25</v>
      </c>
      <c r="G234" s="39">
        <f>IF(tblDefects[[#This Row],[Date]]="","",IF(tblDefects[[#This Row],[Cost per occurrence]]="","",tblDefects[[#This Row],[Count]]*tblDefects[[#This Row],[Cost per occurrence]]))</f>
        <v>0.75</v>
      </c>
      <c r="H234" s="40">
        <f>IF(tblDefects[[#This Row],[Date]]="","",IF(AND(tblDefects[[#This Row],[Date]]&gt;=FFrom,tblDefects[[#This Row],[Date]]&lt;=FTo,OR(DashArea="",tblDefects[[#This Row],[Area]]=DashArea)),tblDefects[[#This Row],[Date]],""))</f>
        <v>46295</v>
      </c>
      <c r="I23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34" s="28" t="s">
        <v>114</v>
      </c>
    </row>
    <row r="235" spans="2:10">
      <c r="B235" s="37">
        <v>46295</v>
      </c>
      <c r="C235" s="28" t="s">
        <v>81</v>
      </c>
      <c r="D235" s="28" t="s">
        <v>99</v>
      </c>
      <c r="E235" s="38">
        <v>4</v>
      </c>
      <c r="F235" s="39">
        <f>IF(tblDefects[[#This Row],[Date]]="","",IFERROR(INDEX(tblCategories[Cost per occurrence],MATCH(tblDefects[[#This Row],[Category]],tblCategories[Category],0)),""))</f>
        <v>0.6</v>
      </c>
      <c r="G235" s="39">
        <f>IF(tblDefects[[#This Row],[Date]]="","",IF(tblDefects[[#This Row],[Cost per occurrence]]="","",tblDefects[[#This Row],[Count]]*tblDefects[[#This Row],[Cost per occurrence]]))</f>
        <v>2.4</v>
      </c>
      <c r="H235" s="40">
        <f>IF(tblDefects[[#This Row],[Date]]="","",IF(AND(tblDefects[[#This Row],[Date]]&gt;=FFrom,tblDefects[[#This Row],[Date]]&lt;=FTo,OR(DashArea="",tblDefects[[#This Row],[Area]]=DashArea)),tblDefects[[#This Row],[Date]],""))</f>
        <v>46295</v>
      </c>
      <c r="I23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35" s="28" t="s">
        <v>114</v>
      </c>
    </row>
    <row r="236" spans="2:10">
      <c r="B236" s="37">
        <v>46295</v>
      </c>
      <c r="C236" s="28" t="s">
        <v>83</v>
      </c>
      <c r="D236" s="28" t="s">
        <v>99</v>
      </c>
      <c r="E236" s="38">
        <v>3</v>
      </c>
      <c r="F236" s="39">
        <f>IF(tblDefects[[#This Row],[Date]]="","",IFERROR(INDEX(tblCategories[Cost per occurrence],MATCH(tblDefects[[#This Row],[Category]],tblCategories[Category],0)),""))</f>
        <v>0.6</v>
      </c>
      <c r="G236" s="39">
        <f>IF(tblDefects[[#This Row],[Date]]="","",IF(tblDefects[[#This Row],[Cost per occurrence]]="","",tblDefects[[#This Row],[Count]]*tblDefects[[#This Row],[Cost per occurrence]]))</f>
        <v>1.8</v>
      </c>
      <c r="H236" s="40">
        <f>IF(tblDefects[[#This Row],[Date]]="","",IF(AND(tblDefects[[#This Row],[Date]]&gt;=FFrom,tblDefects[[#This Row],[Date]]&lt;=FTo,OR(DashArea="",tblDefects[[#This Row],[Area]]=DashArea)),tblDefects[[#This Row],[Date]],""))</f>
        <v>46295</v>
      </c>
      <c r="I23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36" s="28" t="s">
        <v>114</v>
      </c>
    </row>
    <row r="237" spans="2:10">
      <c r="B237" s="37">
        <v>46295</v>
      </c>
      <c r="C237" s="28" t="s">
        <v>83</v>
      </c>
      <c r="D237" s="28" t="s">
        <v>87</v>
      </c>
      <c r="E237" s="38">
        <v>2</v>
      </c>
      <c r="F237" s="39">
        <f>IF(tblDefects[[#This Row],[Date]]="","",IFERROR(INDEX(tblCategories[Cost per occurrence],MATCH(tblDefects[[#This Row],[Category]],tblCategories[Category],0)),""))</f>
        <v>0.35</v>
      </c>
      <c r="G237" s="39">
        <f>IF(tblDefects[[#This Row],[Date]]="","",IF(tblDefects[[#This Row],[Cost per occurrence]]="","",tblDefects[[#This Row],[Count]]*tblDefects[[#This Row],[Cost per occurrence]]))</f>
        <v>0.7</v>
      </c>
      <c r="H237" s="40">
        <f>IF(tblDefects[[#This Row],[Date]]="","",IF(AND(tblDefects[[#This Row],[Date]]&gt;=FFrom,tblDefects[[#This Row],[Date]]&lt;=FTo,OR(DashArea="",tblDefects[[#This Row],[Area]]=DashArea)),tblDefects[[#This Row],[Date]],""))</f>
        <v>46295</v>
      </c>
      <c r="I23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37" s="28" t="s">
        <v>114</v>
      </c>
    </row>
    <row r="238" spans="2:10">
      <c r="B238" s="37">
        <v>46295</v>
      </c>
      <c r="C238" s="28" t="s">
        <v>83</v>
      </c>
      <c r="D238" s="28" t="s">
        <v>103</v>
      </c>
      <c r="E238" s="38">
        <v>1</v>
      </c>
      <c r="F238" s="39">
        <f>IF(tblDefects[[#This Row],[Date]]="","",IFERROR(INDEX(tblCategories[Cost per occurrence],MATCH(tblDefects[[#This Row],[Category]],tblCategories[Category],0)),""))</f>
        <v>0.25</v>
      </c>
      <c r="G238" s="39">
        <f>IF(tblDefects[[#This Row],[Date]]="","",IF(tblDefects[[#This Row],[Cost per occurrence]]="","",tblDefects[[#This Row],[Count]]*tblDefects[[#This Row],[Cost per occurrence]]))</f>
        <v>0.25</v>
      </c>
      <c r="H238" s="40">
        <f>IF(tblDefects[[#This Row],[Date]]="","",IF(AND(tblDefects[[#This Row],[Date]]&gt;=FFrom,tblDefects[[#This Row],[Date]]&lt;=FTo,OR(DashArea="",tblDefects[[#This Row],[Area]]=DashArea)),tblDefects[[#This Row],[Date]],""))</f>
        <v>46295</v>
      </c>
      <c r="I23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38" s="28" t="s">
        <v>114</v>
      </c>
    </row>
    <row r="239" spans="2:10">
      <c r="B239" s="37">
        <v>46296</v>
      </c>
      <c r="C239" s="28" t="s">
        <v>79</v>
      </c>
      <c r="D239" s="28" t="s">
        <v>87</v>
      </c>
      <c r="E239" s="38">
        <v>12</v>
      </c>
      <c r="F239" s="39">
        <f>IF(tblDefects[[#This Row],[Date]]="","",IFERROR(INDEX(tblCategories[Cost per occurrence],MATCH(tblDefects[[#This Row],[Category]],tblCategories[Category],0)),""))</f>
        <v>0.35</v>
      </c>
      <c r="G239" s="39">
        <f>IF(tblDefects[[#This Row],[Date]]="","",IF(tblDefects[[#This Row],[Cost per occurrence]]="","",tblDefects[[#This Row],[Count]]*tblDefects[[#This Row],[Cost per occurrence]]))</f>
        <v>4.2</v>
      </c>
      <c r="H239" s="40">
        <f>IF(tblDefects[[#This Row],[Date]]="","",IF(AND(tblDefects[[#This Row],[Date]]&gt;=FFrom,tblDefects[[#This Row],[Date]]&lt;=FTo,OR(DashArea="",tblDefects[[#This Row],[Area]]=DashArea)),tblDefects[[#This Row],[Date]],""))</f>
        <v>46296</v>
      </c>
      <c r="I23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39" s="28" t="s">
        <v>114</v>
      </c>
    </row>
    <row r="240" spans="2:10">
      <c r="B240" s="37">
        <v>46296</v>
      </c>
      <c r="C240" s="28" t="s">
        <v>79</v>
      </c>
      <c r="D240" s="28" t="s">
        <v>89</v>
      </c>
      <c r="E240" s="38">
        <v>17</v>
      </c>
      <c r="F240" s="39">
        <f>IF(tblDefects[[#This Row],[Date]]="","",IFERROR(INDEX(tblCategories[Cost per occurrence],MATCH(tblDefects[[#This Row],[Category]],tblCategories[Category],0)),""))</f>
        <v>1.2</v>
      </c>
      <c r="G240" s="39">
        <f>IF(tblDefects[[#This Row],[Date]]="","",IF(tblDefects[[#This Row],[Cost per occurrence]]="","",tblDefects[[#This Row],[Count]]*tblDefects[[#This Row],[Cost per occurrence]]))</f>
        <v>20.4</v>
      </c>
      <c r="H240" s="40">
        <f>IF(tblDefects[[#This Row],[Date]]="","",IF(AND(tblDefects[[#This Row],[Date]]&gt;=FFrom,tblDefects[[#This Row],[Date]]&lt;=FTo,OR(DashArea="",tblDefects[[#This Row],[Area]]=DashArea)),tblDefects[[#This Row],[Date]],""))</f>
        <v>46296</v>
      </c>
      <c r="I24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40" s="28" t="s">
        <v>114</v>
      </c>
    </row>
    <row r="241" spans="2:10">
      <c r="B241" s="37">
        <v>46296</v>
      </c>
      <c r="C241" s="28" t="s">
        <v>79</v>
      </c>
      <c r="D241" s="28" t="s">
        <v>91</v>
      </c>
      <c r="E241" s="38">
        <v>10</v>
      </c>
      <c r="F241" s="39">
        <f>IF(tblDefects[[#This Row],[Date]]="","",IFERROR(INDEX(tblCategories[Cost per occurrence],MATCH(tblDefects[[#This Row],[Category]],tblCategories[Category],0)),""))</f>
        <v>1.2</v>
      </c>
      <c r="G241" s="39">
        <f>IF(tblDefects[[#This Row],[Date]]="","",IF(tblDefects[[#This Row],[Cost per occurrence]]="","",tblDefects[[#This Row],[Count]]*tblDefects[[#This Row],[Cost per occurrence]]))</f>
        <v>12</v>
      </c>
      <c r="H241" s="40">
        <f>IF(tblDefects[[#This Row],[Date]]="","",IF(AND(tblDefects[[#This Row],[Date]]&gt;=FFrom,tblDefects[[#This Row],[Date]]&lt;=FTo,OR(DashArea="",tblDefects[[#This Row],[Area]]=DashArea)),tblDefects[[#This Row],[Date]],""))</f>
        <v>46296</v>
      </c>
      <c r="I24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41" s="28" t="s">
        <v>114</v>
      </c>
    </row>
    <row r="242" spans="2:10">
      <c r="B242" s="37">
        <v>46296</v>
      </c>
      <c r="C242" s="28" t="s">
        <v>79</v>
      </c>
      <c r="D242" s="28" t="s">
        <v>93</v>
      </c>
      <c r="E242" s="38">
        <v>5</v>
      </c>
      <c r="F242" s="39">
        <f>IF(tblDefects[[#This Row],[Date]]="","",IFERROR(INDEX(tblCategories[Cost per occurrence],MATCH(tblDefects[[#This Row],[Category]],tblCategories[Category],0)),""))</f>
        <v>1.2</v>
      </c>
      <c r="G242" s="39">
        <f>IF(tblDefects[[#This Row],[Date]]="","",IF(tblDefects[[#This Row],[Cost per occurrence]]="","",tblDefects[[#This Row],[Count]]*tblDefects[[#This Row],[Cost per occurrence]]))</f>
        <v>6</v>
      </c>
      <c r="H242" s="40">
        <f>IF(tblDefects[[#This Row],[Date]]="","",IF(AND(tblDefects[[#This Row],[Date]]&gt;=FFrom,tblDefects[[#This Row],[Date]]&lt;=FTo,OR(DashArea="",tblDefects[[#This Row],[Area]]=DashArea)),tblDefects[[#This Row],[Date]],""))</f>
        <v>46296</v>
      </c>
      <c r="I24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42" s="28" t="s">
        <v>114</v>
      </c>
    </row>
    <row r="243" spans="2:10">
      <c r="B243" s="37">
        <v>46296</v>
      </c>
      <c r="C243" s="28" t="s">
        <v>79</v>
      </c>
      <c r="D243" s="28" t="s">
        <v>95</v>
      </c>
      <c r="E243" s="38">
        <v>3</v>
      </c>
      <c r="F243" s="39">
        <f>IF(tblDefects[[#This Row],[Date]]="","",IFERROR(INDEX(tblCategories[Cost per occurrence],MATCH(tblDefects[[#This Row],[Category]],tblCategories[Category],0)),""))</f>
        <v>1.2</v>
      </c>
      <c r="G243" s="39">
        <f>IF(tblDefects[[#This Row],[Date]]="","",IF(tblDefects[[#This Row],[Cost per occurrence]]="","",tblDefects[[#This Row],[Count]]*tblDefects[[#This Row],[Cost per occurrence]]))</f>
        <v>3.6</v>
      </c>
      <c r="H243" s="40">
        <f>IF(tblDefects[[#This Row],[Date]]="","",IF(AND(tblDefects[[#This Row],[Date]]&gt;=FFrom,tblDefects[[#This Row],[Date]]&lt;=FTo,OR(DashArea="",tblDefects[[#This Row],[Area]]=DashArea)),tblDefects[[#This Row],[Date]],""))</f>
        <v>46296</v>
      </c>
      <c r="I24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43" s="28" t="s">
        <v>114</v>
      </c>
    </row>
    <row r="244" spans="2:10">
      <c r="B244" s="37">
        <v>46296</v>
      </c>
      <c r="C244" s="28" t="s">
        <v>79</v>
      </c>
      <c r="D244" s="28" t="s">
        <v>97</v>
      </c>
      <c r="E244" s="38">
        <v>3</v>
      </c>
      <c r="F244" s="39">
        <f>IF(tblDefects[[#This Row],[Date]]="","",IFERROR(INDEX(tblCategories[Cost per occurrence],MATCH(tblDefects[[#This Row],[Category]],tblCategories[Category],0)),""))</f>
        <v>1.2</v>
      </c>
      <c r="G244" s="39">
        <f>IF(tblDefects[[#This Row],[Date]]="","",IF(tblDefects[[#This Row],[Cost per occurrence]]="","",tblDefects[[#This Row],[Count]]*tblDefects[[#This Row],[Cost per occurrence]]))</f>
        <v>3.6</v>
      </c>
      <c r="H244" s="40">
        <f>IF(tblDefects[[#This Row],[Date]]="","",IF(AND(tblDefects[[#This Row],[Date]]&gt;=FFrom,tblDefects[[#This Row],[Date]]&lt;=FTo,OR(DashArea="",tblDefects[[#This Row],[Area]]=DashArea)),tblDefects[[#This Row],[Date]],""))</f>
        <v>46296</v>
      </c>
      <c r="I24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44" s="28" t="s">
        <v>114</v>
      </c>
    </row>
    <row r="245" spans="2:10">
      <c r="B245" s="37">
        <v>46296</v>
      </c>
      <c r="C245" s="28" t="s">
        <v>81</v>
      </c>
      <c r="D245" s="28" t="s">
        <v>101</v>
      </c>
      <c r="E245" s="38">
        <v>3</v>
      </c>
      <c r="F245" s="39">
        <f>IF(tblDefects[[#This Row],[Date]]="","",IFERROR(INDEX(tblCategories[Cost per occurrence],MATCH(tblDefects[[#This Row],[Category]],tblCategories[Category],0)),""))</f>
        <v>7.8</v>
      </c>
      <c r="G245" s="39">
        <f>IF(tblDefects[[#This Row],[Date]]="","",IF(tblDefects[[#This Row],[Cost per occurrence]]="","",tblDefects[[#This Row],[Count]]*tblDefects[[#This Row],[Cost per occurrence]]))</f>
        <v>23.4</v>
      </c>
      <c r="H245" s="40">
        <f>IF(tblDefects[[#This Row],[Date]]="","",IF(AND(tblDefects[[#This Row],[Date]]&gt;=FFrom,tblDefects[[#This Row],[Date]]&lt;=FTo,OR(DashArea="",tblDefects[[#This Row],[Area]]=DashArea)),tblDefects[[#This Row],[Date]],""))</f>
        <v>46296</v>
      </c>
      <c r="I24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45" s="28" t="s">
        <v>114</v>
      </c>
    </row>
    <row r="246" spans="2:10">
      <c r="B246" s="37">
        <v>46296</v>
      </c>
      <c r="C246" s="28" t="s">
        <v>81</v>
      </c>
      <c r="D246" s="28" t="s">
        <v>105</v>
      </c>
      <c r="E246" s="38">
        <v>1</v>
      </c>
      <c r="F246" s="39">
        <f>IF(tblDefects[[#This Row],[Date]]="","",IFERROR(INDEX(tblCategories[Cost per occurrence],MATCH(tblDefects[[#This Row],[Category]],tblCategories[Category],0)),""))</f>
        <v>7.8</v>
      </c>
      <c r="G246" s="39">
        <f>IF(tblDefects[[#This Row],[Date]]="","",IF(tblDefects[[#This Row],[Cost per occurrence]]="","",tblDefects[[#This Row],[Count]]*tblDefects[[#This Row],[Cost per occurrence]]))</f>
        <v>7.8</v>
      </c>
      <c r="H246" s="40">
        <f>IF(tblDefects[[#This Row],[Date]]="","",IF(AND(tblDefects[[#This Row],[Date]]&gt;=FFrom,tblDefects[[#This Row],[Date]]&lt;=FTo,OR(DashArea="",tblDefects[[#This Row],[Area]]=DashArea)),tblDefects[[#This Row],[Date]],""))</f>
        <v>46296</v>
      </c>
      <c r="I24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46" s="28" t="s">
        <v>114</v>
      </c>
    </row>
    <row r="247" spans="2:10">
      <c r="B247" s="37">
        <v>46296</v>
      </c>
      <c r="C247" s="28" t="s">
        <v>81</v>
      </c>
      <c r="D247" s="28" t="s">
        <v>103</v>
      </c>
      <c r="E247" s="38">
        <v>5</v>
      </c>
      <c r="F247" s="39">
        <f>IF(tblDefects[[#This Row],[Date]]="","",IFERROR(INDEX(tblCategories[Cost per occurrence],MATCH(tblDefects[[#This Row],[Category]],tblCategories[Category],0)),""))</f>
        <v>0.25</v>
      </c>
      <c r="G247" s="39">
        <f>IF(tblDefects[[#This Row],[Date]]="","",IF(tblDefects[[#This Row],[Cost per occurrence]]="","",tblDefects[[#This Row],[Count]]*tblDefects[[#This Row],[Cost per occurrence]]))</f>
        <v>1.25</v>
      </c>
      <c r="H247" s="40">
        <f>IF(tblDefects[[#This Row],[Date]]="","",IF(AND(tblDefects[[#This Row],[Date]]&gt;=FFrom,tblDefects[[#This Row],[Date]]&lt;=FTo,OR(DashArea="",tblDefects[[#This Row],[Area]]=DashArea)),tblDefects[[#This Row],[Date]],""))</f>
        <v>46296</v>
      </c>
      <c r="I24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47" s="28" t="s">
        <v>114</v>
      </c>
    </row>
    <row r="248" spans="2:10">
      <c r="B248" s="37">
        <v>46296</v>
      </c>
      <c r="C248" s="28" t="s">
        <v>81</v>
      </c>
      <c r="D248" s="28" t="s">
        <v>99</v>
      </c>
      <c r="E248" s="38">
        <v>4</v>
      </c>
      <c r="F248" s="39">
        <f>IF(tblDefects[[#This Row],[Date]]="","",IFERROR(INDEX(tblCategories[Cost per occurrence],MATCH(tblDefects[[#This Row],[Category]],tblCategories[Category],0)),""))</f>
        <v>0.6</v>
      </c>
      <c r="G248" s="39">
        <f>IF(tblDefects[[#This Row],[Date]]="","",IF(tblDefects[[#This Row],[Cost per occurrence]]="","",tblDefects[[#This Row],[Count]]*tblDefects[[#This Row],[Cost per occurrence]]))</f>
        <v>2.4</v>
      </c>
      <c r="H248" s="40">
        <f>IF(tblDefects[[#This Row],[Date]]="","",IF(AND(tblDefects[[#This Row],[Date]]&gt;=FFrom,tblDefects[[#This Row],[Date]]&lt;=FTo,OR(DashArea="",tblDefects[[#This Row],[Area]]=DashArea)),tblDefects[[#This Row],[Date]],""))</f>
        <v>46296</v>
      </c>
      <c r="I24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48" s="28" t="s">
        <v>114</v>
      </c>
    </row>
    <row r="249" spans="2:10">
      <c r="B249" s="37">
        <v>46296</v>
      </c>
      <c r="C249" s="28" t="s">
        <v>83</v>
      </c>
      <c r="D249" s="28" t="s">
        <v>99</v>
      </c>
      <c r="E249" s="38">
        <v>4</v>
      </c>
      <c r="F249" s="39">
        <f>IF(tblDefects[[#This Row],[Date]]="","",IFERROR(INDEX(tblCategories[Cost per occurrence],MATCH(tblDefects[[#This Row],[Category]],tblCategories[Category],0)),""))</f>
        <v>0.6</v>
      </c>
      <c r="G249" s="39">
        <f>IF(tblDefects[[#This Row],[Date]]="","",IF(tblDefects[[#This Row],[Cost per occurrence]]="","",tblDefects[[#This Row],[Count]]*tblDefects[[#This Row],[Cost per occurrence]]))</f>
        <v>2.4</v>
      </c>
      <c r="H249" s="40">
        <f>IF(tblDefects[[#This Row],[Date]]="","",IF(AND(tblDefects[[#This Row],[Date]]&gt;=FFrom,tblDefects[[#This Row],[Date]]&lt;=FTo,OR(DashArea="",tblDefects[[#This Row],[Area]]=DashArea)),tblDefects[[#This Row],[Date]],""))</f>
        <v>46296</v>
      </c>
      <c r="I24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49" s="28" t="s">
        <v>114</v>
      </c>
    </row>
    <row r="250" spans="2:10">
      <c r="B250" s="37">
        <v>46296</v>
      </c>
      <c r="C250" s="28" t="s">
        <v>83</v>
      </c>
      <c r="D250" s="28" t="s">
        <v>87</v>
      </c>
      <c r="E250" s="38">
        <v>3</v>
      </c>
      <c r="F250" s="39">
        <f>IF(tblDefects[[#This Row],[Date]]="","",IFERROR(INDEX(tblCategories[Cost per occurrence],MATCH(tblDefects[[#This Row],[Category]],tblCategories[Category],0)),""))</f>
        <v>0.35</v>
      </c>
      <c r="G250" s="39">
        <f>IF(tblDefects[[#This Row],[Date]]="","",IF(tblDefects[[#This Row],[Cost per occurrence]]="","",tblDefects[[#This Row],[Count]]*tblDefects[[#This Row],[Cost per occurrence]]))</f>
        <v>1.05</v>
      </c>
      <c r="H250" s="40">
        <f>IF(tblDefects[[#This Row],[Date]]="","",IF(AND(tblDefects[[#This Row],[Date]]&gt;=FFrom,tblDefects[[#This Row],[Date]]&lt;=FTo,OR(DashArea="",tblDefects[[#This Row],[Area]]=DashArea)),tblDefects[[#This Row],[Date]],""))</f>
        <v>46296</v>
      </c>
      <c r="I25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50" s="28" t="s">
        <v>114</v>
      </c>
    </row>
    <row r="251" spans="2:10">
      <c r="B251" s="37">
        <v>46296</v>
      </c>
      <c r="C251" s="28" t="s">
        <v>83</v>
      </c>
      <c r="D251" s="28" t="s">
        <v>103</v>
      </c>
      <c r="E251" s="38">
        <v>2</v>
      </c>
      <c r="F251" s="39">
        <f>IF(tblDefects[[#This Row],[Date]]="","",IFERROR(INDEX(tblCategories[Cost per occurrence],MATCH(tblDefects[[#This Row],[Category]],tblCategories[Category],0)),""))</f>
        <v>0.25</v>
      </c>
      <c r="G251" s="39">
        <f>IF(tblDefects[[#This Row],[Date]]="","",IF(tblDefects[[#This Row],[Cost per occurrence]]="","",tblDefects[[#This Row],[Count]]*tblDefects[[#This Row],[Cost per occurrence]]))</f>
        <v>0.5</v>
      </c>
      <c r="H251" s="40">
        <f>IF(tblDefects[[#This Row],[Date]]="","",IF(AND(tblDefects[[#This Row],[Date]]&gt;=FFrom,tblDefects[[#This Row],[Date]]&lt;=FTo,OR(DashArea="",tblDefects[[#This Row],[Area]]=DashArea)),tblDefects[[#This Row],[Date]],""))</f>
        <v>46296</v>
      </c>
      <c r="I25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51" s="28" t="s">
        <v>114</v>
      </c>
    </row>
    <row r="252" spans="2:10">
      <c r="B252" s="37">
        <v>46296</v>
      </c>
      <c r="C252" s="28" t="s">
        <v>83</v>
      </c>
      <c r="D252" s="28" t="s">
        <v>91</v>
      </c>
      <c r="E252" s="38">
        <v>2</v>
      </c>
      <c r="F252" s="39">
        <f>IF(tblDefects[[#This Row],[Date]]="","",IFERROR(INDEX(tblCategories[Cost per occurrence],MATCH(tblDefects[[#This Row],[Category]],tblCategories[Category],0)),""))</f>
        <v>1.2</v>
      </c>
      <c r="G252" s="39">
        <f>IF(tblDefects[[#This Row],[Date]]="","",IF(tblDefects[[#This Row],[Cost per occurrence]]="","",tblDefects[[#This Row],[Count]]*tblDefects[[#This Row],[Cost per occurrence]]))</f>
        <v>2.4</v>
      </c>
      <c r="H252" s="40">
        <f>IF(tblDefects[[#This Row],[Date]]="","",IF(AND(tblDefects[[#This Row],[Date]]&gt;=FFrom,tblDefects[[#This Row],[Date]]&lt;=FTo,OR(DashArea="",tblDefects[[#This Row],[Area]]=DashArea)),tblDefects[[#This Row],[Date]],""))</f>
        <v>46296</v>
      </c>
      <c r="I25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52" s="28" t="s">
        <v>114</v>
      </c>
    </row>
    <row r="253" spans="2:10">
      <c r="B253" s="37">
        <v>46297</v>
      </c>
      <c r="C253" s="28" t="s">
        <v>79</v>
      </c>
      <c r="D253" s="28" t="s">
        <v>87</v>
      </c>
      <c r="E253" s="38">
        <v>31</v>
      </c>
      <c r="F253" s="39">
        <f>IF(tblDefects[[#This Row],[Date]]="","",IFERROR(INDEX(tblCategories[Cost per occurrence],MATCH(tblDefects[[#This Row],[Category]],tblCategories[Category],0)),""))</f>
        <v>0.35</v>
      </c>
      <c r="G253" s="39">
        <f>IF(tblDefects[[#This Row],[Date]]="","",IF(tblDefects[[#This Row],[Cost per occurrence]]="","",tblDefects[[#This Row],[Count]]*tblDefects[[#This Row],[Cost per occurrence]]))</f>
        <v>10.85</v>
      </c>
      <c r="H253" s="40">
        <f>IF(tblDefects[[#This Row],[Date]]="","",IF(AND(tblDefects[[#This Row],[Date]]&gt;=FFrom,tblDefects[[#This Row],[Date]]&lt;=FTo,OR(DashArea="",tblDefects[[#This Row],[Area]]=DashArea)),tblDefects[[#This Row],[Date]],""))</f>
        <v>46297</v>
      </c>
      <c r="I25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53" s="28" t="s">
        <v>114</v>
      </c>
    </row>
    <row r="254" spans="2:10">
      <c r="B254" s="37">
        <v>46297</v>
      </c>
      <c r="C254" s="28" t="s">
        <v>79</v>
      </c>
      <c r="D254" s="28" t="s">
        <v>89</v>
      </c>
      <c r="E254" s="38">
        <v>18</v>
      </c>
      <c r="F254" s="39">
        <f>IF(tblDefects[[#This Row],[Date]]="","",IFERROR(INDEX(tblCategories[Cost per occurrence],MATCH(tblDefects[[#This Row],[Category]],tblCategories[Category],0)),""))</f>
        <v>1.2</v>
      </c>
      <c r="G254" s="39">
        <f>IF(tblDefects[[#This Row],[Date]]="","",IF(tblDefects[[#This Row],[Cost per occurrence]]="","",tblDefects[[#This Row],[Count]]*tblDefects[[#This Row],[Cost per occurrence]]))</f>
        <v>21.6</v>
      </c>
      <c r="H254" s="40">
        <f>IF(tblDefects[[#This Row],[Date]]="","",IF(AND(tblDefects[[#This Row],[Date]]&gt;=FFrom,tblDefects[[#This Row],[Date]]&lt;=FTo,OR(DashArea="",tblDefects[[#This Row],[Area]]=DashArea)),tblDefects[[#This Row],[Date]],""))</f>
        <v>46297</v>
      </c>
      <c r="I25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54" s="28" t="s">
        <v>114</v>
      </c>
    </row>
    <row r="255" spans="2:10">
      <c r="B255" s="37">
        <v>46297</v>
      </c>
      <c r="C255" s="28" t="s">
        <v>79</v>
      </c>
      <c r="D255" s="28" t="s">
        <v>91</v>
      </c>
      <c r="E255" s="38">
        <v>9</v>
      </c>
      <c r="F255" s="39">
        <f>IF(tblDefects[[#This Row],[Date]]="","",IFERROR(INDEX(tblCategories[Cost per occurrence],MATCH(tblDefects[[#This Row],[Category]],tblCategories[Category],0)),""))</f>
        <v>1.2</v>
      </c>
      <c r="G255" s="39">
        <f>IF(tblDefects[[#This Row],[Date]]="","",IF(tblDefects[[#This Row],[Cost per occurrence]]="","",tblDefects[[#This Row],[Count]]*tblDefects[[#This Row],[Cost per occurrence]]))</f>
        <v>10.8</v>
      </c>
      <c r="H255" s="40">
        <f>IF(tblDefects[[#This Row],[Date]]="","",IF(AND(tblDefects[[#This Row],[Date]]&gt;=FFrom,tblDefects[[#This Row],[Date]]&lt;=FTo,OR(DashArea="",tblDefects[[#This Row],[Area]]=DashArea)),tblDefects[[#This Row],[Date]],""))</f>
        <v>46297</v>
      </c>
      <c r="I25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55" s="28" t="s">
        <v>114</v>
      </c>
    </row>
    <row r="256" spans="2:10">
      <c r="B256" s="37">
        <v>46297</v>
      </c>
      <c r="C256" s="28" t="s">
        <v>79</v>
      </c>
      <c r="D256" s="28" t="s">
        <v>93</v>
      </c>
      <c r="E256" s="38">
        <v>4</v>
      </c>
      <c r="F256" s="39">
        <f>IF(tblDefects[[#This Row],[Date]]="","",IFERROR(INDEX(tblCategories[Cost per occurrence],MATCH(tblDefects[[#This Row],[Category]],tblCategories[Category],0)),""))</f>
        <v>1.2</v>
      </c>
      <c r="G256" s="39">
        <f>IF(tblDefects[[#This Row],[Date]]="","",IF(tblDefects[[#This Row],[Cost per occurrence]]="","",tblDefects[[#This Row],[Count]]*tblDefects[[#This Row],[Cost per occurrence]]))</f>
        <v>4.8</v>
      </c>
      <c r="H256" s="40">
        <f>IF(tblDefects[[#This Row],[Date]]="","",IF(AND(tblDefects[[#This Row],[Date]]&gt;=FFrom,tblDefects[[#This Row],[Date]]&lt;=FTo,OR(DashArea="",tblDefects[[#This Row],[Area]]=DashArea)),tblDefects[[#This Row],[Date]],""))</f>
        <v>46297</v>
      </c>
      <c r="I256"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56" s="28" t="s">
        <v>114</v>
      </c>
    </row>
    <row r="257" spans="2:10">
      <c r="B257" s="37">
        <v>46297</v>
      </c>
      <c r="C257" s="28" t="s">
        <v>79</v>
      </c>
      <c r="D257" s="28" t="s">
        <v>95</v>
      </c>
      <c r="E257" s="38">
        <v>5</v>
      </c>
      <c r="F257" s="39">
        <f>IF(tblDefects[[#This Row],[Date]]="","",IFERROR(INDEX(tblCategories[Cost per occurrence],MATCH(tblDefects[[#This Row],[Category]],tblCategories[Category],0)),""))</f>
        <v>1.2</v>
      </c>
      <c r="G257" s="39">
        <f>IF(tblDefects[[#This Row],[Date]]="","",IF(tblDefects[[#This Row],[Cost per occurrence]]="","",tblDefects[[#This Row],[Count]]*tblDefects[[#This Row],[Cost per occurrence]]))</f>
        <v>6</v>
      </c>
      <c r="H257" s="40">
        <f>IF(tblDefects[[#This Row],[Date]]="","",IF(AND(tblDefects[[#This Row],[Date]]&gt;=FFrom,tblDefects[[#This Row],[Date]]&lt;=FTo,OR(DashArea="",tblDefects[[#This Row],[Area]]=DashArea)),tblDefects[[#This Row],[Date]],""))</f>
        <v>46297</v>
      </c>
      <c r="I257"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57" s="28" t="s">
        <v>114</v>
      </c>
    </row>
    <row r="258" spans="2:10">
      <c r="B258" s="37">
        <v>46297</v>
      </c>
      <c r="C258" s="28" t="s">
        <v>79</v>
      </c>
      <c r="D258" s="28" t="s">
        <v>97</v>
      </c>
      <c r="E258" s="38">
        <v>2</v>
      </c>
      <c r="F258" s="39">
        <f>IF(tblDefects[[#This Row],[Date]]="","",IFERROR(INDEX(tblCategories[Cost per occurrence],MATCH(tblDefects[[#This Row],[Category]],tblCategories[Category],0)),""))</f>
        <v>1.2</v>
      </c>
      <c r="G258" s="39">
        <f>IF(tblDefects[[#This Row],[Date]]="","",IF(tblDefects[[#This Row],[Cost per occurrence]]="","",tblDefects[[#This Row],[Count]]*tblDefects[[#This Row],[Cost per occurrence]]))</f>
        <v>2.4</v>
      </c>
      <c r="H258" s="40">
        <f>IF(tblDefects[[#This Row],[Date]]="","",IF(AND(tblDefects[[#This Row],[Date]]&gt;=FFrom,tblDefects[[#This Row],[Date]]&lt;=FTo,OR(DashArea="",tblDefects[[#This Row],[Area]]=DashArea)),tblDefects[[#This Row],[Date]],""))</f>
        <v>46297</v>
      </c>
      <c r="I258"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58" s="28" t="s">
        <v>114</v>
      </c>
    </row>
    <row r="259" spans="2:10">
      <c r="B259" s="37">
        <v>46297</v>
      </c>
      <c r="C259" s="28" t="s">
        <v>81</v>
      </c>
      <c r="D259" s="28" t="s">
        <v>101</v>
      </c>
      <c r="E259" s="38">
        <v>4</v>
      </c>
      <c r="F259" s="39">
        <f>IF(tblDefects[[#This Row],[Date]]="","",IFERROR(INDEX(tblCategories[Cost per occurrence],MATCH(tblDefects[[#This Row],[Category]],tblCategories[Category],0)),""))</f>
        <v>7.8</v>
      </c>
      <c r="G259" s="39">
        <f>IF(tblDefects[[#This Row],[Date]]="","",IF(tblDefects[[#This Row],[Cost per occurrence]]="","",tblDefects[[#This Row],[Count]]*tblDefects[[#This Row],[Cost per occurrence]]))</f>
        <v>31.2</v>
      </c>
      <c r="H259" s="40">
        <f>IF(tblDefects[[#This Row],[Date]]="","",IF(AND(tblDefects[[#This Row],[Date]]&gt;=FFrom,tblDefects[[#This Row],[Date]]&lt;=FTo,OR(DashArea="",tblDefects[[#This Row],[Area]]=DashArea)),tblDefects[[#This Row],[Date]],""))</f>
        <v>46297</v>
      </c>
      <c r="I259"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59" s="28" t="s">
        <v>114</v>
      </c>
    </row>
    <row r="260" spans="2:10">
      <c r="B260" s="37">
        <v>46297</v>
      </c>
      <c r="C260" s="28" t="s">
        <v>81</v>
      </c>
      <c r="D260" s="28" t="s">
        <v>103</v>
      </c>
      <c r="E260" s="38">
        <v>5</v>
      </c>
      <c r="F260" s="39">
        <f>IF(tblDefects[[#This Row],[Date]]="","",IFERROR(INDEX(tblCategories[Cost per occurrence],MATCH(tblDefects[[#This Row],[Category]],tblCategories[Category],0)),""))</f>
        <v>0.25</v>
      </c>
      <c r="G260" s="39">
        <f>IF(tblDefects[[#This Row],[Date]]="","",IF(tblDefects[[#This Row],[Cost per occurrence]]="","",tblDefects[[#This Row],[Count]]*tblDefects[[#This Row],[Cost per occurrence]]))</f>
        <v>1.25</v>
      </c>
      <c r="H260" s="40">
        <f>IF(tblDefects[[#This Row],[Date]]="","",IF(AND(tblDefects[[#This Row],[Date]]&gt;=FFrom,tblDefects[[#This Row],[Date]]&lt;=FTo,OR(DashArea="",tblDefects[[#This Row],[Area]]=DashArea)),tblDefects[[#This Row],[Date]],""))</f>
        <v>46297</v>
      </c>
      <c r="I260"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60" s="28" t="s">
        <v>114</v>
      </c>
    </row>
    <row r="261" spans="2:10">
      <c r="B261" s="37">
        <v>46297</v>
      </c>
      <c r="C261" s="28" t="s">
        <v>81</v>
      </c>
      <c r="D261" s="28" t="s">
        <v>99</v>
      </c>
      <c r="E261" s="38">
        <v>4</v>
      </c>
      <c r="F261" s="39">
        <f>IF(tblDefects[[#This Row],[Date]]="","",IFERROR(INDEX(tblCategories[Cost per occurrence],MATCH(tblDefects[[#This Row],[Category]],tblCategories[Category],0)),""))</f>
        <v>0.6</v>
      </c>
      <c r="G261" s="39">
        <f>IF(tblDefects[[#This Row],[Date]]="","",IF(tblDefects[[#This Row],[Cost per occurrence]]="","",tblDefects[[#This Row],[Count]]*tblDefects[[#This Row],[Cost per occurrence]]))</f>
        <v>2.4</v>
      </c>
      <c r="H261" s="40">
        <f>IF(tblDefects[[#This Row],[Date]]="","",IF(AND(tblDefects[[#This Row],[Date]]&gt;=FFrom,tblDefects[[#This Row],[Date]]&lt;=FTo,OR(DashArea="",tblDefects[[#This Row],[Area]]=DashArea)),tblDefects[[#This Row],[Date]],""))</f>
        <v>46297</v>
      </c>
      <c r="I261"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61" s="28" t="s">
        <v>114</v>
      </c>
    </row>
    <row r="262" spans="2:10">
      <c r="B262" s="37">
        <v>46297</v>
      </c>
      <c r="C262" s="28" t="s">
        <v>83</v>
      </c>
      <c r="D262" s="28" t="s">
        <v>99</v>
      </c>
      <c r="E262" s="38">
        <v>2</v>
      </c>
      <c r="F262" s="39">
        <f>IF(tblDefects[[#This Row],[Date]]="","",IFERROR(INDEX(tblCategories[Cost per occurrence],MATCH(tblDefects[[#This Row],[Category]],tblCategories[Category],0)),""))</f>
        <v>0.6</v>
      </c>
      <c r="G262" s="39">
        <f>IF(tblDefects[[#This Row],[Date]]="","",IF(tblDefects[[#This Row],[Cost per occurrence]]="","",tblDefects[[#This Row],[Count]]*tblDefects[[#This Row],[Cost per occurrence]]))</f>
        <v>1.2</v>
      </c>
      <c r="H262" s="40">
        <f>IF(tblDefects[[#This Row],[Date]]="","",IF(AND(tblDefects[[#This Row],[Date]]&gt;=FFrom,tblDefects[[#This Row],[Date]]&lt;=FTo,OR(DashArea="",tblDefects[[#This Row],[Area]]=DashArea)),tblDefects[[#This Row],[Date]],""))</f>
        <v>46297</v>
      </c>
      <c r="I262"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62" s="28" t="s">
        <v>114</v>
      </c>
    </row>
    <row r="263" spans="2:10">
      <c r="B263" s="37">
        <v>46297</v>
      </c>
      <c r="C263" s="28" t="s">
        <v>83</v>
      </c>
      <c r="D263" s="28" t="s">
        <v>87</v>
      </c>
      <c r="E263" s="38">
        <v>3</v>
      </c>
      <c r="F263" s="39">
        <f>IF(tblDefects[[#This Row],[Date]]="","",IFERROR(INDEX(tblCategories[Cost per occurrence],MATCH(tblDefects[[#This Row],[Category]],tblCategories[Category],0)),""))</f>
        <v>0.35</v>
      </c>
      <c r="G263" s="39">
        <f>IF(tblDefects[[#This Row],[Date]]="","",IF(tblDefects[[#This Row],[Cost per occurrence]]="","",tblDefects[[#This Row],[Count]]*tblDefects[[#This Row],[Cost per occurrence]]))</f>
        <v>1.05</v>
      </c>
      <c r="H263" s="40">
        <f>IF(tblDefects[[#This Row],[Date]]="","",IF(AND(tblDefects[[#This Row],[Date]]&gt;=FFrom,tblDefects[[#This Row],[Date]]&lt;=FTo,OR(DashArea="",tblDefects[[#This Row],[Area]]=DashArea)),tblDefects[[#This Row],[Date]],""))</f>
        <v>46297</v>
      </c>
      <c r="I263"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63" s="28" t="s">
        <v>114</v>
      </c>
    </row>
    <row r="264" spans="2:10">
      <c r="B264" s="37">
        <v>46297</v>
      </c>
      <c r="C264" s="28" t="s">
        <v>83</v>
      </c>
      <c r="D264" s="28" t="s">
        <v>103</v>
      </c>
      <c r="E264" s="38">
        <v>1</v>
      </c>
      <c r="F264" s="39">
        <f>IF(tblDefects[[#This Row],[Date]]="","",IFERROR(INDEX(tblCategories[Cost per occurrence],MATCH(tblDefects[[#This Row],[Category]],tblCategories[Category],0)),""))</f>
        <v>0.25</v>
      </c>
      <c r="G264" s="39">
        <f>IF(tblDefects[[#This Row],[Date]]="","",IF(tblDefects[[#This Row],[Cost per occurrence]]="","",tblDefects[[#This Row],[Count]]*tblDefects[[#This Row],[Cost per occurrence]]))</f>
        <v>0.25</v>
      </c>
      <c r="H264" s="40">
        <f>IF(tblDefects[[#This Row],[Date]]="","",IF(AND(tblDefects[[#This Row],[Date]]&gt;=FFrom,tblDefects[[#This Row],[Date]]&lt;=FTo,OR(DashArea="",tblDefects[[#This Row],[Area]]=DashArea)),tblDefects[[#This Row],[Date]],""))</f>
        <v>46297</v>
      </c>
      <c r="I264"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64" s="28" t="s">
        <v>114</v>
      </c>
    </row>
    <row r="265" spans="2:10">
      <c r="B265" s="37">
        <v>46297</v>
      </c>
      <c r="C265" s="28" t="s">
        <v>83</v>
      </c>
      <c r="D265" s="28" t="s">
        <v>101</v>
      </c>
      <c r="E265" s="38">
        <v>1</v>
      </c>
      <c r="F265" s="39">
        <f>IF(tblDefects[[#This Row],[Date]]="","",IFERROR(INDEX(tblCategories[Cost per occurrence],MATCH(tblDefects[[#This Row],[Category]],tblCategories[Category],0)),""))</f>
        <v>7.8</v>
      </c>
      <c r="G265" s="39">
        <f>IF(tblDefects[[#This Row],[Date]]="","",IF(tblDefects[[#This Row],[Cost per occurrence]]="","",tblDefects[[#This Row],[Count]]*tblDefects[[#This Row],[Cost per occurrence]]))</f>
        <v>7.8</v>
      </c>
      <c r="H265" s="40">
        <f>IF(tblDefects[[#This Row],[Date]]="","",IF(AND(tblDefects[[#This Row],[Date]]&gt;=FFrom,tblDefects[[#This Row],[Date]]&lt;=FTo,OR(DashArea="",tblDefects[[#This Row],[Area]]=DashArea)),tblDefects[[#This Row],[Date]],""))</f>
        <v>46297</v>
      </c>
      <c r="I265" s="41" t="str">
        <f>IF(tblDefects[[#This Row],[Date]]="","",IF(tblDefects[[#This Row],[Area]]="","Missing area",IF(tblDefects[[#This Row],[Category]]="","Missing category",IF(tblDefects[[#This Row],[Count]]="","Missing count",IF(tblDefects[[#This Row],[Cost per occurrence]]="","Category not on Setup list",IF(COUNTIFS(tblDefects[Date],tblDefects[[#This Row],[Date]],tblDefects[Area],tblDefects[[#This Row],[Area]],tblDefects[Category],tblDefects[[#This Row],[Category]])&gt;1,"Duplicate row: add the counts",IF(COUNTIFS(tblOutput[Date],tblDefects[[#This Row],[Date]])=0,"No Daily Output row","OK")))))))</f>
        <v>OK</v>
      </c>
      <c r="J265" s="28" t="s">
        <v>114</v>
      </c>
    </row>
  </sheetData>
  <mergeCells count="3">
    <mergeCell ref="A1:J1"/>
    <mergeCell ref="B2:I2"/>
    <mergeCell ref="B4:J4"/>
  </mergeCells>
  <conditionalFormatting sqref="I7:I765">
    <cfRule type="expression" dxfId="3" priority="1">
      <formula>$I7="OK"</formula>
    </cfRule>
    <cfRule type="expression" dxfId="1" priority="2">
      <formula>AND($I7&lt;&gt;"",$I7&lt;&gt;"OK")</formula>
    </cfRule>
  </conditionalFormatting>
  <dataValidations count="5">
    <dataValidation type="date" allowBlank="1" showInputMessage="1" showErrorMessage="1" errorTitle="Check this entry" error="Enter a date between 01 Jan 2000 and 31 Dec 2100." promptTitle="Date" prompt="Enter a date between 01 Jan 2000 and 31 Dec 2100." sqref="B7:B765">
      <formula1>36526</formula1>
      <formula2>73415</formula2>
    </dataValidation>
    <dataValidation type="list" allowBlank="1" showInputMessage="1" showErrorMessage="1" errorTitle="Check this entry" error="Pick from the list (edit the list on Setup: Areas)." promptTitle="Area" prompt="Pick from the list (edit the list on Setup: Areas)." sqref="C7:C765">
      <formula1>Areas</formula1>
    </dataValidation>
    <dataValidation type="list" allowBlank="1" showInputMessage="1" showErrorMessage="1" errorTitle="Check this entry" error="Pick from the list (edit the list on Setup: Categories)." promptTitle="Category" prompt="Pick from the list (edit the list on Setup: Categories)." sqref="D7:D765">
      <formula1>Categories</formula1>
    </dataValidation>
    <dataValidation type="whole" allowBlank="1" showInputMessage="1" showErrorMessage="1" errorTitle="Check this entry" error="Enter a whole number from 0 to 10,000,000." promptTitle="Count" prompt="Number found, not the number of parts inspected. Enter a whole number from 0 to 10,000,000." sqref="E7:E765">
      <formula1>0</formula1>
      <formula2>10000000</formula2>
    </dataValidation>
    <dataValidation type="textLength" allowBlank="1" showInputMessage="1" showErrorMessage="1" errorTitle="Check this entry" error="Text up to 255 characters." promptTitle="Notes" prompt="Text up to 255 characters." sqref="J7:J765">
      <formula1>0</formula1>
      <formula2>255</formula2>
    </dataValidation>
  </dataValidations>
  <hyperlinks>
    <hyperlink ref="J2" r:id="rId1" tooltip="Free manufacturing calculators and templates"/>
  </hyperlinks>
  <pageMargins left="0.4" right="0.4" top="0.7" bottom="0.65" header="0.3" footer="0.3"/>
  <pageSetup fitToHeight="0" orientation="landscape"/>
  <headerFooter>
    <oddHeader>&amp;L&amp;8MFG Calcs - Pareto Analysis&amp;R&amp;8&amp;A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3B64D8"/>
    <pageSetUpPr fitToPage="1"/>
  </sheetPr>
  <dimension ref="A1:G25"/>
  <sheetViews>
    <sheetView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2.7109375" customWidth="1"/>
    <col min="2" max="2" width="12.28515625" customWidth="1"/>
    <col min="3" max="3" width="12.7109375" customWidth="1"/>
    <col min="4" max="4" width="11.7109375" customWidth="1"/>
    <col min="5" max="5" width="9.7109375" customWidth="1"/>
    <col min="6" max="6" width="18.7109375" customWidth="1"/>
    <col min="7" max="7" width="30.7109375" customWidth="1"/>
  </cols>
  <sheetData>
    <row r="1" spans="1:7" ht="30" customHeight="1">
      <c r="A1" s="1" t="s">
        <v>0</v>
      </c>
      <c r="B1" s="1"/>
      <c r="C1" s="1"/>
      <c r="D1" s="1"/>
      <c r="E1" s="1"/>
      <c r="F1" s="1"/>
      <c r="G1" s="1"/>
    </row>
    <row r="2" spans="1:7" ht="32.4" customHeight="1">
      <c r="B2" s="2" t="s">
        <v>22</v>
      </c>
      <c r="C2" s="2"/>
      <c r="D2" s="2"/>
      <c r="E2" s="2"/>
      <c r="F2" s="2"/>
      <c r="G2" s="3" t="s">
        <v>2</v>
      </c>
    </row>
    <row r="3" spans="1:7" ht="6" customHeight="1"/>
    <row r="4" spans="1:7" ht="18" customHeight="1">
      <c r="B4" s="34" t="s">
        <v>119</v>
      </c>
      <c r="C4" s="34"/>
      <c r="D4" s="34"/>
      <c r="E4" s="34"/>
      <c r="F4" s="34"/>
      <c r="G4" s="34"/>
    </row>
    <row r="5" spans="1:7" ht="32" customHeight="1">
      <c r="B5" s="32" t="s">
        <v>107</v>
      </c>
      <c r="C5" s="32" t="s">
        <v>116</v>
      </c>
      <c r="D5" s="32" t="s">
        <v>117</v>
      </c>
      <c r="E5" s="32" t="s">
        <v>118</v>
      </c>
      <c r="F5" s="32" t="s">
        <v>111</v>
      </c>
      <c r="G5" s="32" t="s">
        <v>112</v>
      </c>
    </row>
    <row r="6" spans="1:7">
      <c r="B6" s="37">
        <v>46272</v>
      </c>
      <c r="C6" s="38">
        <v>2770</v>
      </c>
      <c r="D6" s="42">
        <f>IF(tblOutput[[#This Row],[Date]]="","",SUMIFS(tblDefects[Count],tblDefects[Date],tblOutput[[#This Row],[Date]]))</f>
        <v>54</v>
      </c>
      <c r="E6" s="43">
        <f>IF(tblOutput[[#This Row],[Date]]="","",IF(tblOutput[[#This Row],[Units inspected]]&gt;0,tblOutput[[#This Row],[Defects logged]]/tblOutput[[#This Row],[Units inspected]],""))</f>
        <v>0.0194945848375451</v>
      </c>
      <c r="F6" s="41" t="str">
        <f>IF(tblOutput[[#This Row],[Date]]="","",IF(tblOutput[[#This Row],[Units inspected]]="","Missing units inspected",IF(COUNTIFS(tblOutput[Date],tblOutput[[#This Row],[Date]])&gt;1,"Duplicate date","OK")))</f>
        <v>OK</v>
      </c>
      <c r="G6" s="33" t="s">
        <v>114</v>
      </c>
    </row>
    <row r="7" spans="1:7">
      <c r="B7" s="37">
        <v>46273</v>
      </c>
      <c r="C7" s="38">
        <v>2490</v>
      </c>
      <c r="D7" s="42">
        <f>IF(tblOutput[[#This Row],[Date]]="","",SUMIFS(tblDefects[Count],tblDefects[Date],tblOutput[[#This Row],[Date]]))</f>
        <v>77</v>
      </c>
      <c r="E7" s="43">
        <f>IF(tblOutput[[#This Row],[Date]]="","",IF(tblOutput[[#This Row],[Units inspected]]&gt;0,tblOutput[[#This Row],[Defects logged]]/tblOutput[[#This Row],[Units inspected]],""))</f>
        <v>0.0309236947791165</v>
      </c>
      <c r="F7" s="41" t="str">
        <f>IF(tblOutput[[#This Row],[Date]]="","",IF(tblOutput[[#This Row],[Units inspected]]="","Missing units inspected",IF(COUNTIFS(tblOutput[Date],tblOutput[[#This Row],[Date]])&gt;1,"Duplicate date","OK")))</f>
        <v>OK</v>
      </c>
      <c r="G7" s="33" t="s">
        <v>114</v>
      </c>
    </row>
    <row r="8" spans="1:7">
      <c r="B8" s="37">
        <v>46274</v>
      </c>
      <c r="C8" s="38">
        <v>2740</v>
      </c>
      <c r="D8" s="42">
        <f>IF(tblOutput[[#This Row],[Date]]="","",SUMIFS(tblDefects[Count],tblDefects[Date],tblOutput[[#This Row],[Date]]))</f>
        <v>72</v>
      </c>
      <c r="E8" s="43">
        <f>IF(tblOutput[[#This Row],[Date]]="","",IF(tblOutput[[#This Row],[Units inspected]]&gt;0,tblOutput[[#This Row],[Defects logged]]/tblOutput[[#This Row],[Units inspected]],""))</f>
        <v>0.0262773722627737</v>
      </c>
      <c r="F8" s="41" t="str">
        <f>IF(tblOutput[[#This Row],[Date]]="","",IF(tblOutput[[#This Row],[Units inspected]]="","Missing units inspected",IF(COUNTIFS(tblOutput[Date],tblOutput[[#This Row],[Date]])&gt;1,"Duplicate date","OK")))</f>
        <v>OK</v>
      </c>
      <c r="G8" s="33" t="s">
        <v>114</v>
      </c>
    </row>
    <row r="9" spans="1:7">
      <c r="B9" s="37">
        <v>46275</v>
      </c>
      <c r="C9" s="38">
        <v>3010</v>
      </c>
      <c r="D9" s="42">
        <f>IF(tblOutput[[#This Row],[Date]]="","",SUMIFS(tblDefects[Count],tblDefects[Date],tblOutput[[#This Row],[Date]]))</f>
        <v>79</v>
      </c>
      <c r="E9" s="43">
        <f>IF(tblOutput[[#This Row],[Date]]="","",IF(tblOutput[[#This Row],[Units inspected]]&gt;0,tblOutput[[#This Row],[Defects logged]]/tblOutput[[#This Row],[Units inspected]],""))</f>
        <v>0.0262458471760797</v>
      </c>
      <c r="F9" s="41" t="str">
        <f>IF(tblOutput[[#This Row],[Date]]="","",IF(tblOutput[[#This Row],[Units inspected]]="","Missing units inspected",IF(COUNTIFS(tblOutput[Date],tblOutput[[#This Row],[Date]])&gt;1,"Duplicate date","OK")))</f>
        <v>OK</v>
      </c>
      <c r="G9" s="33" t="s">
        <v>114</v>
      </c>
    </row>
    <row r="10" spans="1:7">
      <c r="B10" s="37">
        <v>46276</v>
      </c>
      <c r="C10" s="38">
        <v>3190</v>
      </c>
      <c r="D10" s="42">
        <f>IF(tblOutput[[#This Row],[Date]]="","",SUMIFS(tblDefects[Count],tblDefects[Date],tblOutput[[#This Row],[Date]]))</f>
        <v>87</v>
      </c>
      <c r="E10" s="43">
        <f>IF(tblOutput[[#This Row],[Date]]="","",IF(tblOutput[[#This Row],[Units inspected]]&gt;0,tblOutput[[#This Row],[Defects logged]]/tblOutput[[#This Row],[Units inspected]],""))</f>
        <v>0.0272727272727273</v>
      </c>
      <c r="F10" s="41" t="str">
        <f>IF(tblOutput[[#This Row],[Date]]="","",IF(tblOutput[[#This Row],[Units inspected]]="","Missing units inspected",IF(COUNTIFS(tblOutput[Date],tblOutput[[#This Row],[Date]])&gt;1,"Duplicate date","OK")))</f>
        <v>OK</v>
      </c>
      <c r="G10" s="33" t="s">
        <v>114</v>
      </c>
    </row>
    <row r="11" spans="1:7">
      <c r="B11" s="37">
        <v>46279</v>
      </c>
      <c r="C11" s="38">
        <v>2420</v>
      </c>
      <c r="D11" s="42">
        <f>IF(tblOutput[[#This Row],[Date]]="","",SUMIFS(tblDefects[Count],tblDefects[Date],tblOutput[[#This Row],[Date]]))</f>
        <v>62</v>
      </c>
      <c r="E11" s="43">
        <f>IF(tblOutput[[#This Row],[Date]]="","",IF(tblOutput[[#This Row],[Units inspected]]&gt;0,tblOutput[[#This Row],[Defects logged]]/tblOutput[[#This Row],[Units inspected]],""))</f>
        <v>0.0256198347107438</v>
      </c>
      <c r="F11" s="41" t="str">
        <f>IF(tblOutput[[#This Row],[Date]]="","",IF(tblOutput[[#This Row],[Units inspected]]="","Missing units inspected",IF(COUNTIFS(tblOutput[Date],tblOutput[[#This Row],[Date]])&gt;1,"Duplicate date","OK")))</f>
        <v>OK</v>
      </c>
      <c r="G11" s="33" t="s">
        <v>114</v>
      </c>
    </row>
    <row r="12" spans="1:7">
      <c r="B12" s="37">
        <v>46280</v>
      </c>
      <c r="C12" s="38">
        <v>2470</v>
      </c>
      <c r="D12" s="42">
        <f>IF(tblOutput[[#This Row],[Date]]="","",SUMIFS(tblDefects[Count],tblDefects[Date],tblOutput[[#This Row],[Date]]))</f>
        <v>75</v>
      </c>
      <c r="E12" s="43">
        <f>IF(tblOutput[[#This Row],[Date]]="","",IF(tblOutput[[#This Row],[Units inspected]]&gt;0,tblOutput[[#This Row],[Defects logged]]/tblOutput[[#This Row],[Units inspected]],""))</f>
        <v>0.0303643724696356</v>
      </c>
      <c r="F12" s="41" t="str">
        <f>IF(tblOutput[[#This Row],[Date]]="","",IF(tblOutput[[#This Row],[Units inspected]]="","Missing units inspected",IF(COUNTIFS(tblOutput[Date],tblOutput[[#This Row],[Date]])&gt;1,"Duplicate date","OK")))</f>
        <v>OK</v>
      </c>
      <c r="G12" s="33" t="s">
        <v>114</v>
      </c>
    </row>
    <row r="13" spans="1:7">
      <c r="B13" s="37">
        <v>46281</v>
      </c>
      <c r="C13" s="38">
        <v>2430</v>
      </c>
      <c r="D13" s="42">
        <f>IF(tblOutput[[#This Row],[Date]]="","",SUMIFS(tblDefects[Count],tblDefects[Date],tblOutput[[#This Row],[Date]]))</f>
        <v>79</v>
      </c>
      <c r="E13" s="43">
        <f>IF(tblOutput[[#This Row],[Date]]="","",IF(tblOutput[[#This Row],[Units inspected]]&gt;0,tblOutput[[#This Row],[Defects logged]]/tblOutput[[#This Row],[Units inspected]],""))</f>
        <v>0.0325102880658436</v>
      </c>
      <c r="F13" s="41" t="str">
        <f>IF(tblOutput[[#This Row],[Date]]="","",IF(tblOutput[[#This Row],[Units inspected]]="","Missing units inspected",IF(COUNTIFS(tblOutput[Date],tblOutput[[#This Row],[Date]])&gt;1,"Duplicate date","OK")))</f>
        <v>OK</v>
      </c>
      <c r="G13" s="33" t="s">
        <v>114</v>
      </c>
    </row>
    <row r="14" spans="1:7">
      <c r="B14" s="37">
        <v>46282</v>
      </c>
      <c r="C14" s="38">
        <v>2560</v>
      </c>
      <c r="D14" s="42">
        <f>IF(tblOutput[[#This Row],[Date]]="","",SUMIFS(tblDefects[Count],tblDefects[Date],tblOutput[[#This Row],[Date]]))</f>
        <v>84</v>
      </c>
      <c r="E14" s="43">
        <f>IF(tblOutput[[#This Row],[Date]]="","",IF(tblOutput[[#This Row],[Units inspected]]&gt;0,tblOutput[[#This Row],[Defects logged]]/tblOutput[[#This Row],[Units inspected]],""))</f>
        <v>0.0328125</v>
      </c>
      <c r="F14" s="41" t="str">
        <f>IF(tblOutput[[#This Row],[Date]]="","",IF(tblOutput[[#This Row],[Units inspected]]="","Missing units inspected",IF(COUNTIFS(tblOutput[Date],tblOutput[[#This Row],[Date]])&gt;1,"Duplicate date","OK")))</f>
        <v>OK</v>
      </c>
      <c r="G14" s="33" t="s">
        <v>114</v>
      </c>
    </row>
    <row r="15" spans="1:7">
      <c r="B15" s="37">
        <v>46283</v>
      </c>
      <c r="C15" s="38">
        <v>2870</v>
      </c>
      <c r="D15" s="42">
        <f>IF(tblOutput[[#This Row],[Date]]="","",SUMIFS(tblDefects[Count],tblDefects[Date],tblOutput[[#This Row],[Date]]))</f>
        <v>88</v>
      </c>
      <c r="E15" s="43">
        <f>IF(tblOutput[[#This Row],[Date]]="","",IF(tblOutput[[#This Row],[Units inspected]]&gt;0,tblOutput[[#This Row],[Defects logged]]/tblOutput[[#This Row],[Units inspected]],""))</f>
        <v>0.0306620209059233</v>
      </c>
      <c r="F15" s="41" t="str">
        <f>IF(tblOutput[[#This Row],[Date]]="","",IF(tblOutput[[#This Row],[Units inspected]]="","Missing units inspected",IF(COUNTIFS(tblOutput[Date],tblOutput[[#This Row],[Date]])&gt;1,"Duplicate date","OK")))</f>
        <v>OK</v>
      </c>
      <c r="G15" s="33" t="s">
        <v>114</v>
      </c>
    </row>
    <row r="16" spans="1:7">
      <c r="B16" s="37">
        <v>46286</v>
      </c>
      <c r="C16" s="38">
        <v>2830</v>
      </c>
      <c r="D16" s="42">
        <f>IF(tblOutput[[#This Row],[Date]]="","",SUMIFS(tblDefects[Count],tblDefects[Date],tblOutput[[#This Row],[Date]]))</f>
        <v>89</v>
      </c>
      <c r="E16" s="43">
        <f>IF(tblOutput[[#This Row],[Date]]="","",IF(tblOutput[[#This Row],[Units inspected]]&gt;0,tblOutput[[#This Row],[Defects logged]]/tblOutput[[#This Row],[Units inspected]],""))</f>
        <v>0.0314487632508834</v>
      </c>
      <c r="F16" s="41" t="str">
        <f>IF(tblOutput[[#This Row],[Date]]="","",IF(tblOutput[[#This Row],[Units inspected]]="","Missing units inspected",IF(COUNTIFS(tblOutput[Date],tblOutput[[#This Row],[Date]])&gt;1,"Duplicate date","OK")))</f>
        <v>OK</v>
      </c>
      <c r="G16" s="33" t="s">
        <v>114</v>
      </c>
    </row>
    <row r="17" spans="2:7">
      <c r="B17" s="37">
        <v>46287</v>
      </c>
      <c r="C17" s="38">
        <v>2840</v>
      </c>
      <c r="D17" s="42">
        <f>IF(tblOutput[[#This Row],[Date]]="","",SUMIFS(tblDefects[Count],tblDefects[Date],tblOutput[[#This Row],[Date]]))</f>
        <v>115</v>
      </c>
      <c r="E17" s="43">
        <f>IF(tblOutput[[#This Row],[Date]]="","",IF(tblOutput[[#This Row],[Units inspected]]&gt;0,tblOutput[[#This Row],[Defects logged]]/tblOutput[[#This Row],[Units inspected]],""))</f>
        <v>0.0404929577464789</v>
      </c>
      <c r="F17" s="41" t="str">
        <f>IF(tblOutput[[#This Row],[Date]]="","",IF(tblOutput[[#This Row],[Units inspected]]="","Missing units inspected",IF(COUNTIFS(tblOutput[Date],tblOutput[[#This Row],[Date]])&gt;1,"Duplicate date","OK")))</f>
        <v>OK</v>
      </c>
      <c r="G17" s="33" t="s">
        <v>114</v>
      </c>
    </row>
    <row r="18" spans="2:7">
      <c r="B18" s="37">
        <v>46288</v>
      </c>
      <c r="C18" s="38">
        <v>2970</v>
      </c>
      <c r="D18" s="42">
        <f>IF(tblOutput[[#This Row],[Date]]="","",SUMIFS(tblDefects[Count],tblDefects[Date],tblOutput[[#This Row],[Date]]))</f>
        <v>102</v>
      </c>
      <c r="E18" s="43">
        <f>IF(tblOutput[[#This Row],[Date]]="","",IF(tblOutput[[#This Row],[Units inspected]]&gt;0,tblOutput[[#This Row],[Defects logged]]/tblOutput[[#This Row],[Units inspected]],""))</f>
        <v>0.0343434343434343</v>
      </c>
      <c r="F18" s="41" t="str">
        <f>IF(tblOutput[[#This Row],[Date]]="","",IF(tblOutput[[#This Row],[Units inspected]]="","Missing units inspected",IF(COUNTIFS(tblOutput[Date],tblOutput[[#This Row],[Date]])&gt;1,"Duplicate date","OK")))</f>
        <v>OK</v>
      </c>
      <c r="G18" s="33" t="s">
        <v>114</v>
      </c>
    </row>
    <row r="19" spans="2:7">
      <c r="B19" s="37">
        <v>46289</v>
      </c>
      <c r="C19" s="38">
        <v>2410</v>
      </c>
      <c r="D19" s="42">
        <f>IF(tblOutput[[#This Row],[Date]]="","",SUMIFS(tblDefects[Count],tblDefects[Date],tblOutput[[#This Row],[Date]]))</f>
        <v>87</v>
      </c>
      <c r="E19" s="43">
        <f>IF(tblOutput[[#This Row],[Date]]="","",IF(tblOutput[[#This Row],[Units inspected]]&gt;0,tblOutput[[#This Row],[Defects logged]]/tblOutput[[#This Row],[Units inspected]],""))</f>
        <v>0.0360995850622407</v>
      </c>
      <c r="F19" s="41" t="str">
        <f>IF(tblOutput[[#This Row],[Date]]="","",IF(tblOutput[[#This Row],[Units inspected]]="","Missing units inspected",IF(COUNTIFS(tblOutput[Date],tblOutput[[#This Row],[Date]])&gt;1,"Duplicate date","OK")))</f>
        <v>OK</v>
      </c>
      <c r="G19" s="33" t="s">
        <v>114</v>
      </c>
    </row>
    <row r="20" spans="2:7">
      <c r="B20" s="37">
        <v>46290</v>
      </c>
      <c r="C20" s="38">
        <v>3250</v>
      </c>
      <c r="D20" s="42">
        <f>IF(tblOutput[[#This Row],[Date]]="","",SUMIFS(tblDefects[Count],tblDefects[Date],tblOutput[[#This Row],[Date]]))</f>
        <v>99</v>
      </c>
      <c r="E20" s="43">
        <f>IF(tblOutput[[#This Row],[Date]]="","",IF(tblOutput[[#This Row],[Units inspected]]&gt;0,tblOutput[[#This Row],[Defects logged]]/tblOutput[[#This Row],[Units inspected]],""))</f>
        <v>0.0304615384615385</v>
      </c>
      <c r="F20" s="41" t="str">
        <f>IF(tblOutput[[#This Row],[Date]]="","",IF(tblOutput[[#This Row],[Units inspected]]="","Missing units inspected",IF(COUNTIFS(tblOutput[Date],tblOutput[[#This Row],[Date]])&gt;1,"Duplicate date","OK")))</f>
        <v>OK</v>
      </c>
      <c r="G20" s="33" t="s">
        <v>114</v>
      </c>
    </row>
    <row r="21" spans="2:7">
      <c r="B21" s="37">
        <v>46293</v>
      </c>
      <c r="C21" s="38">
        <v>2770</v>
      </c>
      <c r="D21" s="42">
        <f>IF(tblOutput[[#This Row],[Date]]="","",SUMIFS(tblDefects[Count],tblDefects[Date],tblOutput[[#This Row],[Date]]))</f>
        <v>82</v>
      </c>
      <c r="E21" s="43">
        <f>IF(tblOutput[[#This Row],[Date]]="","",IF(tblOutput[[#This Row],[Units inspected]]&gt;0,tblOutput[[#This Row],[Defects logged]]/tblOutput[[#This Row],[Units inspected]],""))</f>
        <v>0.0296028880866426</v>
      </c>
      <c r="F21" s="41" t="str">
        <f>IF(tblOutput[[#This Row],[Date]]="","",IF(tblOutput[[#This Row],[Units inspected]]="","Missing units inspected",IF(COUNTIFS(tblOutput[Date],tblOutput[[#This Row],[Date]])&gt;1,"Duplicate date","OK")))</f>
        <v>OK</v>
      </c>
      <c r="G21" s="33" t="s">
        <v>114</v>
      </c>
    </row>
    <row r="22" spans="2:7">
      <c r="B22" s="37">
        <v>46294</v>
      </c>
      <c r="C22" s="38">
        <v>2660</v>
      </c>
      <c r="D22" s="42">
        <f>IF(tblOutput[[#This Row],[Date]]="","",SUMIFS(tblDefects[Count],tblDefects[Date],tblOutput[[#This Row],[Date]]))</f>
        <v>71</v>
      </c>
      <c r="E22" s="43">
        <f>IF(tblOutput[[#This Row],[Date]]="","",IF(tblOutput[[#This Row],[Units inspected]]&gt;0,tblOutput[[#This Row],[Defects logged]]/tblOutput[[#This Row],[Units inspected]],""))</f>
        <v>0.0266917293233083</v>
      </c>
      <c r="F22" s="41" t="str">
        <f>IF(tblOutput[[#This Row],[Date]]="","",IF(tblOutput[[#This Row],[Units inspected]]="","Missing units inspected",IF(COUNTIFS(tblOutput[Date],tblOutput[[#This Row],[Date]])&gt;1,"Duplicate date","OK")))</f>
        <v>OK</v>
      </c>
      <c r="G22" s="33" t="s">
        <v>114</v>
      </c>
    </row>
    <row r="23" spans="2:7">
      <c r="B23" s="37">
        <v>46295</v>
      </c>
      <c r="C23" s="38">
        <v>2830</v>
      </c>
      <c r="D23" s="42">
        <f>IF(tblOutput[[#This Row],[Date]]="","",SUMIFS(tblDefects[Count],tblDefects[Date],tblOutput[[#This Row],[Date]]))</f>
        <v>85</v>
      </c>
      <c r="E23" s="43">
        <f>IF(tblOutput[[#This Row],[Date]]="","",IF(tblOutput[[#This Row],[Units inspected]]&gt;0,tblOutput[[#This Row],[Defects logged]]/tblOutput[[#This Row],[Units inspected]],""))</f>
        <v>0.0300353356890459</v>
      </c>
      <c r="F23" s="41" t="str">
        <f>IF(tblOutput[[#This Row],[Date]]="","",IF(tblOutput[[#This Row],[Units inspected]]="","Missing units inspected",IF(COUNTIFS(tblOutput[Date],tblOutput[[#This Row],[Date]])&gt;1,"Duplicate date","OK")))</f>
        <v>OK</v>
      </c>
      <c r="G23" s="33" t="s">
        <v>114</v>
      </c>
    </row>
    <row r="24" spans="2:7">
      <c r="B24" s="37">
        <v>46296</v>
      </c>
      <c r="C24" s="38">
        <v>2660</v>
      </c>
      <c r="D24" s="42">
        <f>IF(tblOutput[[#This Row],[Date]]="","",SUMIFS(tblDefects[Count],tblDefects[Date],tblOutput[[#This Row],[Date]]))</f>
        <v>74</v>
      </c>
      <c r="E24" s="43">
        <f>IF(tblOutput[[#This Row],[Date]]="","",IF(tblOutput[[#This Row],[Units inspected]]&gt;0,tblOutput[[#This Row],[Defects logged]]/tblOutput[[#This Row],[Units inspected]],""))</f>
        <v>0.0278195488721805</v>
      </c>
      <c r="F24" s="41" t="str">
        <f>IF(tblOutput[[#This Row],[Date]]="","",IF(tblOutput[[#This Row],[Units inspected]]="","Missing units inspected",IF(COUNTIFS(tblOutput[Date],tblOutput[[#This Row],[Date]])&gt;1,"Duplicate date","OK")))</f>
        <v>OK</v>
      </c>
      <c r="G24" s="33" t="s">
        <v>114</v>
      </c>
    </row>
    <row r="25" spans="2:7">
      <c r="B25" s="37">
        <v>46297</v>
      </c>
      <c r="C25" s="38">
        <v>3120</v>
      </c>
      <c r="D25" s="42">
        <f>IF(tblOutput[[#This Row],[Date]]="","",SUMIFS(tblDefects[Count],tblDefects[Date],tblOutput[[#This Row],[Date]]))</f>
        <v>89</v>
      </c>
      <c r="E25" s="43">
        <f>IF(tblOutput[[#This Row],[Date]]="","",IF(tblOutput[[#This Row],[Units inspected]]&gt;0,tblOutput[[#This Row],[Defects logged]]/tblOutput[[#This Row],[Units inspected]],""))</f>
        <v>0.028525641025641</v>
      </c>
      <c r="F25" s="41" t="str">
        <f>IF(tblOutput[[#This Row],[Date]]="","",IF(tblOutput[[#This Row],[Units inspected]]="","Missing units inspected",IF(COUNTIFS(tblOutput[Date],tblOutput[[#This Row],[Date]])&gt;1,"Duplicate date","OK")))</f>
        <v>OK</v>
      </c>
      <c r="G25" s="33" t="s">
        <v>114</v>
      </c>
    </row>
  </sheetData>
  <mergeCells count="3">
    <mergeCell ref="A1:G1"/>
    <mergeCell ref="B2:F2"/>
    <mergeCell ref="B4:G4"/>
  </mergeCells>
  <conditionalFormatting sqref="E6:E525">
    <cfRule type="expression" dxfId="3" priority="1" stopIfTrue="1">
      <formula>AND(ISNUMBER(E6),E6&lt;=(TargetDpu))</formula>
    </cfRule>
    <cfRule type="expression" dxfId="4" priority="2" stopIfTrue="1">
      <formula>AND(ISNUMBER(E6),E6&lt;=(TargetDpu)*(1+0.05))</formula>
    </cfRule>
    <cfRule type="expression" dxfId="5" priority="3">
      <formula>ISNUMBER(E6)</formula>
    </cfRule>
  </conditionalFormatting>
  <conditionalFormatting sqref="F6:F525">
    <cfRule type="expression" dxfId="3" priority="4">
      <formula>$F6="OK"</formula>
    </cfRule>
    <cfRule type="expression" dxfId="1" priority="5">
      <formula>AND($F6&lt;&gt;"",$F6&lt;&gt;"OK")</formula>
    </cfRule>
  </conditionalFormatting>
  <dataValidations count="3">
    <dataValidation type="date" allowBlank="1" showInputMessage="1" showErrorMessage="1" errorTitle="Check this entry" error="Enter a date between 01 Jan 2000 and 31 Dec 2100." promptTitle="Date" prompt="Enter a date between 01 Jan 2000 and 31 Dec 2100." sqref="B6:B525">
      <formula1>36526</formula1>
      <formula2>73415</formula2>
    </dataValidation>
    <dataValidation type="whole" allowBlank="1" showInputMessage="1" showErrorMessage="1" errorTitle="Check this entry" error="Enter a whole number from 0 to 100,000,000." promptTitle="Units inspected" prompt="Units that passed through inspection that day, all areas together. Enter a whole number from 0 to 100,000,000." sqref="C6:C525">
      <formula1>0</formula1>
      <formula2>100000000</formula2>
    </dataValidation>
    <dataValidation type="textLength" allowBlank="1" showInputMessage="1" showErrorMessage="1" errorTitle="Check this entry" error="Text up to 255 characters." promptTitle="Notes" prompt="Text up to 255 characters." sqref="G6:G525">
      <formula1>0</formula1>
      <formula2>255</formula2>
    </dataValidation>
  </dataValidations>
  <hyperlinks>
    <hyperlink ref="G2" r:id="rId1" tooltip="Free manufacturing calculators and templates"/>
  </hyperlinks>
  <pageMargins left="0.4" right="0.4" top="0.7" bottom="0.65" header="0.3" footer="0.3"/>
  <pageSetup fitToHeight="0" orientation="portrait"/>
  <headerFooter>
    <oddHeader>&amp;L&amp;8MFG Calcs - Pareto Analysis&amp;R&amp;8&amp;A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U94"/>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 min="45" max="47"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24</v>
      </c>
      <c r="C2" s="2"/>
      <c r="D2" s="2"/>
      <c r="E2" s="2"/>
      <c r="F2" s="2"/>
      <c r="G2" s="2"/>
      <c r="H2" s="2"/>
      <c r="I2" s="2"/>
      <c r="J2" s="2"/>
      <c r="K2" s="3" t="s">
        <v>2</v>
      </c>
      <c r="L2" s="3"/>
    </row>
    <row r="3" spans="1:12" ht="6" customHeight="1" x14ac:dyDescent="0.25"/>
    <row r="4" spans="1:12" x14ac:dyDescent="0.25">
      <c r="B4" s="27" t="s">
        <v>62</v>
      </c>
      <c r="C4" s="28"/>
      <c r="D4" s="28"/>
      <c r="F4" s="27" t="s">
        <v>120</v>
      </c>
      <c r="G4" s="44"/>
      <c r="H4" s="44"/>
      <c r="J4" s="27" t="s">
        <v>121</v>
      </c>
      <c r="K4" s="44"/>
      <c r="L4" s="44"/>
    </row>
    <row r="5" spans="1:12" x14ac:dyDescent="0.25">
      <c r="B5" s="45" t="str">
        <f>"Showing "&amp;COUNTIFS(tblDefects[View date],"&gt;0")&amp;" tally rows at "&amp;PlantName&amp;". Leave the filters blank to include everything; dates are inclusive."</f>
        <v>Showing 259 tally rows at Linden Plastics (example). Leave the filters blank to include everything; dates are inclusive.</v>
      </c>
      <c r="C5" s="45"/>
      <c r="D5" s="45"/>
      <c r="E5" s="45"/>
      <c r="F5" s="45"/>
      <c r="G5" s="45"/>
      <c r="H5" s="45"/>
      <c r="I5" s="45"/>
      <c r="J5" s="45"/>
      <c r="K5" s="45"/>
      <c r="L5" s="45"/>
    </row>
    <row r="7" spans="1:12" ht="18" customHeight="1" x14ac:dyDescent="0.25">
      <c r="B7" s="46" t="s">
        <v>122</v>
      </c>
      <c r="C7" s="46"/>
      <c r="D7" s="46" t="str">
        <f>"DEFECT COST ("&amp;Currency&amp;", EST.)"</f>
        <v>DEFECT COST (USD, EST.)</v>
      </c>
      <c r="E7" s="46"/>
      <c r="F7" s="46"/>
      <c r="G7" s="46" t="s">
        <v>123</v>
      </c>
      <c r="H7" s="46"/>
      <c r="I7" s="46"/>
      <c r="J7" s="46" t="s">
        <v>124</v>
      </c>
      <c r="K7" s="46"/>
      <c r="L7" s="46"/>
    </row>
    <row r="8" spans="1:12" ht="21" customHeight="1" x14ac:dyDescent="0.25">
      <c r="B8" s="47">
        <f>SUMIFS(tblDefects[Count],tblDefects[View date],"&gt;0")</f>
        <v>1650</v>
      </c>
      <c r="C8" s="47"/>
      <c r="D8" s="47">
        <f>SUMIFS(tblDefects[Cost],tblDefects[View date],"&gt;0")</f>
        <v>1929.4</v>
      </c>
      <c r="E8" s="47"/>
      <c r="F8" s="47"/>
      <c r="G8" s="47">
        <f>IF(N($E$59)=0,"",MIN(COUNTIF($E$49:$E$58,"&gt;0"),COUNTIF($G$49:$G$58,"&lt;"&amp;CutOff-0.000000001)+1))</f>
        <v>5</v>
      </c>
      <c r="H8" s="47"/>
      <c r="I8" s="47"/>
      <c r="J8" s="48" t="str">
        <f>IF(N($E$59)=0,"None logged",INDEX($C$49:$C$58,1)&amp;" | "&amp;INDEX($C$64:$C$73,1))</f>
        <v>Flash | Missing insert</v>
      </c>
      <c r="K8" s="48"/>
      <c r="L8" s="48"/>
    </row>
    <row r="9" spans="1:12" ht="21" customHeight="1" x14ac:dyDescent="0.25">
      <c r="B9" s="47"/>
      <c r="C9" s="47"/>
      <c r="D9" s="47"/>
      <c r="E9" s="47"/>
      <c r="F9" s="47"/>
      <c r="G9" s="47"/>
      <c r="H9" s="47"/>
      <c r="I9" s="47"/>
      <c r="J9" s="48"/>
      <c r="K9" s="48"/>
      <c r="L9" s="48"/>
    </row>
    <row r="10" spans="1:12" x14ac:dyDescent="0.25">
      <c r="B10" s="49" t="str">
        <f>"DPU "&amp;FIXED(IF((SUMIFS(tblOutput[Units inspected],tblOutput[Date],"&gt;="&amp;FFrom,tblOutput[Date],"&lt;="&amp;FTo))=0,"",(SUMIFS(tblDefects[Count],tblDefects[View date],"&gt;0"))/(SUMIFS(tblOutput[Units inspected],tblOutput[Date],"&gt;="&amp;FFrom,tblOutput[Date],"&lt;="&amp;FTo))),3,TRUE)&amp;" defects per unit inspected"</f>
        <v>DPU 0.030 defects per unit inspected</v>
      </c>
      <c r="C10" s="49"/>
      <c r="D10" s="49" t="s">
        <v>125</v>
      </c>
      <c r="E10" s="49"/>
      <c r="F10" s="49"/>
      <c r="G10" s="49" t="str">
        <f>"categories reach "&amp;FIXED(CutOff*100,0)&amp;"% of defects"</f>
        <v>categories reach 80% of defects</v>
      </c>
      <c r="H10" s="49"/>
      <c r="I10" s="49"/>
      <c r="J10" s="49" t="s">
        <v>126</v>
      </c>
      <c r="K10" s="49"/>
      <c r="L10" s="49"/>
    </row>
    <row r="11" spans="1:12" ht="18" customHeight="1" x14ac:dyDescent="0.25">
      <c r="B11" s="50"/>
      <c r="C11" s="50"/>
      <c r="D11" s="50"/>
      <c r="E11" s="50"/>
      <c r="F11" s="50"/>
      <c r="G11" s="50"/>
      <c r="H11" s="50"/>
      <c r="I11" s="50"/>
      <c r="J11" s="50"/>
      <c r="K11" s="50"/>
      <c r="L11" s="50"/>
    </row>
    <row r="46" spans="2:43" x14ac:dyDescent="0.25">
      <c r="B46" s="31" t="s">
        <v>127</v>
      </c>
      <c r="C46" s="31"/>
      <c r="D46" s="31"/>
      <c r="E46" s="31"/>
      <c r="F46" s="31"/>
      <c r="G46" s="31"/>
    </row>
    <row r="47" spans="2:43" ht="20" customHeight="1" x14ac:dyDescent="0.25">
      <c r="B47" s="32" t="s">
        <v>128</v>
      </c>
      <c r="C47" s="51" t="s">
        <v>64</v>
      </c>
      <c r="D47" s="51"/>
      <c r="E47" s="32" t="s">
        <v>108</v>
      </c>
      <c r="F47" s="32" t="s">
        <v>129</v>
      </c>
      <c r="G47" s="32" t="s">
        <v>130</v>
      </c>
      <c r="AO47" s="7" t="s">
        <v>131</v>
      </c>
      <c r="AP47" s="7" t="s">
        <v>132</v>
      </c>
      <c r="AQ47" s="7" t="s">
        <v>133</v>
      </c>
    </row>
    <row r="48" spans="2:43" x14ac:dyDescent="0.25">
      <c r="B48" s="35"/>
      <c r="C48" s="35"/>
      <c r="D48" s="35"/>
      <c r="E48" s="35" t="s">
        <v>134</v>
      </c>
      <c r="F48" s="35" t="s">
        <v>135</v>
      </c>
      <c r="G48" s="35" t="s">
        <v>135</v>
      </c>
    </row>
    <row r="49" spans="2:47" x14ac:dyDescent="0.25">
      <c r="B49" s="52">
        <v>1</v>
      </c>
      <c r="C49" s="53" t="str">
        <f>IF(INDEX($AP$49:$AP$58,MATCH(1,$AQ$49:$AQ$58,0))&lt;0,"",INDEX($AO$49:$AO$58,MATCH(1,$AQ$49:$AQ$58,0)))</f>
        <v>Flash</v>
      </c>
      <c r="D49" s="53"/>
      <c r="E49" s="42">
        <f>IF($C$49="","",INDEX($AP$49:$AP$58,MATCH(1,$AQ$49:$AQ$58,0)))</f>
        <v>567</v>
      </c>
      <c r="F49" s="54">
        <f>IF(OR($C$49="",$E$59=0),"",$E$49/$E$59)</f>
        <v>0.343636363636364</v>
      </c>
      <c r="G49" s="54">
        <f>IF(OR($C$49="",$E$59=0),"",SUM($E$49:$E$49)/$E$59)</f>
        <v>0.343636363636364</v>
      </c>
      <c r="AO49" s="11" t="str">
        <f>IFERROR(INDEX(tblCategories[Category],1)&amp;"","")</f>
        <v>Flash</v>
      </c>
      <c r="AP49" s="55">
        <f>IF($AO$49="",-1,SUMIFS(tblDefects[Count],tblDefects[Category],$AO$49,tblDefects[View date],"&gt;0"))</f>
        <v>567</v>
      </c>
      <c r="AQ49" s="55">
        <f>COUNTIF($AP$49:$AP$58,"&gt;"&amp;$AP$49)+COUNTIF($AP$49:$AP$49,$AP$49)</f>
        <v>1</v>
      </c>
    </row>
    <row r="50" spans="2:47" x14ac:dyDescent="0.25">
      <c r="B50" s="52">
        <v>2</v>
      </c>
      <c r="C50" s="53" t="str">
        <f>IF(INDEX($AP$49:$AP$58,MATCH(2,$AQ$49:$AQ$58,0))&lt;0,"",INDEX($AO$49:$AO$58,MATCH(2,$AQ$49:$AQ$58,0)))</f>
        <v>Short shot</v>
      </c>
      <c r="D50" s="53"/>
      <c r="E50" s="42">
        <f>IF($C$50="","",INDEX($AP$49:$AP$58,MATCH(2,$AQ$49:$AQ$58,0)))</f>
        <v>389</v>
      </c>
      <c r="F50" s="54">
        <f>IF(OR($C$50="",$E$59=0),"",$E$50/$E$59)</f>
        <v>0.235757575757576</v>
      </c>
      <c r="G50" s="54">
        <f>IF(OR($C$50="",$E$59=0),"",SUM($E$49:$E$50)/$E$59)</f>
        <v>0.579393939393939</v>
      </c>
      <c r="AO50" s="11" t="str">
        <f>IFERROR(INDEX(tblCategories[Category],2)&amp;"","")</f>
        <v>Short shot</v>
      </c>
      <c r="AP50" s="55">
        <f>IF($AO$50="",-1,SUMIFS(tblDefects[Count],tblDefects[Category],$AO$50,tblDefects[View date],"&gt;0"))</f>
        <v>389</v>
      </c>
      <c r="AQ50" s="55">
        <f>COUNTIF($AP$49:$AP$58,"&gt;"&amp;$AP$50)+COUNTIF($AP$49:$AP$50,$AP$50)</f>
        <v>2</v>
      </c>
    </row>
    <row r="51" spans="2:47" x14ac:dyDescent="0.25">
      <c r="B51" s="52">
        <v>3</v>
      </c>
      <c r="C51" s="53" t="str">
        <f>IF(INDEX($AP$49:$AP$58,MATCH(3,$AQ$49:$AQ$58,0))&lt;0,"",INDEX($AO$49:$AO$58,MATCH(3,$AQ$49:$AQ$58,0)))</f>
        <v>Sink marks</v>
      </c>
      <c r="D51" s="53"/>
      <c r="E51" s="42">
        <f>IF($C$51="","",INDEX($AP$49:$AP$58,MATCH(3,$AQ$49:$AQ$58,0)))</f>
        <v>159</v>
      </c>
      <c r="F51" s="54">
        <f>IF(OR($C$51="",$E$59=0),"",$E$51/$E$59)</f>
        <v>0.0963636363636364</v>
      </c>
      <c r="G51" s="54">
        <f>IF(OR($C$51="",$E$59=0),"",SUM($E$49:$E$51)/$E$59)</f>
        <v>0.675757575757576</v>
      </c>
      <c r="AO51" s="11" t="str">
        <f>IFERROR(INDEX(tblCategories[Category],3)&amp;"","")</f>
        <v>Sink marks</v>
      </c>
      <c r="AP51" s="55">
        <f>IF($AO$51="",-1,SUMIFS(tblDefects[Count],tblDefects[Category],$AO$51,tblDefects[View date],"&gt;0"))</f>
        <v>159</v>
      </c>
      <c r="AQ51" s="55">
        <f>COUNTIF($AP$49:$AP$58,"&gt;"&amp;$AP$51)+COUNTIF($AP$49:$AP$51,$AP$51)</f>
        <v>3</v>
      </c>
    </row>
    <row r="52" spans="2:47" x14ac:dyDescent="0.25">
      <c r="B52" s="52">
        <v>4</v>
      </c>
      <c r="C52" s="53" t="str">
        <f>IF(INDEX($AP$49:$AP$58,MATCH(4,$AQ$49:$AQ$58,0))&lt;0,"",INDEX($AO$49:$AO$58,MATCH(4,$AQ$49:$AQ$58,0)))</f>
        <v>Scratches</v>
      </c>
      <c r="D52" s="53"/>
      <c r="E52" s="42">
        <f>IF($C$52="","",INDEX($AP$49:$AP$58,MATCH(4,$AQ$49:$AQ$58,0)))</f>
        <v>133</v>
      </c>
      <c r="F52" s="54">
        <f>IF(OR($C$52="",$E$59=0),"",$E$52/$E$59)</f>
        <v>0.0806060606060606</v>
      </c>
      <c r="G52" s="54">
        <f>IF(OR($C$52="",$E$59=0),"",SUM($E$49:$E$52)/$E$59)</f>
        <v>0.756363636363636</v>
      </c>
      <c r="AO52" s="11" t="str">
        <f>IFERROR(INDEX(tblCategories[Category],4)&amp;"","")</f>
        <v>Colour streaks</v>
      </c>
      <c r="AP52" s="55">
        <f>IF($AO$52="",-1,SUMIFS(tblDefects[Count],tblDefects[Category],$AO$52,tblDefects[View date],"&gt;0"))</f>
        <v>96</v>
      </c>
      <c r="AQ52" s="55">
        <f>COUNTIF($AP$49:$AP$58,"&gt;"&amp;$AP$52)+COUNTIF($AP$49:$AP$52,$AP$52)</f>
        <v>6</v>
      </c>
    </row>
    <row r="53" spans="2:47" x14ac:dyDescent="0.25">
      <c r="B53" s="52">
        <v>5</v>
      </c>
      <c r="C53" s="53" t="str">
        <f>IF(INDEX($AP$49:$AP$58,MATCH(5,$AQ$49:$AQ$58,0))&lt;0,"",INDEX($AO$49:$AO$58,MATCH(5,$AQ$49:$AQ$58,0)))</f>
        <v>Wrong label</v>
      </c>
      <c r="D53" s="53"/>
      <c r="E53" s="42">
        <f>IF($C$53="","",INDEX($AP$49:$AP$58,MATCH(5,$AQ$49:$AQ$58,0)))</f>
        <v>115</v>
      </c>
      <c r="F53" s="54">
        <f>IF(OR($C$53="",$E$59=0),"",$E$53/$E$59)</f>
        <v>0.0696969696969697</v>
      </c>
      <c r="G53" s="54">
        <f>IF(OR($C$53="",$E$59=0),"",SUM($E$49:$E$53)/$E$59)</f>
        <v>0.826060606060606</v>
      </c>
      <c r="AO53" s="11" t="str">
        <f>IFERROR(INDEX(tblCategories[Category],5)&amp;"","")</f>
        <v>Burn marks</v>
      </c>
      <c r="AP53" s="55">
        <f>IF($AO$53="",-1,SUMIFS(tblDefects[Count],tblDefects[Category],$AO$53,tblDefects[View date],"&gt;0"))</f>
        <v>58</v>
      </c>
      <c r="AQ53" s="55">
        <f>COUNTIF($AP$49:$AP$58,"&gt;"&amp;$AP$53)+COUNTIF($AP$49:$AP$53,$AP$53)</f>
        <v>8</v>
      </c>
    </row>
    <row r="54" spans="2:47" x14ac:dyDescent="0.25">
      <c r="B54" s="52">
        <v>6</v>
      </c>
      <c r="C54" s="53" t="str">
        <f>IF(INDEX($AP$49:$AP$58,MATCH(6,$AQ$49:$AQ$58,0))&lt;0,"",INDEX($AO$49:$AO$58,MATCH(6,$AQ$49:$AQ$58,0)))</f>
        <v>Colour streaks</v>
      </c>
      <c r="D54" s="53"/>
      <c r="E54" s="42">
        <f>IF($C$54="","",INDEX($AP$49:$AP$58,MATCH(6,$AQ$49:$AQ$58,0)))</f>
        <v>96</v>
      </c>
      <c r="F54" s="54">
        <f>IF(OR($C$54="",$E$59=0),"",$E$54/$E$59)</f>
        <v>0.0581818181818182</v>
      </c>
      <c r="G54" s="54">
        <f>IF(OR($C$54="",$E$59=0),"",SUM($E$49:$E$54)/$E$59)</f>
        <v>0.884242424242424</v>
      </c>
      <c r="AO54" s="11" t="str">
        <f>IFERROR(INDEX(tblCategories[Category],6)&amp;"","")</f>
        <v>Warp</v>
      </c>
      <c r="AP54" s="55">
        <f>IF($AO$54="",-1,SUMIFS(tblDefects[Count],tblDefects[Category],$AO$54,tblDefects[View date],"&gt;0"))</f>
        <v>39</v>
      </c>
      <c r="AQ54" s="55">
        <f>COUNTIF($AP$49:$AP$58,"&gt;"&amp;$AP$54)+COUNTIF($AP$49:$AP$54,$AP$54)</f>
        <v>9</v>
      </c>
    </row>
    <row r="55" spans="2:47" x14ac:dyDescent="0.25">
      <c r="B55" s="52">
        <v>7</v>
      </c>
      <c r="C55" s="53" t="str">
        <f>IF(INDEX($AP$49:$AP$58,MATCH(7,$AQ$49:$AQ$58,0))&lt;0,"",INDEX($AO$49:$AO$58,MATCH(7,$AQ$49:$AQ$58,0)))</f>
        <v>Missing insert</v>
      </c>
      <c r="D55" s="53"/>
      <c r="E55" s="42">
        <f>IF($C$55="","",INDEX($AP$49:$AP$58,MATCH(7,$AQ$49:$AQ$58,0)))</f>
        <v>64</v>
      </c>
      <c r="F55" s="54">
        <f>IF(OR($C$55="",$E$59=0),"",$E$55/$E$59)</f>
        <v>0.0387878787878788</v>
      </c>
      <c r="G55" s="54">
        <f>IF(OR($C$55="",$E$59=0),"",SUM($E$49:$E$55)/$E$59)</f>
        <v>0.923030303030303</v>
      </c>
      <c r="AO55" s="11" t="str">
        <f>IFERROR(INDEX(tblCategories[Category],7)&amp;"","")</f>
        <v>Scratches</v>
      </c>
      <c r="AP55" s="55">
        <f>IF($AO$55="",-1,SUMIFS(tblDefects[Count],tblDefects[Category],$AO$55,tblDefects[View date],"&gt;0"))</f>
        <v>133</v>
      </c>
      <c r="AQ55" s="55">
        <f>COUNTIF($AP$49:$AP$58,"&gt;"&amp;$AP$55)+COUNTIF($AP$49:$AP$55,$AP$55)</f>
        <v>4</v>
      </c>
    </row>
    <row r="56" spans="2:47" x14ac:dyDescent="0.25">
      <c r="B56" s="52">
        <v>8</v>
      </c>
      <c r="C56" s="53" t="str">
        <f>IF(INDEX($AP$49:$AP$58,MATCH(8,$AQ$49:$AQ$58,0))&lt;0,"",INDEX($AO$49:$AO$58,MATCH(8,$AQ$49:$AQ$58,0)))</f>
        <v>Burn marks</v>
      </c>
      <c r="D56" s="53"/>
      <c r="E56" s="42">
        <f>IF($C$56="","",INDEX($AP$49:$AP$58,MATCH(8,$AQ$49:$AQ$58,0)))</f>
        <v>58</v>
      </c>
      <c r="F56" s="54">
        <f>IF(OR($C$56="",$E$59=0),"",$E$56/$E$59)</f>
        <v>0.0351515151515152</v>
      </c>
      <c r="G56" s="54">
        <f>IF(OR($C$56="",$E$59=0),"",SUM($E$49:$E$56)/$E$59)</f>
        <v>0.958181818181818</v>
      </c>
      <c r="AO56" s="11" t="str">
        <f>IFERROR(INDEX(tblCategories[Category],8)&amp;"","")</f>
        <v>Missing insert</v>
      </c>
      <c r="AP56" s="55">
        <f>IF($AO$56="",-1,SUMIFS(tblDefects[Count],tblDefects[Category],$AO$56,tblDefects[View date],"&gt;0"))</f>
        <v>64</v>
      </c>
      <c r="AQ56" s="55">
        <f>COUNTIF($AP$49:$AP$58,"&gt;"&amp;$AP$56)+COUNTIF($AP$49:$AP$56,$AP$56)</f>
        <v>7</v>
      </c>
    </row>
    <row r="57" spans="2:47" x14ac:dyDescent="0.25">
      <c r="B57" s="52">
        <v>9</v>
      </c>
      <c r="C57" s="53" t="str">
        <f>IF(INDEX($AP$49:$AP$58,MATCH(9,$AQ$49:$AQ$58,0))&lt;0,"",INDEX($AO$49:$AO$58,MATCH(9,$AQ$49:$AQ$58,0)))</f>
        <v>Warp</v>
      </c>
      <c r="D57" s="53"/>
      <c r="E57" s="42">
        <f>IF($C$57="","",INDEX($AP$49:$AP$58,MATCH(9,$AQ$49:$AQ$58,0)))</f>
        <v>39</v>
      </c>
      <c r="F57" s="54">
        <f>IF(OR($C$57="",$E$59=0),"",$E$57/$E$59)</f>
        <v>0.0236363636363636</v>
      </c>
      <c r="G57" s="54">
        <f>IF(OR($C$57="",$E$59=0),"",SUM($E$49:$E$57)/$E$59)</f>
        <v>0.981818181818182</v>
      </c>
      <c r="AO57" s="11" t="str">
        <f>IFERROR(INDEX(tblCategories[Category],9)&amp;"","")</f>
        <v>Wrong label</v>
      </c>
      <c r="AP57" s="55">
        <f>IF($AO$57="",-1,SUMIFS(tblDefects[Count],tblDefects[Category],$AO$57,tblDefects[View date],"&gt;0"))</f>
        <v>115</v>
      </c>
      <c r="AQ57" s="55">
        <f>COUNTIF($AP$49:$AP$58,"&gt;"&amp;$AP$57)+COUNTIF($AP$49:$AP$57,$AP$57)</f>
        <v>5</v>
      </c>
    </row>
    <row r="58" spans="2:47" x14ac:dyDescent="0.25">
      <c r="B58" s="52">
        <v>10</v>
      </c>
      <c r="C58" s="53" t="str">
        <f>IF(INDEX($AP$49:$AP$58,MATCH(10,$AQ$49:$AQ$58,0))&lt;0,"",INDEX($AO$49:$AO$58,MATCH(10,$AQ$49:$AQ$58,0)))</f>
        <v>Weld failure</v>
      </c>
      <c r="D58" s="53"/>
      <c r="E58" s="42">
        <f>IF($C$58="","",INDEX($AP$49:$AP$58,MATCH(10,$AQ$49:$AQ$58,0)))</f>
        <v>30</v>
      </c>
      <c r="F58" s="54">
        <f>IF(OR($C$58="",$E$59=0),"",$E$58/$E$59)</f>
        <v>0.0181818181818182</v>
      </c>
      <c r="G58" s="54">
        <f>IF(OR($C$58="",$E$59=0),"",SUM($E$49:$E$58)/$E$59)</f>
        <v>1</v>
      </c>
      <c r="AO58" s="11" t="str">
        <f>IFERROR(INDEX(tblCategories[Category],10)&amp;"","")</f>
        <v>Weld failure</v>
      </c>
      <c r="AP58" s="55">
        <f>IF($AO$58="",-1,SUMIFS(tblDefects[Count],tblDefects[Category],$AO$58,tblDefects[View date],"&gt;0"))</f>
        <v>30</v>
      </c>
      <c r="AQ58" s="55">
        <f>COUNTIF($AP$49:$AP$58,"&gt;"&amp;$AP$58)+COUNTIF($AP$49:$AP$58,$AP$58)</f>
        <v>10</v>
      </c>
    </row>
    <row r="59" spans="2:47" x14ac:dyDescent="0.25">
      <c r="B59" s="56"/>
      <c r="C59" s="56" t="s">
        <v>136</v>
      </c>
      <c r="D59" s="56"/>
      <c r="E59" s="57">
        <f>SUMIF($AP$49:$AP$58,"&gt;0")</f>
        <v>1650</v>
      </c>
      <c r="F59" s="56"/>
      <c r="G59" s="56"/>
    </row>
    <row r="61" spans="2:47" x14ac:dyDescent="0.25">
      <c r="B61" s="31" t="s">
        <v>137</v>
      </c>
      <c r="C61" s="31"/>
      <c r="D61" s="31"/>
      <c r="E61" s="31"/>
      <c r="F61" s="31"/>
      <c r="G61" s="31"/>
    </row>
    <row r="62" spans="2:47" ht="20" customHeight="1" x14ac:dyDescent="0.25">
      <c r="B62" s="32" t="s">
        <v>128</v>
      </c>
      <c r="C62" s="51" t="s">
        <v>64</v>
      </c>
      <c r="D62" s="51"/>
      <c r="E62" s="32" t="s">
        <v>138</v>
      </c>
      <c r="F62" s="32" t="s">
        <v>129</v>
      </c>
      <c r="G62" s="32" t="s">
        <v>130</v>
      </c>
      <c r="AS62" s="7" t="s">
        <v>131</v>
      </c>
      <c r="AT62" s="7" t="s">
        <v>132</v>
      </c>
      <c r="AU62" s="7" t="s">
        <v>133</v>
      </c>
    </row>
    <row r="63" spans="2:47" x14ac:dyDescent="0.25">
      <c r="B63" s="35"/>
      <c r="C63" s="35"/>
      <c r="D63" s="35"/>
      <c r="E63" s="35" t="str">
        <f>Currency</f>
        <v>USD</v>
      </c>
      <c r="F63" s="35" t="s">
        <v>135</v>
      </c>
      <c r="G63" s="35" t="s">
        <v>135</v>
      </c>
    </row>
    <row r="64" spans="2:47" x14ac:dyDescent="0.25">
      <c r="B64" s="52">
        <v>1</v>
      </c>
      <c r="C64" s="53" t="str">
        <f>IF(INDEX($AT$64:$AT$73,MATCH(1,$AU$64:$AU$73,0))&lt;0,"",INDEX($AS$64:$AS$73,MATCH(1,$AU$64:$AU$73,0)))</f>
        <v>Missing insert</v>
      </c>
      <c r="D64" s="53"/>
      <c r="E64" s="42">
        <f>IF($C$64="","",INDEX($AT$64:$AT$73,MATCH(1,$AU$64:$AU$73,0)))</f>
        <v>499.2</v>
      </c>
      <c r="F64" s="54">
        <f>IF(OR($C$64="",$E$74=0),"",$E$64/$E$74)</f>
        <v>0.258733284959055</v>
      </c>
      <c r="G64" s="54">
        <f>IF(OR($C$64="",$E$74=0),"",SUM($E$64:$E$64)/$E$74)</f>
        <v>0.258733284959055</v>
      </c>
      <c r="AS64" s="11" t="str">
        <f>IFERROR(INDEX(tblCategories[Category],1)&amp;"","")</f>
        <v>Flash</v>
      </c>
      <c r="AT64" s="55">
        <f>IF($AS$64="",-1,SUMIFS(tblDefects[Cost],tblDefects[Category],$AS$64,tblDefects[View date],"&gt;0"))</f>
        <v>198.45</v>
      </c>
      <c r="AU64" s="55">
        <f>COUNTIF($AT$64:$AT$73,"&gt;"&amp;$AT$64)+COUNTIF($AT$64:$AT$64,$AT$64)</f>
        <v>4</v>
      </c>
    </row>
    <row r="65" spans="2:47" x14ac:dyDescent="0.25">
      <c r="B65" s="52">
        <v>2</v>
      </c>
      <c r="C65" s="53" t="str">
        <f>IF(INDEX($AT$64:$AT$73,MATCH(2,$AU$64:$AU$73,0))&lt;0,"",INDEX($AS$64:$AS$73,MATCH(2,$AU$64:$AU$73,0)))</f>
        <v>Short shot</v>
      </c>
      <c r="D65" s="53"/>
      <c r="E65" s="42">
        <f>IF($C$65="","",INDEX($AT$64:$AT$73,MATCH(2,$AU$64:$AU$73,0)))</f>
        <v>466.8</v>
      </c>
      <c r="F65" s="54">
        <f>IF(OR($C$65="",$E$74=0),"",$E$65/$E$74)</f>
        <v>0.241940499637193</v>
      </c>
      <c r="G65" s="54">
        <f>IF(OR($C$65="",$E$74=0),"",SUM($E$64:$E$65)/$E$74)</f>
        <v>0.500673784596248</v>
      </c>
      <c r="AS65" s="11" t="str">
        <f>IFERROR(INDEX(tblCategories[Category],2)&amp;"","")</f>
        <v>Short shot</v>
      </c>
      <c r="AT65" s="55">
        <f>IF($AS$65="",-1,SUMIFS(tblDefects[Cost],tblDefects[Category],$AS$65,tblDefects[View date],"&gt;0"))</f>
        <v>466.8</v>
      </c>
      <c r="AU65" s="55">
        <f>COUNTIF($AT$64:$AT$73,"&gt;"&amp;$AT$65)+COUNTIF($AT$64:$AT$65,$AT$65)</f>
        <v>2</v>
      </c>
    </row>
    <row r="66" spans="2:47" x14ac:dyDescent="0.25">
      <c r="B66" s="52">
        <v>3</v>
      </c>
      <c r="C66" s="53" t="str">
        <f>IF(INDEX($AT$64:$AT$73,MATCH(3,$AU$64:$AU$73,0))&lt;0,"",INDEX($AS$64:$AS$73,MATCH(3,$AU$64:$AU$73,0)))</f>
        <v>Weld failure</v>
      </c>
      <c r="D66" s="53"/>
      <c r="E66" s="42">
        <f>IF($C$66="","",INDEX($AT$64:$AT$73,MATCH(3,$AU$64:$AU$73,0)))</f>
        <v>234</v>
      </c>
      <c r="F66" s="54">
        <f>IF(OR($C$66="",$E$74=0),"",$E$66/$E$74)</f>
        <v>0.121281227324557</v>
      </c>
      <c r="G66" s="54">
        <f>IF(OR($C$66="",$E$74=0),"",SUM($E$64:$E$66)/$E$74)</f>
        <v>0.621955011920805</v>
      </c>
      <c r="AS66" s="11" t="str">
        <f>IFERROR(INDEX(tblCategories[Category],3)&amp;"","")</f>
        <v>Sink marks</v>
      </c>
      <c r="AT66" s="55">
        <f>IF($AS$66="",-1,SUMIFS(tblDefects[Cost],tblDefects[Category],$AS$66,tblDefects[View date],"&gt;0"))</f>
        <v>190.8</v>
      </c>
      <c r="AU66" s="55">
        <f>COUNTIF($AT$64:$AT$73,"&gt;"&amp;$AT$66)+COUNTIF($AT$64:$AT$66,$AT$66)</f>
        <v>5</v>
      </c>
    </row>
    <row r="67" spans="2:47" x14ac:dyDescent="0.25">
      <c r="B67" s="52">
        <v>4</v>
      </c>
      <c r="C67" s="53" t="str">
        <f>IF(INDEX($AT$64:$AT$73,MATCH(4,$AU$64:$AU$73,0))&lt;0,"",INDEX($AS$64:$AS$73,MATCH(4,$AU$64:$AU$73,0)))</f>
        <v>Flash</v>
      </c>
      <c r="D67" s="53"/>
      <c r="E67" s="42">
        <f>IF($C$67="","",INDEX($AT$64:$AT$73,MATCH(4,$AU$64:$AU$73,0)))</f>
        <v>198.45</v>
      </c>
      <c r="F67" s="54">
        <f>IF(OR($C$67="",$E$74=0),"",$E$67/$E$74)</f>
        <v>0.102855810096403</v>
      </c>
      <c r="G67" s="54">
        <f>IF(OR($C$67="",$E$74=0),"",SUM($E$64:$E$67)/$E$74)</f>
        <v>0.724810822017208</v>
      </c>
      <c r="AS67" s="11" t="str">
        <f>IFERROR(INDEX(tblCategories[Category],4)&amp;"","")</f>
        <v>Colour streaks</v>
      </c>
      <c r="AT67" s="55">
        <f>IF($AS$67="",-1,SUMIFS(tblDefects[Cost],tblDefects[Category],$AS$67,tblDefects[View date],"&gt;0"))</f>
        <v>115.2</v>
      </c>
      <c r="AU67" s="55">
        <f>COUNTIF($AT$64:$AT$73,"&gt;"&amp;$AT$67)+COUNTIF($AT$64:$AT$67,$AT$67)</f>
        <v>6</v>
      </c>
    </row>
    <row r="68" spans="2:47" x14ac:dyDescent="0.25">
      <c r="B68" s="52">
        <v>5</v>
      </c>
      <c r="C68" s="53" t="str">
        <f>IF(INDEX($AT$64:$AT$73,MATCH(5,$AU$64:$AU$73,0))&lt;0,"",INDEX($AS$64:$AS$73,MATCH(5,$AU$64:$AU$73,0)))</f>
        <v>Sink marks</v>
      </c>
      <c r="D68" s="53"/>
      <c r="E68" s="42">
        <f>IF($C$68="","",INDEX($AT$64:$AT$73,MATCH(5,$AU$64:$AU$73,0)))</f>
        <v>190.8</v>
      </c>
      <c r="F68" s="54">
        <f>IF(OR($C$68="",$E$74=0),"",$E$68/$E$74)</f>
        <v>0.0988908468954079</v>
      </c>
      <c r="G68" s="54">
        <f>IF(OR($C$68="",$E$74=0),"",SUM($E$64:$E$68)/$E$74)</f>
        <v>0.823701668912615</v>
      </c>
      <c r="AS68" s="11" t="str">
        <f>IFERROR(INDEX(tblCategories[Category],5)&amp;"","")</f>
        <v>Burn marks</v>
      </c>
      <c r="AT68" s="55">
        <f>IF($AS$68="",-1,SUMIFS(tblDefects[Cost],tblDefects[Category],$AS$68,tblDefects[View date],"&gt;0"))</f>
        <v>69.6</v>
      </c>
      <c r="AU68" s="55">
        <f>COUNTIF($AT$64:$AT$73,"&gt;"&amp;$AT$68)+COUNTIF($AT$64:$AT$68,$AT$68)</f>
        <v>8</v>
      </c>
    </row>
    <row r="69" spans="2:47" x14ac:dyDescent="0.25">
      <c r="B69" s="52">
        <v>6</v>
      </c>
      <c r="C69" s="53" t="str">
        <f>IF(INDEX($AT$64:$AT$73,MATCH(6,$AU$64:$AU$73,0))&lt;0,"",INDEX($AS$64:$AS$73,MATCH(6,$AU$64:$AU$73,0)))</f>
        <v>Colour streaks</v>
      </c>
      <c r="D69" s="53"/>
      <c r="E69" s="42">
        <f>IF($C$69="","",INDEX($AT$64:$AT$73,MATCH(6,$AU$64:$AU$73,0)))</f>
        <v>115.2</v>
      </c>
      <c r="F69" s="54">
        <f>IF(OR($C$69="",$E$74=0),"",$E$69/$E$74)</f>
        <v>0.0597076811443972</v>
      </c>
      <c r="G69" s="54">
        <f>IF(OR($C$69="",$E$74=0),"",SUM($E$64:$E$69)/$E$74)</f>
        <v>0.883409350057013</v>
      </c>
      <c r="AS69" s="11" t="str">
        <f>IFERROR(INDEX(tblCategories[Category],6)&amp;"","")</f>
        <v>Warp</v>
      </c>
      <c r="AT69" s="55">
        <f>IF($AS$69="",-1,SUMIFS(tblDefects[Cost],tblDefects[Category],$AS$69,tblDefects[View date],"&gt;0"))</f>
        <v>46.8</v>
      </c>
      <c r="AU69" s="55">
        <f>COUNTIF($AT$64:$AT$73,"&gt;"&amp;$AT$69)+COUNTIF($AT$64:$AT$69,$AT$69)</f>
        <v>9</v>
      </c>
    </row>
    <row r="70" spans="2:47" x14ac:dyDescent="0.25">
      <c r="B70" s="52">
        <v>7</v>
      </c>
      <c r="C70" s="53" t="str">
        <f>IF(INDEX($AT$64:$AT$73,MATCH(7,$AU$64:$AU$73,0))&lt;0,"",INDEX($AS$64:$AS$73,MATCH(7,$AU$64:$AU$73,0)))</f>
        <v>Scratches</v>
      </c>
      <c r="D70" s="53"/>
      <c r="E70" s="42">
        <f>IF($C$70="","",INDEX($AT$64:$AT$73,MATCH(7,$AU$64:$AU$73,0)))</f>
        <v>79.8</v>
      </c>
      <c r="F70" s="54">
        <f>IF(OR($C$70="",$E$74=0),"",$E$70/$E$74)</f>
        <v>0.0413600082927335</v>
      </c>
      <c r="G70" s="54">
        <f>IF(OR($C$70="",$E$74=0),"",SUM($E$64:$E$70)/$E$74)</f>
        <v>0.924769358349746</v>
      </c>
      <c r="AS70" s="11" t="str">
        <f>IFERROR(INDEX(tblCategories[Category],7)&amp;"","")</f>
        <v>Scratches</v>
      </c>
      <c r="AT70" s="55">
        <f>IF($AS$70="",-1,SUMIFS(tblDefects[Cost],tblDefects[Category],$AS$70,tblDefects[View date],"&gt;0"))</f>
        <v>79.8</v>
      </c>
      <c r="AU70" s="55">
        <f>COUNTIF($AT$64:$AT$73,"&gt;"&amp;$AT$70)+COUNTIF($AT$64:$AT$70,$AT$70)</f>
        <v>7</v>
      </c>
    </row>
    <row r="71" spans="2:47" x14ac:dyDescent="0.25">
      <c r="B71" s="52">
        <v>8</v>
      </c>
      <c r="C71" s="53" t="str">
        <f>IF(INDEX($AT$64:$AT$73,MATCH(8,$AU$64:$AU$73,0))&lt;0,"",INDEX($AS$64:$AS$73,MATCH(8,$AU$64:$AU$73,0)))</f>
        <v>Burn marks</v>
      </c>
      <c r="D71" s="53"/>
      <c r="E71" s="42">
        <f>IF($C$71="","",INDEX($AT$64:$AT$73,MATCH(8,$AU$64:$AU$73,0)))</f>
        <v>69.6</v>
      </c>
      <c r="F71" s="54">
        <f>IF(OR($C$71="",$E$74=0),"",$E$71/$E$74)</f>
        <v>0.0360733906914067</v>
      </c>
      <c r="G71" s="54">
        <f>IF(OR($C$71="",$E$74=0),"",SUM($E$64:$E$71)/$E$74)</f>
        <v>0.960842749041153</v>
      </c>
      <c r="AS71" s="11" t="str">
        <f>IFERROR(INDEX(tblCategories[Category],8)&amp;"","")</f>
        <v>Missing insert</v>
      </c>
      <c r="AT71" s="55">
        <f>IF($AS$71="",-1,SUMIFS(tblDefects[Cost],tblDefects[Category],$AS$71,tblDefects[View date],"&gt;0"))</f>
        <v>499.2</v>
      </c>
      <c r="AU71" s="55">
        <f>COUNTIF($AT$64:$AT$73,"&gt;"&amp;$AT$71)+COUNTIF($AT$64:$AT$71,$AT$71)</f>
        <v>1</v>
      </c>
    </row>
    <row r="72" spans="2:47" x14ac:dyDescent="0.25">
      <c r="B72" s="52">
        <v>9</v>
      </c>
      <c r="C72" s="53" t="str">
        <f>IF(INDEX($AT$64:$AT$73,MATCH(9,$AU$64:$AU$73,0))&lt;0,"",INDEX($AS$64:$AS$73,MATCH(9,$AU$64:$AU$73,0)))</f>
        <v>Warp</v>
      </c>
      <c r="D72" s="53"/>
      <c r="E72" s="42">
        <f>IF($C$72="","",INDEX($AT$64:$AT$73,MATCH(9,$AU$64:$AU$73,0)))</f>
        <v>46.8</v>
      </c>
      <c r="F72" s="54">
        <f>IF(OR($C$72="",$E$74=0),"",$E$72/$E$74)</f>
        <v>0.0242562454649114</v>
      </c>
      <c r="G72" s="54">
        <f>IF(OR($C$72="",$E$74=0),"",SUM($E$64:$E$72)/$E$74)</f>
        <v>0.985098994506064</v>
      </c>
      <c r="AS72" s="11" t="str">
        <f>IFERROR(INDEX(tblCategories[Category],9)&amp;"","")</f>
        <v>Wrong label</v>
      </c>
      <c r="AT72" s="55">
        <f>IF($AS$72="",-1,SUMIFS(tblDefects[Cost],tblDefects[Category],$AS$72,tblDefects[View date],"&gt;0"))</f>
        <v>28.75</v>
      </c>
      <c r="AU72" s="55">
        <f>COUNTIF($AT$64:$AT$73,"&gt;"&amp;$AT$72)+COUNTIF($AT$64:$AT$72,$AT$72)</f>
        <v>10</v>
      </c>
    </row>
    <row r="73" spans="2:47" x14ac:dyDescent="0.25">
      <c r="B73" s="52">
        <v>10</v>
      </c>
      <c r="C73" s="53" t="str">
        <f>IF(INDEX($AT$64:$AT$73,MATCH(10,$AU$64:$AU$73,0))&lt;0,"",INDEX($AS$64:$AS$73,MATCH(10,$AU$64:$AU$73,0)))</f>
        <v>Wrong label</v>
      </c>
      <c r="D73" s="53"/>
      <c r="E73" s="42">
        <f>IF($C$73="","",INDEX($AT$64:$AT$73,MATCH(10,$AU$64:$AU$73,0)))</f>
        <v>28.75</v>
      </c>
      <c r="F73" s="54">
        <f>IF(OR($C$73="",$E$74=0),"",$E$73/$E$74)</f>
        <v>0.0149010054939359</v>
      </c>
      <c r="G73" s="54">
        <f>IF(OR($C$73="",$E$74=0),"",SUM($E$64:$E$73)/$E$74)</f>
        <v>1</v>
      </c>
      <c r="AS73" s="11" t="str">
        <f>IFERROR(INDEX(tblCategories[Category],10)&amp;"","")</f>
        <v>Weld failure</v>
      </c>
      <c r="AT73" s="55">
        <f>IF($AS$73="",-1,SUMIFS(tblDefects[Cost],tblDefects[Category],$AS$73,tblDefects[View date],"&gt;0"))</f>
        <v>234</v>
      </c>
      <c r="AU73" s="55">
        <f>COUNTIF($AT$64:$AT$73,"&gt;"&amp;$AT$73)+COUNTIF($AT$64:$AT$73,$AT$73)</f>
        <v>3</v>
      </c>
    </row>
    <row r="74" spans="2:47" x14ac:dyDescent="0.25">
      <c r="B74" s="56"/>
      <c r="C74" s="56" t="s">
        <v>136</v>
      </c>
      <c r="D74" s="56"/>
      <c r="E74" s="57">
        <f>SUMIF($AT$64:$AT$73,"&gt;0")</f>
        <v>1929.4</v>
      </c>
      <c r="F74" s="56"/>
      <c r="G74" s="56"/>
    </row>
    <row r="76" spans="2:47" x14ac:dyDescent="0.25">
      <c r="B76" s="31" t="s">
        <v>139</v>
      </c>
      <c r="C76" s="31"/>
      <c r="D76" s="31"/>
      <c r="E76" s="31"/>
      <c r="F76" s="31"/>
      <c r="G76" s="31"/>
    </row>
    <row r="77" spans="2:47" ht="32" customHeight="1" x14ac:dyDescent="0.25">
      <c r="B77" s="51" t="s">
        <v>140</v>
      </c>
      <c r="C77" s="32" t="s">
        <v>141</v>
      </c>
      <c r="D77" s="32" t="s">
        <v>138</v>
      </c>
      <c r="E77" s="32" t="s">
        <v>116</v>
      </c>
      <c r="F77" s="32" t="s">
        <v>118</v>
      </c>
      <c r="G77" s="32" t="s">
        <v>142</v>
      </c>
    </row>
    <row r="78" spans="2:47" ht="14" customHeight="1" x14ac:dyDescent="0.25">
      <c r="B78" s="35"/>
      <c r="C78" s="35"/>
      <c r="D78" s="35" t="str">
        <f>Currency</f>
        <v>USD</v>
      </c>
      <c r="E78" s="35"/>
      <c r="F78" s="35"/>
      <c r="G78" s="35"/>
    </row>
    <row r="79" spans="2:47" x14ac:dyDescent="0.25">
      <c r="B79" s="58">
        <f>IF($B$80="","",IF($B$80-1&lt;MIN(tblDefects[View date]),"",$B$80-7))</f>
        <v/>
      </c>
      <c r="C79" s="42">
        <f>IF($B$79="","",SUMIFS(tblDefects[Count],tblDefects[View date],"&gt;="&amp;$B$79,tblDefects[View date],"&lt;"&amp;$B$79+7))</f>
        <v/>
      </c>
      <c r="D79" s="42">
        <f>IF($B$79="","",SUMIFS(tblDefects[Cost],tblDefects[View date],"&gt;="&amp;$B$79,tblDefects[View date],"&lt;"&amp;$B$79+7))</f>
        <v/>
      </c>
      <c r="E79" s="42">
        <f>IF($B$79="","",SUMIFS(tblOutput[Units inspected],tblOutput[Date],"&gt;="&amp;MAX($B$79,FFrom),tblOutput[Date],"&lt;"&amp;$B$79+7,tblOutput[Date],"&lt;="&amp;FTo))</f>
        <v/>
      </c>
      <c r="F79" s="43">
        <f>IF($B$79="","",IF(($E$79)=0,"",($C$79)/($E$79)))</f>
        <v/>
      </c>
      <c r="G79" s="59">
        <f>TargetDpu</f>
        <v>0.025</v>
      </c>
    </row>
    <row r="80" spans="2:47" x14ac:dyDescent="0.25">
      <c r="B80" s="58">
        <f>IF($B$81="","",IF($B$81-1&lt;MIN(tblDefects[View date]),"",$B$81-7))</f>
        <v/>
      </c>
      <c r="C80" s="42">
        <f>IF($B$80="","",SUMIFS(tblDefects[Count],tblDefects[View date],"&gt;="&amp;$B$80,tblDefects[View date],"&lt;"&amp;$B$80+7))</f>
        <v/>
      </c>
      <c r="D80" s="42">
        <f>IF($B$80="","",SUMIFS(tblDefects[Cost],tblDefects[View date],"&gt;="&amp;$B$80,tblDefects[View date],"&lt;"&amp;$B$80+7))</f>
        <v/>
      </c>
      <c r="E80" s="42">
        <f>IF($B$80="","",SUMIFS(tblOutput[Units inspected],tblOutput[Date],"&gt;="&amp;MAX($B$80,FFrom),tblOutput[Date],"&lt;"&amp;$B$80+7,tblOutput[Date],"&lt;="&amp;FTo))</f>
        <v/>
      </c>
      <c r="F80" s="43">
        <f>IF($B$80="","",IF(($E$80)=0,"",($C$80)/($E$80)))</f>
        <v/>
      </c>
      <c r="G80" s="59">
        <f>TargetDpu</f>
        <v>0.025</v>
      </c>
    </row>
    <row r="81" spans="2:12" x14ac:dyDescent="0.25">
      <c r="B81" s="58">
        <f>IF($B$82="","",IF($B$82-1&lt;MIN(tblDefects[View date]),"",$B$82-7))</f>
        <v>46272</v>
      </c>
      <c r="C81" s="42">
        <f>IF($B$81="","",SUMIFS(tblDefects[Count],tblDefects[View date],"&gt;="&amp;$B$81,tblDefects[View date],"&lt;"&amp;$B$81+7))</f>
        <v>369</v>
      </c>
      <c r="D81" s="42">
        <f>IF($B$81="","",SUMIFS(tblDefects[Cost],tblDefects[View date],"&gt;="&amp;$B$81,tblDefects[View date],"&lt;"&amp;$B$81+7))</f>
        <v>381.5</v>
      </c>
      <c r="E81" s="42">
        <f>IF($B$81="","",SUMIFS(tblOutput[Units inspected],tblOutput[Date],"&gt;="&amp;MAX($B$81,FFrom),tblOutput[Date],"&lt;"&amp;$B$81+7,tblOutput[Date],"&lt;="&amp;FTo))</f>
        <v>14200</v>
      </c>
      <c r="F81" s="43">
        <f>IF($B$81="","",IF(($E$81)=0,"",($C$81)/($E$81)))</f>
        <v>0.0259859154929577</v>
      </c>
      <c r="G81" s="59">
        <f>TargetDpu</f>
        <v>0.025</v>
      </c>
    </row>
    <row r="82" spans="2:12" x14ac:dyDescent="0.25">
      <c r="B82" s="58">
        <f>IF($B$83="","",IF($B$83-1&lt;MIN(tblDefects[View date]),"",$B$83-7))</f>
        <v>46279</v>
      </c>
      <c r="C82" s="42">
        <f>IF($B$82="","",SUMIFS(tblDefects[Count],tblDefects[View date],"&gt;="&amp;$B$82,tblDefects[View date],"&lt;"&amp;$B$82+7))</f>
        <v>388</v>
      </c>
      <c r="D82" s="42">
        <f>IF($B$82="","",SUMIFS(tblDefects[Cost],tblDefects[View date],"&gt;="&amp;$B$82,tblDefects[View date],"&lt;"&amp;$B$82+7))</f>
        <v>457.3</v>
      </c>
      <c r="E82" s="42">
        <f>IF($B$82="","",SUMIFS(tblOutput[Units inspected],tblOutput[Date],"&gt;="&amp;MAX($B$82,FFrom),tblOutput[Date],"&lt;"&amp;$B$82+7,tblOutput[Date],"&lt;="&amp;FTo))</f>
        <v>12750</v>
      </c>
      <c r="F82" s="43">
        <f>IF($B$82="","",IF(($E$82)=0,"",($C$82)/($E$82)))</f>
        <v>0.0304313725490196</v>
      </c>
      <c r="G82" s="59">
        <f>TargetDpu</f>
        <v>0.025</v>
      </c>
    </row>
    <row r="83" spans="2:12" x14ac:dyDescent="0.25">
      <c r="B83" s="58">
        <f>IF($B$84="","",IF($B$84-1&lt;MIN(tblDefects[View date]),"",$B$84-7))</f>
        <v>46286</v>
      </c>
      <c r="C83" s="42">
        <f>IF($B$83="","",SUMIFS(tblDefects[Count],tblDefects[View date],"&gt;="&amp;$B$83,tblDefects[View date],"&lt;"&amp;$B$83+7))</f>
        <v>492</v>
      </c>
      <c r="D83" s="42">
        <f>IF($B$83="","",SUMIFS(tblDefects[Cost],tblDefects[View date],"&gt;="&amp;$B$83,tblDefects[View date],"&lt;"&amp;$B$83+7))</f>
        <v>586.5</v>
      </c>
      <c r="E83" s="42">
        <f>IF($B$83="","",SUMIFS(tblOutput[Units inspected],tblOutput[Date],"&gt;="&amp;MAX($B$83,FFrom),tblOutput[Date],"&lt;"&amp;$B$83+7,tblOutput[Date],"&lt;="&amp;FTo))</f>
        <v>14300</v>
      </c>
      <c r="F83" s="43">
        <f>IF($B$83="","",IF(($E$83)=0,"",($C$83)/($E$83)))</f>
        <v>0.0344055944055944</v>
      </c>
      <c r="G83" s="59">
        <f>TargetDpu</f>
        <v>0.025</v>
      </c>
    </row>
    <row r="84" spans="2:12" x14ac:dyDescent="0.25">
      <c r="B84" s="58">
        <f>IF(COUNT(tblDefects[View date])=0,"",MAX(tblDefects[View date])-WEEKDAY(MAX(tblDefects[View date]),2)+1)</f>
        <v>46293</v>
      </c>
      <c r="C84" s="42">
        <f>IF($B$84="","",SUMIFS(tblDefects[Count],tblDefects[View date],"&gt;="&amp;$B$84,tblDefects[View date],"&lt;"&amp;$B$84+7))</f>
        <v>401</v>
      </c>
      <c r="D84" s="42">
        <f>IF($B$84="","",SUMIFS(tblDefects[Cost],tblDefects[View date],"&gt;="&amp;$B$84,tblDefects[View date],"&lt;"&amp;$B$84+7))</f>
        <v>504.1</v>
      </c>
      <c r="E84" s="42">
        <f>IF($B$84="","",SUMIFS(tblOutput[Units inspected],tblOutput[Date],"&gt;="&amp;MAX($B$84,FFrom),tblOutput[Date],"&lt;"&amp;$B$84+7,tblOutput[Date],"&lt;="&amp;FTo))</f>
        <v>14040</v>
      </c>
      <c r="F84" s="43">
        <f>IF($B$84="","",IF(($E$84)=0,"",($C$84)/($E$84)))</f>
        <v>0.0285612535612536</v>
      </c>
      <c r="G84" s="59">
        <f>TargetDpu</f>
        <v>0.025</v>
      </c>
    </row>
    <row r="86" spans="2:12" x14ac:dyDescent="0.25">
      <c r="B86" s="31" t="s">
        <v>143</v>
      </c>
      <c r="C86" s="31"/>
      <c r="D86" s="31"/>
      <c r="E86" s="31"/>
      <c r="F86" s="31"/>
    </row>
    <row r="87" spans="2:12" ht="32" customHeight="1" x14ac:dyDescent="0.25">
      <c r="B87" s="51" t="s">
        <v>62</v>
      </c>
      <c r="C87" s="32" t="s">
        <v>141</v>
      </c>
      <c r="D87" s="32" t="s">
        <v>138</v>
      </c>
      <c r="E87" s="32" t="s">
        <v>144</v>
      </c>
      <c r="F87" s="32" t="s">
        <v>145</v>
      </c>
    </row>
    <row r="88" spans="2:12" ht="14" customHeight="1" x14ac:dyDescent="0.25">
      <c r="B88" s="35"/>
      <c r="C88" s="35"/>
      <c r="D88" s="35" t="str">
        <f>Currency</f>
        <v>USD</v>
      </c>
      <c r="E88" s="35"/>
      <c r="F88" s="35"/>
    </row>
    <row r="89" spans="2:12" x14ac:dyDescent="0.25">
      <c r="B89" s="60" t="str">
        <f>IFERROR(INDEX(tblAreas[Area],1)&amp;"","")</f>
        <v>Moulding</v>
      </c>
      <c r="C89" s="42">
        <f>IF($B$89="","",SUMIFS(tblDefects[Count],tblDefects[Area],$B$89,tblDefects[View date],"&gt;0"))</f>
        <v>1236</v>
      </c>
      <c r="D89" s="42">
        <f>IF($B$89="","",SUMIFS(tblDefects[Cost],tblDefects[Area],$B$89,tblDefects[View date],"&gt;0"))</f>
        <v>1044.6</v>
      </c>
      <c r="E89" s="54">
        <f>IF($B$89="","",IF((SUMIFS(tblDefects[Count],tblDefects[View date],"&gt;0"))=0,"",($C$89)/(SUMIFS(tblDefects[Count],tblDefects[View date],"&gt;0"))))</f>
        <v>0.749090909090909</v>
      </c>
      <c r="F89" s="54">
        <f>IF($B$89="","",IF((SUMIFS(tblDefects[Cost],tblDefects[View date],"&gt;0"))=0,"",($D$89)/(SUMIFS(tblDefects[Cost],tblDefects[View date],"&gt;0"))))</f>
        <v>0.54141183787706</v>
      </c>
    </row>
    <row r="90" spans="2:12" x14ac:dyDescent="0.25">
      <c r="B90" s="60" t="str">
        <f>IFERROR(INDEX(tblAreas[Area],2)&amp;"","")</f>
        <v>Assembly</v>
      </c>
      <c r="C90" s="42">
        <f>IF($B$90="","",SUMIFS(tblDefects[Count],tblDefects[Area],$B$90,tblDefects[View date],"&gt;0"))</f>
        <v>264</v>
      </c>
      <c r="D90" s="42">
        <f>IF($B$90="","",SUMIFS(tblDefects[Cost],tblDefects[Area],$B$90,tblDefects[View date],"&gt;0"))</f>
        <v>752.25</v>
      </c>
      <c r="E90" s="54">
        <f>IF($B$90="","",IF((SUMIFS(tblDefects[Count],tblDefects[View date],"&gt;0"))=0,"",($C$90)/(SUMIFS(tblDefects[Count],tblDefects[View date],"&gt;0"))))</f>
        <v>0.16</v>
      </c>
      <c r="F90" s="54">
        <f>IF($B$90="","",IF((SUMIFS(tblDefects[Cost],tblDefects[View date],"&gt;0"))=0,"",($D$90)/(SUMIFS(tblDefects[Cost],tblDefects[View date],"&gt;0"))))</f>
        <v>0.389888048097854</v>
      </c>
    </row>
    <row r="91" spans="2:12" x14ac:dyDescent="0.25">
      <c r="B91" s="60" t="str">
        <f>IFERROR(INDEX(tblAreas[Area],3)&amp;"","")</f>
        <v>Final inspection</v>
      </c>
      <c r="C91" s="42">
        <f>IF($B$91="","",SUMIFS(tblDefects[Count],tblDefects[Area],$B$91,tblDefects[View date],"&gt;0"))</f>
        <v>150</v>
      </c>
      <c r="D91" s="42">
        <f>IF($B$91="","",SUMIFS(tblDefects[Cost],tblDefects[Area],$B$91,tblDefects[View date],"&gt;0"))</f>
        <v>132.55</v>
      </c>
      <c r="E91" s="54">
        <f>IF($B$91="","",IF((SUMIFS(tblDefects[Count],tblDefects[View date],"&gt;0"))=0,"",($C$91)/(SUMIFS(tblDefects[Count],tblDefects[View date],"&gt;0"))))</f>
        <v>0.0909090909090909</v>
      </c>
      <c r="F91" s="54">
        <f>IF($B$91="","",IF((SUMIFS(tblDefects[Cost],tblDefects[View date],"&gt;0"))=0,"",($D$91)/(SUMIFS(tblDefects[Cost],tblDefects[View date],"&gt;0"))))</f>
        <v>0.0687001140250855</v>
      </c>
    </row>
    <row r="93" spans="2:12" ht="26.76" customHeight="1" x14ac:dyDescent="0.25">
      <c r="B93" s="21" t="s">
        <v>146</v>
      </c>
      <c r="C93" s="21"/>
      <c r="D93" s="21"/>
      <c r="E93" s="21"/>
      <c r="F93" s="21"/>
      <c r="G93" s="21"/>
      <c r="H93" s="21"/>
      <c r="I93" s="21"/>
      <c r="J93" s="21"/>
      <c r="K93" s="21"/>
      <c r="L93" s="21"/>
    </row>
    <row r="94" spans="2:12" x14ac:dyDescent="0.25">
      <c r="B94" s="61">
        <f>IF(OR(COUNTA(tblCategories[Category])&gt;10,COUNTA(tblAreas[Area])&gt;3),"Setup lists are longer than the Dashboard blocks: some categories or areas are not shown.","")</f>
        <v/>
      </c>
      <c r="C94" s="61"/>
      <c r="D94" s="61"/>
      <c r="E94" s="61"/>
      <c r="F94" s="61"/>
      <c r="G94" s="61"/>
      <c r="H94" s="61"/>
      <c r="I94" s="61"/>
      <c r="J94" s="61"/>
      <c r="K94" s="61"/>
      <c r="L94" s="61"/>
    </row>
  </sheetData>
  <sheetProtection sheet="1" formatColumns="0" formatRows="0"/>
  <mergeCells count="55">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46:G46"/>
    <mergeCell ref="C47:D47"/>
    <mergeCell ref="C48:D48"/>
    <mergeCell ref="C49:D49"/>
    <mergeCell ref="C50:D50"/>
    <mergeCell ref="C51:D51"/>
    <mergeCell ref="C52:D52"/>
    <mergeCell ref="C53:D53"/>
    <mergeCell ref="C54:D54"/>
    <mergeCell ref="C55:D55"/>
    <mergeCell ref="C56:D56"/>
    <mergeCell ref="C57:D57"/>
    <mergeCell ref="C58:D58"/>
    <mergeCell ref="C59:D59"/>
    <mergeCell ref="B61:G61"/>
    <mergeCell ref="C62:D62"/>
    <mergeCell ref="C63:D63"/>
    <mergeCell ref="C64:D64"/>
    <mergeCell ref="C65:D65"/>
    <mergeCell ref="C66:D66"/>
    <mergeCell ref="C67:D67"/>
    <mergeCell ref="C68:D68"/>
    <mergeCell ref="C69:D69"/>
    <mergeCell ref="C70:D70"/>
    <mergeCell ref="C71:D71"/>
    <mergeCell ref="C72:D72"/>
    <mergeCell ref="C73:D73"/>
    <mergeCell ref="C74:D74"/>
    <mergeCell ref="B76:G76"/>
    <mergeCell ref="B86:F86"/>
    <mergeCell ref="B93:L93"/>
    <mergeCell ref="B94:L94"/>
  </mergeCells>
  <conditionalFormatting sqref="E49:E58">
    <cfRule type="dataBar" priority="1">
      <dataBar>
        <cfvo type="num" val="0"/>
        <cfvo type="max"/>
        <color rgb="FFA8BDF0"/>
      </dataBar>
      <extLst>
        <ext xmlns:x14="http://schemas.microsoft.com/office/spreadsheetml/2009/9/main" uri="{B025F937-C7B1-47D3-B67F-A62EFF666E3E}">
          <x14:id>{DA7ABA51-AAAA-BBBB-0005-000000000001}</x14:id>
        </ext>
      </extLst>
    </cfRule>
  </conditionalFormatting>
  <conditionalFormatting sqref="E64:E73">
    <cfRule type="dataBar" priority="2">
      <dataBar>
        <cfvo type="num" val="0"/>
        <cfvo type="max"/>
        <color rgb="FFA8BDF0"/>
      </dataBar>
      <extLst>
        <ext xmlns:x14="http://schemas.microsoft.com/office/spreadsheetml/2009/9/main" uri="{B025F937-C7B1-47D3-B67F-A62EFF666E3E}">
          <x14:id>{DA7ABA51-AAAA-BBBB-0005-000000000002}</x14:id>
        </ext>
      </extLst>
    </cfRule>
  </conditionalFormatting>
  <conditionalFormatting sqref="F79:F84">
    <cfRule type="expression" dxfId="3" priority="3" stopIfTrue="1">
      <formula>AND(ISNUMBER(F79),F79&lt;=(TargetDpu))</formula>
    </cfRule>
    <cfRule type="expression" dxfId="4" priority="4" stopIfTrue="1">
      <formula>AND(ISNUMBER(F79),F79&lt;=(TargetDpu)*(1+0.05))</formula>
    </cfRule>
    <cfRule type="expression" dxfId="5" priority="5">
      <formula>ISNUMBER(F79)</formula>
    </cfRule>
  </conditionalFormatting>
  <dataValidations count="3">
    <dataValidation type="list" allowBlank="1" showInputMessage="1" showErrorMessage="1" errorTitle="Check this entry" error="Pick from the list (edit the list on Setup: Areas)." promptTitle="Area" prompt="Leave blank for all areas. Pick from the list (edit the list on Setup: Areas)." sqref="C4">
      <formula1>Areas</formula1>
    </dataValidation>
    <dataValidation type="date" allowBlank="1" showInputMessage="1" showErrorMessage="1" errorTitle="Check this entry" error="Enter a date between 01 Jan 2000 and 31 Dec 2100." promptTitle="From" prompt="First date to include. Blank = from the first record.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To" prompt="Last date to include. Blank = to the latest record. Enter a date between 01 Jan 2000 and 31 Dec 2100." sqref="K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Pareto Analysis&amp;R&amp;8&amp;A</oddHeader>
    <oddFooter>&amp;L&amp;8mfgcalcs.com - free manufacturing templates&amp;R&amp;8Page &amp;P of &amp;N</oddFooter>
  </headerFooter>
  <rowBreaks count="3" manualBreakCount="3">
    <brk id="29" max="16383" man="1"/>
    <brk id="60" max="16383" man="1"/>
    <brk id="85"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5-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E49:E58</xm:sqref>
        </x14:conditionalFormatting>
        <x14:conditionalFormatting xmlns:xm="http://schemas.microsoft.com/office/excel/2006/main">
          <x14:cfRule type="dataBar" id="{DA7ABA51-AAAA-BBBB-0005-000000000002}">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E64:E73</xm:sqref>
        </x14:conditionalFormatting>
      </x14:conditionalFormattings>
    </ext>
  </extLst>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54"/>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147</v>
      </c>
      <c r="C4" s="8"/>
      <c r="D4" s="8"/>
    </row>
    <row r="5" spans="1:4" ht="5" customHeight="1"/>
    <row r="6" spans="1:4" ht="42.6" customHeight="1">
      <c r="B6" s="10" t="s">
        <v>148</v>
      </c>
      <c r="C6" s="10"/>
      <c r="D6" s="10"/>
    </row>
    <row r="8" spans="1:4" ht="21" customHeight="1">
      <c r="B8" s="8" t="s">
        <v>149</v>
      </c>
      <c r="C8" s="8"/>
      <c r="D8" s="8"/>
    </row>
    <row r="9" spans="1:4" ht="5" customHeight="1"/>
    <row r="10" spans="1:4" ht="20" customHeight="1">
      <c r="B10" s="51" t="s">
        <v>150</v>
      </c>
      <c r="C10" s="51" t="s">
        <v>151</v>
      </c>
      <c r="D10" s="32" t="s">
        <v>152</v>
      </c>
    </row>
    <row r="11" spans="1:4" ht="30.4" customHeight="1">
      <c r="B11" s="62" t="s">
        <v>65</v>
      </c>
      <c r="C11" s="63" t="s">
        <v>153</v>
      </c>
      <c r="D11" s="64" t="s">
        <v>154</v>
      </c>
    </row>
    <row r="12" spans="1:4" ht="17.2" customHeight="1">
      <c r="B12" s="62" t="s">
        <v>109</v>
      </c>
      <c r="C12" s="63" t="s">
        <v>155</v>
      </c>
      <c r="D12" s="64" t="s">
        <v>156</v>
      </c>
    </row>
    <row r="13" spans="1:4" ht="17.2" customHeight="1">
      <c r="B13" s="62" t="s">
        <v>157</v>
      </c>
      <c r="C13" s="63" t="s">
        <v>158</v>
      </c>
      <c r="D13" s="64" t="s">
        <v>159</v>
      </c>
    </row>
    <row r="14" spans="1:4" ht="43.6" customHeight="1">
      <c r="B14" s="62" t="s">
        <v>160</v>
      </c>
      <c r="C14" s="63" t="s">
        <v>161</v>
      </c>
      <c r="D14" s="64" t="s">
        <v>162</v>
      </c>
    </row>
    <row r="15" spans="1:4" ht="17.2" customHeight="1">
      <c r="B15" s="62" t="s">
        <v>163</v>
      </c>
      <c r="C15" s="63" t="s">
        <v>164</v>
      </c>
      <c r="D15" s="64" t="s">
        <v>135</v>
      </c>
    </row>
    <row r="16" spans="1:4" ht="30.4" customHeight="1">
      <c r="B16" s="62" t="s">
        <v>165</v>
      </c>
      <c r="C16" s="63" t="s">
        <v>166</v>
      </c>
      <c r="D16" s="64" t="s">
        <v>167</v>
      </c>
    </row>
    <row r="17" spans="2:4" ht="30.4" customHeight="1">
      <c r="B17" s="62" t="s">
        <v>118</v>
      </c>
      <c r="C17" s="63" t="s">
        <v>168</v>
      </c>
      <c r="D17" s="64" t="s">
        <v>75</v>
      </c>
    </row>
    <row r="18" spans="2:4" ht="30.4" customHeight="1">
      <c r="B18" s="62" t="s">
        <v>169</v>
      </c>
      <c r="C18" s="63" t="s">
        <v>170</v>
      </c>
      <c r="D18" s="64" t="s">
        <v>162</v>
      </c>
    </row>
    <row r="20" spans="2:4" ht="21" customHeight="1">
      <c r="B20" s="8" t="s">
        <v>171</v>
      </c>
      <c r="C20" s="8"/>
      <c r="D20" s="8"/>
    </row>
    <row r="21" spans="2:4" ht="5" customHeight="1"/>
    <row r="22" spans="2:4" ht="16.2" customHeight="1">
      <c r="B22" s="26" t="s">
        <v>55</v>
      </c>
      <c r="C22" s="10" t="s">
        <v>172</v>
      </c>
      <c r="D22" s="10"/>
    </row>
    <row r="23" spans="2:4" ht="16.2" customHeight="1">
      <c r="B23" s="26" t="s">
        <v>55</v>
      </c>
      <c r="C23" s="10" t="s">
        <v>173</v>
      </c>
      <c r="D23" s="10"/>
    </row>
    <row r="24" spans="2:4" ht="29.4" customHeight="1">
      <c r="B24" s="26" t="s">
        <v>55</v>
      </c>
      <c r="C24" s="10" t="s">
        <v>174</v>
      </c>
      <c r="D24" s="10"/>
    </row>
    <row r="26" spans="2:4" ht="21" customHeight="1">
      <c r="B26" s="8" t="s">
        <v>175</v>
      </c>
      <c r="C26" s="8"/>
      <c r="D26" s="8"/>
    </row>
    <row r="27" spans="2:4" ht="5" customHeight="1"/>
    <row r="28" spans="2:4" ht="16.2" customHeight="1">
      <c r="B28" s="26" t="s">
        <v>55</v>
      </c>
      <c r="C28" s="10" t="s">
        <v>176</v>
      </c>
      <c r="D28" s="10"/>
    </row>
    <row r="29" spans="2:4" ht="29.4" customHeight="1">
      <c r="B29" s="26" t="s">
        <v>55</v>
      </c>
      <c r="C29" s="10" t="s">
        <v>177</v>
      </c>
      <c r="D29" s="10"/>
    </row>
    <row r="30" spans="2:4" ht="16.2" customHeight="1">
      <c r="B30" s="26" t="s">
        <v>55</v>
      </c>
      <c r="C30" s="10" t="s">
        <v>178</v>
      </c>
      <c r="D30" s="10"/>
    </row>
    <row r="31" spans="2:4" ht="29.4" customHeight="1">
      <c r="B31" s="26" t="s">
        <v>55</v>
      </c>
      <c r="C31" s="10" t="s">
        <v>179</v>
      </c>
      <c r="D31" s="10"/>
    </row>
    <row r="33" spans="2:4" ht="21" customHeight="1">
      <c r="B33" s="8" t="s">
        <v>180</v>
      </c>
      <c r="C33" s="8"/>
      <c r="D33" s="8"/>
    </row>
    <row r="34" spans="2:4" ht="5" customHeight="1"/>
    <row r="35" spans="2:4" ht="42.6" customHeight="1">
      <c r="B35" s="10" t="s">
        <v>181</v>
      </c>
      <c r="C35" s="10"/>
      <c r="D35" s="10"/>
    </row>
    <row r="36" spans="2:4">
      <c r="B36" s="24" t="s">
        <v>182</v>
      </c>
      <c r="C36" s="24"/>
      <c r="D36" s="24"/>
    </row>
    <row r="38" spans="2:4" ht="21" customHeight="1">
      <c r="B38" s="8" t="s">
        <v>42</v>
      </c>
      <c r="C38" s="8"/>
      <c r="D38" s="8"/>
    </row>
    <row r="39" spans="2:4" ht="5" customHeight="1"/>
    <row r="40" spans="2:4" ht="42.6" customHeight="1">
      <c r="B40" s="10" t="s">
        <v>183</v>
      </c>
      <c r="C40" s="10"/>
      <c r="D40" s="10"/>
    </row>
    <row r="42" spans="2:4" ht="21" customHeight="1">
      <c r="B42" s="8" t="s">
        <v>184</v>
      </c>
      <c r="C42" s="8"/>
      <c r="D42" s="8"/>
    </row>
    <row r="43" spans="2:4" ht="5" customHeight="1"/>
    <row r="44" spans="2:4" ht="16.2" customHeight="1">
      <c r="B44" s="26" t="s">
        <v>55</v>
      </c>
      <c r="C44" s="10" t="s">
        <v>185</v>
      </c>
      <c r="D44" s="10"/>
    </row>
    <row r="45" spans="2:4" ht="16.2" customHeight="1">
      <c r="B45" s="26" t="s">
        <v>55</v>
      </c>
      <c r="C45" s="10" t="s">
        <v>186</v>
      </c>
      <c r="D45" s="10"/>
    </row>
    <row r="46" spans="2:4" ht="16.2" customHeight="1">
      <c r="B46" s="26" t="s">
        <v>55</v>
      </c>
      <c r="C46" s="10" t="s">
        <v>187</v>
      </c>
      <c r="D46" s="10"/>
    </row>
    <row r="47" spans="2:4">
      <c r="B47" s="21" t="s">
        <v>188</v>
      </c>
      <c r="C47" s="21"/>
      <c r="D47" s="21"/>
    </row>
    <row r="49" spans="2:4" ht="21" customHeight="1">
      <c r="B49" s="8" t="s">
        <v>189</v>
      </c>
      <c r="C49" s="8"/>
      <c r="D49" s="8"/>
    </row>
    <row r="50" spans="2:4" ht="5" customHeight="1"/>
    <row r="51" spans="2:4">
      <c r="B51" s="51" t="s">
        <v>50</v>
      </c>
      <c r="C51" s="51" t="s">
        <v>190</v>
      </c>
      <c r="D51" s="32" t="s">
        <v>107</v>
      </c>
    </row>
    <row r="52" spans="2:4" ht="16.2" customHeight="1">
      <c r="B52" s="65" t="s">
        <v>191</v>
      </c>
      <c r="C52" s="66" t="s">
        <v>192</v>
      </c>
      <c r="D52" s="67" t="s">
        <v>193</v>
      </c>
    </row>
    <row r="54" spans="2:4">
      <c r="B54" s="21" t="s">
        <v>61</v>
      </c>
      <c r="C54" s="21"/>
      <c r="D54" s="21"/>
    </row>
  </sheetData>
  <sheetProtection sheet="1" formatColumns="0" formatRows="0"/>
  <mergeCells count="26">
    <mergeCell ref="A1:D1"/>
    <mergeCell ref="B2:C2"/>
    <mergeCell ref="B4:D4"/>
    <mergeCell ref="B6:D6"/>
    <mergeCell ref="B8:D8"/>
    <mergeCell ref="B20:D20"/>
    <mergeCell ref="C22:D22"/>
    <mergeCell ref="C23:D23"/>
    <mergeCell ref="C24:D24"/>
    <mergeCell ref="B26:D26"/>
    <mergeCell ref="C28:D28"/>
    <mergeCell ref="C29:D29"/>
    <mergeCell ref="C30:D30"/>
    <mergeCell ref="C31:D31"/>
    <mergeCell ref="B33:D33"/>
    <mergeCell ref="B35:D35"/>
    <mergeCell ref="B36:D36"/>
    <mergeCell ref="B38:D38"/>
    <mergeCell ref="B40:D40"/>
    <mergeCell ref="B42:D42"/>
    <mergeCell ref="C44:D44"/>
    <mergeCell ref="C45:D45"/>
    <mergeCell ref="C46:D46"/>
    <mergeCell ref="B47:D47"/>
    <mergeCell ref="B49:D49"/>
    <mergeCell ref="B54:D54"/>
  </mergeCells>
  <hyperlinks>
    <hyperlink ref="D2" r:id="rId1" tooltip="Free manufacturing calculators and templates"/>
    <hyperlink ref="B36" r:id="rId2"/>
  </hyperlinks>
  <printOptions horizontalCentered="1"/>
  <pageMargins left="0.4" right="0.4" top="0.7" bottom="0.65" header="0.3" footer="0.3"/>
  <pageSetup fitToHeight="0" orientation="portrait"/>
  <headerFooter>
    <oddHeader>&amp;L&amp;8MFG Calcs - Pareto Analysis&amp;R&amp;8&amp;A</oddHeader>
    <oddFooter>&amp;L&amp;8mfgcalcs.com - free manufacturing templates&amp;R&amp;8Page &amp;P of &amp;N</oddFooter>
  </headerFooter>
  <rowBreaks count="1" manualBreakCount="1">
    <brk id="32"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L41"/>
  <sheetViews>
    <sheetView showGridLines="0" workbookViewId="0"/>
  </sheetViews>
  <sheetFormatPr defaultRowHeight="15"/>
  <cols>
    <col min="1" max="1" width="2.7109375" customWidth="1"/>
    <col min="2" max="19" width="12.7109375" customWidth="1"/>
  </cols>
  <sheetData>
    <row r="1" spans="1:12" ht="30" customHeight="1">
      <c r="A1" s="1" t="s">
        <v>0</v>
      </c>
      <c r="B1" s="1"/>
      <c r="C1" s="1"/>
      <c r="D1" s="1"/>
      <c r="E1" s="1"/>
      <c r="F1" s="1"/>
      <c r="G1" s="1"/>
      <c r="H1" s="1"/>
      <c r="I1" s="1"/>
      <c r="J1" s="1"/>
      <c r="K1" s="1"/>
      <c r="L1" s="1"/>
    </row>
    <row r="2" spans="1:12" ht="21" customHeight="1">
      <c r="B2" s="2" t="s">
        <v>28</v>
      </c>
      <c r="C2" s="2"/>
      <c r="D2" s="2"/>
      <c r="E2" s="2"/>
      <c r="F2" s="2"/>
      <c r="G2" s="2"/>
      <c r="H2" s="2"/>
      <c r="I2" s="2"/>
      <c r="J2" s="2"/>
      <c r="K2" s="2"/>
      <c r="L2" s="3" t="s">
        <v>2</v>
      </c>
    </row>
    <row r="3" spans="1:12" ht="6" customHeight="1"/>
    <row r="4" spans="1:12" ht="30" customHeight="1">
      <c r="B4" s="68" t="s">
        <v>194</v>
      </c>
      <c r="C4" s="68"/>
      <c r="D4" s="22" t="str">
        <f>IF(COUNTIF($K$11:$K$18,"PASS")=8,"PASS","FAIL")</f>
        <v>PASS</v>
      </c>
      <c r="E4" s="22"/>
      <c r="F4" s="23" t="str">
        <f>COUNTIF($K$11:$K$18,"PASS")&amp;" of 8 checks pass"</f>
        <v>8 of 8 checks pass</v>
      </c>
      <c r="G4" s="23"/>
      <c r="H4" s="23"/>
      <c r="I4" s="23"/>
      <c r="J4" s="23"/>
    </row>
    <row r="6" spans="1:12" ht="29.4" customHeight="1">
      <c r="B6" s="10" t="s">
        <v>195</v>
      </c>
      <c r="C6" s="10"/>
      <c r="D6" s="10"/>
      <c r="E6" s="10"/>
      <c r="F6" s="10"/>
      <c r="G6" s="10"/>
      <c r="H6" s="10"/>
      <c r="I6" s="10"/>
      <c r="J6" s="10"/>
      <c r="K6" s="10"/>
      <c r="L6" s="10"/>
    </row>
    <row r="8" spans="1:12" ht="21" customHeight="1">
      <c r="B8" s="8" t="s">
        <v>196</v>
      </c>
      <c r="C8" s="8"/>
      <c r="D8" s="8"/>
      <c r="E8" s="8"/>
      <c r="F8" s="8"/>
      <c r="G8" s="8"/>
      <c r="H8" s="8"/>
      <c r="I8" s="8"/>
      <c r="J8" s="8"/>
      <c r="K8" s="8"/>
      <c r="L8" s="8"/>
    </row>
    <row r="9" spans="1:12" ht="5" customHeight="1"/>
    <row r="10" spans="1:12" ht="30" customHeight="1">
      <c r="B10" s="32" t="s">
        <v>197</v>
      </c>
      <c r="C10" s="51" t="s">
        <v>111</v>
      </c>
      <c r="D10" s="51"/>
      <c r="E10" s="51"/>
      <c r="F10" s="51"/>
      <c r="G10" s="32" t="s">
        <v>198</v>
      </c>
      <c r="H10" s="32" t="s">
        <v>199</v>
      </c>
      <c r="I10" s="32" t="s">
        <v>200</v>
      </c>
      <c r="J10" s="32" t="s">
        <v>201</v>
      </c>
      <c r="K10" s="32" t="s">
        <v>202</v>
      </c>
    </row>
    <row r="11" spans="1:12" ht="16.2" customHeight="1">
      <c r="B11" s="52">
        <v>1</v>
      </c>
      <c r="C11" s="66" t="s">
        <v>203</v>
      </c>
      <c r="D11" s="66"/>
      <c r="E11" s="66"/>
      <c r="F11" s="66"/>
      <c r="G11" s="69">
        <v>23.4</v>
      </c>
      <c r="H11" s="39">
        <f>$G$33</f>
        <v>23.4</v>
      </c>
      <c r="I11" s="70">
        <f>IF(AND(ISNUMBER($G$11),ISNUMBER($H$11)),ABS($H$11-$G$11),"")</f>
        <v>0</v>
      </c>
      <c r="J11" s="71">
        <v>1E-09</v>
      </c>
      <c r="K11" s="72" t="str">
        <f>IF(AND(ISNUMBER($G$11),ISNUMBER($H$11)),IF(ABS($H$11-$G$11)&lt;=$J$11,"PASS","FAIL"),"FAIL")</f>
        <v>PASS</v>
      </c>
    </row>
    <row r="12" spans="1:12" ht="16.2" customHeight="1">
      <c r="B12" s="52">
        <v>2</v>
      </c>
      <c r="C12" s="66" t="s">
        <v>204</v>
      </c>
      <c r="D12" s="66"/>
      <c r="E12" s="66"/>
      <c r="F12" s="66"/>
      <c r="G12" s="69">
        <v>0</v>
      </c>
      <c r="H12" s="39">
        <f>$G$35</f>
        <v>0</v>
      </c>
      <c r="I12" s="70">
        <f>IF(AND(ISNUMBER($G$12),ISNUMBER($H$12)),ABS($H$12-$G$12),"")</f>
        <v>0</v>
      </c>
      <c r="J12" s="71">
        <v>1E-09</v>
      </c>
      <c r="K12" s="72" t="str">
        <f>IF(AND(ISNUMBER($G$12),ISNUMBER($H$12)),IF(ABS($H$12-$G$12)&lt;=$J$12,"PASS","FAIL"),"FAIL")</f>
        <v>PASS</v>
      </c>
    </row>
    <row r="13" spans="1:12" ht="16.2" customHeight="1">
      <c r="B13" s="52">
        <v>3</v>
      </c>
      <c r="C13" s="66" t="s">
        <v>205</v>
      </c>
      <c r="D13" s="66"/>
      <c r="E13" s="66"/>
      <c r="F13" s="66"/>
      <c r="G13" s="65" t="s">
        <v>206</v>
      </c>
      <c r="H13" s="53" t="str">
        <f>$I$36</f>
        <v>No Daily Output row</v>
      </c>
      <c r="I13" s="53"/>
      <c r="J13" s="67" t="s">
        <v>207</v>
      </c>
      <c r="K13" s="72" t="str">
        <f>IF($H$13&amp;""=$G$13&amp;"","PASS","FAIL")</f>
        <v>PASS</v>
      </c>
    </row>
    <row r="14" spans="1:12" ht="16.2" customHeight="1">
      <c r="B14" s="52">
        <v>4</v>
      </c>
      <c r="C14" s="66" t="s">
        <v>208</v>
      </c>
      <c r="D14" s="66"/>
      <c r="E14" s="66"/>
      <c r="F14" s="66"/>
      <c r="G14" s="73">
        <v>15</v>
      </c>
      <c r="H14" s="42">
        <f>$D$40</f>
        <v>15</v>
      </c>
      <c r="I14" s="70">
        <f>IF(AND(ISNUMBER($G$14),ISNUMBER($H$14)),ABS($H$14-$G$14),"")</f>
        <v>0</v>
      </c>
      <c r="J14" s="71">
        <v>1E-09</v>
      </c>
      <c r="K14" s="72" t="str">
        <f>IF(AND(ISNUMBER($G$14),ISNUMBER($H$14)),IF(ABS($H$14-$G$14)&lt;=$J$14,"PASS","FAIL"),"FAIL")</f>
        <v>PASS</v>
      </c>
    </row>
    <row r="15" spans="1:12" ht="16.2" customHeight="1">
      <c r="B15" s="52">
        <v>5</v>
      </c>
      <c r="C15" s="66" t="s">
        <v>209</v>
      </c>
      <c r="D15" s="66"/>
      <c r="E15" s="66"/>
      <c r="F15" s="66"/>
      <c r="G15" s="59">
        <v>0.0625</v>
      </c>
      <c r="H15" s="43">
        <f>$E$40</f>
        <v>0.0625</v>
      </c>
      <c r="I15" s="70">
        <f>IF(AND(ISNUMBER($G$15),ISNUMBER($H$15)),ABS($H$15-$G$15),"")</f>
        <v>0</v>
      </c>
      <c r="J15" s="71">
        <v>1E-09</v>
      </c>
      <c r="K15" s="72" t="str">
        <f>IF(AND(ISNUMBER($G$15),ISNUMBER($H$15)),IF(ABS($H$15-$G$15)&lt;=$J$15,"PASS","FAIL"),"FAIL")</f>
        <v>PASS</v>
      </c>
    </row>
    <row r="16" spans="1:12" ht="16.2" customHeight="1">
      <c r="B16" s="52">
        <v>6</v>
      </c>
      <c r="C16" s="66" t="s">
        <v>210</v>
      </c>
      <c r="D16" s="66"/>
      <c r="E16" s="66"/>
      <c r="F16" s="66"/>
      <c r="G16" s="73">
        <v>23</v>
      </c>
      <c r="H16" s="42">
        <f>SUMIFS(tblVerifyDefects[Count],tblVerifyDefects[View date],"&gt;0")</f>
        <v>23</v>
      </c>
      <c r="I16" s="70">
        <f>IF(AND(ISNUMBER($G$16),ISNUMBER($H$16)),ABS($H$16-$G$16),"")</f>
        <v>0</v>
      </c>
      <c r="J16" s="71">
        <v>1E-09</v>
      </c>
      <c r="K16" s="72" t="str">
        <f>IF(AND(ISNUMBER($G$16),ISNUMBER($H$16)),IF(ABS($H$16-$G$16)&lt;=$J$16,"PASS","FAIL"),"FAIL")</f>
        <v>PASS</v>
      </c>
    </row>
    <row r="17" spans="2:12" ht="16.2" customHeight="1">
      <c r="B17" s="52">
        <v>7</v>
      </c>
      <c r="C17" s="66" t="s">
        <v>211</v>
      </c>
      <c r="D17" s="66"/>
      <c r="E17" s="66"/>
      <c r="F17" s="66"/>
      <c r="G17" s="69">
        <v>33.4</v>
      </c>
      <c r="H17" s="39">
        <f>SUMIFS(tblVerifyDefects[Cost],tblVerifyDefects[View date],"&gt;0")</f>
        <v>33.4</v>
      </c>
      <c r="I17" s="70">
        <f>IF(AND(ISNUMBER($G$17),ISNUMBER($H$17)),ABS($H$17-$G$17),"")</f>
        <v>0</v>
      </c>
      <c r="J17" s="71">
        <v>1E-09</v>
      </c>
      <c r="K17" s="72" t="str">
        <f>IF(AND(ISNUMBER($G$17),ISNUMBER($H$17)),IF(ABS($H$17-$G$17)&lt;=$J$17,"PASS","FAIL"),"FAIL")</f>
        <v>PASS</v>
      </c>
    </row>
    <row r="18" spans="2:12" ht="16.2" customHeight="1">
      <c r="B18" s="52">
        <v>8</v>
      </c>
      <c r="C18" s="66" t="s">
        <v>212</v>
      </c>
      <c r="D18" s="66"/>
      <c r="E18" s="66"/>
      <c r="F18" s="66"/>
      <c r="G18" s="59">
        <v>0.0575</v>
      </c>
      <c r="H18" s="43">
        <f>IF((SUMIFS(tblVerifyOutput[Units inspected],tblVerifyOutput[Date],"&gt;="&amp;$E$24,tblVerifyOutput[Date],"&lt;="&amp;$E$25))=0,"",(SUMIFS(tblVerifyDefects[Count],tblVerifyDefects[View date],"&gt;0"))/(SUMIFS(tblVerifyOutput[Units inspected],tblVerifyOutput[Date],"&gt;="&amp;$E$24,tblVerifyOutput[Date],"&lt;="&amp;$E$25)))</f>
        <v>0.0575</v>
      </c>
      <c r="I18" s="70">
        <f>IF(AND(ISNUMBER($G$18),ISNUMBER($H$18)),ABS($H$18-$G$18),"")</f>
        <v>0</v>
      </c>
      <c r="J18" s="71">
        <v>1E-09</v>
      </c>
      <c r="K18" s="72" t="str">
        <f>IF(AND(ISNUMBER($G$18),ISNUMBER($H$18)),IF(ABS($H$18-$G$18)&lt;=$J$18,"PASS","FAIL"),"FAIL")</f>
        <v>PASS</v>
      </c>
    </row>
    <row r="20" spans="2:12" ht="21" customHeight="1">
      <c r="B20" s="8" t="s">
        <v>213</v>
      </c>
      <c r="C20" s="8"/>
      <c r="D20" s="8"/>
      <c r="E20" s="8"/>
      <c r="F20" s="8"/>
      <c r="G20" s="8"/>
      <c r="H20" s="8"/>
      <c r="I20" s="8"/>
      <c r="J20" s="8"/>
      <c r="K20" s="8"/>
      <c r="L20" s="8"/>
    </row>
    <row r="21" spans="2:12" ht="5" customHeight="1"/>
    <row r="22" spans="2:12">
      <c r="B22" s="21" t="s">
        <v>214</v>
      </c>
      <c r="C22" s="21"/>
      <c r="D22" s="21"/>
      <c r="E22" s="21"/>
      <c r="F22" s="21"/>
      <c r="G22" s="21"/>
      <c r="H22" s="21"/>
      <c r="I22" s="21"/>
      <c r="J22" s="21"/>
      <c r="K22" s="21"/>
      <c r="L22" s="21"/>
    </row>
    <row r="23" spans="2:12">
      <c r="B23" s="31" t="s">
        <v>215</v>
      </c>
      <c r="C23" s="31"/>
      <c r="D23" s="31"/>
      <c r="E23" s="31"/>
      <c r="F23" s="31"/>
    </row>
    <row r="24" spans="2:12">
      <c r="B24" s="27" t="s">
        <v>216</v>
      </c>
      <c r="C24" s="27"/>
      <c r="D24" s="27"/>
      <c r="E24" s="73">
        <v>0</v>
      </c>
      <c r="F24" s="7"/>
    </row>
    <row r="25" spans="2:12">
      <c r="B25" s="27" t="s">
        <v>217</v>
      </c>
      <c r="C25" s="27"/>
      <c r="D25" s="27"/>
      <c r="E25" s="73">
        <v>2958465</v>
      </c>
      <c r="F25" s="7"/>
    </row>
    <row r="26" spans="2:12">
      <c r="B26" s="27" t="s">
        <v>218</v>
      </c>
      <c r="C26" s="27"/>
      <c r="D26" s="27"/>
      <c r="E26" s="65" t="s">
        <v>114</v>
      </c>
      <c r="F26" s="65"/>
    </row>
    <row r="27" spans="2:12">
      <c r="B27" s="27" t="s">
        <v>142</v>
      </c>
      <c r="C27" s="27"/>
      <c r="D27" s="27"/>
      <c r="E27" s="59">
        <v>0.05</v>
      </c>
      <c r="F27" s="7"/>
    </row>
    <row r="29" spans="2:12">
      <c r="B29" s="31" t="s">
        <v>219</v>
      </c>
      <c r="C29" s="31"/>
      <c r="D29" s="31"/>
      <c r="E29" s="31"/>
      <c r="F29" s="31"/>
      <c r="G29" s="31"/>
      <c r="H29" s="31"/>
      <c r="I29" s="31"/>
      <c r="J29" s="31"/>
      <c r="K29" s="31"/>
      <c r="L29" s="31"/>
    </row>
    <row r="30" spans="2:12" ht="14" customHeight="1">
      <c r="B30" s="35"/>
      <c r="C30" s="35"/>
      <c r="D30" s="35"/>
      <c r="E30" s="35"/>
      <c r="F30" s="35" t="str">
        <f>Currency</f>
        <v>USD</v>
      </c>
      <c r="G30" s="35" t="str">
        <f>Currency</f>
        <v>USD</v>
      </c>
      <c r="H30" s="35"/>
      <c r="I30" s="35"/>
      <c r="J30" s="35"/>
    </row>
    <row r="31" spans="2:12" ht="32" customHeight="1">
      <c r="B31" s="32" t="s">
        <v>107</v>
      </c>
      <c r="C31" s="32" t="s">
        <v>62</v>
      </c>
      <c r="D31" s="32" t="s">
        <v>64</v>
      </c>
      <c r="E31" s="32" t="s">
        <v>108</v>
      </c>
      <c r="F31" s="32" t="s">
        <v>65</v>
      </c>
      <c r="G31" s="32" t="s">
        <v>109</v>
      </c>
      <c r="H31" s="32" t="s">
        <v>110</v>
      </c>
      <c r="I31" s="32" t="s">
        <v>111</v>
      </c>
      <c r="J31" s="32" t="s">
        <v>112</v>
      </c>
    </row>
    <row r="32" spans="2:12">
      <c r="B32" s="74">
        <v>46027</v>
      </c>
      <c r="C32" s="65" t="s">
        <v>220</v>
      </c>
      <c r="D32" s="65" t="s">
        <v>221</v>
      </c>
      <c r="E32" s="73">
        <v>12</v>
      </c>
      <c r="F32" s="69">
        <v>0.5</v>
      </c>
      <c r="G32" s="39">
        <f>IF(tblVerifyDefects[[#This Row],[Date]]="","",IF(tblVerifyDefects[[#This Row],[Cost per occurrence]]="","",tblVerifyDefects[[#This Row],[Count]]*tblVerifyDefects[[#This Row],[Cost per occurrence]]))</f>
        <v>6</v>
      </c>
      <c r="H32" s="40">
        <f>IF(tblVerifyDefects[[#This Row],[Date]]="","",IF(AND(tblVerifyDefects[[#This Row],[Date]]&gt;=$E$24,tblVerifyDefects[[#This Row],[Date]]&lt;=$E$25,OR($E$26="",tblVerifyDefects[[#This Row],[Area]]=$E$26)),tblVerifyDefects[[#This Row],[Date]],""))</f>
        <v>46027</v>
      </c>
      <c r="I32" s="41" t="str">
        <f>IF(tblVerifyDefects[[#This Row],[Date]]="","",IF(tblVerifyDefects[[#This Row],[Area]]="","Missing area",IF(tblVerifyDefects[[#This Row],[Category]]="","Missing category",IF(tblVerifyDefects[[#This Row],[Count]]="","Missing count",IF(tblVerifyDefects[[#This Row],[Cost per occurrence]]="","Category not on Setup list",IF(COUNTIFS(tblVerifyDefects[Date],tblVerifyDefects[[#This Row],[Date]],tblVerifyDefects[Area],tblVerifyDefects[[#This Row],[Area]],tblVerifyDefects[Category],tblVerifyDefects[[#This Row],[Category]])&gt;1,"Duplicate row: add the counts",IF(COUNTIFS(tblVerifyOutput[Date],tblVerifyDefects[[#This Row],[Date]])=0,"No Daily Output row","OK")))))))</f>
        <v>OK</v>
      </c>
      <c r="J32" s="65"/>
    </row>
    <row r="33" spans="2:12">
      <c r="B33" s="74">
        <v>46027</v>
      </c>
      <c r="C33" s="65" t="s">
        <v>220</v>
      </c>
      <c r="D33" s="65" t="s">
        <v>222</v>
      </c>
      <c r="E33" s="73">
        <v>3</v>
      </c>
      <c r="F33" s="69">
        <v>7.8</v>
      </c>
      <c r="G33" s="39">
        <f>IF(tblVerifyDefects[[#This Row],[Date]]="","",IF(tblVerifyDefects[[#This Row],[Cost per occurrence]]="","",tblVerifyDefects[[#This Row],[Count]]*tblVerifyDefects[[#This Row],[Cost per occurrence]]))</f>
        <v>23.4</v>
      </c>
      <c r="H33" s="40">
        <f>IF(tblVerifyDefects[[#This Row],[Date]]="","",IF(AND(tblVerifyDefects[[#This Row],[Date]]&gt;=$E$24,tblVerifyDefects[[#This Row],[Date]]&lt;=$E$25,OR($E$26="",tblVerifyDefects[[#This Row],[Area]]=$E$26)),tblVerifyDefects[[#This Row],[Date]],""))</f>
        <v>46027</v>
      </c>
      <c r="I33" s="41" t="str">
        <f>IF(tblVerifyDefects[[#This Row],[Date]]="","",IF(tblVerifyDefects[[#This Row],[Area]]="","Missing area",IF(tblVerifyDefects[[#This Row],[Category]]="","Missing category",IF(tblVerifyDefects[[#This Row],[Count]]="","Missing count",IF(tblVerifyDefects[[#This Row],[Cost per occurrence]]="","Category not on Setup list",IF(COUNTIFS(tblVerifyDefects[Date],tblVerifyDefects[[#This Row],[Date]],tblVerifyDefects[Area],tblVerifyDefects[[#This Row],[Area]],tblVerifyDefects[Category],tblVerifyDefects[[#This Row],[Category]])&gt;1,"Duplicate row: add the counts",IF(COUNTIFS(tblVerifyOutput[Date],tblVerifyDefects[[#This Row],[Date]])=0,"No Daily Output row","OK")))))))</f>
        <v>OK</v>
      </c>
      <c r="J33" s="65"/>
    </row>
    <row r="34" spans="2:12">
      <c r="B34" s="74">
        <v>46028</v>
      </c>
      <c r="C34" s="65" t="s">
        <v>223</v>
      </c>
      <c r="D34" s="65" t="s">
        <v>221</v>
      </c>
      <c r="E34" s="73">
        <v>6</v>
      </c>
      <c r="F34" s="69">
        <v>0.5</v>
      </c>
      <c r="G34" s="39">
        <f>IF(tblVerifyDefects[[#This Row],[Date]]="","",IF(tblVerifyDefects[[#This Row],[Cost per occurrence]]="","",tblVerifyDefects[[#This Row],[Count]]*tblVerifyDefects[[#This Row],[Cost per occurrence]]))</f>
        <v>3</v>
      </c>
      <c r="H34" s="40">
        <f>IF(tblVerifyDefects[[#This Row],[Date]]="","",IF(AND(tblVerifyDefects[[#This Row],[Date]]&gt;=$E$24,tblVerifyDefects[[#This Row],[Date]]&lt;=$E$25,OR($E$26="",tblVerifyDefects[[#This Row],[Area]]=$E$26)),tblVerifyDefects[[#This Row],[Date]],""))</f>
        <v>46028</v>
      </c>
      <c r="I34" s="41" t="str">
        <f>IF(tblVerifyDefects[[#This Row],[Date]]="","",IF(tblVerifyDefects[[#This Row],[Area]]="","Missing area",IF(tblVerifyDefects[[#This Row],[Category]]="","Missing category",IF(tblVerifyDefects[[#This Row],[Count]]="","Missing count",IF(tblVerifyDefects[[#This Row],[Cost per occurrence]]="","Category not on Setup list",IF(COUNTIFS(tblVerifyDefects[Date],tblVerifyDefects[[#This Row],[Date]],tblVerifyDefects[Area],tblVerifyDefects[[#This Row],[Area]],tblVerifyDefects[Category],tblVerifyDefects[[#This Row],[Category]])&gt;1,"Duplicate row: add the counts",IF(COUNTIFS(tblVerifyOutput[Date],tblVerifyDefects[[#This Row],[Date]])=0,"No Daily Output row","OK")))))))</f>
        <v>OK</v>
      </c>
      <c r="J34" s="65"/>
    </row>
    <row r="35" spans="2:12">
      <c r="B35" s="74">
        <v>46028</v>
      </c>
      <c r="C35" s="65" t="s">
        <v>223</v>
      </c>
      <c r="D35" s="65" t="s">
        <v>224</v>
      </c>
      <c r="E35" s="73">
        <v>0</v>
      </c>
      <c r="F35" s="69">
        <v>1.2</v>
      </c>
      <c r="G35" s="39">
        <f>IF(tblVerifyDefects[[#This Row],[Date]]="","",IF(tblVerifyDefects[[#This Row],[Cost per occurrence]]="","",tblVerifyDefects[[#This Row],[Count]]*tblVerifyDefects[[#This Row],[Cost per occurrence]]))</f>
        <v>0</v>
      </c>
      <c r="H35" s="40">
        <f>IF(tblVerifyDefects[[#This Row],[Date]]="","",IF(AND(tblVerifyDefects[[#This Row],[Date]]&gt;=$E$24,tblVerifyDefects[[#This Row],[Date]]&lt;=$E$25,OR($E$26="",tblVerifyDefects[[#This Row],[Area]]=$E$26)),tblVerifyDefects[[#This Row],[Date]],""))</f>
        <v>46028</v>
      </c>
      <c r="I35" s="41" t="str">
        <f>IF(tblVerifyDefects[[#This Row],[Date]]="","",IF(tblVerifyDefects[[#This Row],[Area]]="","Missing area",IF(tblVerifyDefects[[#This Row],[Category]]="","Missing category",IF(tblVerifyDefects[[#This Row],[Count]]="","Missing count",IF(tblVerifyDefects[[#This Row],[Cost per occurrence]]="","Category not on Setup list",IF(COUNTIFS(tblVerifyDefects[Date],tblVerifyDefects[[#This Row],[Date]],tblVerifyDefects[Area],tblVerifyDefects[[#This Row],[Area]],tblVerifyDefects[Category],tblVerifyDefects[[#This Row],[Category]])&gt;1,"Duplicate row: add the counts",IF(COUNTIFS(tblVerifyOutput[Date],tblVerifyDefects[[#This Row],[Date]])=0,"No Daily Output row","OK")))))))</f>
        <v>OK</v>
      </c>
      <c r="J35" s="65"/>
    </row>
    <row r="36" spans="2:12">
      <c r="B36" s="74">
        <v>46029</v>
      </c>
      <c r="C36" s="65" t="s">
        <v>220</v>
      </c>
      <c r="D36" s="65" t="s">
        <v>221</v>
      </c>
      <c r="E36" s="73">
        <v>2</v>
      </c>
      <c r="F36" s="69">
        <v>0.5</v>
      </c>
      <c r="G36" s="39">
        <f>IF(tblVerifyDefects[[#This Row],[Date]]="","",IF(tblVerifyDefects[[#This Row],[Cost per occurrence]]="","",tblVerifyDefects[[#This Row],[Count]]*tblVerifyDefects[[#This Row],[Cost per occurrence]]))</f>
        <v>1</v>
      </c>
      <c r="H36" s="40">
        <f>IF(tblVerifyDefects[[#This Row],[Date]]="","",IF(AND(tblVerifyDefects[[#This Row],[Date]]&gt;=$E$24,tblVerifyDefects[[#This Row],[Date]]&lt;=$E$25,OR($E$26="",tblVerifyDefects[[#This Row],[Area]]=$E$26)),tblVerifyDefects[[#This Row],[Date]],""))</f>
        <v>46029</v>
      </c>
      <c r="I36" s="41" t="str">
        <f>IF(tblVerifyDefects[[#This Row],[Date]]="","",IF(tblVerifyDefects[[#This Row],[Area]]="","Missing area",IF(tblVerifyDefects[[#This Row],[Category]]="","Missing category",IF(tblVerifyDefects[[#This Row],[Count]]="","Missing count",IF(tblVerifyDefects[[#This Row],[Cost per occurrence]]="","Category not on Setup list",IF(COUNTIFS(tblVerifyDefects[Date],tblVerifyDefects[[#This Row],[Date]],tblVerifyDefects[Area],tblVerifyDefects[[#This Row],[Area]],tblVerifyDefects[Category],tblVerifyDefects[[#This Row],[Category]])&gt;1,"Duplicate row: add the counts",IF(COUNTIFS(tblVerifyOutput[Date],tblVerifyDefects[[#This Row],[Date]])=0,"No Daily Output row","OK")))))))</f>
        <v>No Daily Output row</v>
      </c>
      <c r="J36" s="65"/>
    </row>
    <row r="38" spans="2:12">
      <c r="B38" s="31" t="s">
        <v>225</v>
      </c>
      <c r="C38" s="31"/>
      <c r="D38" s="31"/>
      <c r="E38" s="31"/>
      <c r="F38" s="31"/>
      <c r="G38" s="31"/>
      <c r="H38" s="31"/>
      <c r="I38" s="31"/>
      <c r="J38" s="31"/>
      <c r="K38" s="31"/>
      <c r="L38" s="31"/>
    </row>
    <row r="39" spans="2:12" ht="32" customHeight="1">
      <c r="B39" s="32" t="s">
        <v>107</v>
      </c>
      <c r="C39" s="32" t="s">
        <v>116</v>
      </c>
      <c r="D39" s="32" t="s">
        <v>117</v>
      </c>
      <c r="E39" s="32" t="s">
        <v>118</v>
      </c>
      <c r="F39" s="32" t="s">
        <v>111</v>
      </c>
      <c r="G39" s="32" t="s">
        <v>112</v>
      </c>
    </row>
    <row r="40" spans="2:12">
      <c r="B40" s="74">
        <v>46027</v>
      </c>
      <c r="C40" s="73">
        <v>240</v>
      </c>
      <c r="D40" s="42">
        <f>IF(tblVerifyOutput[[#This Row],[Date]]="","",SUMIFS(tblVerifyDefects[Count],tblVerifyDefects[Date],tblVerifyOutput[[#This Row],[Date]]))</f>
        <v>15</v>
      </c>
      <c r="E40" s="43">
        <f>IF(tblVerifyOutput[[#This Row],[Date]]="","",IF(tblVerifyOutput[[#This Row],[Units inspected]]&gt;0,tblVerifyOutput[[#This Row],[Defects logged]]/tblVerifyOutput[[#This Row],[Units inspected]],""))</f>
        <v>0.0625</v>
      </c>
      <c r="F40" s="41" t="str">
        <f>IF(tblVerifyOutput[[#This Row],[Date]]="","",IF(tblVerifyOutput[[#This Row],[Units inspected]]="","Missing units inspected",IF(COUNTIFS(tblVerifyOutput[Date],tblVerifyOutput[[#This Row],[Date]])&gt;1,"Duplicate date","OK")))</f>
        <v>OK</v>
      </c>
      <c r="G40" s="65"/>
    </row>
    <row r="41" spans="2:12">
      <c r="B41" s="74">
        <v>46028</v>
      </c>
      <c r="C41" s="73">
        <v>160</v>
      </c>
      <c r="D41" s="42">
        <f>IF(tblVerifyOutput[[#This Row],[Date]]="","",SUMIFS(tblVerifyDefects[Count],tblVerifyDefects[Date],tblVerifyOutput[[#This Row],[Date]]))</f>
        <v>6</v>
      </c>
      <c r="E41" s="43">
        <f>IF(tblVerifyOutput[[#This Row],[Date]]="","",IF(tblVerifyOutput[[#This Row],[Units inspected]]&gt;0,tblVerifyOutput[[#This Row],[Defects logged]]/tblVerifyOutput[[#This Row],[Units inspected]],""))</f>
        <v>0.0375</v>
      </c>
      <c r="F41" s="41" t="str">
        <f>IF(tblVerifyOutput[[#This Row],[Date]]="","",IF(tblVerifyOutput[[#This Row],[Units inspected]]="","Missing units inspected",IF(COUNTIFS(tblVerifyOutput[Date],tblVerifyOutput[[#This Row],[Date]])&gt;1,"Duplicate date","OK")))</f>
        <v>OK</v>
      </c>
      <c r="G41" s="65"/>
    </row>
  </sheetData>
  <sheetProtection sheet="1" formatColumns="0" formatRows="0"/>
  <mergeCells count="26">
    <mergeCell ref="A1:L1"/>
    <mergeCell ref="B2:K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B20:L20"/>
    <mergeCell ref="B22:L22"/>
    <mergeCell ref="B23:F23"/>
    <mergeCell ref="B24:D24"/>
    <mergeCell ref="B25:D25"/>
    <mergeCell ref="B26:D26"/>
    <mergeCell ref="E26:F26"/>
    <mergeCell ref="B27:D27"/>
    <mergeCell ref="B29:L29"/>
    <mergeCell ref="B38:L38"/>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F40:F41">
    <cfRule type="expression" dxfId="3" priority="43">
      <formula>$F40="OK"</formula>
    </cfRule>
    <cfRule type="expression" dxfId="1" priority="44">
      <formula>AND($F40&lt;&gt;"",$F40&lt;&gt;"OK")</formula>
    </cfRule>
  </conditionalFormatting>
  <conditionalFormatting sqref="I32:I36">
    <cfRule type="expression" dxfId="3" priority="41">
      <formula>$I32="OK"</formula>
    </cfRule>
    <cfRule type="expression" dxfId="1" priority="42">
      <formula>AND($I32&lt;&gt;"",$I32&lt;&gt;"OK")</formula>
    </cfRule>
  </conditionalFormatting>
  <conditionalFormatting sqref="K11:K1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L2" r:id="rId1" tooltip="Free manufacturing calculators and templates"/>
  </hyperlinks>
  <printOptions horizontalCentered="1"/>
  <pageMargins left="0.4" right="0.4" top="0.7" bottom="0.65" header="0.3" footer="0.3"/>
  <pageSetup fitToHeight="0" orientation="landscape"/>
  <headerFooter>
    <oddHeader>&amp;L&amp;8MFG Calcs - Pareto Analysis&amp;R&amp;8&amp;A</oddHeader>
    <oddFooter>&amp;L&amp;8mfgcalcs.com - free manufacturing templates&amp;R&amp;8Page &amp;P of &amp;N</oddFooter>
  </headerFooter>
  <rowBreaks count="1" manualBreakCount="1">
    <brk id="28" max="16383" man="1"/>
  </rowBreak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23</vt:i4>
      </vt:variant>
    </vt:vector>
  </HeadingPairs>
  <TitlesOfParts>
    <vt:vector size="30" baseType="lpstr">
      <vt:lpstr>Start Here</vt:lpstr>
      <vt:lpstr>Setup</vt:lpstr>
      <vt:lpstr>Defect Log</vt:lpstr>
      <vt:lpstr>Daily Output</vt:lpstr>
      <vt:lpstr>Dashboard</vt:lpstr>
      <vt:lpstr>Method</vt:lpstr>
      <vt:lpstr>Verify</vt:lpstr>
      <vt:lpstr>Currency</vt:lpstr>
      <vt:lpstr>CutOff</vt:lpstr>
      <vt:lpstr>DashArea</vt:lpstr>
      <vt:lpstr>DashFrom</vt:lpstr>
      <vt:lpstr>DashTo</vt:lpstr>
      <vt:lpstr>KpiCost</vt:lpstr>
      <vt:lpstr>KpiCount</vt:lpstr>
      <vt:lpstr>KpiTop</vt:lpstr>
      <vt:lpstr>KpiVital</vt:lpstr>
      <vt:lpstr>PlantName</vt:lpstr>
      <vt:lpstr>'Daily Output'!Print_Area</vt:lpstr>
      <vt:lpstr>Dashboard!Print_Area</vt:lpstr>
      <vt:lpstr>'Defect Log'!Print_Area</vt:lpstr>
      <vt:lpstr>Method!Print_Area</vt:lpstr>
      <vt:lpstr>Setup!Print_Area</vt:lpstr>
      <vt:lpstr>'Start Here'!Print_Area</vt:lpstr>
      <vt:lpstr>Verify!Print_Area</vt:lpstr>
      <vt:lpstr>'Daily Output'!Print_Titles</vt:lpstr>
      <vt:lpstr>'Defect Log'!Print_Titles</vt:lpstr>
      <vt:lpstr>Method!Print_Titles</vt:lpstr>
      <vt:lpstr>SelfCheck</vt:lpstr>
      <vt:lpstr>SelfCheckSummary</vt:lpstr>
      <vt:lpstr>TargetDpu</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Pareto Analysis - free Excel template from MFG Calcs</dc:title>
  <dc:subject>Tally defects or problems by category and see the Pareto by count and by cost, the vital few and defects per unit update as you type.</dc:subject>
  <dc:creator>MFG Calcs</dc:creator>
  <cp:keywords>Pareto, Pareto chart, 80/20, vital few, defect tally, check sheet, DPU, cost of quality, root cause</cp:keywords>
  <dc:description>https://www.mfgcalcs.com/templates/pareto-analysis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pareto-analysis</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https://www.mfgcalcs.com/templates/pareto-analysis</vt:lpwstr>
  </property>
  <property fmtid="{D5CDD505-2E9C-101B-9397-08002B2CF9AE}" pid="7" name="Template sheet roles">
    <vt:lpwstr>Start Here=start;Setup=setup;Defect Log=work;Daily Output=work;Dashboard=dashboard;Method=method;Verify=verify</vt:lpwstr>
  </property>
</Properties>
</file>