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Assemblies" sheetId="3" r:id="rId3"/>
    <sheet name="Dashboard" sheetId="4" r:id="rId4"/>
    <sheet name="Method" sheetId="5" r:id="rId5"/>
    <sheet name="Verify" sheetId="6" r:id="rId6"/>
  </sheets>
  <definedNames>
    <definedName name="Cph">Setup!$C$9</definedName>
    <definedName name="Currency">Setup!$C$7</definedName>
    <definedName name="KpiBelow">Dashboard!$D$5</definedName>
    <definedName name="KpiLoss">Dashboard!$J$5</definedName>
    <definedName name="KpiMargin">Dashboard!$B$5</definedName>
    <definedName name="KpiMat">Dashboard!$G$5</definedName>
    <definedName name="LabourRate">Setup!$C$10</definedName>
    <definedName name="PlantName">Setup!$C$6</definedName>
    <definedName name="_xlnm.Print_Area" localSheetId="2">Assemblies!$A$1:$AC$16</definedName>
    <definedName name="_xlnm.Print_Area" localSheetId="3">Dashboard!$A$1:$L$58</definedName>
    <definedName name="_xlnm.Print_Area" localSheetId="4">Method!$A$1:$D$60</definedName>
    <definedName name="_xlnm.Print_Area" localSheetId="1">Setup!$A$1:$E$15</definedName>
    <definedName name="_xlnm.Print_Area" localSheetId="0">'Start Here'!$A$1:$F$56</definedName>
    <definedName name="_xlnm.Print_Area" localSheetId="5">Verify!$A$1:$AC$44</definedName>
    <definedName name="_xlnm.Print_Titles" localSheetId="2">Assemblies!$1:$6</definedName>
    <definedName name="_xlnm.Print_Titles" localSheetId="4">Method!$1:$2</definedName>
    <definedName name="SelfCheck">Verify!$D$4</definedName>
    <definedName name="SelfCheckSummary">Verify!$F$4</definedName>
    <definedName name="SmtRate">Setup!$C$8</definedName>
    <definedName name="TargetMargin">Setup!$C$13</definedName>
    <definedName name="TestRate">Setup!$C$12</definedName>
    <definedName name="ThtSec">Setup!$C$11</definedName>
  </definedNames>
  <calcPr calcId="124519" fullCalcOnLoad="1"/>
</workbook>
</file>

<file path=xl/sharedStrings.xml><?xml version="1.0" encoding="utf-8"?>
<sst xmlns="http://schemas.openxmlformats.org/spreadsheetml/2006/main" count="425" uniqueCount="237">
  <si>
    <t>PCB Assembly Cost</t>
  </si>
  <si>
    <t>Read this first: what the workbook does and how to use it.</t>
  </si>
  <si>
    <t>mfgcalcs.com</t>
  </si>
  <si>
    <t>Build the cost of every PCB assembly from bare board, BOM, SMT placements, through-hole joints, test, NRE and yield, and check each price against your target margin.</t>
  </si>
  <si>
    <t>For: EMS and contract electronics estimators, OEM buyers checking EMS quotes, and electronics plant managers.</t>
  </si>
  <si>
    <t>Version 1.0.0  ·  updated 15 October 2026</t>
  </si>
  <si>
    <t>Quick start</t>
  </si>
  <si>
    <t>1.</t>
  </si>
  <si>
    <t>On Setup, type your currency, SMT line cost per hour and effective placements per hour, hand assembly and test rates, and your target margin.</t>
  </si>
  <si>
    <t>2.</t>
  </si>
  <si>
    <t>On Assemblies, add one row per board: lot size, boards per panel, bare panel price, BOM cost and attrition.</t>
  </si>
  <si>
    <t>3.</t>
  </si>
  <si>
    <t>Add SMT placements, through-hole joints, test seconds, setup and NRE per lot, final yield and the price.</t>
  </si>
  <si>
    <t>4.</t>
  </si>
  <si>
    <t>Read the cost per good board, margin and status; the Check column names anything missing or impossible.</t>
  </si>
  <si>
    <t>5.</t>
  </si>
  <si>
    <t>Open the Dashboard: margin against target, where each board's cost goes and what yield loss costs.</t>
  </si>
  <si>
    <t>What is in this workbook</t>
  </si>
  <si>
    <t>Start Here</t>
  </si>
  <si>
    <t>Setup</t>
  </si>
  <si>
    <t>Currency, line, labour and test rates, and your target margin.</t>
  </si>
  <si>
    <t>Assemblies</t>
  </si>
  <si>
    <t>One row per board assembly: bare board, BOM, placements, joints, test, NRE, yield and price.</t>
  </si>
  <si>
    <t>Dashboard</t>
  </si>
  <si>
    <t>Margin against target, where each board's cost goes, and what yield loss costs.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</si>
  <si>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</si>
  <si>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</si>
  <si>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</si>
  <si>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</si>
  <si>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</si>
  <si>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</si>
  <si>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</si>
  <si>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</si>
  <si>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</si>
  <si>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</si>
  <si>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</si>
  <si>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</si>
  <si>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</si>
  <si>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</si>
  <si>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</si>
  <si>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</si>
  <si>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</si>
  <si>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</si>
  <si>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</si>
  <si>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</si>
  <si>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PCB Cost Per Board Calculator on mfgcalcs.com</t>
  </si>
  <si>
    <t>Latest version</t>
  </si>
  <si>
    <t>mfgcalcs.com/templates/pcb-assembly-cost</t>
  </si>
  <si>
    <t>More free templates</t>
  </si>
  <si>
    <t>mfgcalcs.com/templates</t>
  </si>
  <si>
    <t>Version</t>
  </si>
  <si>
    <t>1.0.0 (updated 15 October 2026)</t>
  </si>
  <si>
    <t>About the example data</t>
  </si>
  <si>
    <t>Every number already in this workbook is example data for Kestrel EMS, a fictional business invented for this template, so the dashboard and charts show something meaningful on day one. It costs ten board assemblies on one SMT line with hand soldering and test; rates, BOM costs and prices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</si>
  <si>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</si>
  <si>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</si>
  <si>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</si>
  <si>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</si>
  <si>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</si>
  <si>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</si>
  <si>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</si>
  <si>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</si>
  <si>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Rates and targets</t>
  </si>
  <si>
    <t>Company or site</t>
  </si>
  <si>
    <t>Kestrel EMS (example)</t>
  </si>
  <si>
    <t>Currency label</t>
  </si>
  <si>
    <t>USD</t>
  </si>
  <si>
    <t>SMT line cost per hour, operators included</t>
  </si>
  <si>
    <t>Effective placements per hour</t>
  </si>
  <si>
    <t>placements/h</t>
  </si>
  <si>
    <t>Hand assembly labour rate, loaded</t>
  </si>
  <si>
    <t>Time per through-hole joint</t>
  </si>
  <si>
    <t>s/joint</t>
  </si>
  <si>
    <t>Test station cost per hour, operator included</t>
  </si>
  <si>
    <t>Target margin on price</t>
  </si>
  <si>
    <t>Margin is on price: a 15% margin is a 17.6% markup on cost. 'Near target' means within 5% of the target (14.25% to 15% against 15%). Rates are examples: build the line rate from your own depreciation, labour and running costs (the Machine Hour Rate template builds one) and time your own placement rate.</t>
  </si>
  <si>
    <t>Assembly</t>
  </si>
  <si>
    <t>Description</t>
  </si>
  <si>
    <t>Lot size</t>
  </si>
  <si>
    <t>Boards per panel</t>
  </si>
  <si>
    <t>Panel price</t>
  </si>
  <si>
    <t>BOM cost</t>
  </si>
  <si>
    <t>Attrition</t>
  </si>
  <si>
    <t>SMT placements</t>
  </si>
  <si>
    <t>THT joints</t>
  </si>
  <si>
    <t>Test time (s)</t>
  </si>
  <si>
    <t>Setup and NRE</t>
  </si>
  <si>
    <t>Final yield</t>
  </si>
  <si>
    <t>Price</t>
  </si>
  <si>
    <t>Bare PCB</t>
  </si>
  <si>
    <t>Components</t>
  </si>
  <si>
    <t>SMT</t>
  </si>
  <si>
    <t>Through-hole</t>
  </si>
  <si>
    <t>Test</t>
  </si>
  <si>
    <t>Setup per board</t>
  </si>
  <si>
    <t>Yield loss</t>
  </si>
  <si>
    <t>Cost per good board</t>
  </si>
  <si>
    <t>Margin</t>
  </si>
  <si>
    <t>Margin status</t>
  </si>
  <si>
    <t>Lot cost</t>
  </si>
  <si>
    <t>Lot value</t>
  </si>
  <si>
    <t>Lot margin</t>
  </si>
  <si>
    <t>Check</t>
  </si>
  <si>
    <t>Notes</t>
  </si>
  <si>
    <t>Example data for Kestrel EMS (fictional). Replace it with your own: select the example rows, right-click, Delete &gt; Table Rows. Yellow = you type; blue = calculated; Check names any problem.</t>
  </si>
  <si>
    <t>boards</t>
  </si>
  <si>
    <t>%</t>
  </si>
  <si>
    <t>per board</t>
  </si>
  <si>
    <t>s/board</t>
  </si>
  <si>
    <t>% of price</t>
  </si>
  <si>
    <t>KA-100</t>
  </si>
  <si>
    <t>Sensor node</t>
  </si>
  <si>
    <t/>
  </si>
  <si>
    <t>KA-110</t>
  </si>
  <si>
    <t>Motor driver</t>
  </si>
  <si>
    <t>KA-120</t>
  </si>
  <si>
    <t>LED driver</t>
  </si>
  <si>
    <t>KA-130</t>
  </si>
  <si>
    <t>Gateway mainboard</t>
  </si>
  <si>
    <t>KA-140</t>
  </si>
  <si>
    <t>Power supply</t>
  </si>
  <si>
    <t>KA-150</t>
  </si>
  <si>
    <t>Display board</t>
  </si>
  <si>
    <t>KA-160</t>
  </si>
  <si>
    <t>Medical sensor interface</t>
  </si>
  <si>
    <t>Full functional test per board</t>
  </si>
  <si>
    <t>KA-170</t>
  </si>
  <si>
    <t>Keypad controller</t>
  </si>
  <si>
    <t>KA-180</t>
  </si>
  <si>
    <t>Battery management</t>
  </si>
  <si>
    <t>KA-190</t>
  </si>
  <si>
    <t>Relay board</t>
  </si>
  <si>
    <t>WEIGHTED MARGIN ON PRICE</t>
  </si>
  <si>
    <t>ASSEMBLIES BELOW TARGET MARGIN</t>
  </si>
  <si>
    <t>MATERIAL SHARE OF COST</t>
  </si>
  <si>
    <t>Margin status on Assemblies</t>
  </si>
  <si>
    <t>Bare PCB + components, all lots</t>
  </si>
  <si>
    <t>Boards built but not shipped, all lots</t>
  </si>
  <si>
    <t>By assembly: cost per good board, price and margin</t>
  </si>
  <si>
    <t>Target margin</t>
  </si>
  <si>
    <t>Chart data: share of cost per good board by element (assembly = SMT + through-hole)</t>
  </si>
  <si>
    <t>The Dashboard shows the first 10 assemblies. The tiles cover every assembly; to chart more, extend the By assembly and chart data blocks (see Method).</t>
  </si>
  <si>
    <t>What this workbook calculates</t>
  </si>
  <si>
    <t>A good board costs its share of the bare panel, its components with attrition, the SMT line time for its placements, the hand time for its through-hole joints, its test time, the boards built but not shipped, and its share of the lot's setup and NRE. Each assembly is a row on Assemblies, costed against the line, labour and test rates on Setup, so one rate change re-prices every board.</t>
  </si>
  <si>
    <t>Calculations</t>
  </si>
  <si>
    <t>Quantity</t>
  </si>
  <si>
    <t>How it is calculated</t>
  </si>
  <si>
    <t>Units</t>
  </si>
  <si>
    <t>Panel price / boards per panel.</t>
  </si>
  <si>
    <t>currency/board</t>
  </si>
  <si>
    <t>BOM cost x (1 + attrition).</t>
  </si>
  <si>
    <t>Placements / effective placements per hour x SMT line cost per hour.</t>
  </si>
  <si>
    <t>Joints x seconds per joint / 3600 x labour rate.</t>
  </si>
  <si>
    <t>Test seconds / 3600 x test station cost per hour.</t>
  </si>
  <si>
    <t>Setup and NRE per lot / lot size (good boards).</t>
  </si>
  <si>
    <t>(Bare PCB + components + SMT + through-hole + test) x (1 / final yield - 1).</t>
  </si>
  <si>
    <t>Bare PCB + components + SMT + through-hole + test + yield loss + setup per board.</t>
  </si>
  <si>
    <t>Margin and status</t>
  </si>
  <si>
    <t>(Price - cost per good board) / price. On target at or above target, Near target within 5% of it, else Below target.</t>
  </si>
  <si>
    <t>Lot cost, value, margin</t>
  </si>
  <si>
    <t>Cost per good board, price and price - cost, each x lot size.</t>
  </si>
  <si>
    <t>currency/lot</t>
  </si>
  <si>
    <t>Weighted margin</t>
  </si>
  <si>
    <t>Sum of lot margin / sum of lot value over priced lots (not an average of percentages).</t>
  </si>
  <si>
    <t>Material share</t>
  </si>
  <si>
    <t>Sum of (bare PCB + components) x lot size / sum of lot cost.</t>
  </si>
  <si>
    <t>Yield loss (tile)</t>
  </si>
  <si>
    <t>Sum of yield loss x lot size.</t>
  </si>
  <si>
    <t>currency</t>
  </si>
  <si>
    <t>Assumptions</t>
  </si>
  <si>
    <t>Every board built is fully built and tested; boards that fail final test after rework are scrapped, so good boards carry their cost (1 / yield).</t>
  </si>
  <si>
    <t>Setup and NRE are charged into the lot and spread over the good boards ordered; bill them separately by setting them to 0.</t>
  </si>
  <si>
    <t>One SMT line rate and one effective placement rate for all boards; double-sided boards count the placements of both sides.</t>
  </si>
  <si>
    <t>Attrition is a share of BOM cost: the extra parts bought for machine losses and minimum order quantities.</t>
  </si>
  <si>
    <t>Limitations</t>
  </si>
  <si>
    <t>No component price breaks by volume: type the BOM cost at the lot's volume.</t>
  </si>
  <si>
    <t>Conformal coating, box build, programming time per board and freight are not modelled: add them to the BOM cost or the test seconds, or extend the table.</t>
  </si>
  <si>
    <t>The Dashboard's assembly blocks have 10 slots; a warning appears when the table is longer. The tiles cover every assembly.</t>
  </si>
  <si>
    <t>Yield is your measured final yield; the workbook does not model first-pass yield and rework cost separately.</t>
  </si>
  <si>
    <t>Agreement with the live calculator</t>
  </si>
  <si>
    <t>The live PCB Cost Per Board calculator divides a total bare PCB cost by the usable boards it represents (and multiplies by an optional allocation factor). The Bare PCB column here is the same quantity for one panel: panel price / boards per panel, with the factor at 1. The build runs the calculator's own example (1,850 for 720 boards: 2.5694 per board) and example assembly KA-110 through its engine. Components, assembly, test, NRE, yield and margin are this workbook's own build-up, stated above; the calculator does not compute them.</t>
  </si>
  <si>
    <t>Open the PCB Cost Per Board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</si>
  <si>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</si>
  <si>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</si>
  <si>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IPC-7351 (land pattern) and IPC-A-610 (acceptability of electronic assemblies) name the assembly and joint terms used here; no content is reproduced.</t>
  </si>
  <si>
    <t>Placement rate: the rated CPH of a placement machine is measured under IPC-9850 conditions; the effective rate on your boards is lower and is the one to use.</t>
  </si>
  <si>
    <t>Absorption costing of machine and labour time as in management accounting texts, e.g. Horngren, Datar and Rajan, Cost Accounting.</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</si>
  <si>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</si>
  <si>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</si>
  <si>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</si>
  <si>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</si>
  <si>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</si>
  <si>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</si>
  <si>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</si>
  <si>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</si>
  <si>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</si>
  <si>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</si>
  <si>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</si>
  <si>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</si>
  <si>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</si>
  <si>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</si>
  <si>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</si>
  <si>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</si>
  <si>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T-1: bare PCB per board (calculator: 2.5694)</t>
  </si>
  <si>
    <t>T-1: components with 2% attrition</t>
  </si>
  <si>
    <t>T-1: SMT per board</t>
  </si>
  <si>
    <t>T-1: through-hole per board</t>
  </si>
  <si>
    <t>T-1: test per board</t>
  </si>
  <si>
    <t>T-1: yield loss per good board</t>
  </si>
  <si>
    <t>T-1: cost per good board</t>
  </si>
  <si>
    <t>T-1: margin on a 22.00 price</t>
  </si>
  <si>
    <t>T-1: margin status against 15%</t>
  </si>
  <si>
    <t>Below target</t>
  </si>
  <si>
    <t>exact</t>
  </si>
  <si>
    <t>T-2: yield 100% gives no yield loss</t>
  </si>
  <si>
    <t>T-2: cost per good board</t>
  </si>
  <si>
    <t>T-2: lot margin</t>
  </si>
  <si>
    <t>T-3: Check names the missing yield</t>
  </si>
  <si>
    <t>Missing final yield</t>
  </si>
  <si>
    <t>Weighted margin (Dashboard formula)</t>
  </si>
  <si>
    <t>Yield loss (Dashboard formula)</t>
  </si>
  <si>
    <t>Assemblies below target (Dashboard formula)</t>
  </si>
  <si>
    <t>Fixed test inputs</t>
  </si>
  <si>
    <t>White cells are fixed test inputs; blue cells are the workbook's formulas evaluated on them.</t>
  </si>
  <si>
    <t>Parameters</t>
  </si>
  <si>
    <t>SMT line cost per hour</t>
  </si>
  <si>
    <t>Labour rate</t>
  </si>
  <si>
    <t>Seconds per through-hole joint</t>
  </si>
  <si>
    <t>Test station cost per hour</t>
  </si>
  <si>
    <t>Test table: Boards</t>
  </si>
  <si>
    <t>T-1</t>
  </si>
  <si>
    <t>Calculator example panel</t>
  </si>
  <si>
    <t>T-2</t>
  </si>
  <si>
    <t>Perfect yield, no NRE</t>
  </si>
  <si>
    <t>T-3</t>
  </si>
  <si>
    <t>Missing yield</t>
  </si>
  <si>
    <t>Check speaks</t>
  </si>
</sst>
</file>

<file path=xl/styles.xml><?xml version="1.0" encoding="utf-8"?>
<styleSheet xmlns="http://schemas.openxmlformats.org/spreadsheetml/2006/main">
  <numFmts count="7">
    <numFmt numFmtId="164" formatCode="#,##0.00"/>
    <numFmt numFmtId="165" formatCode="#,##0"/>
    <numFmt numFmtId="166" formatCode="#,##0.0"/>
    <numFmt numFmtId="167" formatCode="0.0%"/>
    <numFmt numFmtId="168" formatCode="&quot;Target &quot;0.0%"/>
    <numFmt numFmtId="169" formatCode="#,##0.0000"/>
    <numFmt numFmtId="170"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6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4"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5"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8" fontId="22" fillId="9" borderId="7" xfId="0" applyNumberFormat="1" applyFont="1" applyFill="1" applyBorder="1" applyAlignment="1">
      <alignment horizontal="left" vertical="center"/>
    </xf>
    <xf numFmtId="0" fontId="22" fillId="9" borderId="7" xfId="0" applyFont="1" applyFill="1" applyBorder="1" applyAlignment="1">
      <alignment vertical="center"/>
    </xf>
    <xf numFmtId="0" fontId="21" fillId="9" borderId="8" xfId="0" applyFont="1" applyFill="1" applyBorder="1" applyAlignment="1">
      <alignment vertical="center"/>
    </xf>
    <xf numFmtId="0" fontId="23" fillId="0" borderId="0" xfId="0" applyFont="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0" fontId="10" fillId="0" borderId="9" xfId="0" applyFont="1" applyBorder="1" applyAlignment="1">
      <alignment vertical="center"/>
    </xf>
    <xf numFmtId="167" fontId="10" fillId="0" borderId="9" xfId="0" applyNumberFormat="1" applyFont="1" applyBorder="1" applyAlignment="1">
      <alignment vertical="center"/>
    </xf>
    <xf numFmtId="0" fontId="10" fillId="4" borderId="3" xfId="0"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9" fontId="10" fillId="0" borderId="9" xfId="0" applyNumberFormat="1" applyFont="1" applyBorder="1" applyAlignment="1">
      <alignment vertical="center"/>
    </xf>
    <xf numFmtId="169"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164" fontId="10" fillId="0" borderId="9" xfId="0" applyNumberFormat="1" applyFont="1" applyBorder="1" applyAlignment="1">
      <alignment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of each board goes</a:t>
            </a:r>
          </a:p>
        </c:rich>
      </c:tx>
      <c:layout/>
    </c:title>
    <c:plotArea>
      <c:layout/>
      <c:barChart>
        <c:barDir val="bar"/>
        <c:grouping val="stacked"/>
        <c:ser>
          <c:idx val="0"/>
          <c:order val="0"/>
          <c:tx>
            <c:v>Bare PCB</c:v>
          </c:tx>
          <c:spPr>
            <a:solidFill>
              <a:srgbClr val="3B64D8"/>
            </a:solidFill>
            <a:ln w="9525">
              <a:solidFill>
                <a:srgbClr val="FFFFFF"/>
              </a:solidFill>
            </a:ln>
          </c:spPr>
          <c:cat>
            <c:strRef>
              <c:f>Dashboard!$B$45:$B$54</c:f>
              <c:strCache>
                <c:ptCount val="10"/>
                <c:pt idx="0">
                  <c:v>KA-100</c:v>
                </c:pt>
                <c:pt idx="1">
                  <c:v>KA-110</c:v>
                </c:pt>
                <c:pt idx="2">
                  <c:v>KA-120</c:v>
                </c:pt>
                <c:pt idx="3">
                  <c:v>KA-130</c:v>
                </c:pt>
                <c:pt idx="4">
                  <c:v>KA-140</c:v>
                </c:pt>
                <c:pt idx="5">
                  <c:v>KA-150</c:v>
                </c:pt>
                <c:pt idx="6">
                  <c:v>KA-160</c:v>
                </c:pt>
                <c:pt idx="7">
                  <c:v>KA-170</c:v>
                </c:pt>
                <c:pt idx="8">
                  <c:v>KA-180</c:v>
                </c:pt>
                <c:pt idx="9">
                  <c:v>KA-190</c:v>
                </c:pt>
              </c:strCache>
            </c:strRef>
          </c:cat>
          <c:val>
            <c:numRef>
              <c:f>Dashboard!$C$45:$C$54</c:f>
              <c:numCache>
                <c:formatCode>General</c:formatCode>
                <c:ptCount val="10"/>
                <c:pt idx="0">
                  <c:v>0.276415792960985</c:v>
                </c:pt>
                <c:pt idx="1">
                  <c:v>0.316242209933667</c:v>
                </c:pt>
                <c:pt idx="2">
                  <c:v>0.333550459333797</c:v>
                </c:pt>
                <c:pt idx="3">
                  <c:v>0.29696683544716</c:v>
                </c:pt>
                <c:pt idx="4">
                  <c:v>0.279865250064784</c:v>
                </c:pt>
                <c:pt idx="5">
                  <c:v>0.255295896712541</c:v>
                </c:pt>
                <c:pt idx="6">
                  <c:v>0.243055555555556</c:v>
                </c:pt>
                <c:pt idx="7">
                  <c:v>0.353125562961629</c:v>
                </c:pt>
                <c:pt idx="8">
                  <c:v>0.254788045886465</c:v>
                </c:pt>
                <c:pt idx="9">
                  <c:v>0.274146759658146</c:v>
                </c:pt>
              </c:numCache>
            </c:numRef>
          </c:val>
        </c:ser>
        <c:ser>
          <c:idx val="1"/>
          <c:order val="1"/>
          <c:tx>
            <c:v>Components</c:v>
          </c:tx>
          <c:spPr>
            <a:solidFill>
              <a:srgbClr val="E8702A"/>
            </a:solidFill>
            <a:ln w="9525">
              <a:solidFill>
                <a:srgbClr val="FFFFFF"/>
              </a:solidFill>
            </a:ln>
          </c:spPr>
          <c:cat>
            <c:strRef>
              <c:f>Dashboard!$B$45:$B$54</c:f>
              <c:strCache>
                <c:ptCount val="10"/>
                <c:pt idx="0">
                  <c:v>KA-100</c:v>
                </c:pt>
                <c:pt idx="1">
                  <c:v>KA-110</c:v>
                </c:pt>
                <c:pt idx="2">
                  <c:v>KA-120</c:v>
                </c:pt>
                <c:pt idx="3">
                  <c:v>KA-130</c:v>
                </c:pt>
                <c:pt idx="4">
                  <c:v>KA-140</c:v>
                </c:pt>
                <c:pt idx="5">
                  <c:v>KA-150</c:v>
                </c:pt>
                <c:pt idx="6">
                  <c:v>KA-160</c:v>
                </c:pt>
                <c:pt idx="7">
                  <c:v>KA-170</c:v>
                </c:pt>
                <c:pt idx="8">
                  <c:v>KA-180</c:v>
                </c:pt>
                <c:pt idx="9">
                  <c:v>KA-190</c:v>
                </c:pt>
              </c:strCache>
            </c:strRef>
          </c:cat>
          <c:val>
            <c:numRef>
              <c:f>Dashboard!$D$45:$D$54</c:f>
              <c:numCache>
                <c:formatCode>General</c:formatCode>
                <c:ptCount val="10"/>
                <c:pt idx="0">
                  <c:v>0.504531563151946</c:v>
                </c:pt>
                <c:pt idx="1">
                  <c:v>0.454318424055474</c:v>
                </c:pt>
                <c:pt idx="2">
                  <c:v>0.437618202645942</c:v>
                </c:pt>
                <c:pt idx="3">
                  <c:v>0.435845232086746</c:v>
                </c:pt>
                <c:pt idx="4">
                  <c:v>0.497110650427572</c:v>
                </c:pt>
                <c:pt idx="5">
                  <c:v>0.468723266364226</c:v>
                </c:pt>
                <c:pt idx="6">
                  <c:v>0.406805555555556</c:v>
                </c:pt>
                <c:pt idx="7">
                  <c:v>0.347186633039092</c:v>
                </c:pt>
                <c:pt idx="8">
                  <c:v>0.532961203288858</c:v>
                </c:pt>
                <c:pt idx="9">
                  <c:v>0.459835498199929</c:v>
                </c:pt>
              </c:numCache>
            </c:numRef>
          </c:val>
        </c:ser>
        <c:ser>
          <c:idx val="2"/>
          <c:order val="2"/>
          <c:tx>
            <c:v>Assembly</c:v>
          </c:tx>
          <c:spPr>
            <a:solidFill>
              <a:srgbClr val="1BA37A"/>
            </a:solidFill>
            <a:ln w="9525">
              <a:solidFill>
                <a:srgbClr val="FFFFFF"/>
              </a:solidFill>
            </a:ln>
          </c:spPr>
          <c:cat>
            <c:strRef>
              <c:f>Dashboard!$B$45:$B$54</c:f>
              <c:strCache>
                <c:ptCount val="10"/>
                <c:pt idx="0">
                  <c:v>KA-100</c:v>
                </c:pt>
                <c:pt idx="1">
                  <c:v>KA-110</c:v>
                </c:pt>
                <c:pt idx="2">
                  <c:v>KA-120</c:v>
                </c:pt>
                <c:pt idx="3">
                  <c:v>KA-130</c:v>
                </c:pt>
                <c:pt idx="4">
                  <c:v>KA-140</c:v>
                </c:pt>
                <c:pt idx="5">
                  <c:v>KA-150</c:v>
                </c:pt>
                <c:pt idx="6">
                  <c:v>KA-160</c:v>
                </c:pt>
                <c:pt idx="7">
                  <c:v>KA-170</c:v>
                </c:pt>
                <c:pt idx="8">
                  <c:v>KA-180</c:v>
                </c:pt>
                <c:pt idx="9">
                  <c:v>KA-190</c:v>
                </c:pt>
              </c:strCache>
            </c:strRef>
          </c:cat>
          <c:val>
            <c:numRef>
              <c:f>Dashboard!$E$45:$E$54</c:f>
              <c:numCache>
                <c:formatCode>General</c:formatCode>
                <c:ptCount val="10"/>
                <c:pt idx="0">
                  <c:v>0.108202234744596</c:v>
                </c:pt>
                <c:pt idx="1">
                  <c:v>0.116644722817841</c:v>
                </c:pt>
                <c:pt idx="2">
                  <c:v>0.135421486489522</c:v>
                </c:pt>
                <c:pt idx="3">
                  <c:v>0.108485697074291</c:v>
                </c:pt>
                <c:pt idx="4">
                  <c:v>0.108428349313294</c:v>
                </c:pt>
                <c:pt idx="5">
                  <c:v>0.104609050360261</c:v>
                </c:pt>
                <c:pt idx="6">
                  <c:v>0.0494212962962963</c:v>
                </c:pt>
                <c:pt idx="7">
                  <c:v>0.191008827238335</c:v>
                </c:pt>
                <c:pt idx="8">
                  <c:v>0.0967363743784156</c:v>
                </c:pt>
                <c:pt idx="9">
                  <c:v>0.164894199142529</c:v>
                </c:pt>
              </c:numCache>
            </c:numRef>
          </c:val>
        </c:ser>
        <c:ser>
          <c:idx val="3"/>
          <c:order val="3"/>
          <c:tx>
            <c:v>Test</c:v>
          </c:tx>
          <c:spPr>
            <a:solidFill>
              <a:srgbClr val="E0A100"/>
            </a:solidFill>
            <a:ln w="9525">
              <a:solidFill>
                <a:srgbClr val="FFFFFF"/>
              </a:solidFill>
            </a:ln>
          </c:spPr>
          <c:cat>
            <c:strRef>
              <c:f>Dashboard!$B$45:$B$54</c:f>
              <c:strCache>
                <c:ptCount val="10"/>
                <c:pt idx="0">
                  <c:v>KA-100</c:v>
                </c:pt>
                <c:pt idx="1">
                  <c:v>KA-110</c:v>
                </c:pt>
                <c:pt idx="2">
                  <c:v>KA-120</c:v>
                </c:pt>
                <c:pt idx="3">
                  <c:v>KA-130</c:v>
                </c:pt>
                <c:pt idx="4">
                  <c:v>KA-140</c:v>
                </c:pt>
                <c:pt idx="5">
                  <c:v>KA-150</c:v>
                </c:pt>
                <c:pt idx="6">
                  <c:v>KA-160</c:v>
                </c:pt>
                <c:pt idx="7">
                  <c:v>KA-170</c:v>
                </c:pt>
                <c:pt idx="8">
                  <c:v>KA-180</c:v>
                </c:pt>
                <c:pt idx="9">
                  <c:v>KA-190</c:v>
                </c:pt>
              </c:strCache>
            </c:strRef>
          </c:cat>
          <c:val>
            <c:numRef>
              <c:f>Dashboard!$F$45:$F$54</c:f>
              <c:numCache>
                <c:formatCode>General</c:formatCode>
                <c:ptCount val="10"/>
                <c:pt idx="0">
                  <c:v>0.02778302012583</c:v>
                </c:pt>
                <c:pt idx="1">
                  <c:v>0.0167243476407228</c:v>
                </c:pt>
                <c:pt idx="2">
                  <c:v>0.0305754587722648</c:v>
                </c:pt>
                <c:pt idx="3">
                  <c:v>0.0170137249474935</c:v>
                </c:pt>
                <c:pt idx="4">
                  <c:v>0.0213785954910599</c:v>
                </c:pt>
                <c:pt idx="5">
                  <c:v>0.0171235052673046</c:v>
                </c:pt>
                <c:pt idx="6">
                  <c:v>0.0318287037037037</c:v>
                </c:pt>
                <c:pt idx="7">
                  <c:v>0.024522608539002</c:v>
                </c:pt>
                <c:pt idx="8">
                  <c:v>0.0203091920634139</c:v>
                </c:pt>
                <c:pt idx="9">
                  <c:v>0.0186149034335778</c:v>
                </c:pt>
              </c:numCache>
            </c:numRef>
          </c:val>
        </c:ser>
        <c:ser>
          <c:idx val="4"/>
          <c:order val="4"/>
          <c:tx>
            <c:v>Setup and NRE</c:v>
          </c:tx>
          <c:spPr>
            <a:solidFill>
              <a:srgbClr val="D0558A"/>
            </a:solidFill>
            <a:ln w="9525">
              <a:solidFill>
                <a:srgbClr val="FFFFFF"/>
              </a:solidFill>
            </a:ln>
          </c:spPr>
          <c:cat>
            <c:strRef>
              <c:f>Dashboard!$B$45:$B$54</c:f>
              <c:strCache>
                <c:ptCount val="10"/>
                <c:pt idx="0">
                  <c:v>KA-100</c:v>
                </c:pt>
                <c:pt idx="1">
                  <c:v>KA-110</c:v>
                </c:pt>
                <c:pt idx="2">
                  <c:v>KA-120</c:v>
                </c:pt>
                <c:pt idx="3">
                  <c:v>KA-130</c:v>
                </c:pt>
                <c:pt idx="4">
                  <c:v>KA-140</c:v>
                </c:pt>
                <c:pt idx="5">
                  <c:v>KA-150</c:v>
                </c:pt>
                <c:pt idx="6">
                  <c:v>KA-160</c:v>
                </c:pt>
                <c:pt idx="7">
                  <c:v>KA-170</c:v>
                </c:pt>
                <c:pt idx="8">
                  <c:v>KA-180</c:v>
                </c:pt>
                <c:pt idx="9">
                  <c:v>KA-190</c:v>
                </c:pt>
              </c:strCache>
            </c:strRef>
          </c:cat>
          <c:val>
            <c:numRef>
              <c:f>Dashboard!$G$45:$G$54</c:f>
              <c:numCache>
                <c:formatCode>General</c:formatCode>
                <c:ptCount val="10"/>
                <c:pt idx="0">
                  <c:v>0.0691039482402463</c:v>
                </c:pt>
                <c:pt idx="1">
                  <c:v>0.0681137067549436</c:v>
                </c:pt>
                <c:pt idx="2">
                  <c:v>0.0533680734934076</c:v>
                </c:pt>
                <c:pt idx="3">
                  <c:v>0.0965142215203269</c:v>
                </c:pt>
                <c:pt idx="4">
                  <c:v>0.0699663125161959</c:v>
                </c:pt>
                <c:pt idx="5">
                  <c:v>0.136988042138437</c:v>
                </c:pt>
                <c:pt idx="6">
                  <c:v>0.222222222222222</c:v>
                </c:pt>
                <c:pt idx="7">
                  <c:v>0.074905422446406</c:v>
                </c:pt>
                <c:pt idx="8">
                  <c:v>0.0720053173157402</c:v>
                </c:pt>
                <c:pt idx="9">
                  <c:v>0.0685366899145364</c:v>
                </c:pt>
              </c:numCache>
            </c:numRef>
          </c:val>
        </c:ser>
        <c:ser>
          <c:idx val="5"/>
          <c:order val="5"/>
          <c:tx>
            <c:v>Yield loss</c:v>
          </c:tx>
          <c:spPr>
            <a:solidFill>
              <a:srgbClr val="6250D6"/>
            </a:solidFill>
            <a:ln w="9525">
              <a:solidFill>
                <a:srgbClr val="FFFFFF"/>
              </a:solidFill>
            </a:ln>
          </c:spPr>
          <c:cat>
            <c:strRef>
              <c:f>Dashboard!$B$45:$B$54</c:f>
              <c:strCache>
                <c:ptCount val="10"/>
                <c:pt idx="0">
                  <c:v>KA-100</c:v>
                </c:pt>
                <c:pt idx="1">
                  <c:v>KA-110</c:v>
                </c:pt>
                <c:pt idx="2">
                  <c:v>KA-120</c:v>
                </c:pt>
                <c:pt idx="3">
                  <c:v>KA-130</c:v>
                </c:pt>
                <c:pt idx="4">
                  <c:v>KA-140</c:v>
                </c:pt>
                <c:pt idx="5">
                  <c:v>KA-150</c:v>
                </c:pt>
                <c:pt idx="6">
                  <c:v>KA-160</c:v>
                </c:pt>
                <c:pt idx="7">
                  <c:v>KA-170</c:v>
                </c:pt>
                <c:pt idx="8">
                  <c:v>KA-180</c:v>
                </c:pt>
                <c:pt idx="9">
                  <c:v>KA-190</c:v>
                </c:pt>
              </c:strCache>
            </c:strRef>
          </c:cat>
          <c:val>
            <c:numRef>
              <c:f>Dashboard!$H$45:$H$54</c:f>
              <c:numCache>
                <c:formatCode>General</c:formatCode>
                <c:ptCount val="10"/>
                <c:pt idx="0">
                  <c:v>0.0139634407763962</c:v>
                </c:pt>
                <c:pt idx="1">
                  <c:v>0.0279565887973518</c:v>
                </c:pt>
                <c:pt idx="2">
                  <c:v>0.00946631926506598</c:v>
                </c:pt>
                <c:pt idx="3">
                  <c:v>0.0451742889239836</c:v>
                </c:pt>
                <c:pt idx="4">
                  <c:v>0.0232508421870952</c:v>
                </c:pt>
                <c:pt idx="5">
                  <c:v>0.0172602391572313</c:v>
                </c:pt>
                <c:pt idx="6">
                  <c:v>0.0466666666666667</c:v>
                </c:pt>
                <c:pt idx="7">
                  <c:v>0.009250945775536</c:v>
                </c:pt>
                <c:pt idx="8">
                  <c:v>0.0231998670671066</c:v>
                </c:pt>
                <c:pt idx="9">
                  <c:v>0.0139719496512819</c:v>
                </c:pt>
              </c:numCache>
            </c:numRef>
          </c:val>
        </c:ser>
        <c:gapWidth val="5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Margin on price by assembly</a:t>
            </a:r>
          </a:p>
        </c:rich>
      </c:tx>
      <c:layout/>
    </c:title>
    <c:plotArea>
      <c:layout/>
      <c:barChart>
        <c:barDir val="col"/>
        <c:grouping val="clustered"/>
        <c:ser>
          <c:idx val="0"/>
          <c:order val="0"/>
          <c:tx>
            <c:v>Margin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Dashboard!$B$31:$B$40</c:f>
              <c:strCache>
                <c:ptCount val="10"/>
                <c:pt idx="0">
                  <c:v>KA-100</c:v>
                </c:pt>
                <c:pt idx="1">
                  <c:v>KA-110</c:v>
                </c:pt>
                <c:pt idx="2">
                  <c:v>KA-120</c:v>
                </c:pt>
                <c:pt idx="3">
                  <c:v>KA-130</c:v>
                </c:pt>
                <c:pt idx="4">
                  <c:v>KA-140</c:v>
                </c:pt>
                <c:pt idx="5">
                  <c:v>KA-150</c:v>
                </c:pt>
                <c:pt idx="6">
                  <c:v>KA-160</c:v>
                </c:pt>
                <c:pt idx="7">
                  <c:v>KA-170</c:v>
                </c:pt>
                <c:pt idx="8">
                  <c:v>KA-180</c:v>
                </c:pt>
                <c:pt idx="9">
                  <c:v>KA-190</c:v>
                </c:pt>
              </c:strCache>
            </c:strRef>
          </c:cat>
          <c:val>
            <c:numRef>
              <c:f>Dashboard!$H$31:$H$40</c:f>
              <c:numCache>
                <c:formatCode>General</c:formatCode>
                <c:ptCount val="10"/>
                <c:pt idx="0">
                  <c:v>0.161743565405197</c:v>
                </c:pt>
                <c:pt idx="1">
                  <c:v>0.159351084687876</c:v>
                </c:pt>
                <c:pt idx="2">
                  <c:v>0.157851927514849</c:v>
                </c:pt>
                <c:pt idx="3">
                  <c:v>0.148172803550378</c:v>
                </c:pt>
                <c:pt idx="4">
                  <c:v>0.159259259259259</c:v>
                </c:pt>
                <c:pt idx="5">
                  <c:v>0.158291618534206</c:v>
                </c:pt>
                <c:pt idx="6">
                  <c:v>0.0526315789473684</c:v>
                </c:pt>
                <c:pt idx="7">
                  <c:v>0.163747843837329</c:v>
                </c:pt>
                <c:pt idx="8">
                  <c:v>0.154764877236787</c:v>
                </c:pt>
                <c:pt idx="9">
                  <c:v>0.0981007852835263</c:v>
                </c:pt>
              </c:numCache>
            </c:numRef>
          </c:val>
        </c:ser>
        <c:gapWidth val="60"/>
        <c:overlap val="-10"/>
        <c:axId val="50020001"/>
        <c:axId val="50020002"/>
      </c:barChart>
      <c:lineChart>
        <c:grouping val="standard"/>
        <c:ser>
          <c:idx val="1"/>
          <c:order val="1"/>
          <c:tx>
            <c:v>Target margin</c:v>
          </c:tx>
          <c:spPr>
            <a:ln w="19050">
              <a:solidFill>
                <a:srgbClr val="4A5361"/>
              </a:solidFill>
              <a:prstDash val="dash"/>
            </a:ln>
          </c:spPr>
          <c:marker>
            <c:symbol val="none"/>
          </c:marker>
          <c:cat>
            <c:strRef>
              <c:f>Dashboard!$B$31:$B$40</c:f>
              <c:strCache>
                <c:ptCount val="10"/>
                <c:pt idx="0">
                  <c:v>KA-100</c:v>
                </c:pt>
                <c:pt idx="1">
                  <c:v>KA-110</c:v>
                </c:pt>
                <c:pt idx="2">
                  <c:v>KA-120</c:v>
                </c:pt>
                <c:pt idx="3">
                  <c:v>KA-130</c:v>
                </c:pt>
                <c:pt idx="4">
                  <c:v>KA-140</c:v>
                </c:pt>
                <c:pt idx="5">
                  <c:v>KA-150</c:v>
                </c:pt>
                <c:pt idx="6">
                  <c:v>KA-160</c:v>
                </c:pt>
                <c:pt idx="7">
                  <c:v>KA-170</c:v>
                </c:pt>
                <c:pt idx="8">
                  <c:v>KA-180</c:v>
                </c:pt>
                <c:pt idx="9">
                  <c:v>KA-190</c:v>
                </c:pt>
              </c:strCache>
            </c:strRef>
          </c:cat>
          <c:val>
            <c:numRef>
              <c:f>Dashboard!$I$31:$I$40</c:f>
              <c:numCache>
                <c:formatCode>General</c:formatCode>
                <c:ptCount val="10"/>
                <c:pt idx="0">
                  <c:v>0.15</c:v>
                </c:pt>
                <c:pt idx="1">
                  <c:v>0.15</c:v>
                </c:pt>
                <c:pt idx="2">
                  <c:v>0.15</c:v>
                </c:pt>
                <c:pt idx="3">
                  <c:v>0.15</c:v>
                </c:pt>
                <c:pt idx="4">
                  <c:v>0.15</c:v>
                </c:pt>
                <c:pt idx="5">
                  <c:v>0.15</c:v>
                </c:pt>
                <c:pt idx="6">
                  <c:v>0.15</c:v>
                </c:pt>
                <c:pt idx="7">
                  <c:v>0.15</c:v>
                </c:pt>
                <c:pt idx="8">
                  <c:v>0.15</c:v>
                </c:pt>
                <c:pt idx="9">
                  <c:v>0.15</c:v>
                </c:pt>
              </c:numCache>
            </c:numRef>
          </c:val>
        </c:ser>
        <c:marker val="1"/>
        <c:axId val="50020001"/>
        <c:axId val="50020002"/>
      </c:lineChart>
      <c:catAx>
        <c:axId val="50020001"/>
        <c:scaling>
          <c:orientation val="minMax"/>
        </c:scaling>
        <c:axPos val="b"/>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5</xdr:col>
      <xdr:colOff>676275</xdr:colOff>
      <xdr:row>25</xdr:row>
      <xdr:rowOff>152400</xdr:rowOff>
    </xdr:to>
    <xdr:graphicFrame macro="">
      <xdr:nvGraphicFramePr>
        <xdr:cNvPr id="2" name="Chart 1" descr="Stacked bar chart of each assembly's cost per good board split into shares of bare PCB, components, SMT and through-hole assembly, test, setup and NRE, and yield loss; components dominate most board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9</xdr:row>
      <xdr:rowOff>38100</xdr:rowOff>
    </xdr:from>
    <xdr:to>
      <xdr:col>11</xdr:col>
      <xdr:colOff>676275</xdr:colOff>
      <xdr:row>25</xdr:row>
      <xdr:rowOff>152400</xdr:rowOff>
    </xdr:to>
    <xdr:graphicFrame macro="">
      <xdr:nvGraphicFramePr>
        <xdr:cNvPr id="3" name="Chart 2" descr="Column chart of each assembly's margin on price with the target margin as a dashed line; assemblies below the line miss the targe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Boards" displayName="tblBoards" ref="B6:AC16" totalsRowShown="0">
  <autoFilter ref="B6:AC16"/>
  <tableColumns count="28">
    <tableColumn id="1" name="Assembly"/>
    <tableColumn id="2" name="Description"/>
    <tableColumn id="3" name="Lot size"/>
    <tableColumn id="4" name="Boards per panel"/>
    <tableColumn id="5" name="Panel price"/>
    <tableColumn id="6" name="BOM cost"/>
    <tableColumn id="7" name="Attrition"/>
    <tableColumn id="8" name="SMT placements"/>
    <tableColumn id="9" name="THT joints"/>
    <tableColumn id="10" name="Test time (s)"/>
    <tableColumn id="11" name="Setup and NRE"/>
    <tableColumn id="12" name="Final yield"/>
    <tableColumn id="13" name="Price"/>
    <tableColumn id="14" name="Bare PCB">
      <calculatedColumnFormula>IF(tblBoards[[#This Row],[Assembly]]="","",IF(tblBoards[[#This Row],[Boards per panel]]&gt;0,tblBoards[[#This Row],[Panel price]]/tblBoards[[#This Row],[Boards per panel]],""))</calculatedColumnFormula>
    </tableColumn>
    <tableColumn id="15" name="Components">
      <calculatedColumnFormula>IF(tblBoards[[#This Row],[Assembly]]="","",tblBoards[[#This Row],[BOM cost]]*(1+tblBoards[[#This Row],[Attrition]]))</calculatedColumnFormula>
    </tableColumn>
    <tableColumn id="16" name="SMT">
      <calculatedColumnFormula>IF(tblBoards[[#This Row],[Assembly]]="","",tblBoards[[#This Row],[SMT placements]]/Cph*SmtRate)</calculatedColumnFormula>
    </tableColumn>
    <tableColumn id="17" name="Through-hole">
      <calculatedColumnFormula>IF(tblBoards[[#This Row],[Assembly]]="","",tblBoards[[#This Row],[THT joints]]*ThtSec/3600*LabourRate)</calculatedColumnFormula>
    </tableColumn>
    <tableColumn id="18" name="Test">
      <calculatedColumnFormula>IF(tblBoards[[#This Row],[Assembly]]="","",tblBoards[[#This Row],[Test time (s)]]/3600*TestRate)</calculatedColumnFormula>
    </tableColumn>
    <tableColumn id="19" name="Setup per board">
      <calculatedColumnFormula>IF(tblBoards[[#This Row],[Assembly]]="","",IF(tblBoards[[#This Row],[Lot size]]&gt;0,tblBoards[[#This Row],[Setup and NRE]]/tblBoards[[#This Row],[Lot size]],""))</calculatedColumnFormula>
    </tableColumn>
    <tableColumn id="20" name="Yield loss">
      <calculatedColumnFormula>IF(tblBoards[[#This Row],[Assembly]]="","",IF(tblBoards[[#This Row],[Final yield]]&gt;0,(tblBoards[[#This Row],[Bare PCB]]+tblBoards[[#This Row],[Components]]+tblBoards[[#This Row],[SMT]]+tblBoards[[#This Row],[Through-hole]]+tblBoards[[#This Row],[Test]])*(1/tblBoards[[#This Row],[Final yield]]-1),""))</calculatedColumnFormula>
    </tableColumn>
    <tableColumn id="21" name="Cost per good board">
      <calculatedColumnFormula>IF(tblBoards[[#This Row],[Assembly]]="","",IFERROR(tblBoards[[#This Row],[Bare PCB]]+tblBoards[[#This Row],[Components]]+tblBoards[[#This Row],[SMT]]+tblBoards[[#This Row],[Through-hole]]+tblBoards[[#This Row],[Test]]+tblBoards[[#This Row],[Yield loss]]+tblBoards[[#This Row],[Setup per board]],""))</calculatedColumnFormula>
    </tableColumn>
    <tableColumn id="22" name="Margin">
      <calculatedColumnFormula>IF(tblBoards[[#This Row],[Assembly]]="","",IF(AND(tblBoards[[#This Row],[Price]]&gt;0,ISNUMBER(tblBoards[[#This Row],[Cost per good board]])),(tblBoards[[#This Row],[Price]]-tblBoards[[#This Row],[Cost per good board]])/tblBoards[[#This Row],[Price]],""))</calculatedColumnFormula>
    </tableColumn>
    <tableColumn id="23" name="Margin status">
      <calculatedColumnFormula>IF(NOT(ISNUMBER(tblBoards[[#This Row],[Margin]])),"",IF(tblBoards[[#This Row],[Margin]]&gt;=TargetMargin,"On target",IF(tblBoards[[#This Row],[Margin]]&gt;=TargetMargin*(1-0.05),"Near target","Below target")))</calculatedColumnFormula>
    </tableColumn>
    <tableColumn id="24" name="Lot cost">
      <calculatedColumnFormula>IF(tblBoards[[#This Row],[Assembly]]="","",IFERROR(tblBoards[[#This Row],[Cost per good board]]*tblBoards[[#This Row],[Lot size]],""))</calculatedColumnFormula>
    </tableColumn>
    <tableColumn id="25" name="Lot value">
      <calculatedColumnFormula>IF(tblBoards[[#This Row],[Assembly]]="","",IF(tblBoards[[#This Row],[Price]]&gt;0,tblBoards[[#This Row],[Price]]*tblBoards[[#This Row],[Lot size]],""))</calculatedColumnFormula>
    </tableColumn>
    <tableColumn id="26" name="Lot margin">
      <calculatedColumnFormula>IF(tblBoards[[#This Row],[Assembly]]="","",IF(AND(tblBoards[[#This Row],[Price]]&gt;0,ISNUMBER(tblBoards[[#This Row],[Lot cost]])),tblBoards[[#This Row],[Lot value]]-tblBoards[[#This Row],[Lot cost]],""))</calculatedColumnFormula>
    </tableColumn>
    <tableColumn id="27" name="Check">
      <calculatedColumnFormula>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calculatedColumnFormula>
    </tableColumn>
    <tableColumn id="28" name="Notes"/>
  </tableColumns>
  <tableStyleInfo name="TableStyleLight1" showFirstColumn="0" showLastColumn="0" showRowStripes="0" showColumnStripes="0"/>
</table>
</file>

<file path=xl/tables/table2.xml><?xml version="1.0" encoding="utf-8"?>
<table xmlns="http://schemas.openxmlformats.org/spreadsheetml/2006/main" id="2" name="tblVerifyBoards" displayName="tblVerifyBoards" ref="B41:AC44" totalsRowShown="0">
  <tableColumns count="28">
    <tableColumn id="1" name="Assembly"/>
    <tableColumn id="2" name="Description"/>
    <tableColumn id="3" name="Lot size"/>
    <tableColumn id="4" name="Boards per panel"/>
    <tableColumn id="5" name="Panel price"/>
    <tableColumn id="6" name="BOM cost"/>
    <tableColumn id="7" name="Attrition"/>
    <tableColumn id="8" name="SMT placements"/>
    <tableColumn id="9" name="THT joints"/>
    <tableColumn id="10" name="Test time (s)"/>
    <tableColumn id="11" name="Setup and NRE"/>
    <tableColumn id="12" name="Final yield"/>
    <tableColumn id="13" name="Price"/>
    <tableColumn id="14" name="Bare PCB">
      <calculatedColumnFormula>IF(tblVerifyBoards[[#This Row],[Assembly]]="","",IF(tblVerifyBoards[[#This Row],[Boards per panel]]&gt;0,tblVerifyBoards[[#This Row],[Panel price]]/tblVerifyBoards[[#This Row],[Boards per panel]],""))</calculatedColumnFormula>
    </tableColumn>
    <tableColumn id="15" name="Components">
      <calculatedColumnFormula>IF(tblVerifyBoards[[#This Row],[Assembly]]="","",tblVerifyBoards[[#This Row],[BOM cost]]*(1+tblVerifyBoards[[#This Row],[Attrition]]))</calculatedColumnFormula>
    </tableColumn>
    <tableColumn id="16" name="SMT">
      <calculatedColumnFormula>IF(tblVerifyBoards[[#This Row],[Assembly]]="","",tblVerifyBoards[[#This Row],[SMT placements]]/$E$33*$E$32)</calculatedColumnFormula>
    </tableColumn>
    <tableColumn id="17" name="Through-hole">
      <calculatedColumnFormula>IF(tblVerifyBoards[[#This Row],[Assembly]]="","",tblVerifyBoards[[#This Row],[THT joints]]*$E$35/3600*$E$34)</calculatedColumnFormula>
    </tableColumn>
    <tableColumn id="18" name="Test">
      <calculatedColumnFormula>IF(tblVerifyBoards[[#This Row],[Assembly]]="","",tblVerifyBoards[[#This Row],[Test time (s)]]/3600*$E$36)</calculatedColumnFormula>
    </tableColumn>
    <tableColumn id="19" name="Setup per board">
      <calculatedColumnFormula>IF(tblVerifyBoards[[#This Row],[Assembly]]="","",IF(tblVerifyBoards[[#This Row],[Lot size]]&gt;0,tblVerifyBoards[[#This Row],[Setup and NRE]]/tblVerifyBoards[[#This Row],[Lot size]],""))</calculatedColumnFormula>
    </tableColumn>
    <tableColumn id="20" name="Yield loss">
      <calculatedColumnFormula>IF(tblVerifyBoards[[#This Row],[Assembly]]="","",IF(tblVerifyBoards[[#This Row],[Final yield]]&gt;0,(tblVerifyBoards[[#This Row],[Bare PCB]]+tblVerifyBoards[[#This Row],[Components]]+tblVerifyBoards[[#This Row],[SMT]]+tblVerifyBoards[[#This Row],[Through-hole]]+tblVerifyBoards[[#This Row],[Test]])*(1/tblVerifyBoards[[#This Row],[Final yield]]-1),""))</calculatedColumnFormula>
    </tableColumn>
    <tableColumn id="21" name="Cost per good board">
      <calculatedColumnFormula>IF(tblVerifyBoards[[#This Row],[Assembly]]="","",IFERROR(tblVerifyBoards[[#This Row],[Bare PCB]]+tblVerifyBoards[[#This Row],[Components]]+tblVerifyBoards[[#This Row],[SMT]]+tblVerifyBoards[[#This Row],[Through-hole]]+tblVerifyBoards[[#This Row],[Test]]+tblVerifyBoards[[#This Row],[Yield loss]]+tblVerifyBoards[[#This Row],[Setup per board]],""))</calculatedColumnFormula>
    </tableColumn>
    <tableColumn id="22" name="Margin">
      <calculatedColumnFormula>IF(tblVerifyBoards[[#This Row],[Assembly]]="","",IF(AND(tblVerifyBoards[[#This Row],[Price]]&gt;0,ISNUMBER(tblVerifyBoards[[#This Row],[Cost per good board]])),(tblVerifyBoards[[#This Row],[Price]]-tblVerifyBoards[[#This Row],[Cost per good board]])/tblVerifyBoards[[#This Row],[Price]],""))</calculatedColumnFormula>
    </tableColumn>
    <tableColumn id="23" name="Margin status">
      <calculatedColumnFormula>IF(NOT(ISNUMBER(tblVerifyBoards[[#This Row],[Margin]])),"",IF(tblVerifyBoards[[#This Row],[Margin]]&gt;=$E$37,"On target",IF(tblVerifyBoards[[#This Row],[Margin]]&gt;=$E$37*(1-0.05),"Near target","Below target")))</calculatedColumnFormula>
    </tableColumn>
    <tableColumn id="24" name="Lot cost">
      <calculatedColumnFormula>IF(tblVerifyBoards[[#This Row],[Assembly]]="","",IFERROR(tblVerifyBoards[[#This Row],[Cost per good board]]*tblVerifyBoards[[#This Row],[Lot size]],""))</calculatedColumnFormula>
    </tableColumn>
    <tableColumn id="25" name="Lot value">
      <calculatedColumnFormula>IF(tblVerifyBoards[[#This Row],[Assembly]]="","",IF(tblVerifyBoards[[#This Row],[Price]]&gt;0,tblVerifyBoards[[#This Row],[Price]]*tblVerifyBoards[[#This Row],[Lot size]],""))</calculatedColumnFormula>
    </tableColumn>
    <tableColumn id="26" name="Lot margin">
      <calculatedColumnFormula>IF(tblVerifyBoards[[#This Row],[Assembly]]="","",IF(AND(tblVerifyBoards[[#This Row],[Price]]&gt;0,ISNUMBER(tblVerifyBoards[[#This Row],[Lot cost]])),tblVerifyBoards[[#This Row],[Lot value]]-tblVerifyBoards[[#This Row],[Lot cost]],""))</calculatedColumnFormula>
    </tableColumn>
    <tableColumn id="27" name="Check">
      <calculatedColumnFormula>IF(tblVerifyBoards[[#This Row],[Assembly]]="","",IF(tblVerifyBoards[[#This Row],[Lot size]]="","Missing lot size",IF(tblVerifyBoards[[#This Row],[Boards per panel]]="","Missing boards per panel",IF(tblVerifyBoards[[#This Row],[Panel price]]="","Missing panel price",IF(tblVerifyBoards[[#This Row],[BOM cost]]="","Missing bom cost",IF(tblVerifyBoards[[#This Row],[Final yield]]="","Missing final yield",IF(COUNTIF(tblVerifyBoards[Assembly],tblVerifyBoards[[#This Row],[Assembly]])&gt;1,"Duplicate assembly","OK")))))))</calculatedColumnFormula>
    </tableColumn>
    <tableColumn id="2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cb-assembly-cost" TargetMode="External"/><Relationship Id="rId2" Type="http://schemas.openxmlformats.org/officeDocument/2006/relationships/hyperlink" Target="https://www.mfgcalcs.com/calculators/electronics-pcb-semiconductor-manufacturing/pcb-cost-per-board?utm_source=mfgcalcs-template&amp;utm_medium=xlsx&amp;utm_campaign=pcb-assembly-cost" TargetMode="External"/><Relationship Id="rId3" Type="http://schemas.openxmlformats.org/officeDocument/2006/relationships/hyperlink" Target="https://www.mfgcalcs.com/templates/pcb-assembly-cost?utm_source=mfgcalcs-template&amp;utm_medium=xlsx&amp;utm_campaign=pcb-assembly-cost" TargetMode="External"/><Relationship Id="rId4" Type="http://schemas.openxmlformats.org/officeDocument/2006/relationships/hyperlink" Target="https://www.mfgcalcs.com/templates?utm_source=mfgcalcs-template&amp;utm_medium=xlsx&amp;utm_campaign=pcb-assembly-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cb-assembly-cos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cb-assembly-cost"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cb-assembly-cos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cb-assembly-cost" TargetMode="External"/><Relationship Id="rId2" Type="http://schemas.openxmlformats.org/officeDocument/2006/relationships/hyperlink" Target="https://www.mfgcalcs.com/calculators/electronics-pcb-semiconductor-manufacturing/pcb-cost-per-board?utm_source=mfgcalcs-template&amp;utm_medium=xlsx&amp;utm_campaign=pcb-assembly-co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cb-assembly-cost" TargetMode="Externa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16 of 16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Assemblies!A1" tooltip="Go to Assemblies" display="Assemblies"/>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PCB Assembly Cost&amp;R&amp;8&amp;A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5"/>
  <sheetViews>
    <sheetView showGridLines="0" workbookViewId="0"/>
  </sheetViews>
  <sheetFormatPr defaultRowHeight="15"/>
  <cols>
    <col min="1" max="1" width="2.7109375" customWidth="1"/>
    <col min="2" max="2" width="40.7109375" customWidth="1"/>
    <col min="3" max="3" width="14.7109375" customWidth="1"/>
    <col min="4" max="4" width="22.7109375" customWidth="1"/>
  </cols>
  <sheetData>
    <row r="1" spans="1:5" ht="30" customHeight="1">
      <c r="A1" s="1" t="s">
        <v>0</v>
      </c>
      <c r="B1" s="1"/>
      <c r="C1" s="1"/>
      <c r="D1" s="1"/>
      <c r="E1" s="1"/>
    </row>
    <row r="2" spans="1:5" ht="21" customHeight="1">
      <c r="B2" s="2" t="s">
        <v>20</v>
      </c>
      <c r="C2" s="2"/>
      <c r="D2" s="3" t="s">
        <v>2</v>
      </c>
      <c r="E2" s="3"/>
    </row>
    <row r="3" spans="1:5" ht="6" customHeight="1"/>
    <row r="4" spans="1:5" ht="21" customHeight="1">
      <c r="B4" s="8" t="s">
        <v>62</v>
      </c>
      <c r="C4" s="8"/>
      <c r="D4" s="8"/>
    </row>
    <row r="5" spans="1:5" ht="5" customHeight="1"/>
    <row r="6" spans="1:5">
      <c r="B6" s="27" t="s">
        <v>63</v>
      </c>
      <c r="C6" s="28" t="s">
        <v>64</v>
      </c>
      <c r="D6" s="28"/>
    </row>
    <row r="7" spans="1:5">
      <c r="B7" s="27" t="s">
        <v>65</v>
      </c>
      <c r="C7" s="28" t="s">
        <v>66</v>
      </c>
      <c r="D7" s="28"/>
    </row>
    <row r="8" spans="1:5">
      <c r="B8" s="27" t="s">
        <v>67</v>
      </c>
      <c r="C8" s="29">
        <v>210</v>
      </c>
      <c r="D8" s="7" t="str">
        <f>Currency&amp;"/h"</f>
        <v>USD/h</v>
      </c>
    </row>
    <row r="9" spans="1:5">
      <c r="B9" s="27" t="s">
        <v>68</v>
      </c>
      <c r="C9" s="30">
        <v>12000</v>
      </c>
      <c r="D9" s="7" t="s">
        <v>69</v>
      </c>
    </row>
    <row r="10" spans="1:5">
      <c r="B10" s="27" t="s">
        <v>70</v>
      </c>
      <c r="C10" s="29">
        <v>24</v>
      </c>
      <c r="D10" s="7" t="str">
        <f>Currency&amp;"/h"</f>
        <v>USD/h</v>
      </c>
    </row>
    <row r="11" spans="1:5">
      <c r="B11" s="27" t="s">
        <v>71</v>
      </c>
      <c r="C11" s="31">
        <v>7</v>
      </c>
      <c r="D11" s="7" t="s">
        <v>72</v>
      </c>
    </row>
    <row r="12" spans="1:5">
      <c r="B12" s="27" t="s">
        <v>73</v>
      </c>
      <c r="C12" s="29">
        <v>55</v>
      </c>
      <c r="D12" s="7" t="str">
        <f>Currency&amp;"/h"</f>
        <v>USD/h</v>
      </c>
    </row>
    <row r="13" spans="1:5">
      <c r="B13" s="27" t="s">
        <v>74</v>
      </c>
      <c r="C13" s="32">
        <v>0.15</v>
      </c>
      <c r="D13" s="7"/>
    </row>
    <row r="15" spans="1:5" ht="61.8" customHeight="1">
      <c r="B15" s="25" t="s">
        <v>75</v>
      </c>
      <c r="C15" s="25"/>
      <c r="D15" s="25"/>
    </row>
  </sheetData>
  <mergeCells count="7">
    <mergeCell ref="A1:E1"/>
    <mergeCell ref="B2:C2"/>
    <mergeCell ref="D2:E2"/>
    <mergeCell ref="B4:D4"/>
    <mergeCell ref="C6:D6"/>
    <mergeCell ref="C7:D7"/>
    <mergeCell ref="B15:D15"/>
  </mergeCells>
  <dataValidations count="8">
    <dataValidation type="textLength" allowBlank="1" showInputMessage="1" showErrorMessage="1" errorTitle="Check this entry" error="Text up to 80 characters." promptTitle="Company or site"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EUR, GBP, INR, MXN. No exchange rate is applied. Text up to 12 characters." sqref="C7">
      <formula1>0</formula1>
      <formula2>12</formula2>
    </dataValidation>
    <dataValidation type="decimal" allowBlank="1" showInputMessage="1" showErrorMessage="1" errorTitle="Check this entry" error="Enter a number from 0 to 100,000." promptTitle="SMT line cost per hour, opera..." prompt="Printer, placement machines, reflow oven and AOI with their operators: depreciation, power, nitrogen, maintenance and labour per running hour. Enter a number from 0 to 100,000." sqref="C8">
      <formula1>0</formula1>
      <formula2>100000</formula2>
    </dataValidation>
    <dataValidation type="whole" allowBlank="1" showInputMessage="1" showErrorMessage="1" errorTitle="Check this entry" error="Enter a whole number from 1 to 1,000,000." promptTitle="Effective placements per hour" prompt="What the line really places per hour across its machines, after feeder changes and board transfer: not the machine's rated CPH. Enter a whole number from 1 to 1,000,000." sqref="C9">
      <formula1>1</formula1>
      <formula2>1000000</formula2>
    </dataValidation>
    <dataValidation type="decimal" allowBlank="1" showInputMessage="1" showErrorMessage="1" errorTitle="Check this entry" error="Enter a number from 0 to 10,000." promptTitle="Hand assembly labour rate, lo..." prompt="Wage plus payroll taxes and benefits for through-hole and hand soldering work. Enter a number from 0 to 10,000." sqref="C10">
      <formula1>0</formula1>
      <formula2>10000</formula2>
    </dataValidation>
    <dataValidation type="decimal" allowBlank="1" showInputMessage="1" showErrorMessage="1" errorTitle="Check this entry" error="Enter a number from 0 to 600." promptTitle="Time per through-hole joint" prompt="Insertion plus soldering time per joint, by hand, selective or wave; time your own boards. Enter a number from 0 to 600." sqref="C11">
      <formula1>0</formula1>
      <formula2>600</formula2>
    </dataValidation>
    <dataValidation type="decimal" allowBlank="1" showInputMessage="1" showErrorMessage="1" errorTitle="Check this entry" error="Enter a number from 0 to 100,000." promptTitle="Test station cost per hour, o..." prompt="ICT, flying probe or functional test station with its operator. Enter a number from 0 to 100,000." sqref="C12">
      <formula1>0</formula1>
      <formula2>100000</formula2>
    </dataValidation>
    <dataValidation type="decimal" allowBlank="1" showInputMessage="1" showErrorMessage="1" errorTitle="Check this entry" error="Enter a percentage from 0% to 95% (type 85% or 0.85)." promptTitle="Target margin on price" prompt="Your own target: margin = (price - cost per good board) / price. No industry benchmark is assumed. Enter a percentage from 0% to 95% (type 85% or 0.85)." sqref="C13">
      <formula1>0</formula1>
      <formula2>0.95</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PCB Assembly Cost&amp;R&amp;8&amp;A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sheetPr>
    <tabColor rgb="FF3B64D8"/>
    <pageSetUpPr fitToPage="1"/>
  </sheetPr>
  <dimension ref="A1:AC1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9.28515625" customWidth="1"/>
    <col min="3" max="3" width="18.7109375" customWidth="1"/>
    <col min="4" max="4" width="8.7109375" customWidth="1"/>
    <col min="5" max="5" width="8.28515625" customWidth="1"/>
    <col min="6" max="7" width="9.28515625" customWidth="1"/>
    <col min="8" max="8" width="8.28515625" customWidth="1"/>
    <col min="9" max="9" width="9.28515625" customWidth="1"/>
    <col min="10" max="11" width="8.28515625" customWidth="1"/>
    <col min="12" max="12" width="9.28515625" customWidth="1"/>
    <col min="13" max="13" width="8.28515625" customWidth="1"/>
    <col min="14" max="14" width="9.28515625" customWidth="1"/>
    <col min="15" max="15" width="8.7109375" customWidth="1"/>
    <col min="16" max="16" width="9.28515625" customWidth="1"/>
    <col min="17" max="17" width="8.28515625" customWidth="1"/>
    <col min="18" max="18" width="9.28515625" customWidth="1"/>
    <col min="19" max="19" width="8.28515625" customWidth="1"/>
    <col min="20" max="21" width="8.7109375" customWidth="1"/>
    <col min="22" max="22" width="9.7109375" customWidth="1"/>
    <col min="23" max="23" width="8.7109375" customWidth="1"/>
    <col min="24" max="24" width="11.7109375" customWidth="1"/>
    <col min="25" max="27" width="9.7109375" customWidth="1"/>
    <col min="28" max="29" width="20.7109375" customWidth="1"/>
  </cols>
  <sheetData>
    <row r="1" spans="1:29"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ht="21" customHeight="1">
      <c r="B2" s="2" t="s">
        <v>22</v>
      </c>
      <c r="C2" s="2"/>
      <c r="D2" s="2"/>
      <c r="E2" s="2"/>
      <c r="F2" s="2"/>
      <c r="G2" s="2"/>
      <c r="H2" s="2"/>
      <c r="I2" s="2"/>
      <c r="J2" s="2"/>
      <c r="K2" s="2"/>
      <c r="L2" s="2"/>
      <c r="M2" s="2"/>
      <c r="N2" s="2"/>
      <c r="O2" s="2"/>
      <c r="P2" s="2"/>
      <c r="Q2" s="2"/>
      <c r="R2" s="2"/>
      <c r="S2" s="2"/>
      <c r="T2" s="2"/>
      <c r="U2" s="2"/>
      <c r="V2" s="2"/>
      <c r="W2" s="2"/>
      <c r="X2" s="2"/>
      <c r="Y2" s="2"/>
      <c r="Z2" s="2"/>
      <c r="AA2" s="2"/>
      <c r="AB2" s="2"/>
      <c r="AC2" s="3" t="s">
        <v>2</v>
      </c>
    </row>
    <row r="3" spans="1:29" ht="6" customHeight="1"/>
    <row r="4" spans="1:29" ht="18" customHeight="1">
      <c r="B4" s="33" t="s">
        <v>104</v>
      </c>
      <c r="C4" s="33"/>
      <c r="D4" s="33"/>
      <c r="E4" s="33"/>
      <c r="F4" s="33"/>
      <c r="G4" s="33"/>
      <c r="H4" s="33"/>
      <c r="I4" s="33"/>
      <c r="J4" s="33"/>
      <c r="K4" s="33"/>
      <c r="L4" s="33"/>
      <c r="M4" s="33"/>
      <c r="N4" s="33"/>
      <c r="O4" s="33"/>
      <c r="P4" s="33"/>
      <c r="Q4" s="33"/>
      <c r="R4" s="33"/>
      <c r="S4" s="33"/>
      <c r="T4" s="33"/>
      <c r="U4" s="33"/>
      <c r="V4" s="33"/>
      <c r="W4" s="33"/>
      <c r="X4" s="33"/>
      <c r="Y4" s="33"/>
      <c r="Z4" s="33"/>
      <c r="AA4" s="33"/>
      <c r="AB4" s="33"/>
      <c r="AC4" s="33"/>
    </row>
    <row r="5" spans="1:29" ht="14" customHeight="1">
      <c r="B5" s="34"/>
      <c r="C5" s="34"/>
      <c r="D5" s="34" t="s">
        <v>105</v>
      </c>
      <c r="E5" s="34" t="s">
        <v>105</v>
      </c>
      <c r="F5" s="34" t="str">
        <f>Currency&amp;"/panel"</f>
        <v>USD/panel</v>
      </c>
      <c r="G5" s="34" t="str">
        <f>Currency&amp;"/board"</f>
        <v>USD/board</v>
      </c>
      <c r="H5" s="34" t="s">
        <v>106</v>
      </c>
      <c r="I5" s="34" t="s">
        <v>107</v>
      </c>
      <c r="J5" s="34" t="s">
        <v>107</v>
      </c>
      <c r="K5" s="34" t="s">
        <v>108</v>
      </c>
      <c r="L5" s="34" t="str">
        <f>Currency&amp;"/lot"</f>
        <v>USD/lot</v>
      </c>
      <c r="M5" s="34" t="s">
        <v>106</v>
      </c>
      <c r="N5" s="34" t="str">
        <f>Currency&amp;"/board"</f>
        <v>USD/board</v>
      </c>
      <c r="O5" s="34" t="str">
        <f>Currency&amp;"/board"</f>
        <v>USD/board</v>
      </c>
      <c r="P5" s="34" t="str">
        <f>Currency&amp;"/board"</f>
        <v>USD/board</v>
      </c>
      <c r="Q5" s="34" t="str">
        <f>Currency&amp;"/board"</f>
        <v>USD/board</v>
      </c>
      <c r="R5" s="34" t="str">
        <f>Currency&amp;"/board"</f>
        <v>USD/board</v>
      </c>
      <c r="S5" s="34" t="str">
        <f>Currency&amp;"/board"</f>
        <v>USD/board</v>
      </c>
      <c r="T5" s="34" t="str">
        <f>Currency&amp;"/board"</f>
        <v>USD/board</v>
      </c>
      <c r="U5" s="34" t="str">
        <f>Currency&amp;"/board"</f>
        <v>USD/board</v>
      </c>
      <c r="V5" s="34" t="str">
        <f>Currency&amp;"/board"</f>
        <v>USD/board</v>
      </c>
      <c r="W5" s="34" t="s">
        <v>109</v>
      </c>
      <c r="X5" s="34"/>
      <c r="Y5" s="34" t="str">
        <f>Currency&amp;"/lot"</f>
        <v>USD/lot</v>
      </c>
      <c r="Z5" s="34" t="str">
        <f>Currency&amp;"/lot"</f>
        <v>USD/lot</v>
      </c>
      <c r="AA5" s="34" t="str">
        <f>Currency&amp;"/lot"</f>
        <v>USD/lot</v>
      </c>
      <c r="AB5" s="34"/>
      <c r="AC5" s="34"/>
    </row>
    <row r="6" spans="1:29" ht="32" customHeight="1">
      <c r="B6" s="35" t="s">
        <v>76</v>
      </c>
      <c r="C6" s="35" t="s">
        <v>77</v>
      </c>
      <c r="D6" s="35" t="s">
        <v>78</v>
      </c>
      <c r="E6" s="35" t="s">
        <v>79</v>
      </c>
      <c r="F6" s="35" t="s">
        <v>80</v>
      </c>
      <c r="G6" s="35" t="s">
        <v>81</v>
      </c>
      <c r="H6" s="35" t="s">
        <v>82</v>
      </c>
      <c r="I6" s="35" t="s">
        <v>83</v>
      </c>
      <c r="J6" s="35" t="s">
        <v>84</v>
      </c>
      <c r="K6" s="35" t="s">
        <v>85</v>
      </c>
      <c r="L6" s="35" t="s">
        <v>86</v>
      </c>
      <c r="M6" s="35" t="s">
        <v>87</v>
      </c>
      <c r="N6" s="35" t="s">
        <v>88</v>
      </c>
      <c r="O6" s="35" t="s">
        <v>89</v>
      </c>
      <c r="P6" s="35" t="s">
        <v>90</v>
      </c>
      <c r="Q6" s="35" t="s">
        <v>91</v>
      </c>
      <c r="R6" s="35" t="s">
        <v>92</v>
      </c>
      <c r="S6" s="35" t="s">
        <v>93</v>
      </c>
      <c r="T6" s="35" t="s">
        <v>94</v>
      </c>
      <c r="U6" s="35" t="s">
        <v>95</v>
      </c>
      <c r="V6" s="35" t="s">
        <v>96</v>
      </c>
      <c r="W6" s="35" t="s">
        <v>97</v>
      </c>
      <c r="X6" s="35" t="s">
        <v>98</v>
      </c>
      <c r="Y6" s="35" t="s">
        <v>99</v>
      </c>
      <c r="Z6" s="35" t="s">
        <v>100</v>
      </c>
      <c r="AA6" s="35" t="s">
        <v>101</v>
      </c>
      <c r="AB6" s="35" t="s">
        <v>102</v>
      </c>
      <c r="AC6" s="35" t="s">
        <v>103</v>
      </c>
    </row>
    <row r="7" spans="1:29">
      <c r="B7" s="28" t="s">
        <v>110</v>
      </c>
      <c r="C7" s="28" t="s">
        <v>111</v>
      </c>
      <c r="D7" s="30">
        <v>1000</v>
      </c>
      <c r="E7" s="30">
        <v>10</v>
      </c>
      <c r="F7" s="29">
        <v>38</v>
      </c>
      <c r="G7" s="29">
        <v>6.8</v>
      </c>
      <c r="H7" s="32">
        <v>0.02</v>
      </c>
      <c r="I7" s="30">
        <v>85</v>
      </c>
      <c r="J7" s="30">
        <v>0</v>
      </c>
      <c r="K7" s="30">
        <v>25</v>
      </c>
      <c r="L7" s="29">
        <v>950</v>
      </c>
      <c r="M7" s="32">
        <v>0.985</v>
      </c>
      <c r="N7" s="29">
        <v>16.4</v>
      </c>
      <c r="O7" s="36">
        <f>IF(tblBoards[[#This Row],[Assembly]]="","",IF(tblBoards[[#This Row],[Boards per panel]]&gt;0,tblBoards[[#This Row],[Panel price]]/tblBoards[[#This Row],[Boards per panel]],""))</f>
        <v>3.8</v>
      </c>
      <c r="P7" s="36">
        <f>IF(tblBoards[[#This Row],[Assembly]]="","",tblBoards[[#This Row],[BOM cost]]*(1+tblBoards[[#This Row],[Attrition]]))</f>
        <v>6.936</v>
      </c>
      <c r="Q7" s="36">
        <f>IF(tblBoards[[#This Row],[Assembly]]="","",tblBoards[[#This Row],[SMT placements]]/Cph*SmtRate)</f>
        <v>1.4875</v>
      </c>
      <c r="R7" s="36">
        <f>IF(tblBoards[[#This Row],[Assembly]]="","",tblBoards[[#This Row],[THT joints]]*ThtSec/3600*LabourRate)</f>
        <v>0</v>
      </c>
      <c r="S7" s="36">
        <f>IF(tblBoards[[#This Row],[Assembly]]="","",tblBoards[[#This Row],[Test time (s)]]/3600*TestRate)</f>
        <v>0.381944444444444</v>
      </c>
      <c r="T7" s="36">
        <f>IF(tblBoards[[#This Row],[Assembly]]="","",IF(tblBoards[[#This Row],[Lot size]]&gt;0,tblBoards[[#This Row],[Setup and NRE]]/tblBoards[[#This Row],[Lot size]],""))</f>
        <v>0.95</v>
      </c>
      <c r="U7" s="36">
        <f>IF(tblBoards[[#This Row],[Assembly]]="","",IF(tblBoards[[#This Row],[Final yield]]&gt;0,(tblBoards[[#This Row],[Bare PCB]]+tblBoards[[#This Row],[Components]]+tblBoards[[#This Row],[SMT]]+tblBoards[[#This Row],[Through-hole]]+tblBoards[[#This Row],[Test]])*(1/tblBoards[[#This Row],[Final yield]]-1),""))</f>
        <v>0.191961082910321</v>
      </c>
      <c r="V7" s="37">
        <f>IF(tblBoards[[#This Row],[Assembly]]="","",IFERROR(tblBoards[[#This Row],[Bare PCB]]+tblBoards[[#This Row],[Components]]+tblBoards[[#This Row],[SMT]]+tblBoards[[#This Row],[Through-hole]]+tblBoards[[#This Row],[Test]]+tblBoards[[#This Row],[Yield loss]]+tblBoards[[#This Row],[Setup per board]],""))</f>
        <v>13.7474055273548</v>
      </c>
      <c r="W7" s="38">
        <f>IF(tblBoards[[#This Row],[Assembly]]="","",IF(AND(tblBoards[[#This Row],[Price]]&gt;0,ISNUMBER(tblBoards[[#This Row],[Cost per good board]])),(tblBoards[[#This Row],[Price]]-tblBoards[[#This Row],[Cost per good board]])/tblBoards[[#This Row],[Price]],""))</f>
        <v>0.161743565405197</v>
      </c>
      <c r="X7" s="39" t="str">
        <f>IF(NOT(ISNUMBER(tblBoards[[#This Row],[Margin]])),"",IF(tblBoards[[#This Row],[Margin]]&gt;=TargetMargin,"On target",IF(tblBoards[[#This Row],[Margin]]&gt;=TargetMargin*(1-0.05),"Near target","Below target")))</f>
        <v>On target</v>
      </c>
      <c r="Y7" s="40">
        <f>IF(tblBoards[[#This Row],[Assembly]]="","",IFERROR(tblBoards[[#This Row],[Cost per good board]]*tblBoards[[#This Row],[Lot size]],""))</f>
        <v>13747.4055273548</v>
      </c>
      <c r="Z7" s="40">
        <f>IF(tblBoards[[#This Row],[Assembly]]="","",IF(tblBoards[[#This Row],[Price]]&gt;0,tblBoards[[#This Row],[Price]]*tblBoards[[#This Row],[Lot size]],""))</f>
        <v>16400</v>
      </c>
      <c r="AA7" s="40">
        <f>IF(tblBoards[[#This Row],[Assembly]]="","",IF(AND(tblBoards[[#This Row],[Price]]&gt;0,ISNUMBER(tblBoards[[#This Row],[Lot cost]])),tblBoards[[#This Row],[Lot value]]-tblBoards[[#This Row],[Lot cost]],""))</f>
        <v>2652.59447264523</v>
      </c>
      <c r="AB7"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7" s="28" t="s">
        <v>112</v>
      </c>
    </row>
    <row r="8" spans="1:29">
      <c r="B8" s="28" t="s">
        <v>113</v>
      </c>
      <c r="C8" s="28" t="s">
        <v>114</v>
      </c>
      <c r="D8" s="30">
        <v>500</v>
      </c>
      <c r="E8" s="30">
        <v>4</v>
      </c>
      <c r="F8" s="29">
        <v>52</v>
      </c>
      <c r="G8" s="29">
        <v>18.4</v>
      </c>
      <c r="H8" s="32">
        <v>0.015</v>
      </c>
      <c r="I8" s="30">
        <v>210</v>
      </c>
      <c r="J8" s="30">
        <v>24</v>
      </c>
      <c r="K8" s="30">
        <v>45</v>
      </c>
      <c r="L8" s="29">
        <v>1400</v>
      </c>
      <c r="M8" s="32">
        <v>0.97</v>
      </c>
      <c r="N8" s="29">
        <v>48.9</v>
      </c>
      <c r="O8" s="36">
        <f>IF(tblBoards[[#This Row],[Assembly]]="","",IF(tblBoards[[#This Row],[Boards per panel]]&gt;0,tblBoards[[#This Row],[Panel price]]/tblBoards[[#This Row],[Boards per panel]],""))</f>
        <v>13</v>
      </c>
      <c r="P8" s="36">
        <f>IF(tblBoards[[#This Row],[Assembly]]="","",tblBoards[[#This Row],[BOM cost]]*(1+tblBoards[[#This Row],[Attrition]]))</f>
        <v>18.676</v>
      </c>
      <c r="Q8" s="36">
        <f>IF(tblBoards[[#This Row],[Assembly]]="","",tblBoards[[#This Row],[SMT placements]]/Cph*SmtRate)</f>
        <v>3.675</v>
      </c>
      <c r="R8" s="36">
        <f>IF(tblBoards[[#This Row],[Assembly]]="","",tblBoards[[#This Row],[THT joints]]*ThtSec/3600*LabourRate)</f>
        <v>1.12</v>
      </c>
      <c r="S8" s="36">
        <f>IF(tblBoards[[#This Row],[Assembly]]="","",tblBoards[[#This Row],[Test time (s)]]/3600*TestRate)</f>
        <v>0.6875</v>
      </c>
      <c r="T8" s="36">
        <f>IF(tblBoards[[#This Row],[Assembly]]="","",IF(tblBoards[[#This Row],[Lot size]]&gt;0,tblBoards[[#This Row],[Setup and NRE]]/tblBoards[[#This Row],[Lot size]],""))</f>
        <v>2.8</v>
      </c>
      <c r="U8" s="36">
        <f>IF(tblBoards[[#This Row],[Assembly]]="","",IF(tblBoards[[#This Row],[Final yield]]&gt;0,(tblBoards[[#This Row],[Bare PCB]]+tblBoards[[#This Row],[Components]]+tblBoards[[#This Row],[SMT]]+tblBoards[[#This Row],[Through-hole]]+tblBoards[[#This Row],[Test]])*(1/tblBoards[[#This Row],[Final yield]]-1),""))</f>
        <v>1.14923195876289</v>
      </c>
      <c r="V8" s="37">
        <f>IF(tblBoards[[#This Row],[Assembly]]="","",IFERROR(tblBoards[[#This Row],[Bare PCB]]+tblBoards[[#This Row],[Components]]+tblBoards[[#This Row],[SMT]]+tblBoards[[#This Row],[Through-hole]]+tblBoards[[#This Row],[Test]]+tblBoards[[#This Row],[Yield loss]]+tblBoards[[#This Row],[Setup per board]],""))</f>
        <v>41.1077319587629</v>
      </c>
      <c r="W8" s="38">
        <f>IF(tblBoards[[#This Row],[Assembly]]="","",IF(AND(tblBoards[[#This Row],[Price]]&gt;0,ISNUMBER(tblBoards[[#This Row],[Cost per good board]])),(tblBoards[[#This Row],[Price]]-tblBoards[[#This Row],[Cost per good board]])/tblBoards[[#This Row],[Price]],""))</f>
        <v>0.159351084687876</v>
      </c>
      <c r="X8" s="39" t="str">
        <f>IF(NOT(ISNUMBER(tblBoards[[#This Row],[Margin]])),"",IF(tblBoards[[#This Row],[Margin]]&gt;=TargetMargin,"On target",IF(tblBoards[[#This Row],[Margin]]&gt;=TargetMargin*(1-0.05),"Near target","Below target")))</f>
        <v>On target</v>
      </c>
      <c r="Y8" s="40">
        <f>IF(tblBoards[[#This Row],[Assembly]]="","",IFERROR(tblBoards[[#This Row],[Cost per good board]]*tblBoards[[#This Row],[Lot size]],""))</f>
        <v>20553.8659793814</v>
      </c>
      <c r="Z8" s="40">
        <f>IF(tblBoards[[#This Row],[Assembly]]="","",IF(tblBoards[[#This Row],[Price]]&gt;0,tblBoards[[#This Row],[Price]]*tblBoards[[#This Row],[Lot size]],""))</f>
        <v>24450</v>
      </c>
      <c r="AA8" s="40">
        <f>IF(tblBoards[[#This Row],[Assembly]]="","",IF(AND(tblBoards[[#This Row],[Price]]&gt;0,ISNUMBER(tblBoards[[#This Row],[Lot cost]])),tblBoards[[#This Row],[Lot value]]-tblBoards[[#This Row],[Lot cost]],""))</f>
        <v>3896.13402061856</v>
      </c>
      <c r="AB8"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8" s="28" t="s">
        <v>112</v>
      </c>
    </row>
    <row r="9" spans="1:29">
      <c r="B9" s="28" t="s">
        <v>115</v>
      </c>
      <c r="C9" s="28" t="s">
        <v>116</v>
      </c>
      <c r="D9" s="30">
        <v>2000</v>
      </c>
      <c r="E9" s="30">
        <v>12</v>
      </c>
      <c r="F9" s="29">
        <v>30</v>
      </c>
      <c r="G9" s="29">
        <v>3.2</v>
      </c>
      <c r="H9" s="32">
        <v>0.025</v>
      </c>
      <c r="I9" s="30">
        <v>42</v>
      </c>
      <c r="J9" s="30">
        <v>6</v>
      </c>
      <c r="K9" s="30">
        <v>15</v>
      </c>
      <c r="L9" s="29">
        <v>800</v>
      </c>
      <c r="M9" s="32">
        <v>0.99</v>
      </c>
      <c r="N9" s="29">
        <v>8.9</v>
      </c>
      <c r="O9" s="36">
        <f>IF(tblBoards[[#This Row],[Assembly]]="","",IF(tblBoards[[#This Row],[Boards per panel]]&gt;0,tblBoards[[#This Row],[Panel price]]/tblBoards[[#This Row],[Boards per panel]],""))</f>
        <v>2.5</v>
      </c>
      <c r="P9" s="36">
        <f>IF(tblBoards[[#This Row],[Assembly]]="","",tblBoards[[#This Row],[BOM cost]]*(1+tblBoards[[#This Row],[Attrition]]))</f>
        <v>3.28</v>
      </c>
      <c r="Q9" s="36">
        <f>IF(tblBoards[[#This Row],[Assembly]]="","",tblBoards[[#This Row],[SMT placements]]/Cph*SmtRate)</f>
        <v>0.735</v>
      </c>
      <c r="R9" s="36">
        <f>IF(tblBoards[[#This Row],[Assembly]]="","",tblBoards[[#This Row],[THT joints]]*ThtSec/3600*LabourRate)</f>
        <v>0.28</v>
      </c>
      <c r="S9" s="36">
        <f>IF(tblBoards[[#This Row],[Assembly]]="","",tblBoards[[#This Row],[Test time (s)]]/3600*TestRate)</f>
        <v>0.229166666666667</v>
      </c>
      <c r="T9" s="36">
        <f>IF(tblBoards[[#This Row],[Assembly]]="","",IF(tblBoards[[#This Row],[Lot size]]&gt;0,tblBoards[[#This Row],[Setup and NRE]]/tblBoards[[#This Row],[Lot size]],""))</f>
        <v>0.4</v>
      </c>
      <c r="U9" s="36">
        <f>IF(tblBoards[[#This Row],[Assembly]]="","",IF(tblBoards[[#This Row],[Final yield]]&gt;0,(tblBoards[[#This Row],[Bare PCB]]+tblBoards[[#This Row],[Components]]+tblBoards[[#This Row],[SMT]]+tblBoards[[#This Row],[Through-hole]]+tblBoards[[#This Row],[Test]])*(1/tblBoards[[#This Row],[Final yield]]-1),""))</f>
        <v>0.0709511784511789</v>
      </c>
      <c r="V9" s="37">
        <f>IF(tblBoards[[#This Row],[Assembly]]="","",IFERROR(tblBoards[[#This Row],[Bare PCB]]+tblBoards[[#This Row],[Components]]+tblBoards[[#This Row],[SMT]]+tblBoards[[#This Row],[Through-hole]]+tblBoards[[#This Row],[Test]]+tblBoards[[#This Row],[Yield loss]]+tblBoards[[#This Row],[Setup per board]],""))</f>
        <v>7.49511784511785</v>
      </c>
      <c r="W9" s="38">
        <f>IF(tblBoards[[#This Row],[Assembly]]="","",IF(AND(tblBoards[[#This Row],[Price]]&gt;0,ISNUMBER(tblBoards[[#This Row],[Cost per good board]])),(tblBoards[[#This Row],[Price]]-tblBoards[[#This Row],[Cost per good board]])/tblBoards[[#This Row],[Price]],""))</f>
        <v>0.157851927514849</v>
      </c>
      <c r="X9" s="39" t="str">
        <f>IF(NOT(ISNUMBER(tblBoards[[#This Row],[Margin]])),"",IF(tblBoards[[#This Row],[Margin]]&gt;=TargetMargin,"On target",IF(tblBoards[[#This Row],[Margin]]&gt;=TargetMargin*(1-0.05),"Near target","Below target")))</f>
        <v>On target</v>
      </c>
      <c r="Y9" s="40">
        <f>IF(tblBoards[[#This Row],[Assembly]]="","",IFERROR(tblBoards[[#This Row],[Cost per good board]]*tblBoards[[#This Row],[Lot size]],""))</f>
        <v>14990.2356902357</v>
      </c>
      <c r="Z9" s="40">
        <f>IF(tblBoards[[#This Row],[Assembly]]="","",IF(tblBoards[[#This Row],[Price]]&gt;0,tblBoards[[#This Row],[Price]]*tblBoards[[#This Row],[Lot size]],""))</f>
        <v>17800</v>
      </c>
      <c r="AA9" s="40">
        <f>IF(tblBoards[[#This Row],[Assembly]]="","",IF(AND(tblBoards[[#This Row],[Price]]&gt;0,ISNUMBER(tblBoards[[#This Row],[Lot cost]])),tblBoards[[#This Row],[Lot value]]-tblBoards[[#This Row],[Lot cost]],""))</f>
        <v>2809.76430976431</v>
      </c>
      <c r="AB9"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9" s="28" t="s">
        <v>112</v>
      </c>
    </row>
    <row r="10" spans="1:29">
      <c r="B10" s="28" t="s">
        <v>117</v>
      </c>
      <c r="C10" s="28" t="s">
        <v>118</v>
      </c>
      <c r="D10" s="30">
        <v>250</v>
      </c>
      <c r="E10" s="30">
        <v>2</v>
      </c>
      <c r="F10" s="29">
        <v>64</v>
      </c>
      <c r="G10" s="29">
        <v>46.5</v>
      </c>
      <c r="H10" s="32">
        <v>0.01</v>
      </c>
      <c r="I10" s="30">
        <v>620</v>
      </c>
      <c r="J10" s="30">
        <v>18</v>
      </c>
      <c r="K10" s="30">
        <v>120</v>
      </c>
      <c r="L10" s="29">
        <v>2600</v>
      </c>
      <c r="M10" s="32">
        <v>0.95</v>
      </c>
      <c r="N10" s="29">
        <v>126.5</v>
      </c>
      <c r="O10" s="36">
        <f>IF(tblBoards[[#This Row],[Assembly]]="","",IF(tblBoards[[#This Row],[Boards per panel]]&gt;0,tblBoards[[#This Row],[Panel price]]/tblBoards[[#This Row],[Boards per panel]],""))</f>
        <v>32</v>
      </c>
      <c r="P10" s="36">
        <f>IF(tblBoards[[#This Row],[Assembly]]="","",tblBoards[[#This Row],[BOM cost]]*(1+tblBoards[[#This Row],[Attrition]]))</f>
        <v>46.965</v>
      </c>
      <c r="Q10" s="36">
        <f>IF(tblBoards[[#This Row],[Assembly]]="","",tblBoards[[#This Row],[SMT placements]]/Cph*SmtRate)</f>
        <v>10.85</v>
      </c>
      <c r="R10" s="36">
        <f>IF(tblBoards[[#This Row],[Assembly]]="","",tblBoards[[#This Row],[THT joints]]*ThtSec/3600*LabourRate)</f>
        <v>0.84</v>
      </c>
      <c r="S10" s="36">
        <f>IF(tblBoards[[#This Row],[Assembly]]="","",tblBoards[[#This Row],[Test time (s)]]/3600*TestRate)</f>
        <v>1.83333333333333</v>
      </c>
      <c r="T10" s="36">
        <f>IF(tblBoards[[#This Row],[Assembly]]="","",IF(tblBoards[[#This Row],[Lot size]]&gt;0,tblBoards[[#This Row],[Setup and NRE]]/tblBoards[[#This Row],[Lot size]],""))</f>
        <v>10.4</v>
      </c>
      <c r="U10" s="36">
        <f>IF(tblBoards[[#This Row],[Assembly]]="","",IF(tblBoards[[#This Row],[Final yield]]&gt;0,(tblBoards[[#This Row],[Bare PCB]]+tblBoards[[#This Row],[Components]]+tblBoards[[#This Row],[SMT]]+tblBoards[[#This Row],[Through-hole]]+tblBoards[[#This Row],[Test]])*(1/tblBoards[[#This Row],[Final yield]]-1),""))</f>
        <v>4.86780701754385</v>
      </c>
      <c r="V10" s="37">
        <f>IF(tblBoards[[#This Row],[Assembly]]="","",IFERROR(tblBoards[[#This Row],[Bare PCB]]+tblBoards[[#This Row],[Components]]+tblBoards[[#This Row],[SMT]]+tblBoards[[#This Row],[Through-hole]]+tblBoards[[#This Row],[Test]]+tblBoards[[#This Row],[Yield loss]]+tblBoards[[#This Row],[Setup per board]],""))</f>
        <v>107.756140350877</v>
      </c>
      <c r="W10" s="38">
        <f>IF(tblBoards[[#This Row],[Assembly]]="","",IF(AND(tblBoards[[#This Row],[Price]]&gt;0,ISNUMBER(tblBoards[[#This Row],[Cost per good board]])),(tblBoards[[#This Row],[Price]]-tblBoards[[#This Row],[Cost per good board]])/tblBoards[[#This Row],[Price]],""))</f>
        <v>0.148172803550378</v>
      </c>
      <c r="X10" s="39" t="str">
        <f>IF(NOT(ISNUMBER(tblBoards[[#This Row],[Margin]])),"",IF(tblBoards[[#This Row],[Margin]]&gt;=TargetMargin,"On target",IF(tblBoards[[#This Row],[Margin]]&gt;=TargetMargin*(1-0.05),"Near target","Below target")))</f>
        <v>Near target</v>
      </c>
      <c r="Y10" s="40">
        <f>IF(tblBoards[[#This Row],[Assembly]]="","",IFERROR(tblBoards[[#This Row],[Cost per good board]]*tblBoards[[#This Row],[Lot size]],""))</f>
        <v>26939.0350877193</v>
      </c>
      <c r="Z10" s="40">
        <f>IF(tblBoards[[#This Row],[Assembly]]="","",IF(tblBoards[[#This Row],[Price]]&gt;0,tblBoards[[#This Row],[Price]]*tblBoards[[#This Row],[Lot size]],""))</f>
        <v>31625</v>
      </c>
      <c r="AA10" s="40">
        <f>IF(tblBoards[[#This Row],[Assembly]]="","",IF(AND(tblBoards[[#This Row],[Price]]&gt;0,ISNUMBER(tblBoards[[#This Row],[Lot cost]])),tblBoards[[#This Row],[Lot value]]-tblBoards[[#This Row],[Lot cost]],""))</f>
        <v>4685.9649122807</v>
      </c>
      <c r="AB10"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10" s="28" t="s">
        <v>112</v>
      </c>
    </row>
    <row r="11" spans="1:29">
      <c r="B11" s="28" t="s">
        <v>119</v>
      </c>
      <c r="C11" s="28" t="s">
        <v>120</v>
      </c>
      <c r="D11" s="30">
        <v>400</v>
      </c>
      <c r="E11" s="30">
        <v>4</v>
      </c>
      <c r="F11" s="29">
        <v>48</v>
      </c>
      <c r="G11" s="29">
        <v>21</v>
      </c>
      <c r="H11" s="32">
        <v>0.015</v>
      </c>
      <c r="I11" s="30">
        <v>95</v>
      </c>
      <c r="J11" s="30">
        <v>64</v>
      </c>
      <c r="K11" s="30">
        <v>60</v>
      </c>
      <c r="L11" s="29">
        <v>1200</v>
      </c>
      <c r="M11" s="32">
        <v>0.975</v>
      </c>
      <c r="N11" s="29">
        <v>51</v>
      </c>
      <c r="O11" s="36">
        <f>IF(tblBoards[[#This Row],[Assembly]]="","",IF(tblBoards[[#This Row],[Boards per panel]]&gt;0,tblBoards[[#This Row],[Panel price]]/tblBoards[[#This Row],[Boards per panel]],""))</f>
        <v>12</v>
      </c>
      <c r="P11" s="36">
        <f>IF(tblBoards[[#This Row],[Assembly]]="","",tblBoards[[#This Row],[BOM cost]]*(1+tblBoards[[#This Row],[Attrition]]))</f>
        <v>21.315</v>
      </c>
      <c r="Q11" s="36">
        <f>IF(tblBoards[[#This Row],[Assembly]]="","",tblBoards[[#This Row],[SMT placements]]/Cph*SmtRate)</f>
        <v>1.6625</v>
      </c>
      <c r="R11" s="36">
        <f>IF(tblBoards[[#This Row],[Assembly]]="","",tblBoards[[#This Row],[THT joints]]*ThtSec/3600*LabourRate)</f>
        <v>2.98666666666667</v>
      </c>
      <c r="S11" s="36">
        <f>IF(tblBoards[[#This Row],[Assembly]]="","",tblBoards[[#This Row],[Test time (s)]]/3600*TestRate)</f>
        <v>0.916666666666667</v>
      </c>
      <c r="T11" s="36">
        <f>IF(tblBoards[[#This Row],[Assembly]]="","",IF(tblBoards[[#This Row],[Lot size]]&gt;0,tblBoards[[#This Row],[Setup and NRE]]/tblBoards[[#This Row],[Lot size]],""))</f>
        <v>3</v>
      </c>
      <c r="U11" s="36">
        <f>IF(tblBoards[[#This Row],[Assembly]]="","",IF(tblBoards[[#This Row],[Final yield]]&gt;0,(tblBoards[[#This Row],[Bare PCB]]+tblBoards[[#This Row],[Components]]+tblBoards[[#This Row],[SMT]]+tblBoards[[#This Row],[Through-hole]]+tblBoards[[#This Row],[Test]])*(1/tblBoards[[#This Row],[Final yield]]-1),""))</f>
        <v>0.996944444444449</v>
      </c>
      <c r="V11" s="37">
        <f>IF(tblBoards[[#This Row],[Assembly]]="","",IFERROR(tblBoards[[#This Row],[Bare PCB]]+tblBoards[[#This Row],[Components]]+tblBoards[[#This Row],[SMT]]+tblBoards[[#This Row],[Through-hole]]+tblBoards[[#This Row],[Test]]+tblBoards[[#This Row],[Yield loss]]+tblBoards[[#This Row],[Setup per board]],""))</f>
        <v>42.8777777777778</v>
      </c>
      <c r="W11" s="38">
        <f>IF(tblBoards[[#This Row],[Assembly]]="","",IF(AND(tblBoards[[#This Row],[Price]]&gt;0,ISNUMBER(tblBoards[[#This Row],[Cost per good board]])),(tblBoards[[#This Row],[Price]]-tblBoards[[#This Row],[Cost per good board]])/tblBoards[[#This Row],[Price]],""))</f>
        <v>0.159259259259259</v>
      </c>
      <c r="X11" s="39" t="str">
        <f>IF(NOT(ISNUMBER(tblBoards[[#This Row],[Margin]])),"",IF(tblBoards[[#This Row],[Margin]]&gt;=TargetMargin,"On target",IF(tblBoards[[#This Row],[Margin]]&gt;=TargetMargin*(1-0.05),"Near target","Below target")))</f>
        <v>On target</v>
      </c>
      <c r="Y11" s="40">
        <f>IF(tblBoards[[#This Row],[Assembly]]="","",IFERROR(tblBoards[[#This Row],[Cost per good board]]*tblBoards[[#This Row],[Lot size]],""))</f>
        <v>17151.1111111111</v>
      </c>
      <c r="Z11" s="40">
        <f>IF(tblBoards[[#This Row],[Assembly]]="","",IF(tblBoards[[#This Row],[Price]]&gt;0,tblBoards[[#This Row],[Price]]*tblBoards[[#This Row],[Lot size]],""))</f>
        <v>20400</v>
      </c>
      <c r="AA11" s="40">
        <f>IF(tblBoards[[#This Row],[Assembly]]="","",IF(AND(tblBoards[[#This Row],[Price]]&gt;0,ISNUMBER(tblBoards[[#This Row],[Lot cost]])),tblBoards[[#This Row],[Lot value]]-tblBoards[[#This Row],[Lot cost]],""))</f>
        <v>3248.88888888889</v>
      </c>
      <c r="AB11"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11" s="28" t="s">
        <v>112</v>
      </c>
    </row>
    <row r="12" spans="1:29">
      <c r="B12" s="28" t="s">
        <v>121</v>
      </c>
      <c r="C12" s="28" t="s">
        <v>122</v>
      </c>
      <c r="D12" s="30">
        <v>300</v>
      </c>
      <c r="E12" s="30">
        <v>6</v>
      </c>
      <c r="F12" s="29">
        <v>41</v>
      </c>
      <c r="G12" s="29">
        <v>12.3</v>
      </c>
      <c r="H12" s="32">
        <v>0.02</v>
      </c>
      <c r="I12" s="30">
        <v>160</v>
      </c>
      <c r="J12" s="30">
        <v>0</v>
      </c>
      <c r="K12" s="30">
        <v>30</v>
      </c>
      <c r="L12" s="29">
        <v>1100</v>
      </c>
      <c r="M12" s="32">
        <v>0.98</v>
      </c>
      <c r="N12" s="29">
        <v>31.8</v>
      </c>
      <c r="O12" s="36">
        <f>IF(tblBoards[[#This Row],[Assembly]]="","",IF(tblBoards[[#This Row],[Boards per panel]]&gt;0,tblBoards[[#This Row],[Panel price]]/tblBoards[[#This Row],[Boards per panel]],""))</f>
        <v>6.83333333333333</v>
      </c>
      <c r="P12" s="36">
        <f>IF(tblBoards[[#This Row],[Assembly]]="","",tblBoards[[#This Row],[BOM cost]]*(1+tblBoards[[#This Row],[Attrition]]))</f>
        <v>12.546</v>
      </c>
      <c r="Q12" s="36">
        <f>IF(tblBoards[[#This Row],[Assembly]]="","",tblBoards[[#This Row],[SMT placements]]/Cph*SmtRate)</f>
        <v>2.8</v>
      </c>
      <c r="R12" s="36">
        <f>IF(tblBoards[[#This Row],[Assembly]]="","",tblBoards[[#This Row],[THT joints]]*ThtSec/3600*LabourRate)</f>
        <v>0</v>
      </c>
      <c r="S12" s="36">
        <f>IF(tblBoards[[#This Row],[Assembly]]="","",tblBoards[[#This Row],[Test time (s)]]/3600*TestRate)</f>
        <v>0.458333333333333</v>
      </c>
      <c r="T12" s="36">
        <f>IF(tblBoards[[#This Row],[Assembly]]="","",IF(tblBoards[[#This Row],[Lot size]]&gt;0,tblBoards[[#This Row],[Setup and NRE]]/tblBoards[[#This Row],[Lot size]],""))</f>
        <v>3.66666666666667</v>
      </c>
      <c r="U12" s="36">
        <f>IF(tblBoards[[#This Row],[Assembly]]="","",IF(tblBoards[[#This Row],[Final yield]]&gt;0,(tblBoards[[#This Row],[Bare PCB]]+tblBoards[[#This Row],[Components]]+tblBoards[[#This Row],[SMT]]+tblBoards[[#This Row],[Through-hole]]+tblBoards[[#This Row],[Test]])*(1/tblBoards[[#This Row],[Final yield]]-1),""))</f>
        <v>0.461993197278912</v>
      </c>
      <c r="V12" s="37">
        <f>IF(tblBoards[[#This Row],[Assembly]]="","",IFERROR(tblBoards[[#This Row],[Bare PCB]]+tblBoards[[#This Row],[Components]]+tblBoards[[#This Row],[SMT]]+tblBoards[[#This Row],[Through-hole]]+tblBoards[[#This Row],[Test]]+tblBoards[[#This Row],[Yield loss]]+tblBoards[[#This Row],[Setup per board]],""))</f>
        <v>26.7663265306122</v>
      </c>
      <c r="W12" s="38">
        <f>IF(tblBoards[[#This Row],[Assembly]]="","",IF(AND(tblBoards[[#This Row],[Price]]&gt;0,ISNUMBER(tblBoards[[#This Row],[Cost per good board]])),(tblBoards[[#This Row],[Price]]-tblBoards[[#This Row],[Cost per good board]])/tblBoards[[#This Row],[Price]],""))</f>
        <v>0.158291618534206</v>
      </c>
      <c r="X12" s="39" t="str">
        <f>IF(NOT(ISNUMBER(tblBoards[[#This Row],[Margin]])),"",IF(tblBoards[[#This Row],[Margin]]&gt;=TargetMargin,"On target",IF(tblBoards[[#This Row],[Margin]]&gt;=TargetMargin*(1-0.05),"Near target","Below target")))</f>
        <v>On target</v>
      </c>
      <c r="Y12" s="40">
        <f>IF(tblBoards[[#This Row],[Assembly]]="","",IFERROR(tblBoards[[#This Row],[Cost per good board]]*tblBoards[[#This Row],[Lot size]],""))</f>
        <v>8029.89795918367</v>
      </c>
      <c r="Z12" s="40">
        <f>IF(tblBoards[[#This Row],[Assembly]]="","",IF(tblBoards[[#This Row],[Price]]&gt;0,tblBoards[[#This Row],[Price]]*tblBoards[[#This Row],[Lot size]],""))</f>
        <v>9540</v>
      </c>
      <c r="AA12" s="40">
        <f>IF(tblBoards[[#This Row],[Assembly]]="","",IF(AND(tblBoards[[#This Row],[Price]]&gt;0,ISNUMBER(tblBoards[[#This Row],[Lot cost]])),tblBoards[[#This Row],[Lot value]]-tblBoards[[#This Row],[Lot cost]],""))</f>
        <v>1510.10204081633</v>
      </c>
      <c r="AB12"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12" s="28" t="s">
        <v>112</v>
      </c>
    </row>
    <row r="13" spans="1:29">
      <c r="B13" s="28" t="s">
        <v>123</v>
      </c>
      <c r="C13" s="28" t="s">
        <v>124</v>
      </c>
      <c r="D13" s="30">
        <v>100</v>
      </c>
      <c r="E13" s="30">
        <v>2</v>
      </c>
      <c r="F13" s="29">
        <v>70</v>
      </c>
      <c r="G13" s="29">
        <v>58</v>
      </c>
      <c r="H13" s="32">
        <v>0.01</v>
      </c>
      <c r="I13" s="30">
        <v>380</v>
      </c>
      <c r="J13" s="30">
        <v>10</v>
      </c>
      <c r="K13" s="30">
        <v>300</v>
      </c>
      <c r="L13" s="29">
        <v>3200</v>
      </c>
      <c r="M13" s="32">
        <v>0.9399999999999999</v>
      </c>
      <c r="N13" s="29">
        <v>152</v>
      </c>
      <c r="O13" s="36">
        <f>IF(tblBoards[[#This Row],[Assembly]]="","",IF(tblBoards[[#This Row],[Boards per panel]]&gt;0,tblBoards[[#This Row],[Panel price]]/tblBoards[[#This Row],[Boards per panel]],""))</f>
        <v>35</v>
      </c>
      <c r="P13" s="36">
        <f>IF(tblBoards[[#This Row],[Assembly]]="","",tblBoards[[#This Row],[BOM cost]]*(1+tblBoards[[#This Row],[Attrition]]))</f>
        <v>58.58</v>
      </c>
      <c r="Q13" s="36">
        <f>IF(tblBoards[[#This Row],[Assembly]]="","",tblBoards[[#This Row],[SMT placements]]/Cph*SmtRate)</f>
        <v>6.65</v>
      </c>
      <c r="R13" s="36">
        <f>IF(tblBoards[[#This Row],[Assembly]]="","",tblBoards[[#This Row],[THT joints]]*ThtSec/3600*LabourRate)</f>
        <v>0.466666666666667</v>
      </c>
      <c r="S13" s="36">
        <f>IF(tblBoards[[#This Row],[Assembly]]="","",tblBoards[[#This Row],[Test time (s)]]/3600*TestRate)</f>
        <v>4.58333333333333</v>
      </c>
      <c r="T13" s="36">
        <f>IF(tblBoards[[#This Row],[Assembly]]="","",IF(tblBoards[[#This Row],[Lot size]]&gt;0,tblBoards[[#This Row],[Setup and NRE]]/tblBoards[[#This Row],[Lot size]],""))</f>
        <v>32</v>
      </c>
      <c r="U13" s="36">
        <f>IF(tblBoards[[#This Row],[Assembly]]="","",IF(tblBoards[[#This Row],[Final yield]]&gt;0,(tblBoards[[#This Row],[Bare PCB]]+tblBoards[[#This Row],[Components]]+tblBoards[[#This Row],[SMT]]+tblBoards[[#This Row],[Through-hole]]+tblBoards[[#This Row],[Test]])*(1/tblBoards[[#This Row],[Final yield]]-1),""))</f>
        <v>6.72</v>
      </c>
      <c r="V13" s="37">
        <f>IF(tblBoards[[#This Row],[Assembly]]="","",IFERROR(tblBoards[[#This Row],[Bare PCB]]+tblBoards[[#This Row],[Components]]+tblBoards[[#This Row],[SMT]]+tblBoards[[#This Row],[Through-hole]]+tblBoards[[#This Row],[Test]]+tblBoards[[#This Row],[Yield loss]]+tblBoards[[#This Row],[Setup per board]],""))</f>
        <v>144</v>
      </c>
      <c r="W13" s="38">
        <f>IF(tblBoards[[#This Row],[Assembly]]="","",IF(AND(tblBoards[[#This Row],[Price]]&gt;0,ISNUMBER(tblBoards[[#This Row],[Cost per good board]])),(tblBoards[[#This Row],[Price]]-tblBoards[[#This Row],[Cost per good board]])/tblBoards[[#This Row],[Price]],""))</f>
        <v>0.0526315789473684</v>
      </c>
      <c r="X13" s="39" t="str">
        <f>IF(NOT(ISNUMBER(tblBoards[[#This Row],[Margin]])),"",IF(tblBoards[[#This Row],[Margin]]&gt;=TargetMargin,"On target",IF(tblBoards[[#This Row],[Margin]]&gt;=TargetMargin*(1-0.05),"Near target","Below target")))</f>
        <v>Below target</v>
      </c>
      <c r="Y13" s="40">
        <f>IF(tblBoards[[#This Row],[Assembly]]="","",IFERROR(tblBoards[[#This Row],[Cost per good board]]*tblBoards[[#This Row],[Lot size]],""))</f>
        <v>14400</v>
      </c>
      <c r="Z13" s="40">
        <f>IF(tblBoards[[#This Row],[Assembly]]="","",IF(tblBoards[[#This Row],[Price]]&gt;0,tblBoards[[#This Row],[Price]]*tblBoards[[#This Row],[Lot size]],""))</f>
        <v>15200</v>
      </c>
      <c r="AA13" s="40">
        <f>IF(tblBoards[[#This Row],[Assembly]]="","",IF(AND(tblBoards[[#This Row],[Price]]&gt;0,ISNUMBER(tblBoards[[#This Row],[Lot cost]])),tblBoards[[#This Row],[Lot value]]-tblBoards[[#This Row],[Lot cost]],""))</f>
        <v>800</v>
      </c>
      <c r="AB13"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13" s="28" t="s">
        <v>125</v>
      </c>
    </row>
    <row r="14" spans="1:29">
      <c r="B14" s="28" t="s">
        <v>126</v>
      </c>
      <c r="C14" s="28" t="s">
        <v>127</v>
      </c>
      <c r="D14" s="30">
        <v>1500</v>
      </c>
      <c r="E14" s="30">
        <v>20</v>
      </c>
      <c r="F14" s="29">
        <v>44</v>
      </c>
      <c r="G14" s="29">
        <v>2.1</v>
      </c>
      <c r="H14" s="32">
        <v>0.03</v>
      </c>
      <c r="I14" s="30">
        <v>36</v>
      </c>
      <c r="J14" s="30">
        <v>12</v>
      </c>
      <c r="K14" s="30">
        <v>10</v>
      </c>
      <c r="L14" s="29">
        <v>700</v>
      </c>
      <c r="M14" s="32">
        <v>0.99</v>
      </c>
      <c r="N14" s="29">
        <v>7.45</v>
      </c>
      <c r="O14" s="36">
        <f>IF(tblBoards[[#This Row],[Assembly]]="","",IF(tblBoards[[#This Row],[Boards per panel]]&gt;0,tblBoards[[#This Row],[Panel price]]/tblBoards[[#This Row],[Boards per panel]],""))</f>
        <v>2.2</v>
      </c>
      <c r="P14" s="36">
        <f>IF(tblBoards[[#This Row],[Assembly]]="","",tblBoards[[#This Row],[BOM cost]]*(1+tblBoards[[#This Row],[Attrition]]))</f>
        <v>2.163</v>
      </c>
      <c r="Q14" s="36">
        <f>IF(tblBoards[[#This Row],[Assembly]]="","",tblBoards[[#This Row],[SMT placements]]/Cph*SmtRate)</f>
        <v>0.63</v>
      </c>
      <c r="R14" s="36">
        <f>IF(tblBoards[[#This Row],[Assembly]]="","",tblBoards[[#This Row],[THT joints]]*ThtSec/3600*LabourRate)</f>
        <v>0.56</v>
      </c>
      <c r="S14" s="36">
        <f>IF(tblBoards[[#This Row],[Assembly]]="","",tblBoards[[#This Row],[Test time (s)]]/3600*TestRate)</f>
        <v>0.152777777777778</v>
      </c>
      <c r="T14" s="36">
        <f>IF(tblBoards[[#This Row],[Assembly]]="","",IF(tblBoards[[#This Row],[Lot size]]&gt;0,tblBoards[[#This Row],[Setup and NRE]]/tblBoards[[#This Row],[Lot size]],""))</f>
        <v>0.466666666666667</v>
      </c>
      <c r="U14" s="36">
        <f>IF(tblBoards[[#This Row],[Assembly]]="","",IF(tblBoards[[#This Row],[Final yield]]&gt;0,(tblBoards[[#This Row],[Bare PCB]]+tblBoards[[#This Row],[Components]]+tblBoards[[#This Row],[SMT]]+tblBoards[[#This Row],[Through-hole]]+tblBoards[[#This Row],[Test]])*(1/tblBoards[[#This Row],[Final yield]]-1),""))</f>
        <v>0.0576341189674527</v>
      </c>
      <c r="V14" s="37">
        <f>IF(tblBoards[[#This Row],[Assembly]]="","",IFERROR(tblBoards[[#This Row],[Bare PCB]]+tblBoards[[#This Row],[Components]]+tblBoards[[#This Row],[SMT]]+tblBoards[[#This Row],[Through-hole]]+tblBoards[[#This Row],[Test]]+tblBoards[[#This Row],[Yield loss]]+tblBoards[[#This Row],[Setup per board]],""))</f>
        <v>6.2300785634119</v>
      </c>
      <c r="W14" s="38">
        <f>IF(tblBoards[[#This Row],[Assembly]]="","",IF(AND(tblBoards[[#This Row],[Price]]&gt;0,ISNUMBER(tblBoards[[#This Row],[Cost per good board]])),(tblBoards[[#This Row],[Price]]-tblBoards[[#This Row],[Cost per good board]])/tblBoards[[#This Row],[Price]],""))</f>
        <v>0.163747843837329</v>
      </c>
      <c r="X14" s="39" t="str">
        <f>IF(NOT(ISNUMBER(tblBoards[[#This Row],[Margin]])),"",IF(tblBoards[[#This Row],[Margin]]&gt;=TargetMargin,"On target",IF(tblBoards[[#This Row],[Margin]]&gt;=TargetMargin*(1-0.05),"Near target","Below target")))</f>
        <v>On target</v>
      </c>
      <c r="Y14" s="40">
        <f>IF(tblBoards[[#This Row],[Assembly]]="","",IFERROR(tblBoards[[#This Row],[Cost per good board]]*tblBoards[[#This Row],[Lot size]],""))</f>
        <v>9345.11784511785</v>
      </c>
      <c r="Z14" s="40">
        <f>IF(tblBoards[[#This Row],[Assembly]]="","",IF(tblBoards[[#This Row],[Price]]&gt;0,tblBoards[[#This Row],[Price]]*tblBoards[[#This Row],[Lot size]],""))</f>
        <v>11175</v>
      </c>
      <c r="AA14" s="40">
        <f>IF(tblBoards[[#This Row],[Assembly]]="","",IF(AND(tblBoards[[#This Row],[Price]]&gt;0,ISNUMBER(tblBoards[[#This Row],[Lot cost]])),tblBoards[[#This Row],[Lot value]]-tblBoards[[#This Row],[Lot cost]],""))</f>
        <v>1829.88215488215</v>
      </c>
      <c r="AB14"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14" s="28" t="s">
        <v>112</v>
      </c>
    </row>
    <row r="15" spans="1:29">
      <c r="B15" s="28" t="s">
        <v>128</v>
      </c>
      <c r="C15" s="28" t="s">
        <v>129</v>
      </c>
      <c r="D15" s="30">
        <v>600</v>
      </c>
      <c r="E15" s="30">
        <v>6</v>
      </c>
      <c r="F15" s="29">
        <v>46</v>
      </c>
      <c r="G15" s="29">
        <v>15.8</v>
      </c>
      <c r="H15" s="32">
        <v>0.015</v>
      </c>
      <c r="I15" s="30">
        <v>145</v>
      </c>
      <c r="J15" s="30">
        <v>8</v>
      </c>
      <c r="K15" s="30">
        <v>40</v>
      </c>
      <c r="L15" s="29">
        <v>1300</v>
      </c>
      <c r="M15" s="32">
        <v>0.975</v>
      </c>
      <c r="N15" s="29">
        <v>35.6</v>
      </c>
      <c r="O15" s="36">
        <f>IF(tblBoards[[#This Row],[Assembly]]="","",IF(tblBoards[[#This Row],[Boards per panel]]&gt;0,tblBoards[[#This Row],[Panel price]]/tblBoards[[#This Row],[Boards per panel]],""))</f>
        <v>7.66666666666667</v>
      </c>
      <c r="P15" s="36">
        <f>IF(tblBoards[[#This Row],[Assembly]]="","",tblBoards[[#This Row],[BOM cost]]*(1+tblBoards[[#This Row],[Attrition]]))</f>
        <v>16.037</v>
      </c>
      <c r="Q15" s="36">
        <f>IF(tblBoards[[#This Row],[Assembly]]="","",tblBoards[[#This Row],[SMT placements]]/Cph*SmtRate)</f>
        <v>2.5375</v>
      </c>
      <c r="R15" s="36">
        <f>IF(tblBoards[[#This Row],[Assembly]]="","",tblBoards[[#This Row],[THT joints]]*ThtSec/3600*LabourRate)</f>
        <v>0.373333333333333</v>
      </c>
      <c r="S15" s="36">
        <f>IF(tblBoards[[#This Row],[Assembly]]="","",tblBoards[[#This Row],[Test time (s)]]/3600*TestRate)</f>
        <v>0.611111111111111</v>
      </c>
      <c r="T15" s="36">
        <f>IF(tblBoards[[#This Row],[Assembly]]="","",IF(tblBoards[[#This Row],[Lot size]]&gt;0,tblBoards[[#This Row],[Setup and NRE]]/tblBoards[[#This Row],[Lot size]],""))</f>
        <v>2.16666666666667</v>
      </c>
      <c r="U15" s="36">
        <f>IF(tblBoards[[#This Row],[Assembly]]="","",IF(tblBoards[[#This Row],[Final yield]]&gt;0,(tblBoards[[#This Row],[Bare PCB]]+tblBoards[[#This Row],[Components]]+tblBoards[[#This Row],[SMT]]+tblBoards[[#This Row],[Through-hole]]+tblBoards[[#This Row],[Test]])*(1/tblBoards[[#This Row],[Final yield]]-1),""))</f>
        <v>0.698092592592596</v>
      </c>
      <c r="V15" s="37">
        <f>IF(tblBoards[[#This Row],[Assembly]]="","",IFERROR(tblBoards[[#This Row],[Bare PCB]]+tblBoards[[#This Row],[Components]]+tblBoards[[#This Row],[SMT]]+tblBoards[[#This Row],[Through-hole]]+tblBoards[[#This Row],[Test]]+tblBoards[[#This Row],[Yield loss]]+tblBoards[[#This Row],[Setup per board]],""))</f>
        <v>30.0903703703704</v>
      </c>
      <c r="W15" s="38">
        <f>IF(tblBoards[[#This Row],[Assembly]]="","",IF(AND(tblBoards[[#This Row],[Price]]&gt;0,ISNUMBER(tblBoards[[#This Row],[Cost per good board]])),(tblBoards[[#This Row],[Price]]-tblBoards[[#This Row],[Cost per good board]])/tblBoards[[#This Row],[Price]],""))</f>
        <v>0.154764877236787</v>
      </c>
      <c r="X15" s="39" t="str">
        <f>IF(NOT(ISNUMBER(tblBoards[[#This Row],[Margin]])),"",IF(tblBoards[[#This Row],[Margin]]&gt;=TargetMargin,"On target",IF(tblBoards[[#This Row],[Margin]]&gt;=TargetMargin*(1-0.05),"Near target","Below target")))</f>
        <v>On target</v>
      </c>
      <c r="Y15" s="40">
        <f>IF(tblBoards[[#This Row],[Assembly]]="","",IFERROR(tblBoards[[#This Row],[Cost per good board]]*tblBoards[[#This Row],[Lot size]],""))</f>
        <v>18054.2222222222</v>
      </c>
      <c r="Z15" s="40">
        <f>IF(tblBoards[[#This Row],[Assembly]]="","",IF(tblBoards[[#This Row],[Price]]&gt;0,tblBoards[[#This Row],[Price]]*tblBoards[[#This Row],[Lot size]],""))</f>
        <v>21360</v>
      </c>
      <c r="AA15" s="40">
        <f>IF(tblBoards[[#This Row],[Assembly]]="","",IF(AND(tblBoards[[#This Row],[Price]]&gt;0,ISNUMBER(tblBoards[[#This Row],[Lot cost]])),tblBoards[[#This Row],[Lot value]]-tblBoards[[#This Row],[Lot cost]],""))</f>
        <v>3305.77777777777</v>
      </c>
      <c r="AB15"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15" s="28" t="s">
        <v>112</v>
      </c>
    </row>
    <row r="16" spans="1:29">
      <c r="B16" s="28" t="s">
        <v>130</v>
      </c>
      <c r="C16" s="28" t="s">
        <v>131</v>
      </c>
      <c r="D16" s="30">
        <v>800</v>
      </c>
      <c r="E16" s="30">
        <v>8</v>
      </c>
      <c r="F16" s="29">
        <v>36</v>
      </c>
      <c r="G16" s="29">
        <v>7.4</v>
      </c>
      <c r="H16" s="32">
        <v>0.02</v>
      </c>
      <c r="I16" s="30">
        <v>48</v>
      </c>
      <c r="J16" s="30">
        <v>40</v>
      </c>
      <c r="K16" s="30">
        <v>20</v>
      </c>
      <c r="L16" s="29">
        <v>900</v>
      </c>
      <c r="M16" s="32">
        <v>0.985</v>
      </c>
      <c r="N16" s="29">
        <v>18.2</v>
      </c>
      <c r="O16" s="36">
        <f>IF(tblBoards[[#This Row],[Assembly]]="","",IF(tblBoards[[#This Row],[Boards per panel]]&gt;0,tblBoards[[#This Row],[Panel price]]/tblBoards[[#This Row],[Boards per panel]],""))</f>
        <v>4.5</v>
      </c>
      <c r="P16" s="36">
        <f>IF(tblBoards[[#This Row],[Assembly]]="","",tblBoards[[#This Row],[BOM cost]]*(1+tblBoards[[#This Row],[Attrition]]))</f>
        <v>7.548</v>
      </c>
      <c r="Q16" s="36">
        <f>IF(tblBoards[[#This Row],[Assembly]]="","",tblBoards[[#This Row],[SMT placements]]/Cph*SmtRate)</f>
        <v>0.84</v>
      </c>
      <c r="R16" s="36">
        <f>IF(tblBoards[[#This Row],[Assembly]]="","",tblBoards[[#This Row],[THT joints]]*ThtSec/3600*LabourRate)</f>
        <v>1.86666666666667</v>
      </c>
      <c r="S16" s="36">
        <f>IF(tblBoards[[#This Row],[Assembly]]="","",tblBoards[[#This Row],[Test time (s)]]/3600*TestRate)</f>
        <v>0.305555555555556</v>
      </c>
      <c r="T16" s="36">
        <f>IF(tblBoards[[#This Row],[Assembly]]="","",IF(tblBoards[[#This Row],[Lot size]]&gt;0,tblBoards[[#This Row],[Setup and NRE]]/tblBoards[[#This Row],[Lot size]],""))</f>
        <v>1.125</v>
      </c>
      <c r="U16" s="36">
        <f>IF(tblBoards[[#This Row],[Assembly]]="","",IF(tblBoards[[#This Row],[Final yield]]&gt;0,(tblBoards[[#This Row],[Bare PCB]]+tblBoards[[#This Row],[Components]]+tblBoards[[#This Row],[SMT]]+tblBoards[[#This Row],[Through-hole]]+tblBoards[[#This Row],[Test]])*(1/tblBoards[[#This Row],[Final yield]]-1),""))</f>
        <v>0.229343485617596</v>
      </c>
      <c r="V16" s="37">
        <f>IF(tblBoards[[#This Row],[Assembly]]="","",IFERROR(tblBoards[[#This Row],[Bare PCB]]+tblBoards[[#This Row],[Components]]+tblBoards[[#This Row],[SMT]]+tblBoards[[#This Row],[Through-hole]]+tblBoards[[#This Row],[Test]]+tblBoards[[#This Row],[Yield loss]]+tblBoards[[#This Row],[Setup per board]],""))</f>
        <v>16.4145657078398</v>
      </c>
      <c r="W16" s="38">
        <f>IF(tblBoards[[#This Row],[Assembly]]="","",IF(AND(tblBoards[[#This Row],[Price]]&gt;0,ISNUMBER(tblBoards[[#This Row],[Cost per good board]])),(tblBoards[[#This Row],[Price]]-tblBoards[[#This Row],[Cost per good board]])/tblBoards[[#This Row],[Price]],""))</f>
        <v>0.0981007852835263</v>
      </c>
      <c r="X16" s="39" t="str">
        <f>IF(NOT(ISNUMBER(tblBoards[[#This Row],[Margin]])),"",IF(tblBoards[[#This Row],[Margin]]&gt;=TargetMargin,"On target",IF(tblBoards[[#This Row],[Margin]]&gt;=TargetMargin*(1-0.05),"Near target","Below target")))</f>
        <v>Below target</v>
      </c>
      <c r="Y16" s="40">
        <f>IF(tblBoards[[#This Row],[Assembly]]="","",IFERROR(tblBoards[[#This Row],[Cost per good board]]*tblBoards[[#This Row],[Lot size]],""))</f>
        <v>13131.6525662719</v>
      </c>
      <c r="Z16" s="40">
        <f>IF(tblBoards[[#This Row],[Assembly]]="","",IF(tblBoards[[#This Row],[Price]]&gt;0,tblBoards[[#This Row],[Price]]*tblBoards[[#This Row],[Lot size]],""))</f>
        <v>14560</v>
      </c>
      <c r="AA16" s="40">
        <f>IF(tblBoards[[#This Row],[Assembly]]="","",IF(AND(tblBoards[[#This Row],[Price]]&gt;0,ISNUMBER(tblBoards[[#This Row],[Lot cost]])),tblBoards[[#This Row],[Lot value]]-tblBoards[[#This Row],[Lot cost]],""))</f>
        <v>1428.34743372814</v>
      </c>
      <c r="AB16" s="41" t="str">
        <f>IF(tblBoards[[#This Row],[Assembly]]="","",IF(tblBoards[[#This Row],[Lot size]]="","Missing lot size",IF(tblBoards[[#This Row],[Boards per panel]]="","Missing boards per panel",IF(tblBoards[[#This Row],[Panel price]]="","Missing panel price",IF(tblBoards[[#This Row],[BOM cost]]="","Missing bom cost",IF(tblBoards[[#This Row],[Final yield]]="","Missing final yield",IF(COUNTIF(tblBoards[Assembly],tblBoards[[#This Row],[Assembly]])&gt;1,"Duplicate assembly","OK")))))))</f>
        <v>OK</v>
      </c>
      <c r="AC16" s="28" t="s">
        <v>112</v>
      </c>
    </row>
  </sheetData>
  <mergeCells count="3">
    <mergeCell ref="A1:AC1"/>
    <mergeCell ref="B2:AB2"/>
    <mergeCell ref="B4:AC4"/>
  </mergeCells>
  <conditionalFormatting sqref="AB7:AB516">
    <cfRule type="expression" dxfId="3" priority="24">
      <formula>$AB7="OK"</formula>
    </cfRule>
    <cfRule type="expression" dxfId="1" priority="25">
      <formula>AND($AB7&lt;&gt;"",$AB7&lt;&gt;"OK")</formula>
    </cfRule>
  </conditionalFormatting>
  <conditionalFormatting sqref="W7:W516">
    <cfRule type="expression" dxfId="3" priority="1" stopIfTrue="1">
      <formula>AND(ISNUMBER(W7),W7&gt;=(TargetMargin))</formula>
    </cfRule>
    <cfRule type="expression" dxfId="4" priority="2" stopIfTrue="1">
      <formula>AND(ISNUMBER(W7),W7&gt;=(TargetMargin)*(1-0.05))</formula>
    </cfRule>
    <cfRule type="expression" dxfId="5" priority="3">
      <formula>ISNUMBER(W7)</formula>
    </cfRule>
  </conditionalFormatting>
  <conditionalFormatting sqref="X7:X516">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dataValidations count="14">
    <dataValidation type="textLength" allowBlank="1" showInputMessage="1" showErrorMessage="1" errorTitle="Check this entry" error="Text up to 30 characters." promptTitle="Assembly" prompt="Text up to 30 characters." sqref="B7:B516">
      <formula1>0</formula1>
      <formula2>30</formula2>
    </dataValidation>
    <dataValidation type="textLength" allowBlank="1" showInputMessage="1" showErrorMessage="1" errorTitle="Check this entry" error="Text up to 60 characters." promptTitle="Description" prompt="Text up to 60 characters." sqref="C7:C516">
      <formula1>0</formula1>
      <formula2>60</formula2>
    </dataValidation>
    <dataValidation type="whole" allowBlank="1" showInputMessage="1" showErrorMessage="1" errorTitle="Check this entry" error="Enter a whole number from 1 to 10,000,000." promptTitle="Lot size" prompt="Good boards ordered in this lot. Enter a whole number from 1 to 10,000,000." sqref="D7:D516">
      <formula1>1</formula1>
      <formula2>10000000</formula2>
    </dataValidation>
    <dataValidation type="whole" allowBlank="1" showInputMessage="1" showErrorMessage="1" errorTitle="Check this entry" error="Enter a whole number from 1 to 1,000." promptTitle="Boards per panel" prompt="Usable boards on one fabricated panel. Enter a whole number from 1 to 1,000." sqref="E7:E516">
      <formula1>1</formula1>
      <formula2>1000</formula2>
    </dataValidation>
    <dataValidation type="decimal" allowBlank="1" showInputMessage="1" showErrorMessage="1" errorTitle="Check this entry" error="Enter a number from 0 to 1,000,000." promptTitle="Panel price" prompt="Bare PCB price per panel from the fab quote at this volume, tooling excluded (put tooling in setup and NRE). Enter a number from 0 to 1,000,000." sqref="F7:F516">
      <formula1>0</formula1>
      <formula2>1000000.0</formula2>
    </dataValidation>
    <dataValidation type="decimal" allowBlank="1" showInputMessage="1" showErrorMessage="1" errorTitle="Check this entry" error="Enter a number from 0 to 1,000,000." promptTitle="BOM cost" prompt="Components per board at the quoted volume, from your BOM cost roll-up. Enter a number from 0 to 1,000,000." sqref="G7:G516">
      <formula1>0</formula1>
      <formula2>1000000.0</formula2>
    </dataValidation>
    <dataValidation type="decimal" allowBlank="1" showInputMessage="1" showErrorMessage="1" errorTitle="Check this entry" error="Enter a percentage from 0% to 50% (type 85% or 0.85)." promptTitle="Attrition" prompt="Extra components bought for machine losses and minimum order quantities, as a share of BOM cost. Enter a percentage from 0% to 50% (type 85% or 0.85)." sqref="H7:H516">
      <formula1>0</formula1>
      <formula2>0.5</formula2>
    </dataValidation>
    <dataValidation type="whole" allowBlank="1" showInputMessage="1" showErrorMessage="1" errorTitle="Check this entry" error="Enter a whole number from 0 to 100,000." promptTitle="SMT placements" prompt="Surface-mount placements per board, both sides. Enter a whole number from 0 to 100,000." sqref="I7:I516">
      <formula1>0</formula1>
      <formula2>100000</formula2>
    </dataValidation>
    <dataValidation type="whole" allowBlank="1" showInputMessage="1" showErrorMessage="1" errorTitle="Check this entry" error="Enter a whole number from 0 to 100,000." promptTitle="THT joints" prompt="Through-hole solder joints per board (hand, selective or wave). Enter a whole number from 0 to 100,000." sqref="J7:J516">
      <formula1>0</formula1>
      <formula2>100000</formula2>
    </dataValidation>
    <dataValidation type="decimal" allowBlank="1" showInputMessage="1" showErrorMessage="1" errorTitle="Check this entry" error="Enter a number from 0 to 100,000." promptTitle="Test time (s)" prompt="Test station seconds per board, handling included. Enter a number from 0 to 100,000." sqref="K7:K516">
      <formula1>0</formula1>
      <formula2>100000</formula2>
    </dataValidation>
    <dataValidation type="decimal" allowBlank="1" showInputMessage="1" showErrorMessage="1" errorTitle="Check this entry" error="Enter a number from 0 to 10,000,000." promptTitle="Setup and NRE" prompt="Per lot: stencil, programming, line setup, fixtures and first article, if charged into the price. Enter a number from 0 to 10,000,000." sqref="L7:L516">
      <formula1>0</formula1>
      <formula2>10000000.0</formula2>
    </dataValidation>
    <dataValidation type="decimal" allowBlank="1" showInputMessage="1" showErrorMessage="1" errorTitle="Check this entry" error="Enter a percentage from 1% to 100% (type 85% or 0.85)." promptTitle="Final yield" prompt="Good boards out / boards built, after rework (your own records). Enter a percentage from 1% to 100% (type 85% or 0.85)." sqref="M7:M516">
      <formula1>0.01</formula1>
      <formula2>1</formula2>
    </dataValidation>
    <dataValidation type="decimal" allowBlank="1" showInputMessage="1" showErrorMessage="1" errorTitle="Check this entry" error="Enter a number from 0 to 10,000,000." promptTitle="Price" prompt="Quoted price per good board. Leave blank if not priced yet. Enter a number from 0 to 10,000,000." sqref="N7:N516">
      <formula1>0</formula1>
      <formula2>10000000.0</formula2>
    </dataValidation>
    <dataValidation type="textLength" allowBlank="1" showInputMessage="1" showErrorMessage="1" errorTitle="Check this entry" error="Text up to 255 characters." promptTitle="Notes" prompt="Text up to 255 characters." sqref="AC7:AC516">
      <formula1>0</formula1>
      <formula2>255</formula2>
    </dataValidation>
  </dataValidations>
  <hyperlinks>
    <hyperlink ref="AC2" r:id="rId1" tooltip="Free manufacturing calculators and templates"/>
  </hyperlinks>
  <pageMargins left="0.4" right="0.4" top="0.7" bottom="0.65" header="0.3" footer="0.3"/>
  <pageSetup fitToHeight="0" orientation="landscape"/>
  <headerFooter>
    <oddHeader>&amp;L&amp;8MFG Calcs - PCB Assembly Cost&amp;R&amp;8&amp;A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58"/>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ht="18" customHeight="1">
      <c r="B4" s="42" t="s">
        <v>132</v>
      </c>
      <c r="C4" s="42"/>
      <c r="D4" s="42" t="s">
        <v>133</v>
      </c>
      <c r="E4" s="42"/>
      <c r="F4" s="42"/>
      <c r="G4" s="42" t="s">
        <v>134</v>
      </c>
      <c r="H4" s="42"/>
      <c r="I4" s="42"/>
      <c r="J4" s="42" t="str">
        <f>"YIELD LOSS ("&amp;Currency&amp;", EST.)"</f>
        <v>YIELD LOSS (USD, EST.)</v>
      </c>
      <c r="K4" s="42"/>
      <c r="L4" s="42"/>
    </row>
    <row r="5" spans="1:12" ht="21" customHeight="1">
      <c r="B5" s="43">
        <f>IF((SUM(tblBoards[Lot value]))=0,"",(SUM(tblBoards[Lot margin]))/(SUM(tblBoards[Lot value])))</f>
        <v>0.143375464420591</v>
      </c>
      <c r="C5" s="43"/>
      <c r="D5" s="44">
        <f>COUNTIF(tblBoards[Margin status],"Below target")</f>
        <v>2</v>
      </c>
      <c r="E5" s="44"/>
      <c r="F5" s="44"/>
      <c r="G5" s="43">
        <f>IF((SUM(tblBoards[Lot cost]))=0,"",(SUMPRODUCT(tblBoards[Bare PCB],tblBoards[Lot size])+SUMPRODUCT(tblBoards[Components],tblBoards[Lot size]))/(SUM(tblBoards[Lot cost])))</f>
        <v>0.746937762561396</v>
      </c>
      <c r="H5" s="43"/>
      <c r="I5" s="43"/>
      <c r="J5" s="44">
        <f>SUMPRODUCT(tblBoards[Yield loss],tblBoards[Lot size])</f>
        <v>4023.58843304235</v>
      </c>
      <c r="K5" s="44"/>
      <c r="L5" s="44"/>
    </row>
    <row r="6" spans="1:12" ht="21" customHeight="1">
      <c r="B6" s="43"/>
      <c r="C6" s="43"/>
      <c r="D6" s="44"/>
      <c r="E6" s="44"/>
      <c r="F6" s="44"/>
      <c r="G6" s="43"/>
      <c r="H6" s="43"/>
      <c r="I6" s="43"/>
      <c r="J6" s="44"/>
      <c r="K6" s="44"/>
      <c r="L6" s="44"/>
    </row>
    <row r="7" spans="1:12">
      <c r="B7" s="45">
        <f>TargetMargin</f>
        <v>0.15</v>
      </c>
      <c r="C7" s="45"/>
      <c r="D7" s="46" t="s">
        <v>135</v>
      </c>
      <c r="E7" s="46"/>
      <c r="F7" s="46"/>
      <c r="G7" s="46" t="s">
        <v>136</v>
      </c>
      <c r="H7" s="46"/>
      <c r="I7" s="46"/>
      <c r="J7" s="46" t="s">
        <v>137</v>
      </c>
      <c r="K7" s="46"/>
      <c r="L7" s="46"/>
    </row>
    <row r="8" spans="1:12" ht="18" customHeight="1">
      <c r="B8" s="47" t="str">
        <f>IF(NOT(ISNUMBER(KpiMargin)),"No data",IF(KpiMargin&gt;=(TargetMargin),"On target",IF(KpiMargin&gt;=(TargetMargin)*(1-0.05),"Near target","Below target")))</f>
        <v>Near target</v>
      </c>
      <c r="C8" s="47"/>
      <c r="D8" s="47"/>
      <c r="E8" s="47"/>
      <c r="F8" s="47"/>
      <c r="G8" s="47"/>
      <c r="H8" s="47"/>
      <c r="I8" s="47"/>
      <c r="J8" s="47"/>
      <c r="K8" s="47"/>
      <c r="L8" s="47"/>
    </row>
    <row r="28" spans="2:12">
      <c r="B28" s="48" t="s">
        <v>138</v>
      </c>
      <c r="C28" s="48"/>
      <c r="D28" s="48"/>
      <c r="E28" s="48"/>
      <c r="F28" s="48"/>
      <c r="G28" s="48"/>
      <c r="H28" s="48"/>
      <c r="I28" s="48"/>
      <c r="J28" s="48"/>
      <c r="K28" s="48"/>
      <c r="L28" s="48"/>
    </row>
    <row r="29" spans="2:12" ht="32" customHeight="1">
      <c r="B29" s="49" t="s">
        <v>76</v>
      </c>
      <c r="C29" s="35" t="s">
        <v>77</v>
      </c>
      <c r="D29" s="35"/>
      <c r="E29" s="35" t="s">
        <v>78</v>
      </c>
      <c r="F29" s="35" t="s">
        <v>96</v>
      </c>
      <c r="G29" s="35" t="s">
        <v>88</v>
      </c>
      <c r="H29" s="35" t="s">
        <v>97</v>
      </c>
      <c r="I29" s="35" t="s">
        <v>139</v>
      </c>
      <c r="J29" s="35" t="s">
        <v>98</v>
      </c>
      <c r="K29" s="35" t="s">
        <v>99</v>
      </c>
      <c r="L29" s="35" t="s">
        <v>101</v>
      </c>
    </row>
    <row r="30" spans="2:12" ht="14" customHeight="1">
      <c r="B30" s="34"/>
      <c r="C30" s="34"/>
      <c r="D30" s="34"/>
      <c r="E30" s="34" t="s">
        <v>105</v>
      </c>
      <c r="F30" s="34" t="str">
        <f>Currency&amp;"/board"</f>
        <v>USD/board</v>
      </c>
      <c r="G30" s="34" t="str">
        <f>Currency&amp;"/board"</f>
        <v>USD/board</v>
      </c>
      <c r="H30" s="34" t="s">
        <v>109</v>
      </c>
      <c r="I30" s="34" t="s">
        <v>106</v>
      </c>
      <c r="J30" s="34"/>
      <c r="K30" s="34" t="str">
        <f>Currency&amp;"/lot"</f>
        <v>USD/lot</v>
      </c>
      <c r="L30" s="34" t="str">
        <f>Currency&amp;"/lot"</f>
        <v>USD/lot</v>
      </c>
    </row>
    <row r="31" spans="2:12">
      <c r="B31" s="50" t="str">
        <f>IFERROR(INDEX(tblBoards[Assembly],1)&amp;"","")</f>
        <v>KA-100</v>
      </c>
      <c r="C31" s="51" t="str">
        <f>IF($B$31="","",IFERROR(INDEX(tblBoards[Description],MATCH($B$31,tblBoards[Assembly],0)),""))</f>
        <v>Sensor node</v>
      </c>
      <c r="D31" s="51"/>
      <c r="E31" s="40">
        <f>IF($B$31="","",IFERROR(INDEX(tblBoards[Lot size],MATCH($B$31,tblBoards[Assembly],0)),""))</f>
        <v>1000</v>
      </c>
      <c r="F31" s="36">
        <f>IF($B$31="","",IFERROR(INDEX(tblBoards[Cost per good board],MATCH($B$31,tblBoards[Assembly],0)),""))</f>
        <v>13.7474055273548</v>
      </c>
      <c r="G31" s="36">
        <f>IF($B$31="","",IFERROR(INDEX(tblBoards[Price],MATCH($B$31,tblBoards[Assembly],0)),""))</f>
        <v>16.4</v>
      </c>
      <c r="H31" s="38">
        <f>IF($B$31="","",IFERROR(INDEX(tblBoards[Margin],MATCH($B$31,tblBoards[Assembly],0)),""))</f>
        <v>0.161743565405197</v>
      </c>
      <c r="I31" s="52">
        <f>TargetMargin</f>
        <v>0.15</v>
      </c>
      <c r="J31" s="53" t="str">
        <f>IF($B$31="","",IFERROR(INDEX(tblBoards[Margin status],MATCH($B$31,tblBoards[Assembly],0)),""))</f>
        <v>On target</v>
      </c>
      <c r="K31" s="40">
        <f>IF($B$31="","",IFERROR(INDEX(tblBoards[Lot cost],MATCH($B$31,tblBoards[Assembly],0)),""))</f>
        <v>13747.4055273548</v>
      </c>
      <c r="L31" s="40">
        <f>IF($B$31="","",IFERROR(INDEX(tblBoards[Lot margin],MATCH($B$31,tblBoards[Assembly],0)),""))</f>
        <v>2652.59447264523</v>
      </c>
    </row>
    <row r="32" spans="2:12">
      <c r="B32" s="50" t="str">
        <f>IFERROR(INDEX(tblBoards[Assembly],2)&amp;"","")</f>
        <v>KA-110</v>
      </c>
      <c r="C32" s="51" t="str">
        <f>IF($B$32="","",IFERROR(INDEX(tblBoards[Description],MATCH($B$32,tblBoards[Assembly],0)),""))</f>
        <v>Motor driver</v>
      </c>
      <c r="D32" s="51"/>
      <c r="E32" s="40">
        <f>IF($B$32="","",IFERROR(INDEX(tblBoards[Lot size],MATCH($B$32,tblBoards[Assembly],0)),""))</f>
        <v>500</v>
      </c>
      <c r="F32" s="36">
        <f>IF($B$32="","",IFERROR(INDEX(tblBoards[Cost per good board],MATCH($B$32,tblBoards[Assembly],0)),""))</f>
        <v>41.1077319587629</v>
      </c>
      <c r="G32" s="36">
        <f>IF($B$32="","",IFERROR(INDEX(tblBoards[Price],MATCH($B$32,tblBoards[Assembly],0)),""))</f>
        <v>48.9</v>
      </c>
      <c r="H32" s="38">
        <f>IF($B$32="","",IFERROR(INDEX(tblBoards[Margin],MATCH($B$32,tblBoards[Assembly],0)),""))</f>
        <v>0.159351084687876</v>
      </c>
      <c r="I32" s="52">
        <f>TargetMargin</f>
        <v>0.15</v>
      </c>
      <c r="J32" s="53" t="str">
        <f>IF($B$32="","",IFERROR(INDEX(tblBoards[Margin status],MATCH($B$32,tblBoards[Assembly],0)),""))</f>
        <v>On target</v>
      </c>
      <c r="K32" s="40">
        <f>IF($B$32="","",IFERROR(INDEX(tblBoards[Lot cost],MATCH($B$32,tblBoards[Assembly],0)),""))</f>
        <v>20553.8659793814</v>
      </c>
      <c r="L32" s="40">
        <f>IF($B$32="","",IFERROR(INDEX(tblBoards[Lot margin],MATCH($B$32,tblBoards[Assembly],0)),""))</f>
        <v>3896.13402061856</v>
      </c>
    </row>
    <row r="33" spans="2:12">
      <c r="B33" s="50" t="str">
        <f>IFERROR(INDEX(tblBoards[Assembly],3)&amp;"","")</f>
        <v>KA-120</v>
      </c>
      <c r="C33" s="51" t="str">
        <f>IF($B$33="","",IFERROR(INDEX(tblBoards[Description],MATCH($B$33,tblBoards[Assembly],0)),""))</f>
        <v>LED driver</v>
      </c>
      <c r="D33" s="51"/>
      <c r="E33" s="40">
        <f>IF($B$33="","",IFERROR(INDEX(tblBoards[Lot size],MATCH($B$33,tblBoards[Assembly],0)),""))</f>
        <v>2000</v>
      </c>
      <c r="F33" s="36">
        <f>IF($B$33="","",IFERROR(INDEX(tblBoards[Cost per good board],MATCH($B$33,tblBoards[Assembly],0)),""))</f>
        <v>7.49511784511785</v>
      </c>
      <c r="G33" s="36">
        <f>IF($B$33="","",IFERROR(INDEX(tblBoards[Price],MATCH($B$33,tblBoards[Assembly],0)),""))</f>
        <v>8.9</v>
      </c>
      <c r="H33" s="38">
        <f>IF($B$33="","",IFERROR(INDEX(tblBoards[Margin],MATCH($B$33,tblBoards[Assembly],0)),""))</f>
        <v>0.157851927514849</v>
      </c>
      <c r="I33" s="52">
        <f>TargetMargin</f>
        <v>0.15</v>
      </c>
      <c r="J33" s="53" t="str">
        <f>IF($B$33="","",IFERROR(INDEX(tblBoards[Margin status],MATCH($B$33,tblBoards[Assembly],0)),""))</f>
        <v>On target</v>
      </c>
      <c r="K33" s="40">
        <f>IF($B$33="","",IFERROR(INDEX(tblBoards[Lot cost],MATCH($B$33,tblBoards[Assembly],0)),""))</f>
        <v>14990.2356902357</v>
      </c>
      <c r="L33" s="40">
        <f>IF($B$33="","",IFERROR(INDEX(tblBoards[Lot margin],MATCH($B$33,tblBoards[Assembly],0)),""))</f>
        <v>2809.76430976431</v>
      </c>
    </row>
    <row r="34" spans="2:12">
      <c r="B34" s="50" t="str">
        <f>IFERROR(INDEX(tblBoards[Assembly],4)&amp;"","")</f>
        <v>KA-130</v>
      </c>
      <c r="C34" s="51" t="str">
        <f>IF($B$34="","",IFERROR(INDEX(tblBoards[Description],MATCH($B$34,tblBoards[Assembly],0)),""))</f>
        <v>Gateway mainboard</v>
      </c>
      <c r="D34" s="51"/>
      <c r="E34" s="40">
        <f>IF($B$34="","",IFERROR(INDEX(tblBoards[Lot size],MATCH($B$34,tblBoards[Assembly],0)),""))</f>
        <v>250</v>
      </c>
      <c r="F34" s="36">
        <f>IF($B$34="","",IFERROR(INDEX(tblBoards[Cost per good board],MATCH($B$34,tblBoards[Assembly],0)),""))</f>
        <v>107.756140350877</v>
      </c>
      <c r="G34" s="36">
        <f>IF($B$34="","",IFERROR(INDEX(tblBoards[Price],MATCH($B$34,tblBoards[Assembly],0)),""))</f>
        <v>126.5</v>
      </c>
      <c r="H34" s="38">
        <f>IF($B$34="","",IFERROR(INDEX(tblBoards[Margin],MATCH($B$34,tblBoards[Assembly],0)),""))</f>
        <v>0.148172803550378</v>
      </c>
      <c r="I34" s="52">
        <f>TargetMargin</f>
        <v>0.15</v>
      </c>
      <c r="J34" s="53" t="str">
        <f>IF($B$34="","",IFERROR(INDEX(tblBoards[Margin status],MATCH($B$34,tblBoards[Assembly],0)),""))</f>
        <v>Near target</v>
      </c>
      <c r="K34" s="40">
        <f>IF($B$34="","",IFERROR(INDEX(tblBoards[Lot cost],MATCH($B$34,tblBoards[Assembly],0)),""))</f>
        <v>26939.0350877193</v>
      </c>
      <c r="L34" s="40">
        <f>IF($B$34="","",IFERROR(INDEX(tblBoards[Lot margin],MATCH($B$34,tblBoards[Assembly],0)),""))</f>
        <v>4685.9649122807</v>
      </c>
    </row>
    <row r="35" spans="2:12">
      <c r="B35" s="50" t="str">
        <f>IFERROR(INDEX(tblBoards[Assembly],5)&amp;"","")</f>
        <v>KA-140</v>
      </c>
      <c r="C35" s="51" t="str">
        <f>IF($B$35="","",IFERROR(INDEX(tblBoards[Description],MATCH($B$35,tblBoards[Assembly],0)),""))</f>
        <v>Power supply</v>
      </c>
      <c r="D35" s="51"/>
      <c r="E35" s="40">
        <f>IF($B$35="","",IFERROR(INDEX(tblBoards[Lot size],MATCH($B$35,tblBoards[Assembly],0)),""))</f>
        <v>400</v>
      </c>
      <c r="F35" s="36">
        <f>IF($B$35="","",IFERROR(INDEX(tblBoards[Cost per good board],MATCH($B$35,tblBoards[Assembly],0)),""))</f>
        <v>42.8777777777778</v>
      </c>
      <c r="G35" s="36">
        <f>IF($B$35="","",IFERROR(INDEX(tblBoards[Price],MATCH($B$35,tblBoards[Assembly],0)),""))</f>
        <v>51</v>
      </c>
      <c r="H35" s="38">
        <f>IF($B$35="","",IFERROR(INDEX(tblBoards[Margin],MATCH($B$35,tblBoards[Assembly],0)),""))</f>
        <v>0.159259259259259</v>
      </c>
      <c r="I35" s="52">
        <f>TargetMargin</f>
        <v>0.15</v>
      </c>
      <c r="J35" s="53" t="str">
        <f>IF($B$35="","",IFERROR(INDEX(tblBoards[Margin status],MATCH($B$35,tblBoards[Assembly],0)),""))</f>
        <v>On target</v>
      </c>
      <c r="K35" s="40">
        <f>IF($B$35="","",IFERROR(INDEX(tblBoards[Lot cost],MATCH($B$35,tblBoards[Assembly],0)),""))</f>
        <v>17151.1111111111</v>
      </c>
      <c r="L35" s="40">
        <f>IF($B$35="","",IFERROR(INDEX(tblBoards[Lot margin],MATCH($B$35,tblBoards[Assembly],0)),""))</f>
        <v>3248.88888888889</v>
      </c>
    </row>
    <row r="36" spans="2:12">
      <c r="B36" s="50" t="str">
        <f>IFERROR(INDEX(tblBoards[Assembly],6)&amp;"","")</f>
        <v>KA-150</v>
      </c>
      <c r="C36" s="51" t="str">
        <f>IF($B$36="","",IFERROR(INDEX(tblBoards[Description],MATCH($B$36,tblBoards[Assembly],0)),""))</f>
        <v>Display board</v>
      </c>
      <c r="D36" s="51"/>
      <c r="E36" s="40">
        <f>IF($B$36="","",IFERROR(INDEX(tblBoards[Lot size],MATCH($B$36,tblBoards[Assembly],0)),""))</f>
        <v>300</v>
      </c>
      <c r="F36" s="36">
        <f>IF($B$36="","",IFERROR(INDEX(tblBoards[Cost per good board],MATCH($B$36,tblBoards[Assembly],0)),""))</f>
        <v>26.7663265306122</v>
      </c>
      <c r="G36" s="36">
        <f>IF($B$36="","",IFERROR(INDEX(tblBoards[Price],MATCH($B$36,tblBoards[Assembly],0)),""))</f>
        <v>31.8</v>
      </c>
      <c r="H36" s="38">
        <f>IF($B$36="","",IFERROR(INDEX(tblBoards[Margin],MATCH($B$36,tblBoards[Assembly],0)),""))</f>
        <v>0.158291618534206</v>
      </c>
      <c r="I36" s="52">
        <f>TargetMargin</f>
        <v>0.15</v>
      </c>
      <c r="J36" s="53" t="str">
        <f>IF($B$36="","",IFERROR(INDEX(tblBoards[Margin status],MATCH($B$36,tblBoards[Assembly],0)),""))</f>
        <v>On target</v>
      </c>
      <c r="K36" s="40">
        <f>IF($B$36="","",IFERROR(INDEX(tblBoards[Lot cost],MATCH($B$36,tblBoards[Assembly],0)),""))</f>
        <v>8029.89795918367</v>
      </c>
      <c r="L36" s="40">
        <f>IF($B$36="","",IFERROR(INDEX(tblBoards[Lot margin],MATCH($B$36,tblBoards[Assembly],0)),""))</f>
        <v>1510.10204081633</v>
      </c>
    </row>
    <row r="37" spans="2:12">
      <c r="B37" s="50" t="str">
        <f>IFERROR(INDEX(tblBoards[Assembly],7)&amp;"","")</f>
        <v>KA-160</v>
      </c>
      <c r="C37" s="51" t="str">
        <f>IF($B$37="","",IFERROR(INDEX(tblBoards[Description],MATCH($B$37,tblBoards[Assembly],0)),""))</f>
        <v>Medical sensor interface</v>
      </c>
      <c r="D37" s="51"/>
      <c r="E37" s="40">
        <f>IF($B$37="","",IFERROR(INDEX(tblBoards[Lot size],MATCH($B$37,tblBoards[Assembly],0)),""))</f>
        <v>100</v>
      </c>
      <c r="F37" s="36">
        <f>IF($B$37="","",IFERROR(INDEX(tblBoards[Cost per good board],MATCH($B$37,tblBoards[Assembly],0)),""))</f>
        <v>144</v>
      </c>
      <c r="G37" s="36">
        <f>IF($B$37="","",IFERROR(INDEX(tblBoards[Price],MATCH($B$37,tblBoards[Assembly],0)),""))</f>
        <v>152</v>
      </c>
      <c r="H37" s="38">
        <f>IF($B$37="","",IFERROR(INDEX(tblBoards[Margin],MATCH($B$37,tblBoards[Assembly],0)),""))</f>
        <v>0.0526315789473684</v>
      </c>
      <c r="I37" s="52">
        <f>TargetMargin</f>
        <v>0.15</v>
      </c>
      <c r="J37" s="53" t="str">
        <f>IF($B$37="","",IFERROR(INDEX(tblBoards[Margin status],MATCH($B$37,tblBoards[Assembly],0)),""))</f>
        <v>Below target</v>
      </c>
      <c r="K37" s="40">
        <f>IF($B$37="","",IFERROR(INDEX(tblBoards[Lot cost],MATCH($B$37,tblBoards[Assembly],0)),""))</f>
        <v>14400</v>
      </c>
      <c r="L37" s="40">
        <f>IF($B$37="","",IFERROR(INDEX(tblBoards[Lot margin],MATCH($B$37,tblBoards[Assembly],0)),""))</f>
        <v>800</v>
      </c>
    </row>
    <row r="38" spans="2:12">
      <c r="B38" s="50" t="str">
        <f>IFERROR(INDEX(tblBoards[Assembly],8)&amp;"","")</f>
        <v>KA-170</v>
      </c>
      <c r="C38" s="51" t="str">
        <f>IF($B$38="","",IFERROR(INDEX(tblBoards[Description],MATCH($B$38,tblBoards[Assembly],0)),""))</f>
        <v>Keypad controller</v>
      </c>
      <c r="D38" s="51"/>
      <c r="E38" s="40">
        <f>IF($B$38="","",IFERROR(INDEX(tblBoards[Lot size],MATCH($B$38,tblBoards[Assembly],0)),""))</f>
        <v>1500</v>
      </c>
      <c r="F38" s="36">
        <f>IF($B$38="","",IFERROR(INDEX(tblBoards[Cost per good board],MATCH($B$38,tblBoards[Assembly],0)),""))</f>
        <v>6.2300785634119</v>
      </c>
      <c r="G38" s="36">
        <f>IF($B$38="","",IFERROR(INDEX(tblBoards[Price],MATCH($B$38,tblBoards[Assembly],0)),""))</f>
        <v>7.45</v>
      </c>
      <c r="H38" s="38">
        <f>IF($B$38="","",IFERROR(INDEX(tblBoards[Margin],MATCH($B$38,tblBoards[Assembly],0)),""))</f>
        <v>0.163747843837329</v>
      </c>
      <c r="I38" s="52">
        <f>TargetMargin</f>
        <v>0.15</v>
      </c>
      <c r="J38" s="53" t="str">
        <f>IF($B$38="","",IFERROR(INDEX(tblBoards[Margin status],MATCH($B$38,tblBoards[Assembly],0)),""))</f>
        <v>On target</v>
      </c>
      <c r="K38" s="40">
        <f>IF($B$38="","",IFERROR(INDEX(tblBoards[Lot cost],MATCH($B$38,tblBoards[Assembly],0)),""))</f>
        <v>9345.11784511785</v>
      </c>
      <c r="L38" s="40">
        <f>IF($B$38="","",IFERROR(INDEX(tblBoards[Lot margin],MATCH($B$38,tblBoards[Assembly],0)),""))</f>
        <v>1829.88215488215</v>
      </c>
    </row>
    <row r="39" spans="2:12">
      <c r="B39" s="50" t="str">
        <f>IFERROR(INDEX(tblBoards[Assembly],9)&amp;"","")</f>
        <v>KA-180</v>
      </c>
      <c r="C39" s="51" t="str">
        <f>IF($B$39="","",IFERROR(INDEX(tblBoards[Description],MATCH($B$39,tblBoards[Assembly],0)),""))</f>
        <v>Battery management</v>
      </c>
      <c r="D39" s="51"/>
      <c r="E39" s="40">
        <f>IF($B$39="","",IFERROR(INDEX(tblBoards[Lot size],MATCH($B$39,tblBoards[Assembly],0)),""))</f>
        <v>600</v>
      </c>
      <c r="F39" s="36">
        <f>IF($B$39="","",IFERROR(INDEX(tblBoards[Cost per good board],MATCH($B$39,tblBoards[Assembly],0)),""))</f>
        <v>30.0903703703704</v>
      </c>
      <c r="G39" s="36">
        <f>IF($B$39="","",IFERROR(INDEX(tblBoards[Price],MATCH($B$39,tblBoards[Assembly],0)),""))</f>
        <v>35.6</v>
      </c>
      <c r="H39" s="38">
        <f>IF($B$39="","",IFERROR(INDEX(tblBoards[Margin],MATCH($B$39,tblBoards[Assembly],0)),""))</f>
        <v>0.154764877236787</v>
      </c>
      <c r="I39" s="52">
        <f>TargetMargin</f>
        <v>0.15</v>
      </c>
      <c r="J39" s="53" t="str">
        <f>IF($B$39="","",IFERROR(INDEX(tblBoards[Margin status],MATCH($B$39,tblBoards[Assembly],0)),""))</f>
        <v>On target</v>
      </c>
      <c r="K39" s="40">
        <f>IF($B$39="","",IFERROR(INDEX(tblBoards[Lot cost],MATCH($B$39,tblBoards[Assembly],0)),""))</f>
        <v>18054.2222222222</v>
      </c>
      <c r="L39" s="40">
        <f>IF($B$39="","",IFERROR(INDEX(tblBoards[Lot margin],MATCH($B$39,tblBoards[Assembly],0)),""))</f>
        <v>3305.77777777777</v>
      </c>
    </row>
    <row r="40" spans="2:12">
      <c r="B40" s="50" t="str">
        <f>IFERROR(INDEX(tblBoards[Assembly],10)&amp;"","")</f>
        <v>KA-190</v>
      </c>
      <c r="C40" s="51" t="str">
        <f>IF($B$40="","",IFERROR(INDEX(tblBoards[Description],MATCH($B$40,tblBoards[Assembly],0)),""))</f>
        <v>Relay board</v>
      </c>
      <c r="D40" s="51"/>
      <c r="E40" s="40">
        <f>IF($B$40="","",IFERROR(INDEX(tblBoards[Lot size],MATCH($B$40,tblBoards[Assembly],0)),""))</f>
        <v>800</v>
      </c>
      <c r="F40" s="36">
        <f>IF($B$40="","",IFERROR(INDEX(tblBoards[Cost per good board],MATCH($B$40,tblBoards[Assembly],0)),""))</f>
        <v>16.4145657078398</v>
      </c>
      <c r="G40" s="36">
        <f>IF($B$40="","",IFERROR(INDEX(tblBoards[Price],MATCH($B$40,tblBoards[Assembly],0)),""))</f>
        <v>18.2</v>
      </c>
      <c r="H40" s="38">
        <f>IF($B$40="","",IFERROR(INDEX(tblBoards[Margin],MATCH($B$40,tblBoards[Assembly],0)),""))</f>
        <v>0.0981007852835263</v>
      </c>
      <c r="I40" s="52">
        <f>TargetMargin</f>
        <v>0.15</v>
      </c>
      <c r="J40" s="53" t="str">
        <f>IF($B$40="","",IFERROR(INDEX(tblBoards[Margin status],MATCH($B$40,tblBoards[Assembly],0)),""))</f>
        <v>Below target</v>
      </c>
      <c r="K40" s="40">
        <f>IF($B$40="","",IFERROR(INDEX(tblBoards[Lot cost],MATCH($B$40,tblBoards[Assembly],0)),""))</f>
        <v>13131.6525662719</v>
      </c>
      <c r="L40" s="40">
        <f>IF($B$40="","",IFERROR(INDEX(tblBoards[Lot margin],MATCH($B$40,tblBoards[Assembly],0)),""))</f>
        <v>1428.34743372814</v>
      </c>
    </row>
    <row r="42" spans="2:12">
      <c r="B42" s="48" t="s">
        <v>140</v>
      </c>
      <c r="C42" s="48"/>
      <c r="D42" s="48"/>
      <c r="E42" s="48"/>
      <c r="F42" s="48"/>
      <c r="G42" s="48"/>
      <c r="H42" s="48"/>
    </row>
    <row r="43" spans="2:12" ht="32" customHeight="1">
      <c r="B43" s="49" t="s">
        <v>76</v>
      </c>
      <c r="C43" s="35" t="s">
        <v>89</v>
      </c>
      <c r="D43" s="35" t="s">
        <v>90</v>
      </c>
      <c r="E43" s="35" t="s">
        <v>76</v>
      </c>
      <c r="F43" s="35" t="s">
        <v>93</v>
      </c>
      <c r="G43" s="35" t="s">
        <v>86</v>
      </c>
      <c r="H43" s="35" t="s">
        <v>95</v>
      </c>
    </row>
    <row r="44" spans="2:12" ht="14" customHeight="1">
      <c r="B44" s="34"/>
      <c r="C44" s="34" t="s">
        <v>106</v>
      </c>
      <c r="D44" s="34" t="s">
        <v>106</v>
      </c>
      <c r="E44" s="34" t="s">
        <v>106</v>
      </c>
      <c r="F44" s="34" t="s">
        <v>106</v>
      </c>
      <c r="G44" s="34" t="s">
        <v>106</v>
      </c>
      <c r="H44" s="34" t="s">
        <v>106</v>
      </c>
    </row>
    <row r="45" spans="2:12">
      <c r="B45" s="50" t="str">
        <f>IFERROR(INDEX(tblBoards[Assembly],1)&amp;"","")</f>
        <v>KA-100</v>
      </c>
      <c r="C45" s="38">
        <f>IF($B$45="","",IFERROR((INDEX(tblBoards[Bare PCB],MATCH($B$45,tblBoards[Assembly],0)))/INDEX(tblBoards[Cost per good board],MATCH($B$45,tblBoards[Assembly],0)),""))</f>
        <v>0.276415792960985</v>
      </c>
      <c r="D45" s="38">
        <f>IF($B$45="","",IFERROR((INDEX(tblBoards[Components],MATCH($B$45,tblBoards[Assembly],0)))/INDEX(tblBoards[Cost per good board],MATCH($B$45,tblBoards[Assembly],0)),""))</f>
        <v>0.504531563151946</v>
      </c>
      <c r="E45" s="38">
        <f>IF($B$45="","",IFERROR((INDEX(tblBoards[SMT],MATCH($B$45,tblBoards[Assembly],0))+INDEX(tblBoards[Through-hole],MATCH($B$45,tblBoards[Assembly],0)))/INDEX(tblBoards[Cost per good board],MATCH($B$45,tblBoards[Assembly],0)),""))</f>
        <v>0.108202234744596</v>
      </c>
      <c r="F45" s="38">
        <f>IF($B$45="","",IFERROR((INDEX(tblBoards[Test],MATCH($B$45,tblBoards[Assembly],0)))/INDEX(tblBoards[Cost per good board],MATCH($B$45,tblBoards[Assembly],0)),""))</f>
        <v>0.02778302012583</v>
      </c>
      <c r="G45" s="38">
        <f>IF($B$45="","",IFERROR((INDEX(tblBoards[Setup per board],MATCH($B$45,tblBoards[Assembly],0)))/INDEX(tblBoards[Cost per good board],MATCH($B$45,tblBoards[Assembly],0)),""))</f>
        <v>0.0691039482402463</v>
      </c>
      <c r="H45" s="38">
        <f>IF($B$45="","",IFERROR((INDEX(tblBoards[Yield loss],MATCH($B$45,tblBoards[Assembly],0)))/INDEX(tblBoards[Cost per good board],MATCH($B$45,tblBoards[Assembly],0)),""))</f>
        <v>0.0139634407763962</v>
      </c>
    </row>
    <row r="46" spans="2:12">
      <c r="B46" s="50" t="str">
        <f>IFERROR(INDEX(tblBoards[Assembly],2)&amp;"","")</f>
        <v>KA-110</v>
      </c>
      <c r="C46" s="38">
        <f>IF($B$46="","",IFERROR((INDEX(tblBoards[Bare PCB],MATCH($B$46,tblBoards[Assembly],0)))/INDEX(tblBoards[Cost per good board],MATCH($B$46,tblBoards[Assembly],0)),""))</f>
        <v>0.316242209933667</v>
      </c>
      <c r="D46" s="38">
        <f>IF($B$46="","",IFERROR((INDEX(tblBoards[Components],MATCH($B$46,tblBoards[Assembly],0)))/INDEX(tblBoards[Cost per good board],MATCH($B$46,tblBoards[Assembly],0)),""))</f>
        <v>0.454318424055474</v>
      </c>
      <c r="E46" s="38">
        <f>IF($B$46="","",IFERROR((INDEX(tblBoards[SMT],MATCH($B$46,tblBoards[Assembly],0))+INDEX(tblBoards[Through-hole],MATCH($B$46,tblBoards[Assembly],0)))/INDEX(tblBoards[Cost per good board],MATCH($B$46,tblBoards[Assembly],0)),""))</f>
        <v>0.116644722817841</v>
      </c>
      <c r="F46" s="38">
        <f>IF($B$46="","",IFERROR((INDEX(tblBoards[Test],MATCH($B$46,tblBoards[Assembly],0)))/INDEX(tblBoards[Cost per good board],MATCH($B$46,tblBoards[Assembly],0)),""))</f>
        <v>0.0167243476407228</v>
      </c>
      <c r="G46" s="38">
        <f>IF($B$46="","",IFERROR((INDEX(tblBoards[Setup per board],MATCH($B$46,tblBoards[Assembly],0)))/INDEX(tblBoards[Cost per good board],MATCH($B$46,tblBoards[Assembly],0)),""))</f>
        <v>0.0681137067549436</v>
      </c>
      <c r="H46" s="38">
        <f>IF($B$46="","",IFERROR((INDEX(tblBoards[Yield loss],MATCH($B$46,tblBoards[Assembly],0)))/INDEX(tblBoards[Cost per good board],MATCH($B$46,tblBoards[Assembly],0)),""))</f>
        <v>0.0279565887973518</v>
      </c>
    </row>
    <row r="47" spans="2:12">
      <c r="B47" s="50" t="str">
        <f>IFERROR(INDEX(tblBoards[Assembly],3)&amp;"","")</f>
        <v>KA-120</v>
      </c>
      <c r="C47" s="38">
        <f>IF($B$47="","",IFERROR((INDEX(tblBoards[Bare PCB],MATCH($B$47,tblBoards[Assembly],0)))/INDEX(tblBoards[Cost per good board],MATCH($B$47,tblBoards[Assembly],0)),""))</f>
        <v>0.333550459333797</v>
      </c>
      <c r="D47" s="38">
        <f>IF($B$47="","",IFERROR((INDEX(tblBoards[Components],MATCH($B$47,tblBoards[Assembly],0)))/INDEX(tblBoards[Cost per good board],MATCH($B$47,tblBoards[Assembly],0)),""))</f>
        <v>0.437618202645942</v>
      </c>
      <c r="E47" s="38">
        <f>IF($B$47="","",IFERROR((INDEX(tblBoards[SMT],MATCH($B$47,tblBoards[Assembly],0))+INDEX(tblBoards[Through-hole],MATCH($B$47,tblBoards[Assembly],0)))/INDEX(tblBoards[Cost per good board],MATCH($B$47,tblBoards[Assembly],0)),""))</f>
        <v>0.135421486489522</v>
      </c>
      <c r="F47" s="38">
        <f>IF($B$47="","",IFERROR((INDEX(tblBoards[Test],MATCH($B$47,tblBoards[Assembly],0)))/INDEX(tblBoards[Cost per good board],MATCH($B$47,tblBoards[Assembly],0)),""))</f>
        <v>0.0305754587722648</v>
      </c>
      <c r="G47" s="38">
        <f>IF($B$47="","",IFERROR((INDEX(tblBoards[Setup per board],MATCH($B$47,tblBoards[Assembly],0)))/INDEX(tblBoards[Cost per good board],MATCH($B$47,tblBoards[Assembly],0)),""))</f>
        <v>0.0533680734934076</v>
      </c>
      <c r="H47" s="38">
        <f>IF($B$47="","",IFERROR((INDEX(tblBoards[Yield loss],MATCH($B$47,tblBoards[Assembly],0)))/INDEX(tblBoards[Cost per good board],MATCH($B$47,tblBoards[Assembly],0)),""))</f>
        <v>0.00946631926506598</v>
      </c>
    </row>
    <row r="48" spans="2:12">
      <c r="B48" s="50" t="str">
        <f>IFERROR(INDEX(tblBoards[Assembly],4)&amp;"","")</f>
        <v>KA-130</v>
      </c>
      <c r="C48" s="38">
        <f>IF($B$48="","",IFERROR((INDEX(tblBoards[Bare PCB],MATCH($B$48,tblBoards[Assembly],0)))/INDEX(tblBoards[Cost per good board],MATCH($B$48,tblBoards[Assembly],0)),""))</f>
        <v>0.29696683544716</v>
      </c>
      <c r="D48" s="38">
        <f>IF($B$48="","",IFERROR((INDEX(tblBoards[Components],MATCH($B$48,tblBoards[Assembly],0)))/INDEX(tblBoards[Cost per good board],MATCH($B$48,tblBoards[Assembly],0)),""))</f>
        <v>0.435845232086746</v>
      </c>
      <c r="E48" s="38">
        <f>IF($B$48="","",IFERROR((INDEX(tblBoards[SMT],MATCH($B$48,tblBoards[Assembly],0))+INDEX(tblBoards[Through-hole],MATCH($B$48,tblBoards[Assembly],0)))/INDEX(tblBoards[Cost per good board],MATCH($B$48,tblBoards[Assembly],0)),""))</f>
        <v>0.108485697074291</v>
      </c>
      <c r="F48" s="38">
        <f>IF($B$48="","",IFERROR((INDEX(tblBoards[Test],MATCH($B$48,tblBoards[Assembly],0)))/INDEX(tblBoards[Cost per good board],MATCH($B$48,tblBoards[Assembly],0)),""))</f>
        <v>0.0170137249474935</v>
      </c>
      <c r="G48" s="38">
        <f>IF($B$48="","",IFERROR((INDEX(tblBoards[Setup per board],MATCH($B$48,tblBoards[Assembly],0)))/INDEX(tblBoards[Cost per good board],MATCH($B$48,tblBoards[Assembly],0)),""))</f>
        <v>0.0965142215203269</v>
      </c>
      <c r="H48" s="38">
        <f>IF($B$48="","",IFERROR((INDEX(tblBoards[Yield loss],MATCH($B$48,tblBoards[Assembly],0)))/INDEX(tblBoards[Cost per good board],MATCH($B$48,tblBoards[Assembly],0)),""))</f>
        <v>0.0451742889239836</v>
      </c>
    </row>
    <row r="49" spans="2:12">
      <c r="B49" s="50" t="str">
        <f>IFERROR(INDEX(tblBoards[Assembly],5)&amp;"","")</f>
        <v>KA-140</v>
      </c>
      <c r="C49" s="38">
        <f>IF($B$49="","",IFERROR((INDEX(tblBoards[Bare PCB],MATCH($B$49,tblBoards[Assembly],0)))/INDEX(tblBoards[Cost per good board],MATCH($B$49,tblBoards[Assembly],0)),""))</f>
        <v>0.279865250064784</v>
      </c>
      <c r="D49" s="38">
        <f>IF($B$49="","",IFERROR((INDEX(tblBoards[Components],MATCH($B$49,tblBoards[Assembly],0)))/INDEX(tblBoards[Cost per good board],MATCH($B$49,tblBoards[Assembly],0)),""))</f>
        <v>0.497110650427572</v>
      </c>
      <c r="E49" s="38">
        <f>IF($B$49="","",IFERROR((INDEX(tblBoards[SMT],MATCH($B$49,tblBoards[Assembly],0))+INDEX(tblBoards[Through-hole],MATCH($B$49,tblBoards[Assembly],0)))/INDEX(tblBoards[Cost per good board],MATCH($B$49,tblBoards[Assembly],0)),""))</f>
        <v>0.108428349313294</v>
      </c>
      <c r="F49" s="38">
        <f>IF($B$49="","",IFERROR((INDEX(tblBoards[Test],MATCH($B$49,tblBoards[Assembly],0)))/INDEX(tblBoards[Cost per good board],MATCH($B$49,tblBoards[Assembly],0)),""))</f>
        <v>0.0213785954910599</v>
      </c>
      <c r="G49" s="38">
        <f>IF($B$49="","",IFERROR((INDEX(tblBoards[Setup per board],MATCH($B$49,tblBoards[Assembly],0)))/INDEX(tblBoards[Cost per good board],MATCH($B$49,tblBoards[Assembly],0)),""))</f>
        <v>0.0699663125161959</v>
      </c>
      <c r="H49" s="38">
        <f>IF($B$49="","",IFERROR((INDEX(tblBoards[Yield loss],MATCH($B$49,tblBoards[Assembly],0)))/INDEX(tblBoards[Cost per good board],MATCH($B$49,tblBoards[Assembly],0)),""))</f>
        <v>0.0232508421870952</v>
      </c>
    </row>
    <row r="50" spans="2:12">
      <c r="B50" s="50" t="str">
        <f>IFERROR(INDEX(tblBoards[Assembly],6)&amp;"","")</f>
        <v>KA-150</v>
      </c>
      <c r="C50" s="38">
        <f>IF($B$50="","",IFERROR((INDEX(tblBoards[Bare PCB],MATCH($B$50,tblBoards[Assembly],0)))/INDEX(tblBoards[Cost per good board],MATCH($B$50,tblBoards[Assembly],0)),""))</f>
        <v>0.255295896712541</v>
      </c>
      <c r="D50" s="38">
        <f>IF($B$50="","",IFERROR((INDEX(tblBoards[Components],MATCH($B$50,tblBoards[Assembly],0)))/INDEX(tblBoards[Cost per good board],MATCH($B$50,tblBoards[Assembly],0)),""))</f>
        <v>0.468723266364226</v>
      </c>
      <c r="E50" s="38">
        <f>IF($B$50="","",IFERROR((INDEX(tblBoards[SMT],MATCH($B$50,tblBoards[Assembly],0))+INDEX(tblBoards[Through-hole],MATCH($B$50,tblBoards[Assembly],0)))/INDEX(tblBoards[Cost per good board],MATCH($B$50,tblBoards[Assembly],0)),""))</f>
        <v>0.104609050360261</v>
      </c>
      <c r="F50" s="38">
        <f>IF($B$50="","",IFERROR((INDEX(tblBoards[Test],MATCH($B$50,tblBoards[Assembly],0)))/INDEX(tblBoards[Cost per good board],MATCH($B$50,tblBoards[Assembly],0)),""))</f>
        <v>0.0171235052673046</v>
      </c>
      <c r="G50" s="38">
        <f>IF($B$50="","",IFERROR((INDEX(tblBoards[Setup per board],MATCH($B$50,tblBoards[Assembly],0)))/INDEX(tblBoards[Cost per good board],MATCH($B$50,tblBoards[Assembly],0)),""))</f>
        <v>0.136988042138437</v>
      </c>
      <c r="H50" s="38">
        <f>IF($B$50="","",IFERROR((INDEX(tblBoards[Yield loss],MATCH($B$50,tblBoards[Assembly],0)))/INDEX(tblBoards[Cost per good board],MATCH($B$50,tblBoards[Assembly],0)),""))</f>
        <v>0.0172602391572313</v>
      </c>
    </row>
    <row r="51" spans="2:12">
      <c r="B51" s="50" t="str">
        <f>IFERROR(INDEX(tblBoards[Assembly],7)&amp;"","")</f>
        <v>KA-160</v>
      </c>
      <c r="C51" s="38">
        <f>IF($B$51="","",IFERROR((INDEX(tblBoards[Bare PCB],MATCH($B$51,tblBoards[Assembly],0)))/INDEX(tblBoards[Cost per good board],MATCH($B$51,tblBoards[Assembly],0)),""))</f>
        <v>0.243055555555556</v>
      </c>
      <c r="D51" s="38">
        <f>IF($B$51="","",IFERROR((INDEX(tblBoards[Components],MATCH($B$51,tblBoards[Assembly],0)))/INDEX(tblBoards[Cost per good board],MATCH($B$51,tblBoards[Assembly],0)),""))</f>
        <v>0.406805555555556</v>
      </c>
      <c r="E51" s="38">
        <f>IF($B$51="","",IFERROR((INDEX(tblBoards[SMT],MATCH($B$51,tblBoards[Assembly],0))+INDEX(tblBoards[Through-hole],MATCH($B$51,tblBoards[Assembly],0)))/INDEX(tblBoards[Cost per good board],MATCH($B$51,tblBoards[Assembly],0)),""))</f>
        <v>0.0494212962962963</v>
      </c>
      <c r="F51" s="38">
        <f>IF($B$51="","",IFERROR((INDEX(tblBoards[Test],MATCH($B$51,tblBoards[Assembly],0)))/INDEX(tblBoards[Cost per good board],MATCH($B$51,tblBoards[Assembly],0)),""))</f>
        <v>0.0318287037037037</v>
      </c>
      <c r="G51" s="38">
        <f>IF($B$51="","",IFERROR((INDEX(tblBoards[Setup per board],MATCH($B$51,tblBoards[Assembly],0)))/INDEX(tblBoards[Cost per good board],MATCH($B$51,tblBoards[Assembly],0)),""))</f>
        <v>0.222222222222222</v>
      </c>
      <c r="H51" s="38">
        <f>IF($B$51="","",IFERROR((INDEX(tblBoards[Yield loss],MATCH($B$51,tblBoards[Assembly],0)))/INDEX(tblBoards[Cost per good board],MATCH($B$51,tblBoards[Assembly],0)),""))</f>
        <v>0.0466666666666667</v>
      </c>
    </row>
    <row r="52" spans="2:12">
      <c r="B52" s="50" t="str">
        <f>IFERROR(INDEX(tblBoards[Assembly],8)&amp;"","")</f>
        <v>KA-170</v>
      </c>
      <c r="C52" s="38">
        <f>IF($B$52="","",IFERROR((INDEX(tblBoards[Bare PCB],MATCH($B$52,tblBoards[Assembly],0)))/INDEX(tblBoards[Cost per good board],MATCH($B$52,tblBoards[Assembly],0)),""))</f>
        <v>0.353125562961629</v>
      </c>
      <c r="D52" s="38">
        <f>IF($B$52="","",IFERROR((INDEX(tblBoards[Components],MATCH($B$52,tblBoards[Assembly],0)))/INDEX(tblBoards[Cost per good board],MATCH($B$52,tblBoards[Assembly],0)),""))</f>
        <v>0.347186633039092</v>
      </c>
      <c r="E52" s="38">
        <f>IF($B$52="","",IFERROR((INDEX(tblBoards[SMT],MATCH($B$52,tblBoards[Assembly],0))+INDEX(tblBoards[Through-hole],MATCH($B$52,tblBoards[Assembly],0)))/INDEX(tblBoards[Cost per good board],MATCH($B$52,tblBoards[Assembly],0)),""))</f>
        <v>0.191008827238335</v>
      </c>
      <c r="F52" s="38">
        <f>IF($B$52="","",IFERROR((INDEX(tblBoards[Test],MATCH($B$52,tblBoards[Assembly],0)))/INDEX(tblBoards[Cost per good board],MATCH($B$52,tblBoards[Assembly],0)),""))</f>
        <v>0.024522608539002</v>
      </c>
      <c r="G52" s="38">
        <f>IF($B$52="","",IFERROR((INDEX(tblBoards[Setup per board],MATCH($B$52,tblBoards[Assembly],0)))/INDEX(tblBoards[Cost per good board],MATCH($B$52,tblBoards[Assembly],0)),""))</f>
        <v>0.074905422446406</v>
      </c>
      <c r="H52" s="38">
        <f>IF($B$52="","",IFERROR((INDEX(tblBoards[Yield loss],MATCH($B$52,tblBoards[Assembly],0)))/INDEX(tblBoards[Cost per good board],MATCH($B$52,tblBoards[Assembly],0)),""))</f>
        <v>0.009250945775536</v>
      </c>
    </row>
    <row r="53" spans="2:12">
      <c r="B53" s="50" t="str">
        <f>IFERROR(INDEX(tblBoards[Assembly],9)&amp;"","")</f>
        <v>KA-180</v>
      </c>
      <c r="C53" s="38">
        <f>IF($B$53="","",IFERROR((INDEX(tblBoards[Bare PCB],MATCH($B$53,tblBoards[Assembly],0)))/INDEX(tblBoards[Cost per good board],MATCH($B$53,tblBoards[Assembly],0)),""))</f>
        <v>0.254788045886465</v>
      </c>
      <c r="D53" s="38">
        <f>IF($B$53="","",IFERROR((INDEX(tblBoards[Components],MATCH($B$53,tblBoards[Assembly],0)))/INDEX(tblBoards[Cost per good board],MATCH($B$53,tblBoards[Assembly],0)),""))</f>
        <v>0.532961203288858</v>
      </c>
      <c r="E53" s="38">
        <f>IF($B$53="","",IFERROR((INDEX(tblBoards[SMT],MATCH($B$53,tblBoards[Assembly],0))+INDEX(tblBoards[Through-hole],MATCH($B$53,tblBoards[Assembly],0)))/INDEX(tblBoards[Cost per good board],MATCH($B$53,tblBoards[Assembly],0)),""))</f>
        <v>0.0967363743784156</v>
      </c>
      <c r="F53" s="38">
        <f>IF($B$53="","",IFERROR((INDEX(tblBoards[Test],MATCH($B$53,tblBoards[Assembly],0)))/INDEX(tblBoards[Cost per good board],MATCH($B$53,tblBoards[Assembly],0)),""))</f>
        <v>0.0203091920634139</v>
      </c>
      <c r="G53" s="38">
        <f>IF($B$53="","",IFERROR((INDEX(tblBoards[Setup per board],MATCH($B$53,tblBoards[Assembly],0)))/INDEX(tblBoards[Cost per good board],MATCH($B$53,tblBoards[Assembly],0)),""))</f>
        <v>0.0720053173157402</v>
      </c>
      <c r="H53" s="38">
        <f>IF($B$53="","",IFERROR((INDEX(tblBoards[Yield loss],MATCH($B$53,tblBoards[Assembly],0)))/INDEX(tblBoards[Cost per good board],MATCH($B$53,tblBoards[Assembly],0)),""))</f>
        <v>0.0231998670671066</v>
      </c>
    </row>
    <row r="54" spans="2:12">
      <c r="B54" s="50" t="str">
        <f>IFERROR(INDEX(tblBoards[Assembly],10)&amp;"","")</f>
        <v>KA-190</v>
      </c>
      <c r="C54" s="38">
        <f>IF($B$54="","",IFERROR((INDEX(tblBoards[Bare PCB],MATCH($B$54,tblBoards[Assembly],0)))/INDEX(tblBoards[Cost per good board],MATCH($B$54,tblBoards[Assembly],0)),""))</f>
        <v>0.274146759658146</v>
      </c>
      <c r="D54" s="38">
        <f>IF($B$54="","",IFERROR((INDEX(tblBoards[Components],MATCH($B$54,tblBoards[Assembly],0)))/INDEX(tblBoards[Cost per good board],MATCH($B$54,tblBoards[Assembly],0)),""))</f>
        <v>0.459835498199929</v>
      </c>
      <c r="E54" s="38">
        <f>IF($B$54="","",IFERROR((INDEX(tblBoards[SMT],MATCH($B$54,tblBoards[Assembly],0))+INDEX(tblBoards[Through-hole],MATCH($B$54,tblBoards[Assembly],0)))/INDEX(tblBoards[Cost per good board],MATCH($B$54,tblBoards[Assembly],0)),""))</f>
        <v>0.164894199142529</v>
      </c>
      <c r="F54" s="38">
        <f>IF($B$54="","",IFERROR((INDEX(tblBoards[Test],MATCH($B$54,tblBoards[Assembly],0)))/INDEX(tblBoards[Cost per good board],MATCH($B$54,tblBoards[Assembly],0)),""))</f>
        <v>0.0186149034335778</v>
      </c>
      <c r="G54" s="38">
        <f>IF($B$54="","",IFERROR((INDEX(tblBoards[Setup per board],MATCH($B$54,tblBoards[Assembly],0)))/INDEX(tblBoards[Cost per good board],MATCH($B$54,tblBoards[Assembly],0)),""))</f>
        <v>0.0685366899145364</v>
      </c>
      <c r="H54" s="38">
        <f>IF($B$54="","",IFERROR((INDEX(tblBoards[Yield loss],MATCH($B$54,tblBoards[Assembly],0)))/INDEX(tblBoards[Cost per good board],MATCH($B$54,tblBoards[Assembly],0)),""))</f>
        <v>0.0139719496512819</v>
      </c>
    </row>
    <row r="56" spans="2:12" ht="8" customHeight="1"/>
    <row r="57" spans="2:12">
      <c r="B57" s="21" t="s">
        <v>141</v>
      </c>
      <c r="C57" s="21"/>
      <c r="D57" s="21"/>
      <c r="E57" s="21"/>
      <c r="F57" s="21"/>
      <c r="G57" s="21"/>
      <c r="H57" s="21"/>
      <c r="I57" s="21"/>
      <c r="J57" s="21"/>
      <c r="K57" s="21"/>
      <c r="L57" s="21"/>
    </row>
    <row r="58" spans="2:12">
      <c r="B58" s="54">
        <f>IF(COUNTA(tblBoards[Assembly])&gt;10,"Assemblies lists more than 10 boards: the charts and the By assembly table show the first 10.","")</f>
        <v/>
      </c>
      <c r="C58" s="54"/>
      <c r="D58" s="54"/>
      <c r="E58" s="54"/>
      <c r="F58" s="54"/>
      <c r="G58" s="54"/>
      <c r="H58" s="54"/>
      <c r="I58" s="54"/>
      <c r="J58" s="54"/>
      <c r="K58" s="54"/>
      <c r="L58" s="54"/>
    </row>
  </sheetData>
  <sheetProtection sheet="1" formatColumns="0" formatRows="0"/>
  <mergeCells count="35">
    <mergeCell ref="A1:L1"/>
    <mergeCell ref="B2:J2"/>
    <mergeCell ref="K2:L2"/>
    <mergeCell ref="B4:C4"/>
    <mergeCell ref="B5:C6"/>
    <mergeCell ref="B7:C7"/>
    <mergeCell ref="B8:C8"/>
    <mergeCell ref="D4:F4"/>
    <mergeCell ref="D5:F6"/>
    <mergeCell ref="D7:F7"/>
    <mergeCell ref="D8:F8"/>
    <mergeCell ref="G4:I4"/>
    <mergeCell ref="G5:I6"/>
    <mergeCell ref="G7:I7"/>
    <mergeCell ref="G8:I8"/>
    <mergeCell ref="J4:L4"/>
    <mergeCell ref="J5:L6"/>
    <mergeCell ref="J7:L7"/>
    <mergeCell ref="J8:L8"/>
    <mergeCell ref="B28:L28"/>
    <mergeCell ref="C29:D29"/>
    <mergeCell ref="C30:D30"/>
    <mergeCell ref="C31:D31"/>
    <mergeCell ref="C32:D32"/>
    <mergeCell ref="C33:D33"/>
    <mergeCell ref="C34:D34"/>
    <mergeCell ref="C35:D35"/>
    <mergeCell ref="C36:D36"/>
    <mergeCell ref="C37:D37"/>
    <mergeCell ref="C38:D38"/>
    <mergeCell ref="C39:D39"/>
    <mergeCell ref="C40:D40"/>
    <mergeCell ref="B42:H42"/>
    <mergeCell ref="B57:L57"/>
    <mergeCell ref="B58:L58"/>
  </mergeCells>
  <conditionalFormatting sqref="B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H31:H40">
    <cfRule type="expression" dxfId="3" priority="21" stopIfTrue="1">
      <formula>AND(ISNUMBER(H31),H31&gt;=(TargetMargin))</formula>
    </cfRule>
    <cfRule type="expression" dxfId="4" priority="22" stopIfTrue="1">
      <formula>AND(ISNUMBER(H31),H31&gt;=(TargetMargin)*(1-0.05))</formula>
    </cfRule>
    <cfRule type="expression" dxfId="5" priority="23">
      <formula>ISNUMBER(H31)</formula>
    </cfRule>
  </conditionalFormatting>
  <conditionalFormatting sqref="J31:J40">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PCB Assembly Cost&amp;R&amp;8&amp;A</oddHeader>
    <oddFooter>&amp;L&amp;8mfgcalcs.com - free manufacturing templates&amp;R&amp;8Page &amp;P of &amp;N</oddFooter>
  </headerFooter>
  <rowBreaks count="2" manualBreakCount="2">
    <brk id="27" max="16383" man="1"/>
    <brk id="41"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142</v>
      </c>
      <c r="C4" s="8"/>
      <c r="D4" s="8"/>
    </row>
    <row r="5" spans="1:4" ht="5" customHeight="1"/>
    <row r="6" spans="1:4" ht="42.6" customHeight="1">
      <c r="B6" s="10" t="s">
        <v>143</v>
      </c>
      <c r="C6" s="10"/>
      <c r="D6" s="10"/>
    </row>
    <row r="8" spans="1:4" ht="21" customHeight="1">
      <c r="B8" s="8" t="s">
        <v>144</v>
      </c>
      <c r="C8" s="8"/>
      <c r="D8" s="8"/>
    </row>
    <row r="9" spans="1:4" ht="5" customHeight="1"/>
    <row r="10" spans="1:4" ht="20" customHeight="1">
      <c r="B10" s="49" t="s">
        <v>145</v>
      </c>
      <c r="C10" s="49" t="s">
        <v>146</v>
      </c>
      <c r="D10" s="35" t="s">
        <v>147</v>
      </c>
    </row>
    <row r="11" spans="1:4" ht="17.2" customHeight="1">
      <c r="B11" s="55" t="s">
        <v>89</v>
      </c>
      <c r="C11" s="56" t="s">
        <v>148</v>
      </c>
      <c r="D11" s="57" t="s">
        <v>149</v>
      </c>
    </row>
    <row r="12" spans="1:4" ht="17.2" customHeight="1">
      <c r="B12" s="55" t="s">
        <v>90</v>
      </c>
      <c r="C12" s="56" t="s">
        <v>150</v>
      </c>
      <c r="D12" s="57" t="s">
        <v>149</v>
      </c>
    </row>
    <row r="13" spans="1:4" ht="17.2" customHeight="1">
      <c r="B13" s="55" t="s">
        <v>91</v>
      </c>
      <c r="C13" s="56" t="s">
        <v>151</v>
      </c>
      <c r="D13" s="57" t="s">
        <v>149</v>
      </c>
    </row>
    <row r="14" spans="1:4" ht="17.2" customHeight="1">
      <c r="B14" s="55" t="s">
        <v>92</v>
      </c>
      <c r="C14" s="56" t="s">
        <v>152</v>
      </c>
      <c r="D14" s="57" t="s">
        <v>149</v>
      </c>
    </row>
    <row r="15" spans="1:4" ht="17.2" customHeight="1">
      <c r="B15" s="55" t="s">
        <v>93</v>
      </c>
      <c r="C15" s="56" t="s">
        <v>153</v>
      </c>
      <c r="D15" s="57" t="s">
        <v>149</v>
      </c>
    </row>
    <row r="16" spans="1:4" ht="17.2" customHeight="1">
      <c r="B16" s="55" t="s">
        <v>94</v>
      </c>
      <c r="C16" s="56" t="s">
        <v>154</v>
      </c>
      <c r="D16" s="57" t="s">
        <v>149</v>
      </c>
    </row>
    <row r="17" spans="2:4" ht="17.2" customHeight="1">
      <c r="B17" s="55" t="s">
        <v>95</v>
      </c>
      <c r="C17" s="56" t="s">
        <v>155</v>
      </c>
      <c r="D17" s="57" t="s">
        <v>149</v>
      </c>
    </row>
    <row r="18" spans="2:4" ht="17.2" customHeight="1">
      <c r="B18" s="55" t="s">
        <v>96</v>
      </c>
      <c r="C18" s="56" t="s">
        <v>156</v>
      </c>
      <c r="D18" s="57" t="s">
        <v>149</v>
      </c>
    </row>
    <row r="19" spans="2:4" ht="30.4" customHeight="1">
      <c r="B19" s="55" t="s">
        <v>157</v>
      </c>
      <c r="C19" s="56" t="s">
        <v>158</v>
      </c>
      <c r="D19" s="57" t="s">
        <v>106</v>
      </c>
    </row>
    <row r="20" spans="2:4" ht="17.2" customHeight="1">
      <c r="B20" s="55" t="s">
        <v>159</v>
      </c>
      <c r="C20" s="56" t="s">
        <v>160</v>
      </c>
      <c r="D20" s="57" t="s">
        <v>161</v>
      </c>
    </row>
    <row r="21" spans="2:4" ht="30.4" customHeight="1">
      <c r="B21" s="55" t="s">
        <v>162</v>
      </c>
      <c r="C21" s="56" t="s">
        <v>163</v>
      </c>
      <c r="D21" s="57" t="s">
        <v>106</v>
      </c>
    </row>
    <row r="22" spans="2:4" ht="17.2" customHeight="1">
      <c r="B22" s="55" t="s">
        <v>164</v>
      </c>
      <c r="C22" s="56" t="s">
        <v>165</v>
      </c>
      <c r="D22" s="57" t="s">
        <v>106</v>
      </c>
    </row>
    <row r="23" spans="2:4" ht="17.2" customHeight="1">
      <c r="B23" s="55" t="s">
        <v>166</v>
      </c>
      <c r="C23" s="56" t="s">
        <v>167</v>
      </c>
      <c r="D23" s="57" t="s">
        <v>168</v>
      </c>
    </row>
    <row r="25" spans="2:4" ht="21" customHeight="1">
      <c r="B25" s="8" t="s">
        <v>169</v>
      </c>
      <c r="C25" s="8"/>
      <c r="D25" s="8"/>
    </row>
    <row r="26" spans="2:4" ht="5" customHeight="1"/>
    <row r="27" spans="2:4" ht="29.4" customHeight="1">
      <c r="B27" s="26" t="s">
        <v>55</v>
      </c>
      <c r="C27" s="10" t="s">
        <v>170</v>
      </c>
      <c r="D27" s="10"/>
    </row>
    <row r="28" spans="2:4" ht="29.4" customHeight="1">
      <c r="B28" s="26" t="s">
        <v>55</v>
      </c>
      <c r="C28" s="10" t="s">
        <v>171</v>
      </c>
      <c r="D28" s="10"/>
    </row>
    <row r="29" spans="2:4" ht="29.4" customHeight="1">
      <c r="B29" s="26" t="s">
        <v>55</v>
      </c>
      <c r="C29" s="10" t="s">
        <v>172</v>
      </c>
      <c r="D29" s="10"/>
    </row>
    <row r="30" spans="2:4" ht="29.4" customHeight="1">
      <c r="B30" s="26" t="s">
        <v>55</v>
      </c>
      <c r="C30" s="10" t="s">
        <v>173</v>
      </c>
      <c r="D30" s="10"/>
    </row>
    <row r="32" spans="2:4" ht="21" customHeight="1">
      <c r="B32" s="8" t="s">
        <v>174</v>
      </c>
      <c r="C32" s="8"/>
      <c r="D32" s="8"/>
    </row>
    <row r="33" spans="2:4" ht="5" customHeight="1"/>
    <row r="34" spans="2:4" ht="16.2" customHeight="1">
      <c r="B34" s="26" t="s">
        <v>55</v>
      </c>
      <c r="C34" s="10" t="s">
        <v>175</v>
      </c>
      <c r="D34" s="10"/>
    </row>
    <row r="35" spans="2:4" ht="29.4" customHeight="1">
      <c r="B35" s="26" t="s">
        <v>55</v>
      </c>
      <c r="C35" s="10" t="s">
        <v>176</v>
      </c>
      <c r="D35" s="10"/>
    </row>
    <row r="36" spans="2:4" ht="29.4" customHeight="1">
      <c r="B36" s="26" t="s">
        <v>55</v>
      </c>
      <c r="C36" s="10" t="s">
        <v>177</v>
      </c>
      <c r="D36" s="10"/>
    </row>
    <row r="37" spans="2:4" ht="29.4" customHeight="1">
      <c r="B37" s="26" t="s">
        <v>55</v>
      </c>
      <c r="C37" s="10" t="s">
        <v>178</v>
      </c>
      <c r="D37" s="10"/>
    </row>
    <row r="39" spans="2:4" ht="21" customHeight="1">
      <c r="B39" s="8" t="s">
        <v>179</v>
      </c>
      <c r="C39" s="8"/>
      <c r="D39" s="8"/>
    </row>
    <row r="40" spans="2:4" ht="5" customHeight="1"/>
    <row r="41" spans="2:4" ht="55.8" customHeight="1">
      <c r="B41" s="10" t="s">
        <v>180</v>
      </c>
      <c r="C41" s="10"/>
      <c r="D41" s="10"/>
    </row>
    <row r="42" spans="2:4">
      <c r="B42" s="24" t="s">
        <v>181</v>
      </c>
      <c r="C42" s="24"/>
      <c r="D42" s="24"/>
    </row>
    <row r="44" spans="2:4" ht="21" customHeight="1">
      <c r="B44" s="8" t="s">
        <v>42</v>
      </c>
      <c r="C44" s="8"/>
      <c r="D44" s="8"/>
    </row>
    <row r="45" spans="2:4" ht="5" customHeight="1"/>
    <row r="46" spans="2:4" ht="42.6" customHeight="1">
      <c r="B46" s="10" t="s">
        <v>182</v>
      </c>
      <c r="C46" s="10"/>
      <c r="D46" s="10"/>
    </row>
    <row r="48" spans="2:4" ht="21" customHeight="1">
      <c r="B48" s="8" t="s">
        <v>183</v>
      </c>
      <c r="C48" s="8"/>
      <c r="D48" s="8"/>
    </row>
    <row r="49" spans="2:4" ht="5" customHeight="1"/>
    <row r="50" spans="2:4" ht="29.4" customHeight="1">
      <c r="B50" s="26" t="s">
        <v>55</v>
      </c>
      <c r="C50" s="10" t="s">
        <v>184</v>
      </c>
      <c r="D50" s="10"/>
    </row>
    <row r="51" spans="2:4" ht="29.4" customHeight="1">
      <c r="B51" s="26" t="s">
        <v>55</v>
      </c>
      <c r="C51" s="10" t="s">
        <v>185</v>
      </c>
      <c r="D51" s="10"/>
    </row>
    <row r="52" spans="2:4" ht="29.4" customHeight="1">
      <c r="B52" s="26" t="s">
        <v>55</v>
      </c>
      <c r="C52" s="10" t="s">
        <v>186</v>
      </c>
      <c r="D52" s="10"/>
    </row>
    <row r="53" spans="2:4">
      <c r="B53" s="21" t="s">
        <v>187</v>
      </c>
      <c r="C53" s="21"/>
      <c r="D53" s="21"/>
    </row>
    <row r="55" spans="2:4" ht="21" customHeight="1">
      <c r="B55" s="8" t="s">
        <v>188</v>
      </c>
      <c r="C55" s="8"/>
      <c r="D55" s="8"/>
    </row>
    <row r="56" spans="2:4" ht="5" customHeight="1"/>
    <row r="57" spans="2:4">
      <c r="B57" s="49" t="s">
        <v>50</v>
      </c>
      <c r="C57" s="49" t="s">
        <v>189</v>
      </c>
      <c r="D57" s="35" t="s">
        <v>190</v>
      </c>
    </row>
    <row r="58" spans="2:4" ht="16.2" customHeight="1">
      <c r="B58" s="51" t="s">
        <v>191</v>
      </c>
      <c r="C58" s="58" t="s">
        <v>192</v>
      </c>
      <c r="D58" s="59" t="s">
        <v>193</v>
      </c>
    </row>
    <row r="60" spans="2:4">
      <c r="B60" s="21" t="s">
        <v>61</v>
      </c>
      <c r="C60" s="21"/>
      <c r="D60" s="21"/>
    </row>
  </sheetData>
  <sheetProtection sheet="1" formatColumns="0" formatRows="0"/>
  <mergeCells count="27">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PCB Assembly Cost&amp;R&amp;8&amp;A</oddHeader>
    <oddFooter>&amp;L&amp;8mfgcalcs.com - free manufacturing templates&amp;R&amp;8Page &amp;P of &amp;N</oddFooter>
  </headerFooter>
  <rowBreaks count="1" manualBreakCount="1">
    <brk id="31"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AC44"/>
  <sheetViews>
    <sheetView showGridLines="0" workbookViewId="0"/>
  </sheetViews>
  <sheetFormatPr defaultRowHeight="15"/>
  <cols>
    <col min="1" max="1" width="2.7109375" customWidth="1"/>
    <col min="2" max="19" width="12.7109375" customWidth="1"/>
    <col min="20" max="21" width="8.7109375" customWidth="1"/>
    <col min="22" max="22" width="9.7109375" customWidth="1"/>
    <col min="23" max="23" width="8.7109375" customWidth="1"/>
    <col min="24" max="24" width="11.7109375" customWidth="1"/>
    <col min="25" max="27" width="9.7109375" customWidth="1"/>
    <col min="28" max="29" width="20.7109375" customWidth="1"/>
  </cols>
  <sheetData>
    <row r="1" spans="1:29" ht="30"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ht="21" customHeight="1">
      <c r="B2" s="2" t="s">
        <v>28</v>
      </c>
      <c r="C2" s="2"/>
      <c r="D2" s="2"/>
      <c r="E2" s="2"/>
      <c r="F2" s="2"/>
      <c r="G2" s="2"/>
      <c r="H2" s="2"/>
      <c r="I2" s="2"/>
      <c r="J2" s="2"/>
      <c r="K2" s="2"/>
      <c r="L2" s="2"/>
      <c r="M2" s="2"/>
      <c r="N2" s="2"/>
      <c r="O2" s="2"/>
      <c r="P2" s="2"/>
      <c r="Q2" s="2"/>
      <c r="R2" s="2"/>
      <c r="S2" s="2"/>
      <c r="T2" s="2"/>
      <c r="U2" s="2"/>
      <c r="V2" s="2"/>
      <c r="W2" s="2"/>
      <c r="X2" s="2"/>
      <c r="Y2" s="2"/>
      <c r="Z2" s="2"/>
      <c r="AA2" s="2"/>
      <c r="AB2" s="2"/>
      <c r="AC2" s="3" t="s">
        <v>2</v>
      </c>
    </row>
    <row r="3" spans="1:29" ht="6" customHeight="1"/>
    <row r="4" spans="1:29" ht="30" customHeight="1">
      <c r="B4" s="60" t="s">
        <v>194</v>
      </c>
      <c r="C4" s="60"/>
      <c r="D4" s="22" t="str">
        <f>IF(COUNTIF($K$11:$K$26,"PASS")=16,"PASS","FAIL")</f>
        <v>PASS</v>
      </c>
      <c r="E4" s="22"/>
      <c r="F4" s="23" t="str">
        <f>COUNTIF($K$11:$K$26,"PASS")&amp;" of 16 checks pass"</f>
        <v>16 of 16 checks pass</v>
      </c>
      <c r="G4" s="23"/>
      <c r="H4" s="23"/>
      <c r="I4" s="23"/>
      <c r="J4" s="23"/>
    </row>
    <row r="6" spans="1:29" ht="29.4" customHeight="1">
      <c r="B6" s="10" t="s">
        <v>195</v>
      </c>
      <c r="C6" s="10"/>
      <c r="D6" s="10"/>
      <c r="E6" s="10"/>
      <c r="F6" s="10"/>
      <c r="G6" s="10"/>
      <c r="H6" s="10"/>
      <c r="I6" s="10"/>
      <c r="J6" s="10"/>
      <c r="K6" s="10"/>
      <c r="L6" s="10"/>
    </row>
    <row r="8" spans="1:29" ht="21" customHeight="1">
      <c r="B8" s="8" t="s">
        <v>196</v>
      </c>
      <c r="C8" s="8"/>
      <c r="D8" s="8"/>
      <c r="E8" s="8"/>
      <c r="F8" s="8"/>
      <c r="G8" s="8"/>
      <c r="H8" s="8"/>
      <c r="I8" s="8"/>
      <c r="J8" s="8"/>
      <c r="K8" s="8"/>
      <c r="L8" s="8"/>
    </row>
    <row r="9" spans="1:29" ht="5" customHeight="1"/>
    <row r="10" spans="1:29" ht="30" customHeight="1">
      <c r="B10" s="35" t="s">
        <v>197</v>
      </c>
      <c r="C10" s="49" t="s">
        <v>102</v>
      </c>
      <c r="D10" s="49"/>
      <c r="E10" s="49"/>
      <c r="F10" s="49"/>
      <c r="G10" s="35" t="s">
        <v>198</v>
      </c>
      <c r="H10" s="35" t="s">
        <v>199</v>
      </c>
      <c r="I10" s="35" t="s">
        <v>200</v>
      </c>
      <c r="J10" s="35" t="s">
        <v>201</v>
      </c>
      <c r="K10" s="35" t="s">
        <v>202</v>
      </c>
    </row>
    <row r="11" spans="1:29" ht="16.2" customHeight="1">
      <c r="B11" s="61">
        <v>1</v>
      </c>
      <c r="C11" s="58" t="s">
        <v>203</v>
      </c>
      <c r="D11" s="58"/>
      <c r="E11" s="58"/>
      <c r="F11" s="58"/>
      <c r="G11" s="62">
        <v>2.569444444444445</v>
      </c>
      <c r="H11" s="63">
        <f>$O$42</f>
        <v>2.56944444444444</v>
      </c>
      <c r="I11" s="64">
        <f>IF(AND(ISNUMBER($G$11),ISNUMBER($H$11)),ABS($H$11-$G$11),"")</f>
        <v>0</v>
      </c>
      <c r="J11" s="65">
        <v>1E-09</v>
      </c>
      <c r="K11" s="39" t="str">
        <f>IF(AND(ISNUMBER($G$11),ISNUMBER($H$11)),IF(ABS($H$11-$G$11)&lt;=$J$11,"PASS","FAIL"),"FAIL")</f>
        <v>PASS</v>
      </c>
    </row>
    <row r="12" spans="1:29" ht="16.2" customHeight="1">
      <c r="B12" s="61">
        <v>2</v>
      </c>
      <c r="C12" s="58" t="s">
        <v>204</v>
      </c>
      <c r="D12" s="58"/>
      <c r="E12" s="58"/>
      <c r="F12" s="58"/>
      <c r="G12" s="62">
        <v>10.2</v>
      </c>
      <c r="H12" s="63">
        <f>$P$42</f>
        <v>10.2</v>
      </c>
      <c r="I12" s="64">
        <f>IF(AND(ISNUMBER($G$12),ISNUMBER($H$12)),ABS($H$12-$G$12),"")</f>
        <v>0</v>
      </c>
      <c r="J12" s="65">
        <v>1E-09</v>
      </c>
      <c r="K12" s="39" t="str">
        <f>IF(AND(ISNUMBER($G$12),ISNUMBER($H$12)),IF(ABS($H$12-$G$12)&lt;=$J$12,"PASS","FAIL"),"FAIL")</f>
        <v>PASS</v>
      </c>
    </row>
    <row r="13" spans="1:29" ht="16.2" customHeight="1">
      <c r="B13" s="61">
        <v>3</v>
      </c>
      <c r="C13" s="58" t="s">
        <v>205</v>
      </c>
      <c r="D13" s="58"/>
      <c r="E13" s="58"/>
      <c r="F13" s="58"/>
      <c r="G13" s="62">
        <v>2.16</v>
      </c>
      <c r="H13" s="63">
        <f>$Q$42</f>
        <v>2.16</v>
      </c>
      <c r="I13" s="64">
        <f>IF(AND(ISNUMBER($G$13),ISNUMBER($H$13)),ABS($H$13-$G$13),"")</f>
        <v>0</v>
      </c>
      <c r="J13" s="65">
        <v>1E-09</v>
      </c>
      <c r="K13" s="39" t="str">
        <f>IF(AND(ISNUMBER($G$13),ISNUMBER($H$13)),IF(ABS($H$13-$G$13)&lt;=$J$13,"PASS","FAIL"),"FAIL")</f>
        <v>PASS</v>
      </c>
    </row>
    <row r="14" spans="1:29" ht="16.2" customHeight="1">
      <c r="B14" s="61">
        <v>4</v>
      </c>
      <c r="C14" s="58" t="s">
        <v>206</v>
      </c>
      <c r="D14" s="58"/>
      <c r="E14" s="58"/>
      <c r="F14" s="58"/>
      <c r="G14" s="62">
        <v>1</v>
      </c>
      <c r="H14" s="63">
        <f>$R$42</f>
        <v>1</v>
      </c>
      <c r="I14" s="64">
        <f>IF(AND(ISNUMBER($G$14),ISNUMBER($H$14)),ABS($H$14-$G$14),"")</f>
        <v>0</v>
      </c>
      <c r="J14" s="65">
        <v>1E-09</v>
      </c>
      <c r="K14" s="39" t="str">
        <f>IF(AND(ISNUMBER($G$14),ISNUMBER($H$14)),IF(ABS($H$14-$G$14)&lt;=$J$14,"PASS","FAIL"),"FAIL")</f>
        <v>PASS</v>
      </c>
    </row>
    <row r="15" spans="1:29" ht="16.2" customHeight="1">
      <c r="B15" s="61">
        <v>5</v>
      </c>
      <c r="C15" s="58" t="s">
        <v>207</v>
      </c>
      <c r="D15" s="58"/>
      <c r="E15" s="58"/>
      <c r="F15" s="58"/>
      <c r="G15" s="62">
        <v>0.5</v>
      </c>
      <c r="H15" s="63">
        <f>$S$42</f>
        <v>0.5</v>
      </c>
      <c r="I15" s="64">
        <f>IF(AND(ISNUMBER($G$15),ISNUMBER($H$15)),ABS($H$15-$G$15),"")</f>
        <v>0</v>
      </c>
      <c r="J15" s="65">
        <v>1E-09</v>
      </c>
      <c r="K15" s="39" t="str">
        <f>IF(AND(ISNUMBER($G$15),ISNUMBER($H$15)),IF(ABS($H$15-$G$15)&lt;=$J$15,"PASS","FAIL"),"FAIL")</f>
        <v>PASS</v>
      </c>
    </row>
    <row r="16" spans="1:29" ht="16.2" customHeight="1">
      <c r="B16" s="61">
        <v>6</v>
      </c>
      <c r="C16" s="58" t="s">
        <v>208</v>
      </c>
      <c r="D16" s="58"/>
      <c r="E16" s="58"/>
      <c r="F16" s="58"/>
      <c r="G16" s="62">
        <v>0.6845601851851864</v>
      </c>
      <c r="H16" s="63">
        <f>$U$42</f>
        <v>0.684560185185186</v>
      </c>
      <c r="I16" s="64">
        <f>IF(AND(ISNUMBER($G$16),ISNUMBER($H$16)),ABS($H$16-$G$16),"")</f>
        <v>0</v>
      </c>
      <c r="J16" s="65">
        <v>1E-09</v>
      </c>
      <c r="K16" s="39" t="str">
        <f>IF(AND(ISNUMBER($G$16),ISNUMBER($H$16)),IF(ABS($H$16-$G$16)&lt;=$J$16,"PASS","FAIL"),"FAIL")</f>
        <v>PASS</v>
      </c>
    </row>
    <row r="17" spans="2:12" ht="16.2" customHeight="1">
      <c r="B17" s="61">
        <v>7</v>
      </c>
      <c r="C17" s="58" t="s">
        <v>209</v>
      </c>
      <c r="D17" s="58"/>
      <c r="E17" s="58"/>
      <c r="F17" s="58"/>
      <c r="G17" s="62">
        <v>19.11400462962963</v>
      </c>
      <c r="H17" s="63">
        <f>$V$42</f>
        <v>19.1140046296296</v>
      </c>
      <c r="I17" s="64">
        <f>IF(AND(ISNUMBER($G$17),ISNUMBER($H$17)),ABS($H$17-$G$17),"")</f>
        <v>0</v>
      </c>
      <c r="J17" s="65">
        <v>1E-09</v>
      </c>
      <c r="K17" s="39" t="str">
        <f>IF(AND(ISNUMBER($G$17),ISNUMBER($H$17)),IF(ABS($H$17-$G$17)&lt;=$J$17,"PASS","FAIL"),"FAIL")</f>
        <v>PASS</v>
      </c>
    </row>
    <row r="18" spans="2:12" ht="16.2" customHeight="1">
      <c r="B18" s="61">
        <v>8</v>
      </c>
      <c r="C18" s="58" t="s">
        <v>210</v>
      </c>
      <c r="D18" s="58"/>
      <c r="E18" s="58"/>
      <c r="F18" s="58"/>
      <c r="G18" s="52">
        <v>0.1311816077441077</v>
      </c>
      <c r="H18" s="38">
        <f>$W$42</f>
        <v>0.131181607744108</v>
      </c>
      <c r="I18" s="64">
        <f>IF(AND(ISNUMBER($G$18),ISNUMBER($H$18)),ABS($H$18-$G$18),"")</f>
        <v>0</v>
      </c>
      <c r="J18" s="65">
        <v>1E-09</v>
      </c>
      <c r="K18" s="39" t="str">
        <f>IF(AND(ISNUMBER($G$18),ISNUMBER($H$18)),IF(ABS($H$18-$G$18)&lt;=$J$18,"PASS","FAIL"),"FAIL")</f>
        <v>PASS</v>
      </c>
    </row>
    <row r="19" spans="2:12" ht="16.2" customHeight="1">
      <c r="B19" s="61">
        <v>9</v>
      </c>
      <c r="C19" s="58" t="s">
        <v>211</v>
      </c>
      <c r="D19" s="58"/>
      <c r="E19" s="58"/>
      <c r="F19" s="58"/>
      <c r="G19" s="51" t="s">
        <v>212</v>
      </c>
      <c r="H19" s="53" t="str">
        <f>$X$42</f>
        <v>Below target</v>
      </c>
      <c r="I19" s="53"/>
      <c r="J19" s="59" t="s">
        <v>213</v>
      </c>
      <c r="K19" s="39" t="str">
        <f>IF($H$19&amp;""=$G$19&amp;"","PASS","FAIL")</f>
        <v>PASS</v>
      </c>
    </row>
    <row r="20" spans="2:12" ht="16.2" customHeight="1">
      <c r="B20" s="61">
        <v>10</v>
      </c>
      <c r="C20" s="58" t="s">
        <v>214</v>
      </c>
      <c r="D20" s="58"/>
      <c r="E20" s="58"/>
      <c r="F20" s="58"/>
      <c r="G20" s="62">
        <v>0</v>
      </c>
      <c r="H20" s="63">
        <f>$U$43</f>
        <v>0</v>
      </c>
      <c r="I20" s="64">
        <f>IF(AND(ISNUMBER($G$20),ISNUMBER($H$20)),ABS($H$20-$G$20),"")</f>
        <v>0</v>
      </c>
      <c r="J20" s="65">
        <v>1E-09</v>
      </c>
      <c r="K20" s="39" t="str">
        <f>IF(AND(ISNUMBER($G$20),ISNUMBER($H$20)),IF(ABS($H$20-$G$20)&lt;=$J$20,"PASS","FAIL"),"FAIL")</f>
        <v>PASS</v>
      </c>
    </row>
    <row r="21" spans="2:12" ht="16.2" customHeight="1">
      <c r="B21" s="61">
        <v>11</v>
      </c>
      <c r="C21" s="58" t="s">
        <v>215</v>
      </c>
      <c r="D21" s="58"/>
      <c r="E21" s="58"/>
      <c r="F21" s="58"/>
      <c r="G21" s="62">
        <v>59.4</v>
      </c>
      <c r="H21" s="63">
        <f>$V$43</f>
        <v>59.4</v>
      </c>
      <c r="I21" s="64">
        <f>IF(AND(ISNUMBER($G$21),ISNUMBER($H$21)),ABS($H$21-$G$21),"")</f>
        <v>0</v>
      </c>
      <c r="J21" s="65">
        <v>1E-09</v>
      </c>
      <c r="K21" s="39" t="str">
        <f>IF(AND(ISNUMBER($G$21),ISNUMBER($H$21)),IF(ABS($H$21-$G$21)&lt;=$J$21,"PASS","FAIL"),"FAIL")</f>
        <v>PASS</v>
      </c>
    </row>
    <row r="22" spans="2:12" ht="16.2" customHeight="1">
      <c r="B22" s="61">
        <v>12</v>
      </c>
      <c r="C22" s="58" t="s">
        <v>216</v>
      </c>
      <c r="D22" s="58"/>
      <c r="E22" s="58"/>
      <c r="F22" s="58"/>
      <c r="G22" s="66">
        <v>530.0000000000001</v>
      </c>
      <c r="H22" s="36">
        <f>$AA$43</f>
        <v>530</v>
      </c>
      <c r="I22" s="64">
        <f>IF(AND(ISNUMBER($G$22),ISNUMBER($H$22)),ABS($H$22-$G$22),"")</f>
        <v>0</v>
      </c>
      <c r="J22" s="65">
        <v>1E-06</v>
      </c>
      <c r="K22" s="39" t="str">
        <f>IF(AND(ISNUMBER($G$22),ISNUMBER($H$22)),IF(ABS($H$22-$G$22)&lt;=$J$22,"PASS","FAIL"),"FAIL")</f>
        <v>PASS</v>
      </c>
    </row>
    <row r="23" spans="2:12" ht="16.2" customHeight="1">
      <c r="B23" s="61">
        <v>13</v>
      </c>
      <c r="C23" s="58" t="s">
        <v>217</v>
      </c>
      <c r="D23" s="58"/>
      <c r="E23" s="58"/>
      <c r="F23" s="58"/>
      <c r="G23" s="51" t="s">
        <v>218</v>
      </c>
      <c r="H23" s="53" t="str">
        <f>$AB$44</f>
        <v>Missing final yield</v>
      </c>
      <c r="I23" s="53"/>
      <c r="J23" s="59" t="s">
        <v>213</v>
      </c>
      <c r="K23" s="39" t="str">
        <f>IF($H$23&amp;""=$G$23&amp;"","PASS","FAIL")</f>
        <v>PASS</v>
      </c>
    </row>
    <row r="24" spans="2:12" ht="16.2" customHeight="1">
      <c r="B24" s="61">
        <v>14</v>
      </c>
      <c r="C24" s="58" t="s">
        <v>219</v>
      </c>
      <c r="D24" s="58"/>
      <c r="E24" s="58"/>
      <c r="F24" s="58"/>
      <c r="G24" s="52">
        <v>0.134845742847294</v>
      </c>
      <c r="H24" s="38">
        <f>IF((SUM(tblVerifyBoards[Lot value]))=0,"",(SUM(tblVerifyBoards[Lot margin]))/(SUM(tblVerifyBoards[Lot value])))</f>
        <v>0.134845742847294</v>
      </c>
      <c r="I24" s="64">
        <f>IF(AND(ISNUMBER($G$24),ISNUMBER($H$24)),ABS($H$24-$G$24),"")</f>
        <v>0</v>
      </c>
      <c r="J24" s="65">
        <v>1E-09</v>
      </c>
      <c r="K24" s="39" t="str">
        <f>IF(AND(ISNUMBER($G$24),ISNUMBER($H$24)),IF(ABS($H$24-$G$24)&lt;=$J$24,"PASS","FAIL"),"FAIL")</f>
        <v>PASS</v>
      </c>
    </row>
    <row r="25" spans="2:12" ht="16.2" customHeight="1">
      <c r="B25" s="61">
        <v>15</v>
      </c>
      <c r="C25" s="58" t="s">
        <v>220</v>
      </c>
      <c r="D25" s="58"/>
      <c r="E25" s="58"/>
      <c r="F25" s="58"/>
      <c r="G25" s="66">
        <v>492.8833333333342</v>
      </c>
      <c r="H25" s="36">
        <f>SUMPRODUCT(tblVerifyBoards[Yield loss],tblVerifyBoards[Lot size])</f>
        <v>492.883333333334</v>
      </c>
      <c r="I25" s="64">
        <f>IF(AND(ISNUMBER($G$25),ISNUMBER($H$25)),ABS($H$25-$G$25),"")</f>
        <v>0</v>
      </c>
      <c r="J25" s="65">
        <v>1E-06</v>
      </c>
      <c r="K25" s="39" t="str">
        <f>IF(AND(ISNUMBER($G$25),ISNUMBER($H$25)),IF(ABS($H$25-$G$25)&lt;=$J$25,"PASS","FAIL"),"FAIL")</f>
        <v>PASS</v>
      </c>
    </row>
    <row r="26" spans="2:12" ht="16.2" customHeight="1">
      <c r="B26" s="61">
        <v>16</v>
      </c>
      <c r="C26" s="58" t="s">
        <v>221</v>
      </c>
      <c r="D26" s="58"/>
      <c r="E26" s="58"/>
      <c r="F26" s="58"/>
      <c r="G26" s="67">
        <v>1</v>
      </c>
      <c r="H26" s="40">
        <f>COUNTIF(tblVerifyBoards[Margin status],"Below target")</f>
        <v>1</v>
      </c>
      <c r="I26" s="64">
        <f>IF(AND(ISNUMBER($G$26),ISNUMBER($H$26)),ABS($H$26-$G$26),"")</f>
        <v>0</v>
      </c>
      <c r="J26" s="65">
        <v>1E-09</v>
      </c>
      <c r="K26" s="39" t="str">
        <f>IF(AND(ISNUMBER($G$26),ISNUMBER($H$26)),IF(ABS($H$26-$G$26)&lt;=$J$26,"PASS","FAIL"),"FAIL")</f>
        <v>PASS</v>
      </c>
    </row>
    <row r="28" spans="2:12" ht="21" customHeight="1">
      <c r="B28" s="8" t="s">
        <v>222</v>
      </c>
      <c r="C28" s="8"/>
      <c r="D28" s="8"/>
      <c r="E28" s="8"/>
      <c r="F28" s="8"/>
      <c r="G28" s="8"/>
      <c r="H28" s="8"/>
      <c r="I28" s="8"/>
      <c r="J28" s="8"/>
      <c r="K28" s="8"/>
      <c r="L28" s="8"/>
    </row>
    <row r="29" spans="2:12" ht="5" customHeight="1"/>
    <row r="30" spans="2:12">
      <c r="B30" s="21" t="s">
        <v>223</v>
      </c>
      <c r="C30" s="21"/>
      <c r="D30" s="21"/>
      <c r="E30" s="21"/>
      <c r="F30" s="21"/>
      <c r="G30" s="21"/>
      <c r="H30" s="21"/>
      <c r="I30" s="21"/>
      <c r="J30" s="21"/>
      <c r="K30" s="21"/>
      <c r="L30" s="21"/>
    </row>
    <row r="31" spans="2:12">
      <c r="B31" s="48" t="s">
        <v>224</v>
      </c>
      <c r="C31" s="48"/>
      <c r="D31" s="48"/>
      <c r="E31" s="48"/>
      <c r="F31" s="48"/>
    </row>
    <row r="32" spans="2:12">
      <c r="B32" s="27" t="s">
        <v>225</v>
      </c>
      <c r="C32" s="27"/>
      <c r="D32" s="27"/>
      <c r="E32" s="66">
        <v>180</v>
      </c>
      <c r="F32" s="7"/>
    </row>
    <row r="33" spans="2:29">
      <c r="B33" s="27" t="s">
        <v>68</v>
      </c>
      <c r="C33" s="27"/>
      <c r="D33" s="27"/>
      <c r="E33" s="67">
        <v>10000</v>
      </c>
      <c r="F33" s="7"/>
    </row>
    <row r="34" spans="2:29">
      <c r="B34" s="27" t="s">
        <v>226</v>
      </c>
      <c r="C34" s="27"/>
      <c r="D34" s="27"/>
      <c r="E34" s="66">
        <v>30</v>
      </c>
      <c r="F34" s="7"/>
    </row>
    <row r="35" spans="2:29">
      <c r="B35" s="27" t="s">
        <v>227</v>
      </c>
      <c r="C35" s="27"/>
      <c r="D35" s="27"/>
      <c r="E35" s="68">
        <v>6</v>
      </c>
      <c r="F35" s="7"/>
    </row>
    <row r="36" spans="2:29">
      <c r="B36" s="27" t="s">
        <v>228</v>
      </c>
      <c r="C36" s="27"/>
      <c r="D36" s="27"/>
      <c r="E36" s="66">
        <v>60</v>
      </c>
      <c r="F36" s="7"/>
    </row>
    <row r="37" spans="2:29">
      <c r="B37" s="27" t="s">
        <v>139</v>
      </c>
      <c r="C37" s="27"/>
      <c r="D37" s="27"/>
      <c r="E37" s="52">
        <v>0.15</v>
      </c>
      <c r="F37" s="7"/>
    </row>
    <row r="39" spans="2:29">
      <c r="B39" s="48" t="s">
        <v>229</v>
      </c>
      <c r="C39" s="48"/>
      <c r="D39" s="48"/>
      <c r="E39" s="48"/>
      <c r="F39" s="48"/>
      <c r="G39" s="48"/>
      <c r="H39" s="48"/>
      <c r="I39" s="48"/>
      <c r="J39" s="48"/>
      <c r="K39" s="48"/>
      <c r="L39" s="48"/>
    </row>
    <row r="40" spans="2:29" ht="14" customHeight="1">
      <c r="B40" s="34"/>
      <c r="C40" s="34"/>
      <c r="D40" s="34" t="s">
        <v>105</v>
      </c>
      <c r="E40" s="34" t="s">
        <v>105</v>
      </c>
      <c r="F40" s="34" t="str">
        <f>Currency&amp;"/panel"</f>
        <v>USD/panel</v>
      </c>
      <c r="G40" s="34" t="str">
        <f>Currency&amp;"/board"</f>
        <v>USD/board</v>
      </c>
      <c r="H40" s="34" t="s">
        <v>106</v>
      </c>
      <c r="I40" s="34" t="s">
        <v>107</v>
      </c>
      <c r="J40" s="34" t="s">
        <v>107</v>
      </c>
      <c r="K40" s="34" t="s">
        <v>108</v>
      </c>
      <c r="L40" s="34" t="str">
        <f>Currency&amp;"/lot"</f>
        <v>USD/lot</v>
      </c>
      <c r="M40" s="34" t="s">
        <v>106</v>
      </c>
      <c r="N40" s="34" t="str">
        <f>Currency&amp;"/board"</f>
        <v>USD/board</v>
      </c>
      <c r="O40" s="34" t="str">
        <f>Currency&amp;"/board"</f>
        <v>USD/board</v>
      </c>
      <c r="P40" s="34" t="str">
        <f>Currency&amp;"/board"</f>
        <v>USD/board</v>
      </c>
      <c r="Q40" s="34" t="str">
        <f>Currency&amp;"/board"</f>
        <v>USD/board</v>
      </c>
      <c r="R40" s="34" t="str">
        <f>Currency&amp;"/board"</f>
        <v>USD/board</v>
      </c>
      <c r="S40" s="34" t="str">
        <f>Currency&amp;"/board"</f>
        <v>USD/board</v>
      </c>
      <c r="T40" s="34" t="str">
        <f>Currency&amp;"/board"</f>
        <v>USD/board</v>
      </c>
      <c r="U40" s="34" t="str">
        <f>Currency&amp;"/board"</f>
        <v>USD/board</v>
      </c>
      <c r="V40" s="34" t="str">
        <f>Currency&amp;"/board"</f>
        <v>USD/board</v>
      </c>
      <c r="W40" s="34" t="s">
        <v>109</v>
      </c>
      <c r="X40" s="34"/>
      <c r="Y40" s="34" t="str">
        <f>Currency&amp;"/lot"</f>
        <v>USD/lot</v>
      </c>
      <c r="Z40" s="34" t="str">
        <f>Currency&amp;"/lot"</f>
        <v>USD/lot</v>
      </c>
      <c r="AA40" s="34" t="str">
        <f>Currency&amp;"/lot"</f>
        <v>USD/lot</v>
      </c>
      <c r="AB40" s="34"/>
      <c r="AC40" s="34"/>
    </row>
    <row r="41" spans="2:29" ht="32" customHeight="1">
      <c r="B41" s="35" t="s">
        <v>76</v>
      </c>
      <c r="C41" s="35" t="s">
        <v>77</v>
      </c>
      <c r="D41" s="35" t="s">
        <v>78</v>
      </c>
      <c r="E41" s="35" t="s">
        <v>79</v>
      </c>
      <c r="F41" s="35" t="s">
        <v>80</v>
      </c>
      <c r="G41" s="35" t="s">
        <v>81</v>
      </c>
      <c r="H41" s="35" t="s">
        <v>82</v>
      </c>
      <c r="I41" s="35" t="s">
        <v>83</v>
      </c>
      <c r="J41" s="35" t="s">
        <v>84</v>
      </c>
      <c r="K41" s="35" t="s">
        <v>85</v>
      </c>
      <c r="L41" s="35" t="s">
        <v>86</v>
      </c>
      <c r="M41" s="35" t="s">
        <v>87</v>
      </c>
      <c r="N41" s="35" t="s">
        <v>88</v>
      </c>
      <c r="O41" s="35" t="s">
        <v>89</v>
      </c>
      <c r="P41" s="35" t="s">
        <v>90</v>
      </c>
      <c r="Q41" s="35" t="s">
        <v>91</v>
      </c>
      <c r="R41" s="35" t="s">
        <v>92</v>
      </c>
      <c r="S41" s="35" t="s">
        <v>93</v>
      </c>
      <c r="T41" s="35" t="s">
        <v>94</v>
      </c>
      <c r="U41" s="35" t="s">
        <v>95</v>
      </c>
      <c r="V41" s="35" t="s">
        <v>96</v>
      </c>
      <c r="W41" s="35" t="s">
        <v>97</v>
      </c>
      <c r="X41" s="35" t="s">
        <v>98</v>
      </c>
      <c r="Y41" s="35" t="s">
        <v>99</v>
      </c>
      <c r="Z41" s="35" t="s">
        <v>100</v>
      </c>
      <c r="AA41" s="35" t="s">
        <v>101</v>
      </c>
      <c r="AB41" s="35" t="s">
        <v>102</v>
      </c>
      <c r="AC41" s="35" t="s">
        <v>103</v>
      </c>
    </row>
    <row r="42" spans="2:29">
      <c r="B42" s="51" t="s">
        <v>230</v>
      </c>
      <c r="C42" s="51" t="s">
        <v>231</v>
      </c>
      <c r="D42" s="67">
        <v>720</v>
      </c>
      <c r="E42" s="67">
        <v>36</v>
      </c>
      <c r="F42" s="66">
        <v>92.5</v>
      </c>
      <c r="G42" s="66">
        <v>10</v>
      </c>
      <c r="H42" s="52">
        <v>0.02</v>
      </c>
      <c r="I42" s="67">
        <v>120</v>
      </c>
      <c r="J42" s="67">
        <v>20</v>
      </c>
      <c r="K42" s="67">
        <v>30</v>
      </c>
      <c r="L42" s="66">
        <v>1440</v>
      </c>
      <c r="M42" s="52">
        <v>0.96</v>
      </c>
      <c r="N42" s="66">
        <v>22</v>
      </c>
      <c r="O42" s="36">
        <f>IF(tblVerifyBoards[[#This Row],[Assembly]]="","",IF(tblVerifyBoards[[#This Row],[Boards per panel]]&gt;0,tblVerifyBoards[[#This Row],[Panel price]]/tblVerifyBoards[[#This Row],[Boards per panel]],""))</f>
        <v>2.56944444444444</v>
      </c>
      <c r="P42" s="36">
        <f>IF(tblVerifyBoards[[#This Row],[Assembly]]="","",tblVerifyBoards[[#This Row],[BOM cost]]*(1+tblVerifyBoards[[#This Row],[Attrition]]))</f>
        <v>10.2</v>
      </c>
      <c r="Q42" s="36">
        <f>IF(tblVerifyBoards[[#This Row],[Assembly]]="","",tblVerifyBoards[[#This Row],[SMT placements]]/$E$33*$E$32)</f>
        <v>2.16</v>
      </c>
      <c r="R42" s="36">
        <f>IF(tblVerifyBoards[[#This Row],[Assembly]]="","",tblVerifyBoards[[#This Row],[THT joints]]*$E$35/3600*$E$34)</f>
        <v>1</v>
      </c>
      <c r="S42" s="36">
        <f>IF(tblVerifyBoards[[#This Row],[Assembly]]="","",tblVerifyBoards[[#This Row],[Test time (s)]]/3600*$E$36)</f>
        <v>0.5</v>
      </c>
      <c r="T42" s="36">
        <f>IF(tblVerifyBoards[[#This Row],[Assembly]]="","",IF(tblVerifyBoards[[#This Row],[Lot size]]&gt;0,tblVerifyBoards[[#This Row],[Setup and NRE]]/tblVerifyBoards[[#This Row],[Lot size]],""))</f>
        <v>2</v>
      </c>
      <c r="U42" s="36">
        <f>IF(tblVerifyBoards[[#This Row],[Assembly]]="","",IF(tblVerifyBoards[[#This Row],[Final yield]]&gt;0,(tblVerifyBoards[[#This Row],[Bare PCB]]+tblVerifyBoards[[#This Row],[Components]]+tblVerifyBoards[[#This Row],[SMT]]+tblVerifyBoards[[#This Row],[Through-hole]]+tblVerifyBoards[[#This Row],[Test]])*(1/tblVerifyBoards[[#This Row],[Final yield]]-1),""))</f>
        <v>0.684560185185186</v>
      </c>
      <c r="V42" s="37">
        <f>IF(tblVerifyBoards[[#This Row],[Assembly]]="","",IFERROR(tblVerifyBoards[[#This Row],[Bare PCB]]+tblVerifyBoards[[#This Row],[Components]]+tblVerifyBoards[[#This Row],[SMT]]+tblVerifyBoards[[#This Row],[Through-hole]]+tblVerifyBoards[[#This Row],[Test]]+tblVerifyBoards[[#This Row],[Yield loss]]+tblVerifyBoards[[#This Row],[Setup per board]],""))</f>
        <v>19.1140046296296</v>
      </c>
      <c r="W42" s="38">
        <f>IF(tblVerifyBoards[[#This Row],[Assembly]]="","",IF(AND(tblVerifyBoards[[#This Row],[Price]]&gt;0,ISNUMBER(tblVerifyBoards[[#This Row],[Cost per good board]])),(tblVerifyBoards[[#This Row],[Price]]-tblVerifyBoards[[#This Row],[Cost per good board]])/tblVerifyBoards[[#This Row],[Price]],""))</f>
        <v>0.131181607744108</v>
      </c>
      <c r="X42" s="39" t="str">
        <f>IF(NOT(ISNUMBER(tblVerifyBoards[[#This Row],[Margin]])),"",IF(tblVerifyBoards[[#This Row],[Margin]]&gt;=$E$37,"On target",IF(tblVerifyBoards[[#This Row],[Margin]]&gt;=$E$37*(1-0.05),"Near target","Below target")))</f>
        <v>Below target</v>
      </c>
      <c r="Y42" s="40">
        <f>IF(tblVerifyBoards[[#This Row],[Assembly]]="","",IFERROR(tblVerifyBoards[[#This Row],[Cost per good board]]*tblVerifyBoards[[#This Row],[Lot size]],""))</f>
        <v>13762.0833333333</v>
      </c>
      <c r="Z42" s="40">
        <f>IF(tblVerifyBoards[[#This Row],[Assembly]]="","",IF(tblVerifyBoards[[#This Row],[Price]]&gt;0,tblVerifyBoards[[#This Row],[Price]]*tblVerifyBoards[[#This Row],[Lot size]],""))</f>
        <v>15840</v>
      </c>
      <c r="AA42" s="40">
        <f>IF(tblVerifyBoards[[#This Row],[Assembly]]="","",IF(AND(tblVerifyBoards[[#This Row],[Price]]&gt;0,ISNUMBER(tblVerifyBoards[[#This Row],[Lot cost]])),tblVerifyBoards[[#This Row],[Lot value]]-tblVerifyBoards[[#This Row],[Lot cost]],""))</f>
        <v>2077.91666666667</v>
      </c>
      <c r="AB42" s="41" t="str">
        <f>IF(tblVerifyBoards[[#This Row],[Assembly]]="","",IF(tblVerifyBoards[[#This Row],[Lot size]]="","Missing lot size",IF(tblVerifyBoards[[#This Row],[Boards per panel]]="","Missing boards per panel",IF(tblVerifyBoards[[#This Row],[Panel price]]="","Missing panel price",IF(tblVerifyBoards[[#This Row],[BOM cost]]="","Missing bom cost",IF(tblVerifyBoards[[#This Row],[Final yield]]="","Missing final yield",IF(COUNTIF(tblVerifyBoards[Assembly],tblVerifyBoards[[#This Row],[Assembly]])&gt;1,"Duplicate assembly","OK")))))))</f>
        <v>OK</v>
      </c>
      <c r="AC42" s="51" t="s">
        <v>112</v>
      </c>
    </row>
    <row r="43" spans="2:29">
      <c r="B43" s="51" t="s">
        <v>232</v>
      </c>
      <c r="C43" s="51" t="s">
        <v>233</v>
      </c>
      <c r="D43" s="67">
        <v>50</v>
      </c>
      <c r="E43" s="67">
        <v>1</v>
      </c>
      <c r="F43" s="66">
        <v>12</v>
      </c>
      <c r="G43" s="66">
        <v>40</v>
      </c>
      <c r="H43" s="52">
        <v>0</v>
      </c>
      <c r="I43" s="67">
        <v>300</v>
      </c>
      <c r="J43" s="67">
        <v>0</v>
      </c>
      <c r="K43" s="67">
        <v>120</v>
      </c>
      <c r="L43" s="66">
        <v>0</v>
      </c>
      <c r="M43" s="52">
        <v>1</v>
      </c>
      <c r="N43" s="66">
        <v>70</v>
      </c>
      <c r="O43" s="36">
        <f>IF(tblVerifyBoards[[#This Row],[Assembly]]="","",IF(tblVerifyBoards[[#This Row],[Boards per panel]]&gt;0,tblVerifyBoards[[#This Row],[Panel price]]/tblVerifyBoards[[#This Row],[Boards per panel]],""))</f>
        <v>12</v>
      </c>
      <c r="P43" s="36">
        <f>IF(tblVerifyBoards[[#This Row],[Assembly]]="","",tblVerifyBoards[[#This Row],[BOM cost]]*(1+tblVerifyBoards[[#This Row],[Attrition]]))</f>
        <v>40</v>
      </c>
      <c r="Q43" s="36">
        <f>IF(tblVerifyBoards[[#This Row],[Assembly]]="","",tblVerifyBoards[[#This Row],[SMT placements]]/$E$33*$E$32)</f>
        <v>5.4</v>
      </c>
      <c r="R43" s="36">
        <f>IF(tblVerifyBoards[[#This Row],[Assembly]]="","",tblVerifyBoards[[#This Row],[THT joints]]*$E$35/3600*$E$34)</f>
        <v>0</v>
      </c>
      <c r="S43" s="36">
        <f>IF(tblVerifyBoards[[#This Row],[Assembly]]="","",tblVerifyBoards[[#This Row],[Test time (s)]]/3600*$E$36)</f>
        <v>2</v>
      </c>
      <c r="T43" s="36">
        <f>IF(tblVerifyBoards[[#This Row],[Assembly]]="","",IF(tblVerifyBoards[[#This Row],[Lot size]]&gt;0,tblVerifyBoards[[#This Row],[Setup and NRE]]/tblVerifyBoards[[#This Row],[Lot size]],""))</f>
        <v>0</v>
      </c>
      <c r="U43" s="36">
        <f>IF(tblVerifyBoards[[#This Row],[Assembly]]="","",IF(tblVerifyBoards[[#This Row],[Final yield]]&gt;0,(tblVerifyBoards[[#This Row],[Bare PCB]]+tblVerifyBoards[[#This Row],[Components]]+tblVerifyBoards[[#This Row],[SMT]]+tblVerifyBoards[[#This Row],[Through-hole]]+tblVerifyBoards[[#This Row],[Test]])*(1/tblVerifyBoards[[#This Row],[Final yield]]-1),""))</f>
        <v>0</v>
      </c>
      <c r="V43" s="37">
        <f>IF(tblVerifyBoards[[#This Row],[Assembly]]="","",IFERROR(tblVerifyBoards[[#This Row],[Bare PCB]]+tblVerifyBoards[[#This Row],[Components]]+tblVerifyBoards[[#This Row],[SMT]]+tblVerifyBoards[[#This Row],[Through-hole]]+tblVerifyBoards[[#This Row],[Test]]+tblVerifyBoards[[#This Row],[Yield loss]]+tblVerifyBoards[[#This Row],[Setup per board]],""))</f>
        <v>59.4</v>
      </c>
      <c r="W43" s="38">
        <f>IF(tblVerifyBoards[[#This Row],[Assembly]]="","",IF(AND(tblVerifyBoards[[#This Row],[Price]]&gt;0,ISNUMBER(tblVerifyBoards[[#This Row],[Cost per good board]])),(tblVerifyBoards[[#This Row],[Price]]-tblVerifyBoards[[#This Row],[Cost per good board]])/tblVerifyBoards[[#This Row],[Price]],""))</f>
        <v>0.151428571428571</v>
      </c>
      <c r="X43" s="39" t="str">
        <f>IF(NOT(ISNUMBER(tblVerifyBoards[[#This Row],[Margin]])),"",IF(tblVerifyBoards[[#This Row],[Margin]]&gt;=$E$37,"On target",IF(tblVerifyBoards[[#This Row],[Margin]]&gt;=$E$37*(1-0.05),"Near target","Below target")))</f>
        <v>On target</v>
      </c>
      <c r="Y43" s="40">
        <f>IF(tblVerifyBoards[[#This Row],[Assembly]]="","",IFERROR(tblVerifyBoards[[#This Row],[Cost per good board]]*tblVerifyBoards[[#This Row],[Lot size]],""))</f>
        <v>2970</v>
      </c>
      <c r="Z43" s="40">
        <f>IF(tblVerifyBoards[[#This Row],[Assembly]]="","",IF(tblVerifyBoards[[#This Row],[Price]]&gt;0,tblVerifyBoards[[#This Row],[Price]]*tblVerifyBoards[[#This Row],[Lot size]],""))</f>
        <v>3500</v>
      </c>
      <c r="AA43" s="40">
        <f>IF(tblVerifyBoards[[#This Row],[Assembly]]="","",IF(AND(tblVerifyBoards[[#This Row],[Price]]&gt;0,ISNUMBER(tblVerifyBoards[[#This Row],[Lot cost]])),tblVerifyBoards[[#This Row],[Lot value]]-tblVerifyBoards[[#This Row],[Lot cost]],""))</f>
        <v>530</v>
      </c>
      <c r="AB43" s="41" t="str">
        <f>IF(tblVerifyBoards[[#This Row],[Assembly]]="","",IF(tblVerifyBoards[[#This Row],[Lot size]]="","Missing lot size",IF(tblVerifyBoards[[#This Row],[Boards per panel]]="","Missing boards per panel",IF(tblVerifyBoards[[#This Row],[Panel price]]="","Missing panel price",IF(tblVerifyBoards[[#This Row],[BOM cost]]="","Missing bom cost",IF(tblVerifyBoards[[#This Row],[Final yield]]="","Missing final yield",IF(COUNTIF(tblVerifyBoards[Assembly],tblVerifyBoards[[#This Row],[Assembly]])&gt;1,"Duplicate assembly","OK")))))))</f>
        <v>OK</v>
      </c>
      <c r="AC43" s="51" t="s">
        <v>112</v>
      </c>
    </row>
    <row r="44" spans="2:29">
      <c r="B44" s="51" t="s">
        <v>234</v>
      </c>
      <c r="C44" s="51" t="s">
        <v>235</v>
      </c>
      <c r="D44" s="67">
        <v>10</v>
      </c>
      <c r="E44" s="67">
        <v>2</v>
      </c>
      <c r="F44" s="66">
        <v>10</v>
      </c>
      <c r="G44" s="66">
        <v>5</v>
      </c>
      <c r="H44" s="52">
        <v>0</v>
      </c>
      <c r="I44" s="67">
        <v>10</v>
      </c>
      <c r="J44" s="67">
        <v>0</v>
      </c>
      <c r="K44" s="67">
        <v>0</v>
      </c>
      <c r="L44" s="66">
        <v>0</v>
      </c>
      <c r="M44" s="52" t="s">
        <v>112</v>
      </c>
      <c r="N44" s="66" t="s">
        <v>112</v>
      </c>
      <c r="O44" s="36">
        <f>IF(tblVerifyBoards[[#This Row],[Assembly]]="","",IF(tblVerifyBoards[[#This Row],[Boards per panel]]&gt;0,tblVerifyBoards[[#This Row],[Panel price]]/tblVerifyBoards[[#This Row],[Boards per panel]],""))</f>
        <v>5</v>
      </c>
      <c r="P44" s="36">
        <f>IF(tblVerifyBoards[[#This Row],[Assembly]]="","",tblVerifyBoards[[#This Row],[BOM cost]]*(1+tblVerifyBoards[[#This Row],[Attrition]]))</f>
        <v>5</v>
      </c>
      <c r="Q44" s="36">
        <f>IF(tblVerifyBoards[[#This Row],[Assembly]]="","",tblVerifyBoards[[#This Row],[SMT placements]]/$E$33*$E$32)</f>
        <v>0.18</v>
      </c>
      <c r="R44" s="36">
        <f>IF(tblVerifyBoards[[#This Row],[Assembly]]="","",tblVerifyBoards[[#This Row],[THT joints]]*$E$35/3600*$E$34)</f>
        <v>0</v>
      </c>
      <c r="S44" s="36">
        <f>IF(tblVerifyBoards[[#This Row],[Assembly]]="","",tblVerifyBoards[[#This Row],[Test time (s)]]/3600*$E$36)</f>
        <v>0</v>
      </c>
      <c r="T44" s="36">
        <f>IF(tblVerifyBoards[[#This Row],[Assembly]]="","",IF(tblVerifyBoards[[#This Row],[Lot size]]&gt;0,tblVerifyBoards[[#This Row],[Setup and NRE]]/tblVerifyBoards[[#This Row],[Lot size]],""))</f>
        <v>0</v>
      </c>
      <c r="U44" s="36">
        <f>IF(tblVerifyBoards[[#This Row],[Assembly]]="","",IF(tblVerifyBoards[[#This Row],[Final yield]]&gt;0,(tblVerifyBoards[[#This Row],[Bare PCB]]+tblVerifyBoards[[#This Row],[Components]]+tblVerifyBoards[[#This Row],[SMT]]+tblVerifyBoards[[#This Row],[Through-hole]]+tblVerifyBoards[[#This Row],[Test]])*(1/tblVerifyBoards[[#This Row],[Final yield]]-1),""))</f>
        <v/>
      </c>
      <c r="V44" s="37">
        <f>IF(tblVerifyBoards[[#This Row],[Assembly]]="","",IFERROR(tblVerifyBoards[[#This Row],[Bare PCB]]+tblVerifyBoards[[#This Row],[Components]]+tblVerifyBoards[[#This Row],[SMT]]+tblVerifyBoards[[#This Row],[Through-hole]]+tblVerifyBoards[[#This Row],[Test]]+tblVerifyBoards[[#This Row],[Yield loss]]+tblVerifyBoards[[#This Row],[Setup per board]],""))</f>
        <v/>
      </c>
      <c r="W44" s="38">
        <f>IF(tblVerifyBoards[[#This Row],[Assembly]]="","",IF(AND(tblVerifyBoards[[#This Row],[Price]]&gt;0,ISNUMBER(tblVerifyBoards[[#This Row],[Cost per good board]])),(tblVerifyBoards[[#This Row],[Price]]-tblVerifyBoards[[#This Row],[Cost per good board]])/tblVerifyBoards[[#This Row],[Price]],""))</f>
        <v/>
      </c>
      <c r="X44" s="39">
        <f>IF(NOT(ISNUMBER(tblVerifyBoards[[#This Row],[Margin]])),"",IF(tblVerifyBoards[[#This Row],[Margin]]&gt;=$E$37,"On target",IF(tblVerifyBoards[[#This Row],[Margin]]&gt;=$E$37*(1-0.05),"Near target","Below target")))</f>
        <v/>
      </c>
      <c r="Y44" s="40">
        <f>IF(tblVerifyBoards[[#This Row],[Assembly]]="","",IFERROR(tblVerifyBoards[[#This Row],[Cost per good board]]*tblVerifyBoards[[#This Row],[Lot size]],""))</f>
        <v/>
      </c>
      <c r="Z44" s="40">
        <f>IF(tblVerifyBoards[[#This Row],[Assembly]]="","",IF(tblVerifyBoards[[#This Row],[Price]]&gt;0,tblVerifyBoards[[#This Row],[Price]]*tblVerifyBoards[[#This Row],[Lot size]],""))</f>
        <v/>
      </c>
      <c r="AA44" s="40">
        <f>IF(tblVerifyBoards[[#This Row],[Assembly]]="","",IF(AND(tblVerifyBoards[[#This Row],[Price]]&gt;0,ISNUMBER(tblVerifyBoards[[#This Row],[Lot cost]])),tblVerifyBoards[[#This Row],[Lot value]]-tblVerifyBoards[[#This Row],[Lot cost]],""))</f>
        <v/>
      </c>
      <c r="AB44" s="41" t="str">
        <f>IF(tblVerifyBoards[[#This Row],[Assembly]]="","",IF(tblVerifyBoards[[#This Row],[Lot size]]="","Missing lot size",IF(tblVerifyBoards[[#This Row],[Boards per panel]]="","Missing boards per panel",IF(tblVerifyBoards[[#This Row],[Panel price]]="","Missing panel price",IF(tblVerifyBoards[[#This Row],[BOM cost]]="","Missing bom cost",IF(tblVerifyBoards[[#This Row],[Final yield]]="","Missing final yield",IF(COUNTIF(tblVerifyBoards[Assembly],tblVerifyBoards[[#This Row],[Assembly]])&gt;1,"Duplicate assembly","OK")))))))</f>
        <v>Missing final yield</v>
      </c>
      <c r="AC44" s="51" t="s">
        <v>236</v>
      </c>
    </row>
  </sheetData>
  <sheetProtection sheet="1" formatColumns="0" formatRows="0"/>
  <mergeCells count="34">
    <mergeCell ref="A1:AC1"/>
    <mergeCell ref="B2:AB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B28:L28"/>
    <mergeCell ref="B30:L30"/>
    <mergeCell ref="B31:F31"/>
    <mergeCell ref="B32:D32"/>
    <mergeCell ref="B33:D33"/>
    <mergeCell ref="B34:D34"/>
    <mergeCell ref="B35:D35"/>
    <mergeCell ref="B36:D36"/>
    <mergeCell ref="B37:D37"/>
    <mergeCell ref="B39:L39"/>
  </mergeCells>
  <conditionalFormatting sqref="AB42:AB44">
    <cfRule type="expression" dxfId="3" priority="41">
      <formula>$AB42="OK"</formula>
    </cfRule>
    <cfRule type="expression" dxfId="1" priority="42">
      <formula>AND($AB42&lt;&gt;"",$AB42&lt;&gt;"OK")</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AC2" r:id="rId1" tooltip="Free manufacturing calculators and templates"/>
  </hyperlinks>
  <printOptions horizontalCentered="1"/>
  <pageMargins left="0.4" right="0.4" top="0.7" bottom="0.65" header="0.3" footer="0.3"/>
  <pageSetup fitToHeight="0" orientation="landscape"/>
  <headerFooter>
    <oddHeader>&amp;L&amp;8MFG Calcs - PCB Assembly Cost&amp;R&amp;8&amp;A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Start Here</vt:lpstr>
      <vt:lpstr>Setup</vt:lpstr>
      <vt:lpstr>Assemblies</vt:lpstr>
      <vt:lpstr>Dashboard</vt:lpstr>
      <vt:lpstr>Method</vt:lpstr>
      <vt:lpstr>Verify</vt:lpstr>
      <vt:lpstr>Cph</vt:lpstr>
      <vt:lpstr>Currency</vt:lpstr>
      <vt:lpstr>KpiBelow</vt:lpstr>
      <vt:lpstr>KpiLoss</vt:lpstr>
      <vt:lpstr>KpiMargin</vt:lpstr>
      <vt:lpstr>KpiMat</vt:lpstr>
      <vt:lpstr>LabourRate</vt:lpstr>
      <vt:lpstr>PlantName</vt:lpstr>
      <vt:lpstr>Assemblies!Print_Area</vt:lpstr>
      <vt:lpstr>Dashboard!Print_Area</vt:lpstr>
      <vt:lpstr>Method!Print_Area</vt:lpstr>
      <vt:lpstr>Setup!Print_Area</vt:lpstr>
      <vt:lpstr>'Start Here'!Print_Area</vt:lpstr>
      <vt:lpstr>Verify!Print_Area</vt:lpstr>
      <vt:lpstr>Assemblies!Print_Titles</vt:lpstr>
      <vt:lpstr>Method!Print_Titles</vt:lpstr>
      <vt:lpstr>SelfCheck</vt:lpstr>
      <vt:lpstr>SelfCheckSummary</vt:lpstr>
      <vt:lpstr>SmtRate</vt:lpstr>
      <vt:lpstr>TargetMargin</vt:lpstr>
      <vt:lpstr>TestRate</vt:lpstr>
      <vt:lpstr>ThtSec</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PCB Assembly Cost - free Excel template from MFG Calcs</dc:title>
  <dc:subject>Build the cost of every PCB assembly from bare board, BOM, SMT placements, through-hole joints, test, NRE and yield, and check each price against your target margin.</dc:subject>
  <dc:creator>MFG Calcs</dc:creator>
  <cp:keywords>PCB assembly cost, PCBA quote, SMT placement cost, EMS costing, BOM cost, NRE, board yield, should-cost</cp:keywords>
  <dc:description>https://www.mfgcalcs.com/templates/pcb-assembly-cost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pcb-assembly-cost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https://www.mfgcalcs.com/templates/pcb-assembly-cost</vt:lpwstr>
  </property>
  <property fmtid="{D5CDD505-2E9C-101B-9397-08002B2CF9AE}" pid="7" name="Template sheet roles">
    <vt:lpwstr>Start Here=start;Setup=setup;Assemblies=work;Dashboard=dashboard;Method=method;Verify=verify</vt:lpwstr>
  </property>
</Properties>
</file>