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FMEA" sheetId="3" r:id="rId3"/>
    <sheet name="Dashboard" sheetId="4" r:id="rId4"/>
    <sheet name="Method" sheetId="5" r:id="rId5"/>
    <sheet name="Verify" sheetId="6" r:id="rId6"/>
  </sheets>
  <definedNames>
    <definedName name="AsOf">Setup!$C$18</definedName>
    <definedName name="Classes">tblClasses[Class]</definedName>
    <definedName name="Company">Setup!$C$6</definedName>
    <definedName name="DueSoonDays">Setup!$C$19</definedName>
    <definedName name="FmeaNo">Setup!$C$9</definedName>
    <definedName name="KpiDone">Dashboard!$B$30</definedName>
    <definedName name="KpiHighSev">Dashboard!$G$30</definedName>
    <definedName name="KpiMax">Dashboard!$G$7</definedName>
    <definedName name="KpiOut">Dashboard!$D$7</definedName>
    <definedName name="KpiOverdue">Dashboard!$J$7</definedName>
    <definedName name="KpiReduction">Dashboard!$D$30</definedName>
    <definedName name="KpiRows">Dashboard!$B$7</definedName>
    <definedName name="KpiSpecial">Dashboard!$J$30</definedName>
    <definedName name="Owners">tblOwners[Owner]</definedName>
    <definedName name="PartName">Setup!$C$7</definedName>
    <definedName name="PartNo">Setup!$C$8</definedName>
    <definedName name="_xlnm.Print_Area" localSheetId="3">Dashboard!$A$1:$L$60</definedName>
    <definedName name="_xlnm.Print_Area" localSheetId="4">Method!$A$1:$D$58</definedName>
    <definedName name="_xlnm.Print_Area" localSheetId="2">PFMEA!$A$1:$AD$26</definedName>
    <definedName name="_xlnm.Print_Area" localSheetId="1">Setup!$A$1:$E$50</definedName>
    <definedName name="_xlnm.Print_Area" localSheetId="0">'Start Here'!$A$1:$F$55</definedName>
    <definedName name="_xlnm.Print_Area" localSheetId="5">Verify!$A$1:$AD$54</definedName>
    <definedName name="_xlnm.Print_Titles" localSheetId="4">Method!$1:$2</definedName>
    <definedName name="_xlnm.Print_Titles" localSheetId="2">PFMEA!$1:$6</definedName>
    <definedName name="RevDate">Setup!$C$12</definedName>
    <definedName name="RPNLimit">Setup!$C$16</definedName>
    <definedName name="SelfCheck">Verify!$D$4</definedName>
    <definedName name="SelfCheckSummary">Verify!$F$4</definedName>
    <definedName name="SevLimit">Setup!$C$17</definedName>
    <definedName name="StartDate">Setup!$C$11</definedName>
    <definedName name="Steps">tblSteps[Process step]</definedName>
    <definedName name="Team">Setup!$C$10</definedName>
  </definedNames>
  <calcPr calcId="124519" fullCalcOnLoad="1"/>
</workbook>
</file>

<file path=xl/sharedStrings.xml><?xml version="1.0" encoding="utf-8"?>
<sst xmlns="http://schemas.openxmlformats.org/spreadsheetml/2006/main" count="677" uniqueCount="426">
  <si>
    <t>Process FMEA (PFMEA)</t>
  </si>
  <si>
    <t>Read this first: what the workbook does and how to use it.</t>
  </si>
  <si>
    <t>mfgcalcs.com</t>
  </si>
  <si>
    <t>Rate every process failure mode for severity, occurrence and detection, rank the risks, and follow each recommended action until the re-rated risk is under your limit.</t>
  </si>
  <si>
    <t>For: Quality, process and manufacturing engineers and cross-functional FMEA teams at automotive, medical-device and aerospace suppliers.</t>
  </si>
  <si>
    <t>Version 1.0.0  ·  updated 15 October 2026</t>
  </si>
  <si>
    <t>Quick start</t>
  </si>
  <si>
    <t>1.</t>
  </si>
  <si>
    <t>On Setup, type the part, process, FMEA number, team and dates, set your RPN limit, severity limit and status date, and replace the example process steps, owners and characteristic classes.</t>
  </si>
  <si>
    <t>2.</t>
  </si>
  <si>
    <t>On PFMEA, add one row per failure mode and cause at each step, with its effect, controls and severity, occurrence and detection ratings (1 to 10).</t>
  </si>
  <si>
    <t>3.</t>
  </si>
  <si>
    <t>For risks over your limits, type a recommended action, owner and due date; when it is done, type what was done, the completed date and the new ratings.</t>
  </si>
  <si>
    <t>4.</t>
  </si>
  <si>
    <t>Read the Risk, Action status and Check columns, then open the Dashboard for the top 10 risks and the highest RPN at each step.</t>
  </si>
  <si>
    <t>What is in this workbook</t>
  </si>
  <si>
    <t>Start Here</t>
  </si>
  <si>
    <t>Setup</t>
  </si>
  <si>
    <t>FMEA header, your limits and status date, and the process-step, owner and class lists.</t>
  </si>
  <si>
    <t>PFMEA</t>
  </si>
  <si>
    <t>One row per failure mode and cause at a process step: ratings, controls, actions and the re-rated risk.</t>
  </si>
  <si>
    <t>Dashboard</t>
  </si>
  <si>
    <t>The biggest process risks, whether actions are bringing them under your limits, and which actions are late.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</si>
  <si>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</si>
  <si>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</si>
  <si>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</si>
  <si>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</si>
  <si>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</si>
  <si>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</si>
  <si>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</si>
  <si>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</si>
  <si>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</si>
  <si>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</si>
  <si>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</si>
  <si>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</si>
  <si>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</si>
  <si>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</si>
  <si>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</si>
  <si>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</si>
  <si>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</si>
  <si>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</si>
  <si>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</si>
  <si>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</si>
  <si>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Risk Register Item Priority Calculator on mfgcalcs.com</t>
  </si>
  <si>
    <t>Latest version</t>
  </si>
  <si>
    <t>mfgcalcs.com/templates/pfmea</t>
  </si>
  <si>
    <t>More free templates</t>
  </si>
  <si>
    <t>mfgcalcs.com/templates</t>
  </si>
  <si>
    <t>Version</t>
  </si>
  <si>
    <t>1.0.0 (updated 15 October 2026)</t>
  </si>
  <si>
    <t>About the example data</t>
  </si>
  <si>
    <t>Every number already in this workbook is example data for Harwood Die Casting, a fictional business invented for this template, so the dashboard and charts show something meaningful on day one. It is a PFMEA for a fictional aluminium pump housing over eight operations (melt to pack), 20 failure-mode rows, with the status date 9 Oct 2026; all ratings and actions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</si>
  <si>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</si>
  <si>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</si>
  <si>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</si>
  <si>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</si>
  <si>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</si>
  <si>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</si>
  <si>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</si>
  <si>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</si>
  <si>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Process step</t>
  </si>
  <si>
    <t>Area</t>
  </si>
  <si>
    <t>Description</t>
  </si>
  <si>
    <t>Owner</t>
  </si>
  <si>
    <t>Role</t>
  </si>
  <si>
    <t>Class</t>
  </si>
  <si>
    <t>Meaning</t>
  </si>
  <si>
    <t>FMEA header</t>
  </si>
  <si>
    <t>Company and site</t>
  </si>
  <si>
    <t>Harwood Die Casting (example)</t>
  </si>
  <si>
    <t>Part or process</t>
  </si>
  <si>
    <t>Pump housing, A380 aluminium die casting</t>
  </si>
  <si>
    <t>Part number and revision</t>
  </si>
  <si>
    <t>PH-450 rev D</t>
  </si>
  <si>
    <t>FMEA number</t>
  </si>
  <si>
    <t>PF-450-01</t>
  </si>
  <si>
    <t>Core team</t>
  </si>
  <si>
    <t>L. Novak, D. Okafor, P. Sharma, T. Brandt, G. Rossi</t>
  </si>
  <si>
    <t>FMEA start date</t>
  </si>
  <si>
    <t>Latest revision date</t>
  </si>
  <si>
    <t>Limits and status date</t>
  </si>
  <si>
    <t>RPN limit</t>
  </si>
  <si>
    <t>S x O x D</t>
  </si>
  <si>
    <t>Severity limit</t>
  </si>
  <si>
    <t>1 to 10</t>
  </si>
  <si>
    <t>Status as of</t>
  </si>
  <si>
    <t>'Due soon' warning</t>
  </si>
  <si>
    <t>days</t>
  </si>
  <si>
    <t>The limits are yours or your customer's; no standard sets an RPN threshold, and the AIAG-VDA FMEA Handbook (2019) replaces RPN thresholds with Action Priority. If your customer requires Action Priority, rate with the handbook's tables and type H, M or L in the AP column; this workbook does not reproduce or compute them.</t>
  </si>
  <si>
    <t>Rating scales</t>
  </si>
  <si>
    <t>Rate severity, occurrence and detection from 1 to 10 with the scales your customer specifies (for example the AIAG-VDA FMEA Handbook or the AIAG FMEA 4th edition tables; this workbook does not reproduce them). In every scale, 10 is the worst: the most severe effect, the most frequent cause, the least likely detection. Re-rate with the same scales after an action.</t>
  </si>
  <si>
    <t>Lists that feed the dropdowns</t>
  </si>
  <si>
    <t>Process steps (in flow order)</t>
  </si>
  <si>
    <t>OP10 Melt</t>
  </si>
  <si>
    <t>Foundry</t>
  </si>
  <si>
    <t>Melt and hold A380 alloy at 660-690 C</t>
  </si>
  <si>
    <t>OP20 Degas</t>
  </si>
  <si>
    <t>Rotary degas and melt treatment</t>
  </si>
  <si>
    <t>OP30 Die cast</t>
  </si>
  <si>
    <t>High-pressure die casting, 800 t cell</t>
  </si>
  <si>
    <t>OP40 Trim</t>
  </si>
  <si>
    <t>Finishing</t>
  </si>
  <si>
    <t>Trim gates, overflows and flash</t>
  </si>
  <si>
    <t>OP50 Shot blast</t>
  </si>
  <si>
    <t>Shot blast and blow-off</t>
  </si>
  <si>
    <t>OP60 Machine</t>
  </si>
  <si>
    <t>Machining</t>
  </si>
  <si>
    <t>CNC machining of bore, faces and holes</t>
  </si>
  <si>
    <t>OP70 Leak test</t>
  </si>
  <si>
    <t>Test</t>
  </si>
  <si>
    <t>Pressure-decay leak test, 100%</t>
  </si>
  <si>
    <t>OP80 Wash and pack</t>
  </si>
  <si>
    <t>Shipping</t>
  </si>
  <si>
    <t>Wash, cleanliness check, label and pack</t>
  </si>
  <si>
    <t>Action owners</t>
  </si>
  <si>
    <t>L. Novak</t>
  </si>
  <si>
    <t>Process engineer, casting</t>
  </si>
  <si>
    <t>D. Okafor</t>
  </si>
  <si>
    <t>Quality engineer</t>
  </si>
  <si>
    <t>P. Sharma</t>
  </si>
  <si>
    <t>Machining lead</t>
  </si>
  <si>
    <t>T. Brandt</t>
  </si>
  <si>
    <t>Maintenance engineer</t>
  </si>
  <si>
    <t>G. Rossi</t>
  </si>
  <si>
    <t>Logistics and packaging</t>
  </si>
  <si>
    <t>Special characteristic classes</t>
  </si>
  <si>
    <t>CC</t>
  </si>
  <si>
    <t>Critical characteristic: affects safety or regulatory compliance (example symbol; use your customer's)</t>
  </si>
  <si>
    <t>SC</t>
  </si>
  <si>
    <t>Significant characteristic: affects fit, function or a key process (example symbol; use your customer's)</t>
  </si>
  <si>
    <t>Function or requirement</t>
  </si>
  <si>
    <t>Failure mode</t>
  </si>
  <si>
    <t>Effect of failure</t>
  </si>
  <si>
    <t>Severity</t>
  </si>
  <si>
    <t>Cause</t>
  </si>
  <si>
    <t>Prevention controls</t>
  </si>
  <si>
    <t>Occurrence</t>
  </si>
  <si>
    <t>Detection controls</t>
  </si>
  <si>
    <t>Detection</t>
  </si>
  <si>
    <t>AP</t>
  </si>
  <si>
    <t>RPN</t>
  </si>
  <si>
    <t>Recommended action</t>
  </si>
  <si>
    <t>Due</t>
  </si>
  <si>
    <t>Action taken</t>
  </si>
  <si>
    <t>Completed</t>
  </si>
  <si>
    <t>New S</t>
  </si>
  <si>
    <t>New O</t>
  </si>
  <si>
    <t>New D</t>
  </si>
  <si>
    <t>New RPN</t>
  </si>
  <si>
    <t>Current RPN</t>
  </si>
  <si>
    <t>Current S</t>
  </si>
  <si>
    <t>Risk</t>
  </si>
  <si>
    <t>Action status</t>
  </si>
  <si>
    <t>Rank</t>
  </si>
  <si>
    <t>Check</t>
  </si>
  <si>
    <t>Example PFMEA for Harwood Die Casting (fictional; ratings and actions are invented). Replace it with your own: select the example rows, right-click, Delete &gt; Table Rows. One row per failure mode and cause.</t>
  </si>
  <si>
    <t>Hold melt at 660-690 C</t>
  </si>
  <si>
    <t>Melt temperature low</t>
  </si>
  <si>
    <t>Cold shuts and misruns at casting</t>
  </si>
  <si>
    <t>Thermocouple drift</t>
  </si>
  <si>
    <t>Thermocouple calibration every 6 months</t>
  </si>
  <si>
    <t>Furnace low-temperature alarm</t>
  </si>
  <si>
    <t>Alloy to A380 chemistry</t>
  </si>
  <si>
    <t>Wrong alloy chemistry</t>
  </si>
  <si>
    <t>Low strength; customer rejection</t>
  </si>
  <si>
    <t>Mixed scrap returned to the furnace</t>
  </si>
  <si>
    <t>Segregated returns bins; ingot certificate check</t>
  </si>
  <si>
    <t>Spectrometer check each furnace charge</t>
  </si>
  <si>
    <t>Hydrogen below limit</t>
  </si>
  <si>
    <t>Degassing incomplete</t>
  </si>
  <si>
    <t>Gas porosity; leak at the customer</t>
  </si>
  <si>
    <t>Rotor speed or degas time short</t>
  </si>
  <si>
    <t>Degas recipe set in the PLC</t>
  </si>
  <si>
    <t>Reduced-pressure test once per shift</t>
  </si>
  <si>
    <t>Reduced-pressure density test on every ladle</t>
  </si>
  <si>
    <t>Density test added at each ladle; reaction plan in the work instruction</t>
  </si>
  <si>
    <t>Clean melt</t>
  </si>
  <si>
    <t>Oxide inclusions</t>
  </si>
  <si>
    <t>Defects on machined faces</t>
  </si>
  <si>
    <t>Dross not skimmed before transfer</t>
  </si>
  <si>
    <t>Skimming step in the work instruction</t>
  </si>
  <si>
    <t>Visual check at machining</t>
  </si>
  <si>
    <t>Ceramic foam filter in the launder</t>
  </si>
  <si>
    <t>Filter fitted and changed every shift</t>
  </si>
  <si>
    <t>Fill the cavity completely</t>
  </si>
  <si>
    <t>Shrink porosity at the sealing face</t>
  </si>
  <si>
    <t>Leak path; leak in the field</t>
  </si>
  <si>
    <t>Intensification pressure low</t>
  </si>
  <si>
    <t>Shot profile monitoring on the cell</t>
  </si>
  <si>
    <t>100% leak test at OP70</t>
  </si>
  <si>
    <t>Squeeze pin at boss B; intensification pressure alarm on every shot</t>
  </si>
  <si>
    <t>Cast to drawing dimensions</t>
  </si>
  <si>
    <t>Die soldering, dimension out</t>
  </si>
  <si>
    <t>Machining stock too thin</t>
  </si>
  <si>
    <t>Die spray nozzle clogged</t>
  </si>
  <si>
    <t>Weekly die-spray maintenance</t>
  </si>
  <si>
    <t>First-off CMM check</t>
  </si>
  <si>
    <t>Sound ribs</t>
  </si>
  <si>
    <t>Cold shut on rib</t>
  </si>
  <si>
    <t>Rib cracks under load</t>
  </si>
  <si>
    <t>Die below temperature at start-up</t>
  </si>
  <si>
    <t>Five warm-up shots scrapped</t>
  </si>
  <si>
    <t>100% visual at trim</t>
  </si>
  <si>
    <t>Thermal imaging of the die at start-up; interlock until the die is at temperature</t>
  </si>
  <si>
    <t>Trim gates and flash</t>
  </si>
  <si>
    <t>Flash left on the sealing face</t>
  </si>
  <si>
    <t>O-ring seal fails</t>
  </si>
  <si>
    <t>Trim die wear</t>
  </si>
  <si>
    <t>Trim die maintenance every 20,000 shots</t>
  </si>
  <si>
    <t>Visual check at trim</t>
  </si>
  <si>
    <t>Go/no-go flash gauge at trim, 1 in 20 parts</t>
  </si>
  <si>
    <t>Flash gauge in use; check recorded on the shift sheet</t>
  </si>
  <si>
    <t>Trim without damage</t>
  </si>
  <si>
    <t>Casting cracked by the trim press</t>
  </si>
  <si>
    <t>Leak; scrap</t>
  </si>
  <si>
    <t>Part loaded wrongly in the trim die</t>
  </si>
  <si>
    <t>Error-proofed nest</t>
  </si>
  <si>
    <t>Clean passages</t>
  </si>
  <si>
    <t>Blast media left in a cored passage</t>
  </si>
  <si>
    <t>Contamination; pump failure</t>
  </si>
  <si>
    <t>Blow-off skipped</t>
  </si>
  <si>
    <t>Blow-off step in the work instruction</t>
  </si>
  <si>
    <t>Visual check of passages</t>
  </si>
  <si>
    <t>Automatic blow-off with flow sensor and part-presence interlock</t>
  </si>
  <si>
    <t>Uniform finish</t>
  </si>
  <si>
    <t>Over-blasted surface</t>
  </si>
  <si>
    <t>Cosmetic reject</t>
  </si>
  <si>
    <t>Wrong timer setting</t>
  </si>
  <si>
    <t>Recipe locked by password</t>
  </si>
  <si>
    <t>Visual check</t>
  </si>
  <si>
    <t>Bore 42 H7</t>
  </si>
  <si>
    <t>Bore oversize</t>
  </si>
  <si>
    <t>Loose bearing; noise</t>
  </si>
  <si>
    <t>Tool wear</t>
  </si>
  <si>
    <t>Tool-life counter</t>
  </si>
  <si>
    <t>SPC on the bore, 1 in 10</t>
  </si>
  <si>
    <t>Post-process gauging with automatic tool offset</t>
  </si>
  <si>
    <t>Bolt-hole positions</t>
  </si>
  <si>
    <t>Position out of tolerance</t>
  </si>
  <si>
    <t>Assembly mismatch at the customer</t>
  </si>
  <si>
    <t>Fixture locator wear</t>
  </si>
  <si>
    <t>Monthly fixture check</t>
  </si>
  <si>
    <t>CMM, 1 part per shift</t>
  </si>
  <si>
    <t>Hardened locators; weekly fixture check</t>
  </si>
  <si>
    <t>Locators replaced; check frequency changed in the control plan</t>
  </si>
  <si>
    <t>Tap M8 threads</t>
  </si>
  <si>
    <t>Thread missing</t>
  </si>
  <si>
    <t>Cannot assemble</t>
  </si>
  <si>
    <t>Broken tap not detected</t>
  </si>
  <si>
    <t>Tool breakage detection</t>
  </si>
  <si>
    <t>Thread gauge, 1 in 50</t>
  </si>
  <si>
    <t>Coolant residue in passages</t>
  </si>
  <si>
    <t>Contamination</t>
  </si>
  <si>
    <t>Wash step skipped</t>
  </si>
  <si>
    <t>Routing on the traveller</t>
  </si>
  <si>
    <t>Wash at OP80</t>
  </si>
  <si>
    <t>Reject leaks above 2 cc/min</t>
  </si>
  <si>
    <t>Leaking part passes the test</t>
  </si>
  <si>
    <t>Leak in the field; warranty</t>
  </si>
  <si>
    <t>Test circuit leak or calibration drift</t>
  </si>
  <si>
    <t>Master leak part checked every shift</t>
  </si>
  <si>
    <t>Daily master part check</t>
  </si>
  <si>
    <t>Pass good parts</t>
  </si>
  <si>
    <t>Good part fails the test</t>
  </si>
  <si>
    <t>Scrap; cost</t>
  </si>
  <si>
    <t>Test seal wear</t>
  </si>
  <si>
    <t>Weekly seal change</t>
  </si>
  <si>
    <t>Retest procedure</t>
  </si>
  <si>
    <t>Clean to 2 mg particulate</t>
  </si>
  <si>
    <t>Particulate above limit</t>
  </si>
  <si>
    <t>Pump wear; customer rejection</t>
  </si>
  <si>
    <t>Filter saturated</t>
  </si>
  <si>
    <t>Filter change on pressure drop</t>
  </si>
  <si>
    <t>Gravimetric test per lot</t>
  </si>
  <si>
    <t>Pack without damage</t>
  </si>
  <si>
    <t>Parts damaged in transit</t>
  </si>
  <si>
    <t>Damaged sealing face</t>
  </si>
  <si>
    <t>Wrong dunnage</t>
  </si>
  <si>
    <t>Packaging specification</t>
  </si>
  <si>
    <t>Audit per shipment</t>
  </si>
  <si>
    <t>Returnable dunnage with face protectors</t>
  </si>
  <si>
    <t>Label correctly</t>
  </si>
  <si>
    <t>Wrong label</t>
  </si>
  <si>
    <t>Mixed parts at the customer</t>
  </si>
  <si>
    <t>Manual labelling</t>
  </si>
  <si>
    <t>Labels printed from the traveller barcode</t>
  </si>
  <si>
    <t>Scan check at packing</t>
  </si>
  <si>
    <t>FAILURE MODES ANALYSED</t>
  </si>
  <si>
    <t>OUT OF LIMITS NOW</t>
  </si>
  <si>
    <t>HIGHEST RPN NOW</t>
  </si>
  <si>
    <t>ACTIONS OVERDUE</t>
  </si>
  <si>
    <t>Rows on the PFMEA sheet</t>
  </si>
  <si>
    <t>ACTIONS COMPLETE</t>
  </si>
  <si>
    <t>RPN CUT BY COMPLETED ACTIONS</t>
  </si>
  <si>
    <t>HIGH-SEVERITY ROWS</t>
  </si>
  <si>
    <t>SPECIAL CHARACTERISTICS</t>
  </si>
  <si>
    <t>Completed and re-rated</t>
  </si>
  <si>
    <t>1 - RPN after / RPN before, those rows</t>
  </si>
  <si>
    <t>Current severity at or above the limit</t>
  </si>
  <si>
    <t>Rows with a class symbol</t>
  </si>
  <si>
    <t>Top 10 risks by current RPN</t>
  </si>
  <si>
    <t>Row</t>
  </si>
  <si>
    <t>Step: failure mode</t>
  </si>
  <si>
    <t>S</t>
  </si>
  <si>
    <t>RPN before</t>
  </si>
  <si>
    <t>RPN now</t>
  </si>
  <si>
    <t>Action</t>
  </si>
  <si>
    <t>By process step</t>
  </si>
  <si>
    <t>Rows</t>
  </si>
  <si>
    <t>Highest RPN before</t>
  </si>
  <si>
    <t>Highest RPN now</t>
  </si>
  <si>
    <t>Out of limits</t>
  </si>
  <si>
    <t>Open actions</t>
  </si>
  <si>
    <t>The Dashboard shows the 8 process steps of the Setup list. If you add more, extend the 'By process step' block (see Method) or they will not appear here.</t>
  </si>
  <si>
    <t>What this workbook calculates</t>
  </si>
  <si>
    <t>A process FMEA lists, for each process step, the ways the step can fail to meet its requirement (failure modes), what that does to the customer (effects) and why it happens (causes), with the controls that prevent or detect it. Each row is rated 1 to 10 for severity, occurrence and detection, and the risk priority number RPN = S x O x D ranks the rows. Actions lower occurrence or detection (rarely severity); the row is re-rated when the action is complete, and the current RPN is the one compared with your limit.</t>
  </si>
  <si>
    <t>Calculations</t>
  </si>
  <si>
    <t>Quantity</t>
  </si>
  <si>
    <t>How it is calculated</t>
  </si>
  <si>
    <t>Units</t>
  </si>
  <si>
    <t>Severity x occurrence x detection, before actions. 1 to 1000.</t>
  </si>
  <si>
    <t>New S x new O x new D, when all three new ratings are typed.</t>
  </si>
  <si>
    <t>New RPN when the action has a completed date and new ratings; otherwise RPN.</t>
  </si>
  <si>
    <t>New S when the action is complete and re-rated; otherwise severity.</t>
  </si>
  <si>
    <t>1-10</t>
  </si>
  <si>
    <t>Out of limits when current RPN &gt;= the RPN limit; Check when current S &gt;= the severity limit; else Within limits.</t>
  </si>
  <si>
    <t>-</t>
  </si>
  <si>
    <t>Complete when a completed date is typed; Overdue when due &lt; status date; Due soon within the warning days; Check when there is no due date; blank without an action.</t>
  </si>
  <si>
    <t>COUNTIF of current RPNs above this row + 1, ties broken by row order. 1 = highest.</t>
  </si>
  <si>
    <t>Top 10 risks</t>
  </si>
  <si>
    <t>The rows ranked 1 to 10 (MATCH on Rank), with current S, RPN before and now, risk and action status.</t>
  </si>
  <si>
    <t>Highest RPN by step</t>
  </si>
  <si>
    <t>The largest RPN among a step's rows, before actions and now, computed from the rating columns with SUMPRODUCT(MAX(...)).</t>
  </si>
  <si>
    <t>RPN cut by completed actions</t>
  </si>
  <si>
    <t>1 - sum of current RPN / sum of RPN before, over rows whose action is Complete.</t>
  </si>
  <si>
    <t>%</t>
  </si>
  <si>
    <t>Assumptions</t>
  </si>
  <si>
    <t>One row per failure mode and cause. A failure mode with two causes takes two rows (they usually need different controls).</t>
  </si>
  <si>
    <t>Ratings use one set of scales throughout, chosen by your team or customer; re-ratings use the same scales.</t>
  </si>
  <si>
    <t>A row is re-rated only after its action is complete and its effect confirmed.</t>
  </si>
  <si>
    <t>Limitations</t>
  </si>
  <si>
    <t>RPN multiplies ordinal ratings, so equal RPNs can hide different risks (S9 O2 D5 and S5 O3 D6 are both 90). Read severity with the RPN; the severity limit and the Check word exist for this.</t>
  </si>
  <si>
    <t>Action Priority (AIAG-VDA 2019) is not computed: its tables are copyrighted. Type the AP your team reads from the handbook if your customer requires it.</t>
  </si>
  <si>
    <t>The workbook covers one PFMEA (one part or process family). It does not hold the structure and function analysis of the AIAG-VDA seven-step method or the link to the design FMEA.</t>
  </si>
  <si>
    <t>The Dashboard has a fixed block for 8 process steps; a longer list needs the block extended (a warning appears on the Dashboard).</t>
  </si>
  <si>
    <t>Agreement with the live calculator</t>
  </si>
  <si>
    <t>The live Risk Register Item Priority calculator multiplies a severity score, an occurrence score and a detection-difficulty score, each 1 to 10: the RPN of one row here. The reference implementation is checked against the calculator's engine for its default example (S 6, O 4, D 3: 72) and for the example PFMEA's highest-risk row on every build. The limits, action tracking, re-rating and ranking are this template's own model.</t>
  </si>
  <si>
    <t>Open the Risk Register Item Priority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</si>
  <si>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</si>
  <si>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</si>
  <si>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AIAG and VDA, FMEA Handbook (2019): the seven-step approach and Action Priority (named, not reproduced).</t>
  </si>
  <si>
    <t>AIAG, Potential Failure Mode and Effects Analysis (FMEA) Reference Manual, 4th edition (2008): RPN = S x O x D.</t>
  </si>
  <si>
    <t>SAE J1739, Potential Failure Mode and Effects Analysis (FMEA) including Design FMEA, Supplemental FMEA-MSR, and Process FMEA.</t>
  </si>
  <si>
    <t>IEC 60812:2018, Failure modes and effects analysis (FMEA and FMECA).</t>
  </si>
  <si>
    <t>MFG Calcs Risk Register Item Priority calculator (risk-register-coverage): the same S x O x D product.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</si>
  <si>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</si>
  <si>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</si>
  <si>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</si>
  <si>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</si>
  <si>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</si>
  <si>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</si>
  <si>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</si>
  <si>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</si>
  <si>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</si>
  <si>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</si>
  <si>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</si>
  <si>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</si>
  <si>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</si>
  <si>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</si>
  <si>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</si>
  <si>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</si>
  <si>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RPN</t>
  </si>
  <si>
    <t>Row 1: current RPN</t>
  </si>
  <si>
    <t>Row 1: risk</t>
  </si>
  <si>
    <t>Within limits</t>
  </si>
  <si>
    <t>exact</t>
  </si>
  <si>
    <t>Row 2: RPN</t>
  </si>
  <si>
    <t>Row 2: current RPN</t>
  </si>
  <si>
    <t>Row 2: risk</t>
  </si>
  <si>
    <t>Row 3: RPN</t>
  </si>
  <si>
    <t>Row 3: current RPN</t>
  </si>
  <si>
    <t>Row 3: risk</t>
  </si>
  <si>
    <t>Row 4: RPN</t>
  </si>
  <si>
    <t>Row 4: current RPN</t>
  </si>
  <si>
    <t>Row 4: risk</t>
  </si>
  <si>
    <t>Row 5: RPN</t>
  </si>
  <si>
    <t>Row 5: current RPN</t>
  </si>
  <si>
    <t>Row 5: risk</t>
  </si>
  <si>
    <t>Row 2: action status</t>
  </si>
  <si>
    <t>Complete</t>
  </si>
  <si>
    <t>Row 3: action status</t>
  </si>
  <si>
    <t>Overdue</t>
  </si>
  <si>
    <t>Row 4: action status</t>
  </si>
  <si>
    <t>Due soon</t>
  </si>
  <si>
    <t>Row 5: action status</t>
  </si>
  <si>
    <t>In progress</t>
  </si>
  <si>
    <t>Row 3: rank 1</t>
  </si>
  <si>
    <t>Row 5: rank 2</t>
  </si>
  <si>
    <t>Row 6: Check asks for the new ratings</t>
  </si>
  <si>
    <t>Completed: add the new ratings</t>
  </si>
  <si>
    <t>Rows 1-6: out of limits</t>
  </si>
  <si>
    <t>Rows 1-6: highest current RPN</t>
  </si>
  <si>
    <t>Rows 1-6: overdue actions</t>
  </si>
  <si>
    <t>Rows 1-6: RPN cut by completed actions</t>
  </si>
  <si>
    <t>Fixed test inputs</t>
  </si>
  <si>
    <t>White cells are fixed test inputs; blue cells are the workbook's formulas evaluated on them.</t>
  </si>
  <si>
    <t>Parameters</t>
  </si>
  <si>
    <t>'Due soon' warning (days)</t>
  </si>
  <si>
    <t>Test table: Fmea</t>
  </si>
  <si>
    <t>OP10</t>
  </si>
  <si>
    <t>Test area</t>
  </si>
  <si>
    <t>F</t>
  </si>
  <si>
    <t>Mode 1</t>
  </si>
  <si>
    <t>E</t>
  </si>
  <si>
    <t>C</t>
  </si>
  <si>
    <t>P</t>
  </si>
  <si>
    <t>DC</t>
  </si>
  <si>
    <t>OP20</t>
  </si>
  <si>
    <t>Mode 2</t>
  </si>
  <si>
    <t>A</t>
  </si>
  <si>
    <t>O</t>
  </si>
  <si>
    <t>Mode 3</t>
  </si>
  <si>
    <t>OP30</t>
  </si>
  <si>
    <t>Mode 4</t>
  </si>
  <si>
    <t>Mode 5</t>
  </si>
  <si>
    <t>Mode 6</t>
  </si>
</sst>
</file>

<file path=xl/styles.xml><?xml version="1.0" encoding="utf-8"?>
<styleSheet xmlns="http://schemas.openxmlformats.org/spreadsheetml/2006/main">
  <numFmts count="7">
    <numFmt numFmtId="164" formatCode="d mmm yyyy"/>
    <numFmt numFmtId="165" formatCode="#,##0"/>
    <numFmt numFmtId="166" formatCode="&quot;Target &quot;#,##0"/>
    <numFmt numFmtId="167" formatCode="&quot;Limit &quot;#,##0"/>
    <numFmt numFmtId="168" formatCode="0%"/>
    <numFmt numFmtId="169" formatCode="0.0E+00"/>
    <numFmt numFmtId="170" formatCod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i/>
      <sz val="9"/>
      <color rgb="FF6B7280"/>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6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horizontal="left" vertical="center"/>
      <protection locked="0"/>
    </xf>
    <xf numFmtId="165" fontId="10" fillId="3" borderId="2" xfId="0" applyNumberFormat="1"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0" borderId="0" xfId="0" applyFont="1" applyAlignment="1">
      <alignment vertical="center"/>
    </xf>
    <xf numFmtId="0" fontId="20" fillId="7" borderId="2" xfId="0" applyFont="1" applyFill="1" applyBorder="1" applyAlignment="1">
      <alignment vertical="center" wrapText="1"/>
    </xf>
    <xf numFmtId="0" fontId="10" fillId="4" borderId="3" xfId="0"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6" fontId="23" fillId="9" borderId="7" xfId="0" applyNumberFormat="1" applyFont="1" applyFill="1" applyBorder="1" applyAlignment="1">
      <alignment horizontal="left" vertical="center"/>
    </xf>
    <xf numFmtId="167"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8"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165" fontId="9" fillId="0" borderId="9" xfId="0" applyNumberFormat="1" applyFont="1" applyBorder="1" applyAlignment="1">
      <alignment vertical="center"/>
    </xf>
    <xf numFmtId="165" fontId="10" fillId="0" borderId="9" xfId="0" applyNumberFormat="1" applyFont="1" applyBorder="1" applyAlignment="1">
      <alignment vertical="center"/>
    </xf>
    <xf numFmtId="0" fontId="9" fillId="0" borderId="9" xfId="0"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9" fontId="10" fillId="4" borderId="3" xfId="0" applyNumberFormat="1" applyFont="1" applyFill="1" applyBorder="1" applyAlignment="1">
      <alignment vertical="center"/>
    </xf>
    <xf numFmtId="169" fontId="10" fillId="0" borderId="9" xfId="0" applyNumberFormat="1" applyFont="1" applyBorder="1" applyAlignment="1">
      <alignment vertical="center"/>
    </xf>
    <xf numFmtId="170" fontId="10" fillId="0" borderId="9" xfId="0" applyNumberFormat="1" applyFont="1" applyBorder="1" applyAlignment="1">
      <alignment vertical="center"/>
    </xf>
    <xf numFmtId="170" fontId="10" fillId="4" borderId="3" xfId="0" applyNumberFormat="1" applyFont="1" applyFill="1" applyBorder="1" applyAlignment="1">
      <alignment vertical="center"/>
    </xf>
    <xf numFmtId="164"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Top 10 risks: RPN now and before actions</a:t>
            </a:r>
          </a:p>
        </c:rich>
      </c:tx>
      <c:layout/>
    </c:title>
    <c:plotArea>
      <c:layout/>
      <c:barChart>
        <c:barDir val="bar"/>
        <c:grouping val="clustered"/>
        <c:ser>
          <c:idx val="0"/>
          <c:order val="0"/>
          <c:tx>
            <c:v>RPN now</c:v>
          </c:tx>
          <c:spPr>
            <a:solidFill>
              <a:srgbClr val="3B64D8"/>
            </a:solidFill>
            <a:ln w="9525">
              <a:solidFill>
                <a:srgbClr val="FFFFFF"/>
              </a:solidFill>
            </a:ln>
          </c:spPr>
          <c:cat>
            <c:strRef>
              <c:f>Dashboard!$D$37:$D$46</c:f>
              <c:strCache>
                <c:ptCount val="10"/>
                <c:pt idx="0">
                  <c:v>OP50 Shot blast: Blast media left in a cored passage</c:v>
                </c:pt>
                <c:pt idx="1">
                  <c:v>OP30 Die cast: Shrink porosity at the sealing face</c:v>
                </c:pt>
                <c:pt idx="2">
                  <c:v>OP30 Die cast: Cold shut on rib</c:v>
                </c:pt>
                <c:pt idx="3">
                  <c:v>OP60 Machine: Bore oversize</c:v>
                </c:pt>
                <c:pt idx="4">
                  <c:v>OP80 Wash and pack: Parts damaged in transit</c:v>
                </c:pt>
                <c:pt idx="5">
                  <c:v>OP40 Trim: Flash left on the sealing face</c:v>
                </c:pt>
                <c:pt idx="6">
                  <c:v>OP60 Machine: Thread missing</c:v>
                </c:pt>
                <c:pt idx="7">
                  <c:v>OP80 Wash and pack: Particulate above limit</c:v>
                </c:pt>
                <c:pt idx="8">
                  <c:v>OP30 Die cast: Die soldering, dimension out</c:v>
                </c:pt>
                <c:pt idx="9">
                  <c:v>OP40 Trim: Casting cracked by the trim press</c:v>
                </c:pt>
              </c:strCache>
            </c:strRef>
          </c:cat>
          <c:val>
            <c:numRef>
              <c:f>Dashboard!$J$37:$J$46</c:f>
              <c:numCache>
                <c:formatCode>General</c:formatCode>
                <c:ptCount val="10"/>
                <c:pt idx="0">
                  <c:v>189</c:v>
                </c:pt>
                <c:pt idx="1">
                  <c:v>180</c:v>
                </c:pt>
                <c:pt idx="2">
                  <c:v>144</c:v>
                </c:pt>
                <c:pt idx="3">
                  <c:v>112</c:v>
                </c:pt>
                <c:pt idx="4">
                  <c:v>108</c:v>
                </c:pt>
                <c:pt idx="5">
                  <c:v>84</c:v>
                </c:pt>
                <c:pt idx="6">
                  <c:v>84</c:v>
                </c:pt>
                <c:pt idx="7">
                  <c:v>84</c:v>
                </c:pt>
                <c:pt idx="8">
                  <c:v>80</c:v>
                </c:pt>
                <c:pt idx="9">
                  <c:v>80</c:v>
                </c:pt>
              </c:numCache>
            </c:numRef>
          </c:val>
        </c:ser>
        <c:ser>
          <c:idx val="1"/>
          <c:order val="1"/>
          <c:tx>
            <c:v>RPN before actions</c:v>
          </c:tx>
          <c:spPr>
            <a:solidFill>
              <a:srgbClr val="B8C2D1"/>
            </a:solidFill>
            <a:ln w="9525">
              <a:solidFill>
                <a:srgbClr val="FFFFFF"/>
              </a:solidFill>
            </a:ln>
          </c:spPr>
          <c:cat>
            <c:strRef>
              <c:f>Dashboard!$D$37:$D$46</c:f>
              <c:strCache>
                <c:ptCount val="10"/>
                <c:pt idx="0">
                  <c:v>OP50 Shot blast: Blast media left in a cored passage</c:v>
                </c:pt>
                <c:pt idx="1">
                  <c:v>OP30 Die cast: Shrink porosity at the sealing face</c:v>
                </c:pt>
                <c:pt idx="2">
                  <c:v>OP30 Die cast: Cold shut on rib</c:v>
                </c:pt>
                <c:pt idx="3">
                  <c:v>OP60 Machine: Bore oversize</c:v>
                </c:pt>
                <c:pt idx="4">
                  <c:v>OP80 Wash and pack: Parts damaged in transit</c:v>
                </c:pt>
                <c:pt idx="5">
                  <c:v>OP40 Trim: Flash left on the sealing face</c:v>
                </c:pt>
                <c:pt idx="6">
                  <c:v>OP60 Machine: Thread missing</c:v>
                </c:pt>
                <c:pt idx="7">
                  <c:v>OP80 Wash and pack: Particulate above limit</c:v>
                </c:pt>
                <c:pt idx="8">
                  <c:v>OP30 Die cast: Die soldering, dimension out</c:v>
                </c:pt>
                <c:pt idx="9">
                  <c:v>OP40 Trim: Casting cracked by the trim press</c:v>
                </c:pt>
              </c:strCache>
            </c:strRef>
          </c:cat>
          <c:val>
            <c:numRef>
              <c:f>Dashboard!$I$37:$I$46</c:f>
              <c:numCache>
                <c:formatCode>General</c:formatCode>
                <c:ptCount val="10"/>
                <c:pt idx="0">
                  <c:v>189</c:v>
                </c:pt>
                <c:pt idx="1">
                  <c:v>180</c:v>
                </c:pt>
                <c:pt idx="2">
                  <c:v>144</c:v>
                </c:pt>
                <c:pt idx="3">
                  <c:v>112</c:v>
                </c:pt>
                <c:pt idx="4">
                  <c:v>108</c:v>
                </c:pt>
                <c:pt idx="5">
                  <c:v>168</c:v>
                </c:pt>
                <c:pt idx="6">
                  <c:v>84</c:v>
                </c:pt>
                <c:pt idx="7">
                  <c:v>84</c:v>
                </c:pt>
                <c:pt idx="8">
                  <c:v>80</c:v>
                </c:pt>
                <c:pt idx="9">
                  <c:v>80</c:v>
                </c:pt>
              </c:numCache>
            </c:numRef>
          </c:val>
        </c:ser>
        <c:gapWidth val="60"/>
        <c:overlap val="-1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Highest RPN by process step</a:t>
            </a:r>
          </a:p>
        </c:rich>
      </c:tx>
      <c:layout/>
    </c:title>
    <c:plotArea>
      <c:layout/>
      <c:barChart>
        <c:barDir val="col"/>
        <c:grouping val="clustered"/>
        <c:ser>
          <c:idx val="0"/>
          <c:order val="0"/>
          <c:tx>
            <c:v>Before actions</c:v>
          </c:tx>
          <c:spPr>
            <a:solidFill>
              <a:srgbClr val="B8C2D1"/>
            </a:solidFill>
            <a:ln w="9525">
              <a:solidFill>
                <a:srgbClr val="FFFFFF"/>
              </a:solidFill>
            </a:ln>
          </c:spPr>
          <c:cat>
            <c:strRef>
              <c:f>Dashboard!$B$50:$B$57</c:f>
              <c:strCache>
                <c:ptCount val="8"/>
                <c:pt idx="0">
                  <c:v>OP10 Melt</c:v>
                </c:pt>
                <c:pt idx="1">
                  <c:v>OP20 Degas</c:v>
                </c:pt>
                <c:pt idx="2">
                  <c:v>OP30 Die cast</c:v>
                </c:pt>
                <c:pt idx="3">
                  <c:v>OP40 Trim</c:v>
                </c:pt>
                <c:pt idx="4">
                  <c:v>OP50 Shot blast</c:v>
                </c:pt>
                <c:pt idx="5">
                  <c:v>OP60 Machine</c:v>
                </c:pt>
                <c:pt idx="6">
                  <c:v>OP70 Leak test</c:v>
                </c:pt>
                <c:pt idx="7">
                  <c:v>OP80 Wash and pack</c:v>
                </c:pt>
              </c:strCache>
            </c:strRef>
          </c:cat>
          <c:val>
            <c:numRef>
              <c:f>Dashboard!$D$50:$D$57</c:f>
              <c:numCache>
                <c:formatCode>General</c:formatCode>
                <c:ptCount val="8"/>
                <c:pt idx="0">
                  <c:v>54</c:v>
                </c:pt>
                <c:pt idx="1">
                  <c:v>160</c:v>
                </c:pt>
                <c:pt idx="2">
                  <c:v>180</c:v>
                </c:pt>
                <c:pt idx="3">
                  <c:v>168</c:v>
                </c:pt>
                <c:pt idx="4">
                  <c:v>189</c:v>
                </c:pt>
                <c:pt idx="5">
                  <c:v>112</c:v>
                </c:pt>
                <c:pt idx="6">
                  <c:v>54</c:v>
                </c:pt>
                <c:pt idx="7">
                  <c:v>108</c:v>
                </c:pt>
              </c:numCache>
            </c:numRef>
          </c:val>
        </c:ser>
        <c:ser>
          <c:idx val="1"/>
          <c:order val="1"/>
          <c:tx>
            <c:v>Now</c:v>
          </c:tx>
          <c:spPr>
            <a:solidFill>
              <a:srgbClr val="3B64D8"/>
            </a:solidFill>
            <a:ln w="9525">
              <a:solidFill>
                <a:srgbClr val="FFFFFF"/>
              </a:solidFill>
            </a:ln>
          </c:spPr>
          <c:cat>
            <c:strRef>
              <c:f>Dashboard!$B$50:$B$57</c:f>
              <c:strCache>
                <c:ptCount val="8"/>
                <c:pt idx="0">
                  <c:v>OP10 Melt</c:v>
                </c:pt>
                <c:pt idx="1">
                  <c:v>OP20 Degas</c:v>
                </c:pt>
                <c:pt idx="2">
                  <c:v>OP30 Die cast</c:v>
                </c:pt>
                <c:pt idx="3">
                  <c:v>OP40 Trim</c:v>
                </c:pt>
                <c:pt idx="4">
                  <c:v>OP50 Shot blast</c:v>
                </c:pt>
                <c:pt idx="5">
                  <c:v>OP60 Machine</c:v>
                </c:pt>
                <c:pt idx="6">
                  <c:v>OP70 Leak test</c:v>
                </c:pt>
                <c:pt idx="7">
                  <c:v>OP80 Wash and pack</c:v>
                </c:pt>
              </c:strCache>
            </c:strRef>
          </c:cat>
          <c:val>
            <c:numRef>
              <c:f>Dashboard!$E$50:$E$57</c:f>
              <c:numCache>
                <c:formatCode>General</c:formatCode>
                <c:ptCount val="8"/>
                <c:pt idx="0">
                  <c:v>54</c:v>
                </c:pt>
                <c:pt idx="1">
                  <c:v>72</c:v>
                </c:pt>
                <c:pt idx="2">
                  <c:v>180</c:v>
                </c:pt>
                <c:pt idx="3">
                  <c:v>84</c:v>
                </c:pt>
                <c:pt idx="4">
                  <c:v>189</c:v>
                </c:pt>
                <c:pt idx="5">
                  <c:v>112</c:v>
                </c:pt>
                <c:pt idx="6">
                  <c:v>54</c:v>
                </c:pt>
                <c:pt idx="7">
                  <c:v>108</c:v>
                </c:pt>
              </c:numCache>
            </c:numRef>
          </c:val>
        </c:ser>
        <c:gapWidth val="60"/>
        <c:overlap val="-10"/>
        <c:axId val="50020001"/>
        <c:axId val="50020002"/>
      </c:barChart>
      <c:lineChart>
        <c:grouping val="standard"/>
        <c:ser>
          <c:idx val="2"/>
          <c:order val="2"/>
          <c:tx>
            <c:v>RPN limit</c:v>
          </c:tx>
          <c:spPr>
            <a:ln w="19050">
              <a:solidFill>
                <a:srgbClr val="B3000C"/>
              </a:solidFill>
              <a:prstDash val="dash"/>
            </a:ln>
          </c:spPr>
          <c:marker>
            <c:symbol val="none"/>
          </c:marker>
          <c:cat>
            <c:strRef>
              <c:f>Dashboard!$B$50:$B$57</c:f>
              <c:strCache>
                <c:ptCount val="8"/>
                <c:pt idx="0">
                  <c:v>OP10 Melt</c:v>
                </c:pt>
                <c:pt idx="1">
                  <c:v>OP20 Degas</c:v>
                </c:pt>
                <c:pt idx="2">
                  <c:v>OP30 Die cast</c:v>
                </c:pt>
                <c:pt idx="3">
                  <c:v>OP40 Trim</c:v>
                </c:pt>
                <c:pt idx="4">
                  <c:v>OP50 Shot blast</c:v>
                </c:pt>
                <c:pt idx="5">
                  <c:v>OP60 Machine</c:v>
                </c:pt>
                <c:pt idx="6">
                  <c:v>OP70 Leak test</c:v>
                </c:pt>
                <c:pt idx="7">
                  <c:v>OP80 Wash and pack</c:v>
                </c:pt>
              </c:strCache>
            </c:strRef>
          </c:cat>
          <c:val>
            <c:numRef>
              <c:f>Dashboard!$H$50:$H$57</c:f>
              <c:numCache>
                <c:formatCode>General</c:formatCode>
                <c:ptCount val="8"/>
                <c:pt idx="0">
                  <c:v>100</c:v>
                </c:pt>
                <c:pt idx="1">
                  <c:v>100</c:v>
                </c:pt>
                <c:pt idx="2">
                  <c:v>100</c:v>
                </c:pt>
                <c:pt idx="3">
                  <c:v>100</c:v>
                </c:pt>
                <c:pt idx="4">
                  <c:v>100</c:v>
                </c:pt>
                <c:pt idx="5">
                  <c:v>100</c:v>
                </c:pt>
                <c:pt idx="6">
                  <c:v>100</c:v>
                </c:pt>
                <c:pt idx="7">
                  <c:v>100</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6</xdr:col>
      <xdr:colOff>676275</xdr:colOff>
      <xdr:row>26</xdr:row>
      <xdr:rowOff>152400</xdr:rowOff>
    </xdr:to>
    <xdr:graphicFrame macro="">
      <xdr:nvGraphicFramePr>
        <xdr:cNvPr id="2" name="Chart 1" descr="Horizontal bar chart of the ten failure modes with the highest current RPN, showing each one's current RPN and its RPN before action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xdr:colOff>
      <xdr:row>11</xdr:row>
      <xdr:rowOff>38100</xdr:rowOff>
    </xdr:from>
    <xdr:to>
      <xdr:col>11</xdr:col>
      <xdr:colOff>676275</xdr:colOff>
      <xdr:row>26</xdr:row>
      <xdr:rowOff>152400</xdr:rowOff>
    </xdr:to>
    <xdr:graphicFrame macro="">
      <xdr:nvGraphicFramePr>
        <xdr:cNvPr id="3" name="Chart 2" descr="Column chart of the highest RPN at each process step before actions and now, with the RPN limit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teps" displayName="tblSteps" ref="B29:D37" totalsRowShown="0">
  <autoFilter ref="B29:D37"/>
  <tableColumns count="3">
    <tableColumn id="1" name="Process step"/>
    <tableColumn id="2" name="Area"/>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Owners" displayName="tblOwners" ref="B40:C45" totalsRowShown="0">
  <autoFilter ref="B40:C45"/>
  <tableColumns count="2">
    <tableColumn id="1" name="Owner"/>
    <tableColumn id="2" name="Role"/>
  </tableColumns>
  <tableStyleInfo name="TableStyleLight1" showFirstColumn="0" showLastColumn="0" showRowStripes="0" showColumnStripes="0"/>
</table>
</file>

<file path=xl/tables/table3.xml><?xml version="1.0" encoding="utf-8"?>
<table xmlns="http://schemas.openxmlformats.org/spreadsheetml/2006/main" id="3" name="tblClasses" displayName="tblClasses" ref="B48:C50" totalsRowShown="0">
  <autoFilter ref="B48:C50"/>
  <tableColumns count="2">
    <tableColumn id="1" name="Class"/>
    <tableColumn id="2" name="Meaning"/>
  </tableColumns>
  <tableStyleInfo name="TableStyleLight1" showFirstColumn="0" showLastColumn="0" showRowStripes="0" showColumnStripes="0"/>
</table>
</file>

<file path=xl/tables/table4.xml><?xml version="1.0" encoding="utf-8"?>
<table xmlns="http://schemas.openxmlformats.org/spreadsheetml/2006/main" id="4" name="tblFmea" displayName="tblFmea" ref="B6:AD26" totalsRowShown="0">
  <autoFilter ref="B6:AD26"/>
  <tableColumns count="29">
    <tableColumn id="1" name="Process step"/>
    <tableColumn id="2" name="Area">
      <calculatedColumnFormula>IF(tblFmea[[#This Row],[Process step]]="","",IFERROR(INDEX(tblSteps[Area],MATCH(tblFmea[[#This Row],[Process step]],tblSteps[Process step],0)),""))</calculatedColumnFormula>
    </tableColumn>
    <tableColumn id="3" name="Function or requirement"/>
    <tableColumn id="4" name="Failure mode"/>
    <tableColumn id="5" name="Effect of failure"/>
    <tableColumn id="6" name="Severity"/>
    <tableColumn id="7" name="Class"/>
    <tableColumn id="8" name="Cause"/>
    <tableColumn id="9" name="Prevention controls"/>
    <tableColumn id="10" name="Occurrence"/>
    <tableColumn id="11" name="Detection controls"/>
    <tableColumn id="12" name="Detection"/>
    <tableColumn id="13" name="AP"/>
    <tableColumn id="14" name="RPN">
      <calculatedColumnFormula>IF(tblFmea[[#This Row],[Process step]]="","",tblFmea[[#This Row],[Severity]]*tblFmea[[#This Row],[Occurrence]]*tblFmea[[#This Row],[Detection]])</calculatedColumnFormula>
    </tableColumn>
    <tableColumn id="15" name="Recommended action"/>
    <tableColumn id="16" name="Owner"/>
    <tableColumn id="17" name="Due"/>
    <tableColumn id="18" name="Action taken"/>
    <tableColumn id="19" name="Completed"/>
    <tableColumn id="20" name="New S"/>
    <tableColumn id="21" name="New O"/>
    <tableColumn id="22" name="New D"/>
    <tableColumn id="23" name="New RPN">
      <calculatedColumnFormula>IF(tblFmea[[#This Row],[Process step]]="","",IF(AND(N(tblFmea[[#This Row],[New S]])&gt;0,N(tblFmea[[#This Row],[New O]])&gt;0,N(tblFmea[[#This Row],[New D]])&gt;0),tblFmea[[#This Row],[New S]]*tblFmea[[#This Row],[New O]]*tblFmea[[#This Row],[New D]],""))</calculatedColumnFormula>
    </tableColumn>
    <tableColumn id="24" name="Current RPN">
      <calculatedColumnFormula>IF(tblFmea[[#This Row],[Process step]]="","",IF(AND(N(tblFmea[[#This Row],[Completed]])&gt;0,ISNUMBER(tblFmea[[#This Row],[New RPN]])),tblFmea[[#This Row],[New RPN]],tblFmea[[#This Row],[RPN]]))</calculatedColumnFormula>
    </tableColumn>
    <tableColumn id="25" name="Current S">
      <calculatedColumnFormula>IF(tblFmea[[#This Row],[Process step]]="","",IF(AND(N(tblFmea[[#This Row],[Completed]])&gt;0,N(tblFmea[[#This Row],[New S]])&gt;0),tblFmea[[#This Row],[New S]],tblFmea[[#This Row],[Severity]]))</calculatedColumnFormula>
    </tableColumn>
    <tableColumn id="26" name="Risk">
      <calculatedColumnFormula>IF(tblFmea[[#This Row],[Process step]]="","",IF(tblFmea[[#This Row],[Current RPN]]&gt;=RPNLimit,"Out of limits",IF(tblFmea[[#This Row],[Current S]]&gt;=SevLimit,"Check","Within limits")))</calculatedColumnFormula>
    </tableColumn>
    <tableColumn id="27" name="Action status">
      <calculatedColumnFormula>IF(tblFmea[[#This Row],[Process step]]="","",IF(tblFmea[[#This Row],[Recommended action]]="","",IF(N(tblFmea[[#This Row],[Completed]])&gt;0,"Complete",IF(N(tblFmea[[#This Row],[Due]])=0,"Check",IF(tblFmea[[#This Row],[Due]]&lt;AsOf,"Overdue",IF(tblFmea[[#This Row],[Due]]-AsOf&lt;=DueSoonDays,"Due soon","In progress"))))))</calculatedColumnFormula>
    </tableColumn>
    <tableColumn id="28" name="Rank">
      <calculatedColumnFormula>IF(tblFmea[[#This Row],[Process step]]="","",COUNTIF(tblFmea[Current RPN],"&gt;"&amp;tblFmea[[#This Row],[Current RPN]])+SUMPRODUCT((tblFmea[Current RPN]=tblFmea[[#This Row],[Current RPN]])*(ROW(tblFmea[Current RPN])&lt;=ROW(tblFmea[[#This Row],[Current RPN]]))))</calculatedColumnFormula>
    </tableColumn>
    <tableColumn id="29" name="Check">
      <calculatedColumnFormula>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VerifyFmea" displayName="tblVerifyFmea" ref="B48:AD54" totalsRowShown="0">
  <tableColumns count="29">
    <tableColumn id="1" name="Process step"/>
    <tableColumn id="2" name="Area"/>
    <tableColumn id="3" name="Function or requirement"/>
    <tableColumn id="4" name="Failure mode"/>
    <tableColumn id="5" name="Effect of failure"/>
    <tableColumn id="6" name="Severity"/>
    <tableColumn id="7" name="Class"/>
    <tableColumn id="8" name="Cause"/>
    <tableColumn id="9" name="Prevention controls"/>
    <tableColumn id="10" name="Occurrence"/>
    <tableColumn id="11" name="Detection controls"/>
    <tableColumn id="12" name="Detection"/>
    <tableColumn id="13" name="AP"/>
    <tableColumn id="14" name="RPN">
      <calculatedColumnFormula>IF(tblVerifyFmea[[#This Row],[Process step]]="","",tblVerifyFmea[[#This Row],[Severity]]*tblVerifyFmea[[#This Row],[Occurrence]]*tblVerifyFmea[[#This Row],[Detection]])</calculatedColumnFormula>
    </tableColumn>
    <tableColumn id="15" name="Recommended action"/>
    <tableColumn id="16" name="Owner"/>
    <tableColumn id="17" name="Due"/>
    <tableColumn id="18" name="Action taken"/>
    <tableColumn id="19" name="Completed"/>
    <tableColumn id="20" name="New S"/>
    <tableColumn id="21" name="New O"/>
    <tableColumn id="22" name="New D"/>
    <tableColumn id="23" name="New RPN">
      <calculatedColumnFormula>IF(tblVerifyFmea[[#This Row],[Process step]]="","",IF(AND(N(tblVerifyFmea[[#This Row],[New S]])&gt;0,N(tblVerifyFmea[[#This Row],[New O]])&gt;0,N(tblVerifyFmea[[#This Row],[New D]])&gt;0),tblVerifyFmea[[#This Row],[New S]]*tblVerifyFmea[[#This Row],[New O]]*tblVerifyFmea[[#This Row],[New D]],""))</calculatedColumnFormula>
    </tableColumn>
    <tableColumn id="24" name="Current RPN">
      <calculatedColumnFormula>IF(tblVerifyFmea[[#This Row],[Process step]]="","",IF(AND(N(tblVerifyFmea[[#This Row],[Completed]])&gt;0,ISNUMBER(tblVerifyFmea[[#This Row],[New RPN]])),tblVerifyFmea[[#This Row],[New RPN]],tblVerifyFmea[[#This Row],[RPN]]))</calculatedColumnFormula>
    </tableColumn>
    <tableColumn id="25" name="Current S">
      <calculatedColumnFormula>IF(tblVerifyFmea[[#This Row],[Process step]]="","",IF(AND(N(tblVerifyFmea[[#This Row],[Completed]])&gt;0,N(tblVerifyFmea[[#This Row],[New S]])&gt;0),tblVerifyFmea[[#This Row],[New S]],tblVerifyFmea[[#This Row],[Severity]]))</calculatedColumnFormula>
    </tableColumn>
    <tableColumn id="26" name="Risk">
      <calculatedColumnFormula>IF(tblVerifyFmea[[#This Row],[Process step]]="","",IF(tblVerifyFmea[[#This Row],[Current RPN]]&gt;=$E$43,"Out of limits",IF(tblVerifyFmea[[#This Row],[Current S]]&gt;=$E$44,"Check","Within limits")))</calculatedColumnFormula>
    </tableColumn>
    <tableColumn id="27" name="Action status">
      <calculatedColumnFormula>IF(tblVerifyFmea[[#This Row],[Process step]]="","",IF(tblVerifyFmea[[#This Row],[Recommended action]]="","",IF(N(tblVerifyFmea[[#This Row],[Completed]])&gt;0,"Complete",IF(N(tblVerifyFmea[[#This Row],[Due]])=0,"Check",IF(tblVerifyFmea[[#This Row],[Due]]&lt;$E$42,"Overdue",IF(tblVerifyFmea[[#This Row],[Due]]-$E$42&lt;=$E$45,"Due soon","In progress"))))))</calculatedColumnFormula>
    </tableColumn>
    <tableColumn id="28" name="Rank">
      <calculatedColumnFormula>IF(tblVerifyFmea[[#This Row],[Process step]]="","",COUNTIF(tblVerifyFmea[Current RPN],"&gt;"&amp;tblVerifyFmea[[#This Row],[Current RPN]])+SUMPRODUCT((tblVerifyFmea[Current RPN]=tblVerifyFmea[[#This Row],[Current RPN]])*(ROW(tblVerifyFmea[Current RPN])&lt;=ROW(tblVerifyFmea[[#This Row],[Current RPN]]))))</calculatedColumnFormula>
    </tableColumn>
    <tableColumn id="29" name="Check">
      <calculatedColumnFormula>IF(tblVerifyFmea[[#This Row],[Process step]]="","",IF(tblVerifyFmea[[#This Row],[Failure mode]]="","Missing failure mode",IF(tblVerifyFmea[[#This Row],[Severity]]="","Missing severity",IF(tblVerifyFmea[[#This Row],[Occurrence]]="","Missing occurrence",IF(tblVerifyFmea[[#This Row],[Detection]]="","Missing detection",IF(tblVerifyFmea[[#This Row],[Area]]="","Step not on Setup list",IF(AND(tblVerifyFmea[[#This Row],[Risk]]="Out of limits",tblVerifyFmea[[#This Row],[Recommended action]]=""),"Over the limit: add an action",IF(AND(tblVerifyFmea[[#This Row],[Recommended action]]&lt;&gt;"",tblVerifyFmea[[#This Row],[Owner]]=""),"Action without an owner",IF(AND(N(tblVerifyFmea[[#This Row],[Completed]])&gt;0,NOT(ISNUMBER(tblVerifyFmea[[#This Row],[New RPN]]))),"Completed: add the new ratings",IF(AND(ISNUMBER(tblVerifyFmea[[#This Row],[New RPN]]),N(tblVerifyFmea[[#This Row],[Completed]])=0,tblVerifyFmea[[#This Row],[Recommended action]]=""),"New ratings without an action",IF(N(tblVerifyFmea[[#This Row],[New S]])&gt;tblVerifyFmea[[#This Row],[Severity]],"New severity above original","OK")))))))))))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fmea" TargetMode="External"/><Relationship Id="rId2" Type="http://schemas.openxmlformats.org/officeDocument/2006/relationships/hyperlink" Target="https://www.mfgcalcs.com/calculators/qms-capa-quality-system-management/risk-register-coverage?utm_source=mfgcalcs-template&amp;utm_medium=xlsx&amp;utm_campaign=pfmea" TargetMode="External"/><Relationship Id="rId3" Type="http://schemas.openxmlformats.org/officeDocument/2006/relationships/hyperlink" Target="https://www.mfgcalcs.com/templates/pfmea?utm_source=mfgcalcs-template&amp;utm_medium=xlsx&amp;utm_campaign=pfmea" TargetMode="External"/><Relationship Id="rId4" Type="http://schemas.openxmlformats.org/officeDocument/2006/relationships/hyperlink" Target="https://www.mfgcalcs.com/templates?utm_source=mfgcalcs-template&amp;utm_medium=xlsx&amp;utm_campaign=pfmea"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fmea"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fmea"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fmea"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fmea" TargetMode="External"/><Relationship Id="rId2" Type="http://schemas.openxmlformats.org/officeDocument/2006/relationships/hyperlink" Target="https://www.mfgcalcs.com/calculators/qms-capa-quality-system-management/risk-register-coverage?utm_source=mfgcalcs-template&amp;utm_medium=xlsx&amp;utm_campaign=pfmea"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fmea" TargetMode="External"/><Relationship Id="rId2"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26 of 26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PFMEA!A1" tooltip="Go to PFMEA" display="PFMEA"/>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Process FMEA (PFMEA)&amp;R&amp;8&amp;A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50"/>
  <sheetViews>
    <sheetView showGridLines="0" workbookViewId="0"/>
  </sheetViews>
  <sheetFormatPr defaultRowHeight="15"/>
  <cols>
    <col min="1" max="1" width="2.7109375" customWidth="1"/>
    <col min="2" max="2" width="30.7109375" customWidth="1"/>
    <col min="3" max="3" width="20.7109375" customWidth="1"/>
    <col min="4" max="4" width="16.7109375" customWidth="1"/>
    <col min="5" max="5" width="52.7109375" customWidth="1"/>
  </cols>
  <sheetData>
    <row r="1" spans="1:5" ht="30" customHeight="1">
      <c r="A1" s="1" t="s">
        <v>0</v>
      </c>
      <c r="B1" s="1"/>
      <c r="C1" s="1"/>
      <c r="D1" s="1"/>
      <c r="E1" s="1"/>
    </row>
    <row r="2" spans="1:5" ht="21" customHeight="1">
      <c r="B2" s="2" t="s">
        <v>18</v>
      </c>
      <c r="C2" s="2"/>
      <c r="D2" s="2"/>
      <c r="E2" s="3" t="s">
        <v>2</v>
      </c>
    </row>
    <row r="3" spans="1:5" ht="6" customHeight="1"/>
    <row r="4" spans="1:5" ht="21" customHeight="1">
      <c r="B4" s="8" t="s">
        <v>67</v>
      </c>
      <c r="C4" s="8"/>
      <c r="D4" s="8"/>
      <c r="E4" s="8"/>
    </row>
    <row r="5" spans="1:5" ht="5" customHeight="1"/>
    <row r="6" spans="1:5">
      <c r="B6" s="27" t="s">
        <v>68</v>
      </c>
      <c r="C6" s="28" t="s">
        <v>69</v>
      </c>
      <c r="D6" s="28"/>
      <c r="E6" s="28"/>
    </row>
    <row r="7" spans="1:5">
      <c r="B7" s="27" t="s">
        <v>70</v>
      </c>
      <c r="C7" s="28" t="s">
        <v>71</v>
      </c>
      <c r="D7" s="28"/>
      <c r="E7" s="28"/>
    </row>
    <row r="8" spans="1:5">
      <c r="B8" s="27" t="s">
        <v>72</v>
      </c>
      <c r="C8" s="28" t="s">
        <v>73</v>
      </c>
      <c r="D8" s="28"/>
      <c r="E8" s="28"/>
    </row>
    <row r="9" spans="1:5">
      <c r="B9" s="27" t="s">
        <v>74</v>
      </c>
      <c r="C9" s="28" t="s">
        <v>75</v>
      </c>
      <c r="D9" s="28"/>
      <c r="E9" s="28"/>
    </row>
    <row r="10" spans="1:5">
      <c r="B10" s="27" t="s">
        <v>76</v>
      </c>
      <c r="C10" s="28" t="s">
        <v>77</v>
      </c>
      <c r="D10" s="28"/>
      <c r="E10" s="28"/>
    </row>
    <row r="11" spans="1:5">
      <c r="B11" s="27" t="s">
        <v>78</v>
      </c>
      <c r="C11" s="29">
        <v>46083</v>
      </c>
      <c r="D11" s="29"/>
      <c r="E11" s="7"/>
    </row>
    <row r="12" spans="1:5">
      <c r="B12" s="27" t="s">
        <v>79</v>
      </c>
      <c r="C12" s="29">
        <v>46290</v>
      </c>
      <c r="D12" s="29"/>
      <c r="E12" s="7"/>
    </row>
    <row r="14" spans="1:5" ht="21" customHeight="1">
      <c r="B14" s="8" t="s">
        <v>80</v>
      </c>
      <c r="C14" s="8"/>
      <c r="D14" s="8"/>
      <c r="E14" s="8"/>
    </row>
    <row r="15" spans="1:5" ht="5" customHeight="1"/>
    <row r="16" spans="1:5">
      <c r="B16" s="27" t="s">
        <v>81</v>
      </c>
      <c r="C16" s="30">
        <v>100</v>
      </c>
      <c r="D16" s="7" t="s">
        <v>82</v>
      </c>
    </row>
    <row r="17" spans="2:5">
      <c r="B17" s="27" t="s">
        <v>83</v>
      </c>
      <c r="C17" s="30">
        <v>9</v>
      </c>
      <c r="D17" s="7" t="s">
        <v>84</v>
      </c>
    </row>
    <row r="18" spans="2:5">
      <c r="B18" s="27" t="s">
        <v>85</v>
      </c>
      <c r="C18" s="31">
        <v>46304</v>
      </c>
      <c r="D18" s="7"/>
    </row>
    <row r="19" spans="2:5">
      <c r="B19" s="27" t="s">
        <v>86</v>
      </c>
      <c r="C19" s="30">
        <v>14</v>
      </c>
      <c r="D19" s="7" t="s">
        <v>87</v>
      </c>
    </row>
    <row r="21" spans="2:5" ht="48.6" customHeight="1">
      <c r="B21" s="25" t="s">
        <v>88</v>
      </c>
      <c r="C21" s="25"/>
      <c r="D21" s="25"/>
      <c r="E21" s="25"/>
    </row>
    <row r="23" spans="2:5" ht="21" customHeight="1">
      <c r="B23" s="8" t="s">
        <v>89</v>
      </c>
      <c r="C23" s="8"/>
      <c r="D23" s="8"/>
      <c r="E23" s="8"/>
    </row>
    <row r="24" spans="2:5" ht="5" customHeight="1"/>
    <row r="25" spans="2:5" ht="38.64" customHeight="1">
      <c r="B25" s="21" t="s">
        <v>90</v>
      </c>
      <c r="C25" s="21"/>
      <c r="D25" s="21"/>
      <c r="E25" s="21"/>
    </row>
    <row r="26" spans="2:5" ht="21" customHeight="1">
      <c r="B26" s="8" t="s">
        <v>91</v>
      </c>
      <c r="C26" s="8"/>
      <c r="D26" s="8"/>
      <c r="E26" s="8"/>
    </row>
    <row r="27" spans="2:5" ht="5" customHeight="1"/>
    <row r="28" spans="2:5">
      <c r="B28" s="32" t="s">
        <v>92</v>
      </c>
      <c r="C28" s="32"/>
      <c r="D28" s="32"/>
    </row>
    <row r="29" spans="2:5" ht="20" customHeight="1">
      <c r="B29" s="33" t="s">
        <v>60</v>
      </c>
      <c r="C29" s="33" t="s">
        <v>61</v>
      </c>
      <c r="D29" s="33" t="s">
        <v>62</v>
      </c>
    </row>
    <row r="30" spans="2:5">
      <c r="B30" s="28" t="s">
        <v>93</v>
      </c>
      <c r="C30" s="28" t="s">
        <v>94</v>
      </c>
      <c r="D30" s="28" t="s">
        <v>95</v>
      </c>
    </row>
    <row r="31" spans="2:5">
      <c r="B31" s="28" t="s">
        <v>96</v>
      </c>
      <c r="C31" s="28" t="s">
        <v>94</v>
      </c>
      <c r="D31" s="28" t="s">
        <v>97</v>
      </c>
    </row>
    <row r="32" spans="2:5">
      <c r="B32" s="28" t="s">
        <v>98</v>
      </c>
      <c r="C32" s="28" t="s">
        <v>94</v>
      </c>
      <c r="D32" s="28" t="s">
        <v>99</v>
      </c>
    </row>
    <row r="33" spans="2:4">
      <c r="B33" s="28" t="s">
        <v>100</v>
      </c>
      <c r="C33" s="28" t="s">
        <v>101</v>
      </c>
      <c r="D33" s="28" t="s">
        <v>102</v>
      </c>
    </row>
    <row r="34" spans="2:4">
      <c r="B34" s="28" t="s">
        <v>103</v>
      </c>
      <c r="C34" s="28" t="s">
        <v>101</v>
      </c>
      <c r="D34" s="28" t="s">
        <v>104</v>
      </c>
    </row>
    <row r="35" spans="2:4">
      <c r="B35" s="28" t="s">
        <v>105</v>
      </c>
      <c r="C35" s="28" t="s">
        <v>106</v>
      </c>
      <c r="D35" s="28" t="s">
        <v>107</v>
      </c>
    </row>
    <row r="36" spans="2:4">
      <c r="B36" s="28" t="s">
        <v>108</v>
      </c>
      <c r="C36" s="28" t="s">
        <v>109</v>
      </c>
      <c r="D36" s="28" t="s">
        <v>110</v>
      </c>
    </row>
    <row r="37" spans="2:4">
      <c r="B37" s="28" t="s">
        <v>111</v>
      </c>
      <c r="C37" s="28" t="s">
        <v>112</v>
      </c>
      <c r="D37" s="28" t="s">
        <v>113</v>
      </c>
    </row>
    <row r="39" spans="2:4">
      <c r="B39" s="32" t="s">
        <v>114</v>
      </c>
      <c r="C39" s="32"/>
    </row>
    <row r="40" spans="2:4" ht="20" customHeight="1">
      <c r="B40" s="33" t="s">
        <v>63</v>
      </c>
      <c r="C40" s="33" t="s">
        <v>64</v>
      </c>
    </row>
    <row r="41" spans="2:4">
      <c r="B41" s="28" t="s">
        <v>115</v>
      </c>
      <c r="C41" s="28" t="s">
        <v>116</v>
      </c>
    </row>
    <row r="42" spans="2:4">
      <c r="B42" s="28" t="s">
        <v>117</v>
      </c>
      <c r="C42" s="28" t="s">
        <v>118</v>
      </c>
    </row>
    <row r="43" spans="2:4">
      <c r="B43" s="28" t="s">
        <v>119</v>
      </c>
      <c r="C43" s="28" t="s">
        <v>120</v>
      </c>
    </row>
    <row r="44" spans="2:4">
      <c r="B44" s="28" t="s">
        <v>121</v>
      </c>
      <c r="C44" s="28" t="s">
        <v>122</v>
      </c>
    </row>
    <row r="45" spans="2:4">
      <c r="B45" s="28" t="s">
        <v>123</v>
      </c>
      <c r="C45" s="28" t="s">
        <v>124</v>
      </c>
    </row>
    <row r="47" spans="2:4">
      <c r="B47" s="32" t="s">
        <v>125</v>
      </c>
      <c r="C47" s="32"/>
    </row>
    <row r="48" spans="2:4" ht="20" customHeight="1">
      <c r="B48" s="33" t="s">
        <v>65</v>
      </c>
      <c r="C48" s="33" t="s">
        <v>66</v>
      </c>
    </row>
    <row r="49" spans="2:3">
      <c r="B49" s="28" t="s">
        <v>126</v>
      </c>
      <c r="C49" s="28" t="s">
        <v>127</v>
      </c>
    </row>
    <row r="50" spans="2:3">
      <c r="B50" s="28" t="s">
        <v>128</v>
      </c>
      <c r="C50" s="28" t="s">
        <v>129</v>
      </c>
    </row>
  </sheetData>
  <mergeCells count="18">
    <mergeCell ref="A1:E1"/>
    <mergeCell ref="B2:D2"/>
    <mergeCell ref="B4:E4"/>
    <mergeCell ref="C6:E6"/>
    <mergeCell ref="C7:E7"/>
    <mergeCell ref="C8:E8"/>
    <mergeCell ref="C9:E9"/>
    <mergeCell ref="C10:E10"/>
    <mergeCell ref="C11:D11"/>
    <mergeCell ref="C12:D12"/>
    <mergeCell ref="B14:E14"/>
    <mergeCell ref="B21:E21"/>
    <mergeCell ref="B23:E23"/>
    <mergeCell ref="B25:E25"/>
    <mergeCell ref="B26:E26"/>
    <mergeCell ref="B28:D28"/>
    <mergeCell ref="B39:C39"/>
    <mergeCell ref="B47:C47"/>
  </mergeCells>
  <dataValidations count="18">
    <dataValidation type="textLength" allowBlank="1" showInputMessage="1" showErrorMessage="1" errorTitle="Check this entry" error="Text up to 80 characters." promptTitle="Company and site" prompt="Text up to 80 characters." sqref="C6">
      <formula1>0</formula1>
      <formula2>80</formula2>
    </dataValidation>
    <dataValidation type="textLength" allowBlank="1" showInputMessage="1" showErrorMessage="1" errorTitle="Check this entry" error="Text up to 120 characters." promptTitle="Part or process" prompt="Text up to 120 characters." sqref="C7">
      <formula1>0</formula1>
      <formula2>120</formula2>
    </dataValidation>
    <dataValidation type="textLength" allowBlank="1" showInputMessage="1" showErrorMessage="1" errorTitle="Check this entry" error="Text up to 60 characters." promptTitle="Part number and revision" prompt="Text up to 60 characters." sqref="C8">
      <formula1>0</formula1>
      <formula2>60</formula2>
    </dataValidation>
    <dataValidation type="textLength" allowBlank="1" showInputMessage="1" showErrorMessage="1" errorTitle="Check this entry" error="Text up to 40 characters." promptTitle="FMEA number" prompt="Text up to 40 characters." sqref="C9">
      <formula1>0</formula1>
      <formula2>40</formula2>
    </dataValidation>
    <dataValidation type="textLength" allowBlank="1" showInputMessage="1" showErrorMessage="1" errorTitle="Check this entry" error="Text up to 200 characters." promptTitle="Core team" prompt="Text up to 200 characters." sqref="C10">
      <formula1>0</formula1>
      <formula2>200</formula2>
    </dataValidation>
    <dataValidation type="date" allowBlank="1" showInputMessage="1" showErrorMessage="1" errorTitle="Check this entry" error="Enter a date between 01 Jan 2000 and 31 Dec 2100." promptTitle="FMEA start date" prompt="Enter a date between 01 Jan 2000 and 31 Dec 2100." sqref="C11">
      <formula1>36526</formula1>
      <formula2>73415</formula2>
    </dataValidation>
    <dataValidation type="date" allowBlank="1" showInputMessage="1" showErrorMessage="1" errorTitle="Check this entry" error="Enter a date between 01 Jan 2000 and 31 Dec 2100." promptTitle="Latest revision date" prompt="Enter a date between 01 Jan 2000 and 31 Dec 2100." sqref="C12">
      <formula1>36526</formula1>
      <formula2>73415</formula2>
    </dataValidation>
    <dataValidation type="whole" allowBlank="1" showInputMessage="1" showErrorMessage="1" errorTitle="Check this entry" error="Enter a whole number from 1 to 1,000." promptTitle="RPN limit" prompt="Your own (or your customer's) limit: a row whose current RPN is at or above it reads Out of limits. Enter a whole number from 1 to 1,000." sqref="C16">
      <formula1>1</formula1>
      <formula2>1000</formula2>
    </dataValidation>
    <dataValidation type="whole" allowBlank="1" showInputMessage="1" showErrorMessage="1" errorTitle="Check this entry" error="Enter a whole number from 1 to 10." promptTitle="Severity limit" prompt="A row whose current severity is at or above this reads Check even when its RPN is low: high-severity failure modes need their controls confirmed. Enter a whole number from 1 to 10." sqref="C17">
      <formula1>1</formula1>
      <formula2>10</formula2>
    </dataValidation>
    <dataValidation type="date" allowBlank="1" showInputMessage="1" showErrorMessage="1" errorTitle="Check this entry" error="Enter a date between 01 Jan 2000 and 31 Dec 2100." promptTitle="Status as of" prompt="Action statuses (Overdue, Due soon) are judged at this date. A typed date, so the file never changes by itself. Enter a date between 01 Jan 2000 and 31 Dec 2100." sqref="C18">
      <formula1>36526</formula1>
      <formula2>73415</formula2>
    </dataValidation>
    <dataValidation type="whole" allowBlank="1" showInputMessage="1" showErrorMessage="1" errorTitle="Check this entry" error="Enter a whole number from 0 to 365." promptTitle="'Due soon' warning" prompt="Enter a whole number from 0 to 365." sqref="C19">
      <formula1>0</formula1>
      <formula2>365</formula2>
    </dataValidation>
    <dataValidation type="textLength" allowBlank="1" showInputMessage="1" showErrorMessage="1" errorTitle="Check this entry" error="Text up to 40 characters." promptTitle="Process step" prompt="Text up to 40 characters." sqref="B30:B137">
      <formula1>0</formula1>
      <formula2>40</formula2>
    </dataValidation>
    <dataValidation type="textLength" allowBlank="1" showInputMessage="1" showErrorMessage="1" errorTitle="Check this entry" error="Text up to 30 characters." promptTitle="Area" prompt="Text up to 30 characters." sqref="C30:C137">
      <formula1>0</formula1>
      <formula2>30</formula2>
    </dataValidation>
    <dataValidation type="textLength" allowBlank="1" showInputMessage="1" showErrorMessage="1" errorTitle="Check this entry" error="Text up to 160 characters." promptTitle="Description" prompt="Text up to 160 characters." sqref="D30:D137">
      <formula1>0</formula1>
      <formula2>160</formula2>
    </dataValidation>
    <dataValidation type="textLength" allowBlank="1" showInputMessage="1" showErrorMessage="1" errorTitle="Check this entry" error="Text up to 40 characters." promptTitle="Owner" prompt="Text up to 40 characters." sqref="B41:B145">
      <formula1>0</formula1>
      <formula2>40</formula2>
    </dataValidation>
    <dataValidation type="textLength" allowBlank="1" showInputMessage="1" showErrorMessage="1" errorTitle="Check this entry" error="Text up to 80 characters." promptTitle="Role" prompt="Text up to 80 characters." sqref="C41:C145">
      <formula1>0</formula1>
      <formula2>80</formula2>
    </dataValidation>
    <dataValidation type="textLength" allowBlank="1" showInputMessage="1" showErrorMessage="1" errorTitle="Check this entry" error="Text up to 10 characters." promptTitle="Class" prompt="Text up to 10 characters." sqref="B49:B150">
      <formula1>0</formula1>
      <formula2>10</formula2>
    </dataValidation>
    <dataValidation type="textLength" allowBlank="1" showInputMessage="1" showErrorMessage="1" errorTitle="Check this entry" error="Text up to 160 characters." promptTitle="Meaning" prompt="Text up to 160 characters." sqref="C49:C150">
      <formula1>0</formula1>
      <formula2>160</formula2>
    </dataValidation>
  </dataValidations>
  <hyperlinks>
    <hyperlink ref="E2" r:id="rId1" tooltip="Free manufacturing calculators and templates"/>
  </hyperlinks>
  <pageMargins left="0.4" right="0.4" top="0.7" bottom="0.65" header="0.3" footer="0.3"/>
  <pageSetup fitToHeight="0" orientation="landscape"/>
  <headerFooter>
    <oddHeader>&amp;L&amp;8MFG Calcs - Process FMEA (PFMEA)&amp;R&amp;8&amp;A</oddHeader>
    <oddFooter>&amp;L&amp;8mfgcalcs.com - free manufacturing templates&amp;R&amp;8Page &amp;P of &amp;N</oddFooter>
  </headerFooter>
  <rowBreaks count="1" manualBreakCount="1">
    <brk id="25"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AD26"/>
  <sheetViews>
    <sheetView workbookViewId="0">
      <pane xSplit="4" ySplit="6" topLeftCell="E7" activePane="bottomRight" state="frozen"/>
      <selection pane="topRight" activeCell="E1" sqref="E1"/>
      <selection pane="bottomLeft" activeCell="A7" sqref="A7"/>
      <selection pane="bottomRight"/>
    </sheetView>
  </sheetViews>
  <sheetFormatPr defaultRowHeight="15" x14ac:dyDescent="0.25"/>
  <cols>
    <col min="1" max="1" width="2.7109375" customWidth="1"/>
    <col min="2" max="2" width="15.7109375" customWidth="1"/>
    <col min="3" max="3" width="10.28515625" customWidth="1"/>
    <col min="4" max="4" width="20.7109375" customWidth="1"/>
    <col min="5" max="6" width="22.7109375" customWidth="1"/>
    <col min="7" max="7" width="8.7109375" customWidth="1"/>
    <col min="8" max="8" width="7.28515625" customWidth="1"/>
    <col min="9" max="10" width="22.7109375" customWidth="1"/>
    <col min="11" max="11" width="10.28515625" customWidth="1"/>
    <col min="12" max="12" width="22.7109375" customWidth="1"/>
    <col min="13" max="13" width="9.7109375" customWidth="1"/>
    <col min="14" max="14" width="5.7109375" customWidth="1"/>
    <col min="15" max="15" width="7.28515625" customWidth="1"/>
    <col min="16" max="16" width="26.7109375" customWidth="1"/>
    <col min="17" max="17" width="11.28515625" customWidth="1"/>
    <col min="18" max="18" width="11.7109375" customWidth="1"/>
    <col min="19" max="19" width="26.7109375" customWidth="1"/>
    <col min="20" max="20" width="11.7109375" customWidth="1"/>
    <col min="21" max="23" width="7.28515625" customWidth="1"/>
    <col min="24" max="24" width="8.28515625" customWidth="1"/>
    <col min="25" max="25" width="9.28515625" customWidth="1"/>
    <col min="26" max="26" width="8.7109375" customWidth="1"/>
    <col min="27" max="27" width="13.28515625" customWidth="1"/>
    <col min="28" max="28" width="12.28515625" customWidth="1"/>
    <col min="29" max="29" width="6.7109375" customWidth="1"/>
    <col min="30" max="30" width="26.7109375" customWidth="1"/>
  </cols>
  <sheetData>
    <row r="1" spans="1:30" ht="30"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x14ac:dyDescent="0.25">
      <c r="B2" s="2" t="s">
        <v>20</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x14ac:dyDescent="0.25"/>
    <row r="4" spans="1:30" x14ac:dyDescent="0.25">
      <c r="B4" s="34" t="str">
        <f>"Part: "&amp;PartName&amp;"   |   "&amp;PartNo&amp;"   |   FMEA "&amp;FmeaNo&amp;"   |   Revised "&amp;TEXT(RevDate,"d mmm yyyy")&amp;"   |   Team: "&amp;Team</f>
        <v>Part: Pump housing, A380 aluminium die casting   |   PH-450 rev D   |   FMEA PF-450-01   |   Revised 25 Sep 2026   |   Team: L. Novak, D. Okafor, P. Sharma, T. Brandt, G. Rossi</v>
      </c>
      <c r="C4" s="34"/>
      <c r="D4" s="34"/>
      <c r="E4" s="34"/>
      <c r="F4" s="34"/>
      <c r="G4" s="34"/>
      <c r="H4" s="34"/>
      <c r="I4" s="34"/>
    </row>
    <row r="5" spans="1:30" ht="18" customHeight="1" x14ac:dyDescent="0.25">
      <c r="B5" s="35" t="s">
        <v>155</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row>
    <row r="6" spans="1:30" ht="32" customHeight="1" x14ac:dyDescent="0.25">
      <c r="B6" s="33" t="s">
        <v>60</v>
      </c>
      <c r="C6" s="33" t="s">
        <v>61</v>
      </c>
      <c r="D6" s="33" t="s">
        <v>130</v>
      </c>
      <c r="E6" s="33" t="s">
        <v>131</v>
      </c>
      <c r="F6" s="33" t="s">
        <v>132</v>
      </c>
      <c r="G6" s="33" t="s">
        <v>133</v>
      </c>
      <c r="H6" s="33" t="s">
        <v>65</v>
      </c>
      <c r="I6" s="33" t="s">
        <v>134</v>
      </c>
      <c r="J6" s="33" t="s">
        <v>135</v>
      </c>
      <c r="K6" s="33" t="s">
        <v>136</v>
      </c>
      <c r="L6" s="33" t="s">
        <v>137</v>
      </c>
      <c r="M6" s="33" t="s">
        <v>138</v>
      </c>
      <c r="N6" s="33" t="s">
        <v>139</v>
      </c>
      <c r="O6" s="33" t="s">
        <v>140</v>
      </c>
      <c r="P6" s="33" t="s">
        <v>141</v>
      </c>
      <c r="Q6" s="33" t="s">
        <v>63</v>
      </c>
      <c r="R6" s="33" t="s">
        <v>142</v>
      </c>
      <c r="S6" s="33" t="s">
        <v>143</v>
      </c>
      <c r="T6" s="33" t="s">
        <v>144</v>
      </c>
      <c r="U6" s="33" t="s">
        <v>145</v>
      </c>
      <c r="V6" s="33" t="s">
        <v>146</v>
      </c>
      <c r="W6" s="33" t="s">
        <v>147</v>
      </c>
      <c r="X6" s="33" t="s">
        <v>148</v>
      </c>
      <c r="Y6" s="33" t="s">
        <v>149</v>
      </c>
      <c r="Z6" s="33" t="s">
        <v>150</v>
      </c>
      <c r="AA6" s="33" t="s">
        <v>151</v>
      </c>
      <c r="AB6" s="33" t="s">
        <v>152</v>
      </c>
      <c r="AC6" s="33" t="s">
        <v>153</v>
      </c>
      <c r="AD6" s="33" t="s">
        <v>154</v>
      </c>
    </row>
    <row r="7" spans="1:30" x14ac:dyDescent="0.25">
      <c r="B7" s="28" t="s">
        <v>93</v>
      </c>
      <c r="C7" s="36" t="str">
        <f>IF(tblFmea[[#This Row],[Process step]]="","",IFERROR(INDEX(tblSteps[Area],MATCH(tblFmea[[#This Row],[Process step]],tblSteps[Process step],0)),""))</f>
        <v>Foundry</v>
      </c>
      <c r="D7" s="28" t="s">
        <v>156</v>
      </c>
      <c r="E7" s="28" t="s">
        <v>157</v>
      </c>
      <c r="F7" s="28" t="s">
        <v>158</v>
      </c>
      <c r="G7" s="30">
        <v>6</v>
      </c>
      <c r="H7" s="28"/>
      <c r="I7" s="28" t="s">
        <v>159</v>
      </c>
      <c r="J7" s="28" t="s">
        <v>160</v>
      </c>
      <c r="K7" s="30">
        <v>3</v>
      </c>
      <c r="L7" s="28" t="s">
        <v>161</v>
      </c>
      <c r="M7" s="30">
        <v>3</v>
      </c>
      <c r="N7" s="28"/>
      <c r="O7" s="37">
        <f>IF(tblFmea[[#This Row],[Process step]]="","",tblFmea[[#This Row],[Severity]]*tblFmea[[#This Row],[Occurrence]]*tblFmea[[#This Row],[Detection]])</f>
        <v>54</v>
      </c>
      <c r="P7" s="28"/>
      <c r="Q7" s="28"/>
      <c r="R7" s="31"/>
      <c r="S7" s="28"/>
      <c r="T7" s="31"/>
      <c r="U7" s="30"/>
      <c r="V7" s="30"/>
      <c r="W7" s="30"/>
      <c r="X7" s="37">
        <f>IF(tblFmea[[#This Row],[Process step]]="","",IF(AND(N(tblFmea[[#This Row],[New S]])&gt;0,N(tblFmea[[#This Row],[New O]])&gt;0,N(tblFmea[[#This Row],[New D]])&gt;0),tblFmea[[#This Row],[New S]]*tblFmea[[#This Row],[New O]]*tblFmea[[#This Row],[New D]],""))</f>
        <v/>
      </c>
      <c r="Y7" s="37">
        <f>IF(tblFmea[[#This Row],[Process step]]="","",IF(AND(N(tblFmea[[#This Row],[Completed]])&gt;0,ISNUMBER(tblFmea[[#This Row],[New RPN]])),tblFmea[[#This Row],[New RPN]],tblFmea[[#This Row],[RPN]]))</f>
        <v>54</v>
      </c>
      <c r="Z7" s="37">
        <f>IF(tblFmea[[#This Row],[Process step]]="","",IF(AND(N(tblFmea[[#This Row],[Completed]])&gt;0,N(tblFmea[[#This Row],[New S]])&gt;0),tblFmea[[#This Row],[New S]],tblFmea[[#This Row],[Severity]]))</f>
        <v>6</v>
      </c>
      <c r="AA7" s="38" t="str">
        <f>IF(tblFmea[[#This Row],[Process step]]="","",IF(tblFmea[[#This Row],[Current RPN]]&gt;=RPNLimit,"Out of limits",IF(tblFmea[[#This Row],[Current S]]&gt;=SevLimit,"Check","Within limits")))</f>
        <v>Within limits</v>
      </c>
      <c r="AB7" s="38">
        <f>IF(tblFmea[[#This Row],[Process step]]="","",IF(tblFmea[[#This Row],[Recommended action]]="","",IF(N(tblFmea[[#This Row],[Completed]])&gt;0,"Complete",IF(N(tblFmea[[#This Row],[Due]])=0,"Check",IF(tblFmea[[#This Row],[Due]]&lt;AsOf,"Overdue",IF(tblFmea[[#This Row],[Due]]-AsOf&lt;=DueSoonDays,"Due soon","In progress"))))))</f>
        <v/>
      </c>
      <c r="AC7" s="37">
        <f>IF(tblFmea[[#This Row],[Process step]]="","",COUNTIF(tblFmea[Current RPN],"&gt;"&amp;tblFmea[[#This Row],[Current RPN]])+SUMPRODUCT((tblFmea[Current RPN]=tblFmea[[#This Row],[Current RPN]])*(ROW(tblFmea[Current RPN])&lt;=ROW(tblFmea[[#This Row],[Current RPN]]))))</f>
        <v>15</v>
      </c>
      <c r="AD7"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8" spans="1:30" x14ac:dyDescent="0.25">
      <c r="B8" s="28" t="s">
        <v>93</v>
      </c>
      <c r="C8" s="36" t="str">
        <f>IF(tblFmea[[#This Row],[Process step]]="","",IFERROR(INDEX(tblSteps[Area],MATCH(tblFmea[[#This Row],[Process step]],tblSteps[Process step],0)),""))</f>
        <v>Foundry</v>
      </c>
      <c r="D8" s="28" t="s">
        <v>162</v>
      </c>
      <c r="E8" s="28" t="s">
        <v>163</v>
      </c>
      <c r="F8" s="28" t="s">
        <v>164</v>
      </c>
      <c r="G8" s="30">
        <v>8</v>
      </c>
      <c r="H8" s="28" t="s">
        <v>128</v>
      </c>
      <c r="I8" s="28" t="s">
        <v>165</v>
      </c>
      <c r="J8" s="28" t="s">
        <v>166</v>
      </c>
      <c r="K8" s="30">
        <v>2</v>
      </c>
      <c r="L8" s="28" t="s">
        <v>167</v>
      </c>
      <c r="M8" s="30">
        <v>2</v>
      </c>
      <c r="N8" s="28"/>
      <c r="O8" s="37">
        <f>IF(tblFmea[[#This Row],[Process step]]="","",tblFmea[[#This Row],[Severity]]*tblFmea[[#This Row],[Occurrence]]*tblFmea[[#This Row],[Detection]])</f>
        <v>32</v>
      </c>
      <c r="P8" s="28"/>
      <c r="Q8" s="28"/>
      <c r="R8" s="31"/>
      <c r="S8" s="28"/>
      <c r="T8" s="31"/>
      <c r="U8" s="30"/>
      <c r="V8" s="30"/>
      <c r="W8" s="30"/>
      <c r="X8" s="37">
        <f>IF(tblFmea[[#This Row],[Process step]]="","",IF(AND(N(tblFmea[[#This Row],[New S]])&gt;0,N(tblFmea[[#This Row],[New O]])&gt;0,N(tblFmea[[#This Row],[New D]])&gt;0),tblFmea[[#This Row],[New S]]*tblFmea[[#This Row],[New O]]*tblFmea[[#This Row],[New D]],""))</f>
        <v/>
      </c>
      <c r="Y8" s="37">
        <f>IF(tblFmea[[#This Row],[Process step]]="","",IF(AND(N(tblFmea[[#This Row],[Completed]])&gt;0,ISNUMBER(tblFmea[[#This Row],[New RPN]])),tblFmea[[#This Row],[New RPN]],tblFmea[[#This Row],[RPN]]))</f>
        <v>32</v>
      </c>
      <c r="Z8" s="37">
        <f>IF(tblFmea[[#This Row],[Process step]]="","",IF(AND(N(tblFmea[[#This Row],[Completed]])&gt;0,N(tblFmea[[#This Row],[New S]])&gt;0),tblFmea[[#This Row],[New S]],tblFmea[[#This Row],[Severity]]))</f>
        <v>8</v>
      </c>
      <c r="AA8" s="38" t="str">
        <f>IF(tblFmea[[#This Row],[Process step]]="","",IF(tblFmea[[#This Row],[Current RPN]]&gt;=RPNLimit,"Out of limits",IF(tblFmea[[#This Row],[Current S]]&gt;=SevLimit,"Check","Within limits")))</f>
        <v>Within limits</v>
      </c>
      <c r="AB8" s="38">
        <f>IF(tblFmea[[#This Row],[Process step]]="","",IF(tblFmea[[#This Row],[Recommended action]]="","",IF(N(tblFmea[[#This Row],[Completed]])&gt;0,"Complete",IF(N(tblFmea[[#This Row],[Due]])=0,"Check",IF(tblFmea[[#This Row],[Due]]&lt;AsOf,"Overdue",IF(tblFmea[[#This Row],[Due]]-AsOf&lt;=DueSoonDays,"Due soon","In progress"))))))</f>
        <v/>
      </c>
      <c r="AC8" s="37">
        <f>IF(tblFmea[[#This Row],[Process step]]="","",COUNTIF(tblFmea[Current RPN],"&gt;"&amp;tblFmea[[#This Row],[Current RPN]])+SUMPRODUCT((tblFmea[Current RPN]=tblFmea[[#This Row],[Current RPN]])*(ROW(tblFmea[Current RPN])&lt;=ROW(tblFmea[[#This Row],[Current RPN]]))))</f>
        <v>19</v>
      </c>
      <c r="AD8"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9" spans="1:30" x14ac:dyDescent="0.25">
      <c r="B9" s="28" t="s">
        <v>96</v>
      </c>
      <c r="C9" s="36" t="str">
        <f>IF(tblFmea[[#This Row],[Process step]]="","",IFERROR(INDEX(tblSteps[Area],MATCH(tblFmea[[#This Row],[Process step]],tblSteps[Process step],0)),""))</f>
        <v>Foundry</v>
      </c>
      <c r="D9" s="28" t="s">
        <v>168</v>
      </c>
      <c r="E9" s="28" t="s">
        <v>169</v>
      </c>
      <c r="F9" s="28" t="s">
        <v>170</v>
      </c>
      <c r="G9" s="30">
        <v>8</v>
      </c>
      <c r="H9" s="28" t="s">
        <v>128</v>
      </c>
      <c r="I9" s="28" t="s">
        <v>171</v>
      </c>
      <c r="J9" s="28" t="s">
        <v>172</v>
      </c>
      <c r="K9" s="30">
        <v>4</v>
      </c>
      <c r="L9" s="28" t="s">
        <v>173</v>
      </c>
      <c r="M9" s="30">
        <v>5</v>
      </c>
      <c r="N9" s="28"/>
      <c r="O9" s="37">
        <f>IF(tblFmea[[#This Row],[Process step]]="","",tblFmea[[#This Row],[Severity]]*tblFmea[[#This Row],[Occurrence]]*tblFmea[[#This Row],[Detection]])</f>
        <v>160</v>
      </c>
      <c r="P9" s="28" t="s">
        <v>174</v>
      </c>
      <c r="Q9" s="28" t="s">
        <v>115</v>
      </c>
      <c r="R9" s="31">
        <v>46262</v>
      </c>
      <c r="S9" s="28" t="s">
        <v>175</v>
      </c>
      <c r="T9" s="31">
        <v>46255</v>
      </c>
      <c r="U9" s="30">
        <v>8</v>
      </c>
      <c r="V9" s="30">
        <v>4</v>
      </c>
      <c r="W9" s="30">
        <v>2</v>
      </c>
      <c r="X9" s="37">
        <f>IF(tblFmea[[#This Row],[Process step]]="","",IF(AND(N(tblFmea[[#This Row],[New S]])&gt;0,N(tblFmea[[#This Row],[New O]])&gt;0,N(tblFmea[[#This Row],[New D]])&gt;0),tblFmea[[#This Row],[New S]]*tblFmea[[#This Row],[New O]]*tblFmea[[#This Row],[New D]],""))</f>
        <v>64</v>
      </c>
      <c r="Y9" s="37">
        <f>IF(tblFmea[[#This Row],[Process step]]="","",IF(AND(N(tblFmea[[#This Row],[Completed]])&gt;0,ISNUMBER(tblFmea[[#This Row],[New RPN]])),tblFmea[[#This Row],[New RPN]],tblFmea[[#This Row],[RPN]]))</f>
        <v>64</v>
      </c>
      <c r="Z9" s="37">
        <f>IF(tblFmea[[#This Row],[Process step]]="","",IF(AND(N(tblFmea[[#This Row],[Completed]])&gt;0,N(tblFmea[[#This Row],[New S]])&gt;0),tblFmea[[#This Row],[New S]],tblFmea[[#This Row],[Severity]]))</f>
        <v>8</v>
      </c>
      <c r="AA9" s="38" t="str">
        <f>IF(tblFmea[[#This Row],[Process step]]="","",IF(tblFmea[[#This Row],[Current RPN]]&gt;=RPNLimit,"Out of limits",IF(tblFmea[[#This Row],[Current S]]&gt;=SevLimit,"Check","Within limits")))</f>
        <v>Within limits</v>
      </c>
      <c r="AB9" s="38" t="str">
        <f>IF(tblFmea[[#This Row],[Process step]]="","",IF(tblFmea[[#This Row],[Recommended action]]="","",IF(N(tblFmea[[#This Row],[Completed]])&gt;0,"Complete",IF(N(tblFmea[[#This Row],[Due]])=0,"Check",IF(tblFmea[[#This Row],[Due]]&lt;AsOf,"Overdue",IF(tblFmea[[#This Row],[Due]]-AsOf&lt;=DueSoonDays,"Due soon","In progress"))))))</f>
        <v>Complete</v>
      </c>
      <c r="AC9" s="37">
        <f>IF(tblFmea[[#This Row],[Process step]]="","",COUNTIF(tblFmea[Current RPN],"&gt;"&amp;tblFmea[[#This Row],[Current RPN]])+SUMPRODUCT((tblFmea[Current RPN]=tblFmea[[#This Row],[Current RPN]])*(ROW(tblFmea[Current RPN])&lt;=ROW(tblFmea[[#This Row],[Current RPN]]))))</f>
        <v>14</v>
      </c>
      <c r="AD9"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0" spans="1:30" x14ac:dyDescent="0.25">
      <c r="B10" s="28" t="s">
        <v>96</v>
      </c>
      <c r="C10" s="36" t="str">
        <f>IF(tblFmea[[#This Row],[Process step]]="","",IFERROR(INDEX(tblSteps[Area],MATCH(tblFmea[[#This Row],[Process step]],tblSteps[Process step],0)),""))</f>
        <v>Foundry</v>
      </c>
      <c r="D10" s="28" t="s">
        <v>176</v>
      </c>
      <c r="E10" s="28" t="s">
        <v>177</v>
      </c>
      <c r="F10" s="28" t="s">
        <v>178</v>
      </c>
      <c r="G10" s="30">
        <v>6</v>
      </c>
      <c r="H10" s="28"/>
      <c r="I10" s="28" t="s">
        <v>179</v>
      </c>
      <c r="J10" s="28" t="s">
        <v>180</v>
      </c>
      <c r="K10" s="30">
        <v>4</v>
      </c>
      <c r="L10" s="28" t="s">
        <v>181</v>
      </c>
      <c r="M10" s="30">
        <v>6</v>
      </c>
      <c r="N10" s="28"/>
      <c r="O10" s="37">
        <f>IF(tblFmea[[#This Row],[Process step]]="","",tblFmea[[#This Row],[Severity]]*tblFmea[[#This Row],[Occurrence]]*tblFmea[[#This Row],[Detection]])</f>
        <v>144</v>
      </c>
      <c r="P10" s="28" t="s">
        <v>182</v>
      </c>
      <c r="Q10" s="28" t="s">
        <v>115</v>
      </c>
      <c r="R10" s="31">
        <v>46295</v>
      </c>
      <c r="S10" s="28" t="s">
        <v>183</v>
      </c>
      <c r="T10" s="31">
        <v>46290</v>
      </c>
      <c r="U10" s="30">
        <v>6</v>
      </c>
      <c r="V10" s="30">
        <v>2</v>
      </c>
      <c r="W10" s="30">
        <v>6</v>
      </c>
      <c r="X10" s="37">
        <f>IF(tblFmea[[#This Row],[Process step]]="","",IF(AND(N(tblFmea[[#This Row],[New S]])&gt;0,N(tblFmea[[#This Row],[New O]])&gt;0,N(tblFmea[[#This Row],[New D]])&gt;0),tblFmea[[#This Row],[New S]]*tblFmea[[#This Row],[New O]]*tblFmea[[#This Row],[New D]],""))</f>
        <v>72</v>
      </c>
      <c r="Y10" s="37">
        <f>IF(tblFmea[[#This Row],[Process step]]="","",IF(AND(N(tblFmea[[#This Row],[Completed]])&gt;0,ISNUMBER(tblFmea[[#This Row],[New RPN]])),tblFmea[[#This Row],[New RPN]],tblFmea[[#This Row],[RPN]]))</f>
        <v>72</v>
      </c>
      <c r="Z10" s="37">
        <f>IF(tblFmea[[#This Row],[Process step]]="","",IF(AND(N(tblFmea[[#This Row],[Completed]])&gt;0,N(tblFmea[[#This Row],[New S]])&gt;0),tblFmea[[#This Row],[New S]],tblFmea[[#This Row],[Severity]]))</f>
        <v>6</v>
      </c>
      <c r="AA10" s="38" t="str">
        <f>IF(tblFmea[[#This Row],[Process step]]="","",IF(tblFmea[[#This Row],[Current RPN]]&gt;=RPNLimit,"Out of limits",IF(tblFmea[[#This Row],[Current S]]&gt;=SevLimit,"Check","Within limits")))</f>
        <v>Within limits</v>
      </c>
      <c r="AB10" s="38" t="str">
        <f>IF(tblFmea[[#This Row],[Process step]]="","",IF(tblFmea[[#This Row],[Recommended action]]="","",IF(N(tblFmea[[#This Row],[Completed]])&gt;0,"Complete",IF(N(tblFmea[[#This Row],[Due]])=0,"Check",IF(tblFmea[[#This Row],[Due]]&lt;AsOf,"Overdue",IF(tblFmea[[#This Row],[Due]]-AsOf&lt;=DueSoonDays,"Due soon","In progress"))))))</f>
        <v>Complete</v>
      </c>
      <c r="AC10" s="37">
        <f>IF(tblFmea[[#This Row],[Process step]]="","",COUNTIF(tblFmea[Current RPN],"&gt;"&amp;tblFmea[[#This Row],[Current RPN]])+SUMPRODUCT((tblFmea[Current RPN]=tblFmea[[#This Row],[Current RPN]])*(ROW(tblFmea[Current RPN])&lt;=ROW(tblFmea[[#This Row],[Current RPN]]))))</f>
        <v>11</v>
      </c>
      <c r="AD10"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1" spans="1:30" x14ac:dyDescent="0.25">
      <c r="B11" s="28" t="s">
        <v>98</v>
      </c>
      <c r="C11" s="36" t="str">
        <f>IF(tblFmea[[#This Row],[Process step]]="","",IFERROR(INDEX(tblSteps[Area],MATCH(tblFmea[[#This Row],[Process step]],tblSteps[Process step],0)),""))</f>
        <v>Foundry</v>
      </c>
      <c r="D11" s="28" t="s">
        <v>184</v>
      </c>
      <c r="E11" s="28" t="s">
        <v>185</v>
      </c>
      <c r="F11" s="28" t="s">
        <v>186</v>
      </c>
      <c r="G11" s="30">
        <v>9</v>
      </c>
      <c r="H11" s="28" t="s">
        <v>126</v>
      </c>
      <c r="I11" s="28" t="s">
        <v>187</v>
      </c>
      <c r="J11" s="28" t="s">
        <v>188</v>
      </c>
      <c r="K11" s="30">
        <v>5</v>
      </c>
      <c r="L11" s="28" t="s">
        <v>189</v>
      </c>
      <c r="M11" s="30">
        <v>4</v>
      </c>
      <c r="N11" s="28"/>
      <c r="O11" s="37">
        <f>IF(tblFmea[[#This Row],[Process step]]="","",tblFmea[[#This Row],[Severity]]*tblFmea[[#This Row],[Occurrence]]*tblFmea[[#This Row],[Detection]])</f>
        <v>180</v>
      </c>
      <c r="P11" s="28" t="s">
        <v>190</v>
      </c>
      <c r="Q11" s="28" t="s">
        <v>115</v>
      </c>
      <c r="R11" s="31">
        <v>46297</v>
      </c>
      <c r="S11" s="28"/>
      <c r="T11" s="31"/>
      <c r="U11" s="30"/>
      <c r="V11" s="30"/>
      <c r="W11" s="30"/>
      <c r="X11" s="37">
        <f>IF(tblFmea[[#This Row],[Process step]]="","",IF(AND(N(tblFmea[[#This Row],[New S]])&gt;0,N(tblFmea[[#This Row],[New O]])&gt;0,N(tblFmea[[#This Row],[New D]])&gt;0),tblFmea[[#This Row],[New S]]*tblFmea[[#This Row],[New O]]*tblFmea[[#This Row],[New D]],""))</f>
        <v/>
      </c>
      <c r="Y11" s="37">
        <f>IF(tblFmea[[#This Row],[Process step]]="","",IF(AND(N(tblFmea[[#This Row],[Completed]])&gt;0,ISNUMBER(tblFmea[[#This Row],[New RPN]])),tblFmea[[#This Row],[New RPN]],tblFmea[[#This Row],[RPN]]))</f>
        <v>180</v>
      </c>
      <c r="Z11" s="37">
        <f>IF(tblFmea[[#This Row],[Process step]]="","",IF(AND(N(tblFmea[[#This Row],[Completed]])&gt;0,N(tblFmea[[#This Row],[New S]])&gt;0),tblFmea[[#This Row],[New S]],tblFmea[[#This Row],[Severity]]))</f>
        <v>9</v>
      </c>
      <c r="AA11" s="38" t="str">
        <f>IF(tblFmea[[#This Row],[Process step]]="","",IF(tblFmea[[#This Row],[Current RPN]]&gt;=RPNLimit,"Out of limits",IF(tblFmea[[#This Row],[Current S]]&gt;=SevLimit,"Check","Within limits")))</f>
        <v>Out of limits</v>
      </c>
      <c r="AB11" s="38" t="str">
        <f>IF(tblFmea[[#This Row],[Process step]]="","",IF(tblFmea[[#This Row],[Recommended action]]="","",IF(N(tblFmea[[#This Row],[Completed]])&gt;0,"Complete",IF(N(tblFmea[[#This Row],[Due]])=0,"Check",IF(tblFmea[[#This Row],[Due]]&lt;AsOf,"Overdue",IF(tblFmea[[#This Row],[Due]]-AsOf&lt;=DueSoonDays,"Due soon","In progress"))))))</f>
        <v>Overdue</v>
      </c>
      <c r="AC11" s="37">
        <f>IF(tblFmea[[#This Row],[Process step]]="","",COUNTIF(tblFmea[Current RPN],"&gt;"&amp;tblFmea[[#This Row],[Current RPN]])+SUMPRODUCT((tblFmea[Current RPN]=tblFmea[[#This Row],[Current RPN]])*(ROW(tblFmea[Current RPN])&lt;=ROW(tblFmea[[#This Row],[Current RPN]]))))</f>
        <v>2</v>
      </c>
      <c r="AD11"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2" spans="1:30" x14ac:dyDescent="0.25">
      <c r="B12" s="28" t="s">
        <v>98</v>
      </c>
      <c r="C12" s="36" t="str">
        <f>IF(tblFmea[[#This Row],[Process step]]="","",IFERROR(INDEX(tblSteps[Area],MATCH(tblFmea[[#This Row],[Process step]],tblSteps[Process step],0)),""))</f>
        <v>Foundry</v>
      </c>
      <c r="D12" s="28" t="s">
        <v>191</v>
      </c>
      <c r="E12" s="28" t="s">
        <v>192</v>
      </c>
      <c r="F12" s="28" t="s">
        <v>193</v>
      </c>
      <c r="G12" s="30">
        <v>5</v>
      </c>
      <c r="H12" s="28"/>
      <c r="I12" s="28" t="s">
        <v>194</v>
      </c>
      <c r="J12" s="28" t="s">
        <v>195</v>
      </c>
      <c r="K12" s="30">
        <v>4</v>
      </c>
      <c r="L12" s="28" t="s">
        <v>196</v>
      </c>
      <c r="M12" s="30">
        <v>4</v>
      </c>
      <c r="N12" s="28"/>
      <c r="O12" s="37">
        <f>IF(tblFmea[[#This Row],[Process step]]="","",tblFmea[[#This Row],[Severity]]*tblFmea[[#This Row],[Occurrence]]*tblFmea[[#This Row],[Detection]])</f>
        <v>80</v>
      </c>
      <c r="P12" s="28"/>
      <c r="Q12" s="28"/>
      <c r="R12" s="31"/>
      <c r="S12" s="28"/>
      <c r="T12" s="31"/>
      <c r="U12" s="30"/>
      <c r="V12" s="30"/>
      <c r="W12" s="30"/>
      <c r="X12" s="37">
        <f>IF(tblFmea[[#This Row],[Process step]]="","",IF(AND(N(tblFmea[[#This Row],[New S]])&gt;0,N(tblFmea[[#This Row],[New O]])&gt;0,N(tblFmea[[#This Row],[New D]])&gt;0),tblFmea[[#This Row],[New S]]*tblFmea[[#This Row],[New O]]*tblFmea[[#This Row],[New D]],""))</f>
        <v/>
      </c>
      <c r="Y12" s="37">
        <f>IF(tblFmea[[#This Row],[Process step]]="","",IF(AND(N(tblFmea[[#This Row],[Completed]])&gt;0,ISNUMBER(tblFmea[[#This Row],[New RPN]])),tblFmea[[#This Row],[New RPN]],tblFmea[[#This Row],[RPN]]))</f>
        <v>80</v>
      </c>
      <c r="Z12" s="37">
        <f>IF(tblFmea[[#This Row],[Process step]]="","",IF(AND(N(tblFmea[[#This Row],[Completed]])&gt;0,N(tblFmea[[#This Row],[New S]])&gt;0),tblFmea[[#This Row],[New S]],tblFmea[[#This Row],[Severity]]))</f>
        <v>5</v>
      </c>
      <c r="AA12" s="38" t="str">
        <f>IF(tblFmea[[#This Row],[Process step]]="","",IF(tblFmea[[#This Row],[Current RPN]]&gt;=RPNLimit,"Out of limits",IF(tblFmea[[#This Row],[Current S]]&gt;=SevLimit,"Check","Within limits")))</f>
        <v>Within limits</v>
      </c>
      <c r="AB12" s="38">
        <f>IF(tblFmea[[#This Row],[Process step]]="","",IF(tblFmea[[#This Row],[Recommended action]]="","",IF(N(tblFmea[[#This Row],[Completed]])&gt;0,"Complete",IF(N(tblFmea[[#This Row],[Due]])=0,"Check",IF(tblFmea[[#This Row],[Due]]&lt;AsOf,"Overdue",IF(tblFmea[[#This Row],[Due]]-AsOf&lt;=DueSoonDays,"Due soon","In progress"))))))</f>
        <v/>
      </c>
      <c r="AC12" s="37">
        <f>IF(tblFmea[[#This Row],[Process step]]="","",COUNTIF(tblFmea[Current RPN],"&gt;"&amp;tblFmea[[#This Row],[Current RPN]])+SUMPRODUCT((tblFmea[Current RPN]=tblFmea[[#This Row],[Current RPN]])*(ROW(tblFmea[Current RPN])&lt;=ROW(tblFmea[[#This Row],[Current RPN]]))))</f>
        <v>9</v>
      </c>
      <c r="AD12"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3" spans="1:30" x14ac:dyDescent="0.25">
      <c r="B13" s="28" t="s">
        <v>98</v>
      </c>
      <c r="C13" s="36" t="str">
        <f>IF(tblFmea[[#This Row],[Process step]]="","",IFERROR(INDEX(tblSteps[Area],MATCH(tblFmea[[#This Row],[Process step]],tblSteps[Process step],0)),""))</f>
        <v>Foundry</v>
      </c>
      <c r="D13" s="28" t="s">
        <v>197</v>
      </c>
      <c r="E13" s="28" t="s">
        <v>198</v>
      </c>
      <c r="F13" s="28" t="s">
        <v>199</v>
      </c>
      <c r="G13" s="30">
        <v>8</v>
      </c>
      <c r="H13" s="28" t="s">
        <v>128</v>
      </c>
      <c r="I13" s="28" t="s">
        <v>200</v>
      </c>
      <c r="J13" s="28" t="s">
        <v>201</v>
      </c>
      <c r="K13" s="30">
        <v>3</v>
      </c>
      <c r="L13" s="28" t="s">
        <v>202</v>
      </c>
      <c r="M13" s="30">
        <v>6</v>
      </c>
      <c r="N13" s="28"/>
      <c r="O13" s="37">
        <f>IF(tblFmea[[#This Row],[Process step]]="","",tblFmea[[#This Row],[Severity]]*tblFmea[[#This Row],[Occurrence]]*tblFmea[[#This Row],[Detection]])</f>
        <v>144</v>
      </c>
      <c r="P13" s="28" t="s">
        <v>203</v>
      </c>
      <c r="Q13" s="28" t="s">
        <v>121</v>
      </c>
      <c r="R13" s="31">
        <v>46339</v>
      </c>
      <c r="S13" s="28"/>
      <c r="T13" s="31"/>
      <c r="U13" s="30"/>
      <c r="V13" s="30"/>
      <c r="W13" s="30"/>
      <c r="X13" s="37">
        <f>IF(tblFmea[[#This Row],[Process step]]="","",IF(AND(N(tblFmea[[#This Row],[New S]])&gt;0,N(tblFmea[[#This Row],[New O]])&gt;0,N(tblFmea[[#This Row],[New D]])&gt;0),tblFmea[[#This Row],[New S]]*tblFmea[[#This Row],[New O]]*tblFmea[[#This Row],[New D]],""))</f>
        <v/>
      </c>
      <c r="Y13" s="37">
        <f>IF(tblFmea[[#This Row],[Process step]]="","",IF(AND(N(tblFmea[[#This Row],[Completed]])&gt;0,ISNUMBER(tblFmea[[#This Row],[New RPN]])),tblFmea[[#This Row],[New RPN]],tblFmea[[#This Row],[RPN]]))</f>
        <v>144</v>
      </c>
      <c r="Z13" s="37">
        <f>IF(tblFmea[[#This Row],[Process step]]="","",IF(AND(N(tblFmea[[#This Row],[Completed]])&gt;0,N(tblFmea[[#This Row],[New S]])&gt;0),tblFmea[[#This Row],[New S]],tblFmea[[#This Row],[Severity]]))</f>
        <v>8</v>
      </c>
      <c r="AA13" s="38" t="str">
        <f>IF(tblFmea[[#This Row],[Process step]]="","",IF(tblFmea[[#This Row],[Current RPN]]&gt;=RPNLimit,"Out of limits",IF(tblFmea[[#This Row],[Current S]]&gt;=SevLimit,"Check","Within limits")))</f>
        <v>Out of limits</v>
      </c>
      <c r="AB13" s="38" t="str">
        <f>IF(tblFmea[[#This Row],[Process step]]="","",IF(tblFmea[[#This Row],[Recommended action]]="","",IF(N(tblFmea[[#This Row],[Completed]])&gt;0,"Complete",IF(N(tblFmea[[#This Row],[Due]])=0,"Check",IF(tblFmea[[#This Row],[Due]]&lt;AsOf,"Overdue",IF(tblFmea[[#This Row],[Due]]-AsOf&lt;=DueSoonDays,"Due soon","In progress"))))))</f>
        <v>In progress</v>
      </c>
      <c r="AC13" s="37">
        <f>IF(tblFmea[[#This Row],[Process step]]="","",COUNTIF(tblFmea[Current RPN],"&gt;"&amp;tblFmea[[#This Row],[Current RPN]])+SUMPRODUCT((tblFmea[Current RPN]=tblFmea[[#This Row],[Current RPN]])*(ROW(tblFmea[Current RPN])&lt;=ROW(tblFmea[[#This Row],[Current RPN]]))))</f>
        <v>3</v>
      </c>
      <c r="AD13"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4" spans="1:30" x14ac:dyDescent="0.25">
      <c r="B14" s="28" t="s">
        <v>100</v>
      </c>
      <c r="C14" s="36" t="str">
        <f>IF(tblFmea[[#This Row],[Process step]]="","",IFERROR(INDEX(tblSteps[Area],MATCH(tblFmea[[#This Row],[Process step]],tblSteps[Process step],0)),""))</f>
        <v>Finishing</v>
      </c>
      <c r="D14" s="28" t="s">
        <v>204</v>
      </c>
      <c r="E14" s="28" t="s">
        <v>205</v>
      </c>
      <c r="F14" s="28" t="s">
        <v>206</v>
      </c>
      <c r="G14" s="30">
        <v>7</v>
      </c>
      <c r="H14" s="28"/>
      <c r="I14" s="28" t="s">
        <v>207</v>
      </c>
      <c r="J14" s="28" t="s">
        <v>208</v>
      </c>
      <c r="K14" s="30">
        <v>4</v>
      </c>
      <c r="L14" s="28" t="s">
        <v>209</v>
      </c>
      <c r="M14" s="30">
        <v>6</v>
      </c>
      <c r="N14" s="28"/>
      <c r="O14" s="37">
        <f>IF(tblFmea[[#This Row],[Process step]]="","",tblFmea[[#This Row],[Severity]]*tblFmea[[#This Row],[Occurrence]]*tblFmea[[#This Row],[Detection]])</f>
        <v>168</v>
      </c>
      <c r="P14" s="28" t="s">
        <v>210</v>
      </c>
      <c r="Q14" s="28" t="s">
        <v>117</v>
      </c>
      <c r="R14" s="31">
        <v>46276</v>
      </c>
      <c r="S14" s="28" t="s">
        <v>211</v>
      </c>
      <c r="T14" s="31">
        <v>46283</v>
      </c>
      <c r="U14" s="30">
        <v>7</v>
      </c>
      <c r="V14" s="30">
        <v>4</v>
      </c>
      <c r="W14" s="30">
        <v>3</v>
      </c>
      <c r="X14" s="37">
        <f>IF(tblFmea[[#This Row],[Process step]]="","",IF(AND(N(tblFmea[[#This Row],[New S]])&gt;0,N(tblFmea[[#This Row],[New O]])&gt;0,N(tblFmea[[#This Row],[New D]])&gt;0),tblFmea[[#This Row],[New S]]*tblFmea[[#This Row],[New O]]*tblFmea[[#This Row],[New D]],""))</f>
        <v>84</v>
      </c>
      <c r="Y14" s="37">
        <f>IF(tblFmea[[#This Row],[Process step]]="","",IF(AND(N(tblFmea[[#This Row],[Completed]])&gt;0,ISNUMBER(tblFmea[[#This Row],[New RPN]])),tblFmea[[#This Row],[New RPN]],tblFmea[[#This Row],[RPN]]))</f>
        <v>84</v>
      </c>
      <c r="Z14" s="37">
        <f>IF(tblFmea[[#This Row],[Process step]]="","",IF(AND(N(tblFmea[[#This Row],[Completed]])&gt;0,N(tblFmea[[#This Row],[New S]])&gt;0),tblFmea[[#This Row],[New S]],tblFmea[[#This Row],[Severity]]))</f>
        <v>7</v>
      </c>
      <c r="AA14" s="38" t="str">
        <f>IF(tblFmea[[#This Row],[Process step]]="","",IF(tblFmea[[#This Row],[Current RPN]]&gt;=RPNLimit,"Out of limits",IF(tblFmea[[#This Row],[Current S]]&gt;=SevLimit,"Check","Within limits")))</f>
        <v>Within limits</v>
      </c>
      <c r="AB14" s="38" t="str">
        <f>IF(tblFmea[[#This Row],[Process step]]="","",IF(tblFmea[[#This Row],[Recommended action]]="","",IF(N(tblFmea[[#This Row],[Completed]])&gt;0,"Complete",IF(N(tblFmea[[#This Row],[Due]])=0,"Check",IF(tblFmea[[#This Row],[Due]]&lt;AsOf,"Overdue",IF(tblFmea[[#This Row],[Due]]-AsOf&lt;=DueSoonDays,"Due soon","In progress"))))))</f>
        <v>Complete</v>
      </c>
      <c r="AC14" s="37">
        <f>IF(tblFmea[[#This Row],[Process step]]="","",COUNTIF(tblFmea[Current RPN],"&gt;"&amp;tblFmea[[#This Row],[Current RPN]])+SUMPRODUCT((tblFmea[Current RPN]=tblFmea[[#This Row],[Current RPN]])*(ROW(tblFmea[Current RPN])&lt;=ROW(tblFmea[[#This Row],[Current RPN]]))))</f>
        <v>6</v>
      </c>
      <c r="AD14"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5" spans="1:30" x14ac:dyDescent="0.25">
      <c r="B15" s="28" t="s">
        <v>100</v>
      </c>
      <c r="C15" s="36" t="str">
        <f>IF(tblFmea[[#This Row],[Process step]]="","",IFERROR(INDEX(tblSteps[Area],MATCH(tblFmea[[#This Row],[Process step]],tblSteps[Process step],0)),""))</f>
        <v>Finishing</v>
      </c>
      <c r="D15" s="28" t="s">
        <v>212</v>
      </c>
      <c r="E15" s="28" t="s">
        <v>213</v>
      </c>
      <c r="F15" s="28" t="s">
        <v>214</v>
      </c>
      <c r="G15" s="30">
        <v>8</v>
      </c>
      <c r="H15" s="28"/>
      <c r="I15" s="28" t="s">
        <v>215</v>
      </c>
      <c r="J15" s="28" t="s">
        <v>216</v>
      </c>
      <c r="K15" s="30">
        <v>2</v>
      </c>
      <c r="L15" s="28" t="s">
        <v>209</v>
      </c>
      <c r="M15" s="30">
        <v>5</v>
      </c>
      <c r="N15" s="28"/>
      <c r="O15" s="37">
        <f>IF(tblFmea[[#This Row],[Process step]]="","",tblFmea[[#This Row],[Severity]]*tblFmea[[#This Row],[Occurrence]]*tblFmea[[#This Row],[Detection]])</f>
        <v>80</v>
      </c>
      <c r="P15" s="28"/>
      <c r="Q15" s="28"/>
      <c r="R15" s="31"/>
      <c r="S15" s="28"/>
      <c r="T15" s="31"/>
      <c r="U15" s="30"/>
      <c r="V15" s="30"/>
      <c r="W15" s="30"/>
      <c r="X15" s="37">
        <f>IF(tblFmea[[#This Row],[Process step]]="","",IF(AND(N(tblFmea[[#This Row],[New S]])&gt;0,N(tblFmea[[#This Row],[New O]])&gt;0,N(tblFmea[[#This Row],[New D]])&gt;0),tblFmea[[#This Row],[New S]]*tblFmea[[#This Row],[New O]]*tblFmea[[#This Row],[New D]],""))</f>
        <v/>
      </c>
      <c r="Y15" s="37">
        <f>IF(tblFmea[[#This Row],[Process step]]="","",IF(AND(N(tblFmea[[#This Row],[Completed]])&gt;0,ISNUMBER(tblFmea[[#This Row],[New RPN]])),tblFmea[[#This Row],[New RPN]],tblFmea[[#This Row],[RPN]]))</f>
        <v>80</v>
      </c>
      <c r="Z15" s="37">
        <f>IF(tblFmea[[#This Row],[Process step]]="","",IF(AND(N(tblFmea[[#This Row],[Completed]])&gt;0,N(tblFmea[[#This Row],[New S]])&gt;0),tblFmea[[#This Row],[New S]],tblFmea[[#This Row],[Severity]]))</f>
        <v>8</v>
      </c>
      <c r="AA15" s="38" t="str">
        <f>IF(tblFmea[[#This Row],[Process step]]="","",IF(tblFmea[[#This Row],[Current RPN]]&gt;=RPNLimit,"Out of limits",IF(tblFmea[[#This Row],[Current S]]&gt;=SevLimit,"Check","Within limits")))</f>
        <v>Within limits</v>
      </c>
      <c r="AB15" s="38">
        <f>IF(tblFmea[[#This Row],[Process step]]="","",IF(tblFmea[[#This Row],[Recommended action]]="","",IF(N(tblFmea[[#This Row],[Completed]])&gt;0,"Complete",IF(N(tblFmea[[#This Row],[Due]])=0,"Check",IF(tblFmea[[#This Row],[Due]]&lt;AsOf,"Overdue",IF(tblFmea[[#This Row],[Due]]-AsOf&lt;=DueSoonDays,"Due soon","In progress"))))))</f>
        <v/>
      </c>
      <c r="AC15" s="37">
        <f>IF(tblFmea[[#This Row],[Process step]]="","",COUNTIF(tblFmea[Current RPN],"&gt;"&amp;tblFmea[[#This Row],[Current RPN]])+SUMPRODUCT((tblFmea[Current RPN]=tblFmea[[#This Row],[Current RPN]])*(ROW(tblFmea[Current RPN])&lt;=ROW(tblFmea[[#This Row],[Current RPN]]))))</f>
        <v>10</v>
      </c>
      <c r="AD15"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6" spans="1:30" x14ac:dyDescent="0.25">
      <c r="B16" s="28" t="s">
        <v>103</v>
      </c>
      <c r="C16" s="36" t="str">
        <f>IF(tblFmea[[#This Row],[Process step]]="","",IFERROR(INDEX(tblSteps[Area],MATCH(tblFmea[[#This Row],[Process step]],tblSteps[Process step],0)),""))</f>
        <v>Finishing</v>
      </c>
      <c r="D16" s="28" t="s">
        <v>217</v>
      </c>
      <c r="E16" s="28" t="s">
        <v>218</v>
      </c>
      <c r="F16" s="28" t="s">
        <v>219</v>
      </c>
      <c r="G16" s="30">
        <v>9</v>
      </c>
      <c r="H16" s="28" t="s">
        <v>126</v>
      </c>
      <c r="I16" s="28" t="s">
        <v>220</v>
      </c>
      <c r="J16" s="28" t="s">
        <v>221</v>
      </c>
      <c r="K16" s="30">
        <v>3</v>
      </c>
      <c r="L16" s="28" t="s">
        <v>222</v>
      </c>
      <c r="M16" s="30">
        <v>7</v>
      </c>
      <c r="N16" s="28"/>
      <c r="O16" s="37">
        <f>IF(tblFmea[[#This Row],[Process step]]="","",tblFmea[[#This Row],[Severity]]*tblFmea[[#This Row],[Occurrence]]*tblFmea[[#This Row],[Detection]])</f>
        <v>189</v>
      </c>
      <c r="P16" s="28" t="s">
        <v>223</v>
      </c>
      <c r="Q16" s="28" t="s">
        <v>121</v>
      </c>
      <c r="R16" s="31">
        <v>46290</v>
      </c>
      <c r="S16" s="28"/>
      <c r="T16" s="31"/>
      <c r="U16" s="30"/>
      <c r="V16" s="30"/>
      <c r="W16" s="30"/>
      <c r="X16" s="37">
        <f>IF(tblFmea[[#This Row],[Process step]]="","",IF(AND(N(tblFmea[[#This Row],[New S]])&gt;0,N(tblFmea[[#This Row],[New O]])&gt;0,N(tblFmea[[#This Row],[New D]])&gt;0),tblFmea[[#This Row],[New S]]*tblFmea[[#This Row],[New O]]*tblFmea[[#This Row],[New D]],""))</f>
        <v/>
      </c>
      <c r="Y16" s="37">
        <f>IF(tblFmea[[#This Row],[Process step]]="","",IF(AND(N(tblFmea[[#This Row],[Completed]])&gt;0,ISNUMBER(tblFmea[[#This Row],[New RPN]])),tblFmea[[#This Row],[New RPN]],tblFmea[[#This Row],[RPN]]))</f>
        <v>189</v>
      </c>
      <c r="Z16" s="37">
        <f>IF(tblFmea[[#This Row],[Process step]]="","",IF(AND(N(tblFmea[[#This Row],[Completed]])&gt;0,N(tblFmea[[#This Row],[New S]])&gt;0),tblFmea[[#This Row],[New S]],tblFmea[[#This Row],[Severity]]))</f>
        <v>9</v>
      </c>
      <c r="AA16" s="38" t="str">
        <f>IF(tblFmea[[#This Row],[Process step]]="","",IF(tblFmea[[#This Row],[Current RPN]]&gt;=RPNLimit,"Out of limits",IF(tblFmea[[#This Row],[Current S]]&gt;=SevLimit,"Check","Within limits")))</f>
        <v>Out of limits</v>
      </c>
      <c r="AB16" s="38" t="str">
        <f>IF(tblFmea[[#This Row],[Process step]]="","",IF(tblFmea[[#This Row],[Recommended action]]="","",IF(N(tblFmea[[#This Row],[Completed]])&gt;0,"Complete",IF(N(tblFmea[[#This Row],[Due]])=0,"Check",IF(tblFmea[[#This Row],[Due]]&lt;AsOf,"Overdue",IF(tblFmea[[#This Row],[Due]]-AsOf&lt;=DueSoonDays,"Due soon","In progress"))))))</f>
        <v>Overdue</v>
      </c>
      <c r="AC16" s="37">
        <f>IF(tblFmea[[#This Row],[Process step]]="","",COUNTIF(tblFmea[Current RPN],"&gt;"&amp;tblFmea[[#This Row],[Current RPN]])+SUMPRODUCT((tblFmea[Current RPN]=tblFmea[[#This Row],[Current RPN]])*(ROW(tblFmea[Current RPN])&lt;=ROW(tblFmea[[#This Row],[Current RPN]]))))</f>
        <v>1</v>
      </c>
      <c r="AD16"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7" spans="2:30" x14ac:dyDescent="0.25">
      <c r="B17" s="28" t="s">
        <v>103</v>
      </c>
      <c r="C17" s="36" t="str">
        <f>IF(tblFmea[[#This Row],[Process step]]="","",IFERROR(INDEX(tblSteps[Area],MATCH(tblFmea[[#This Row],[Process step]],tblSteps[Process step],0)),""))</f>
        <v>Finishing</v>
      </c>
      <c r="D17" s="28" t="s">
        <v>224</v>
      </c>
      <c r="E17" s="28" t="s">
        <v>225</v>
      </c>
      <c r="F17" s="28" t="s">
        <v>226</v>
      </c>
      <c r="G17" s="30">
        <v>4</v>
      </c>
      <c r="H17" s="28"/>
      <c r="I17" s="28" t="s">
        <v>227</v>
      </c>
      <c r="J17" s="28" t="s">
        <v>228</v>
      </c>
      <c r="K17" s="30">
        <v>2</v>
      </c>
      <c r="L17" s="28" t="s">
        <v>229</v>
      </c>
      <c r="M17" s="30">
        <v>5</v>
      </c>
      <c r="N17" s="28"/>
      <c r="O17" s="37">
        <f>IF(tblFmea[[#This Row],[Process step]]="","",tblFmea[[#This Row],[Severity]]*tblFmea[[#This Row],[Occurrence]]*tblFmea[[#This Row],[Detection]])</f>
        <v>40</v>
      </c>
      <c r="P17" s="28"/>
      <c r="Q17" s="28"/>
      <c r="R17" s="31"/>
      <c r="S17" s="28"/>
      <c r="T17" s="31"/>
      <c r="U17" s="30"/>
      <c r="V17" s="30"/>
      <c r="W17" s="30"/>
      <c r="X17" s="37">
        <f>IF(tblFmea[[#This Row],[Process step]]="","",IF(AND(N(tblFmea[[#This Row],[New S]])&gt;0,N(tblFmea[[#This Row],[New O]])&gt;0,N(tblFmea[[#This Row],[New D]])&gt;0),tblFmea[[#This Row],[New S]]*tblFmea[[#This Row],[New O]]*tblFmea[[#This Row],[New D]],""))</f>
        <v/>
      </c>
      <c r="Y17" s="37">
        <f>IF(tblFmea[[#This Row],[Process step]]="","",IF(AND(N(tblFmea[[#This Row],[Completed]])&gt;0,ISNUMBER(tblFmea[[#This Row],[New RPN]])),tblFmea[[#This Row],[New RPN]],tblFmea[[#This Row],[RPN]]))</f>
        <v>40</v>
      </c>
      <c r="Z17" s="37">
        <f>IF(tblFmea[[#This Row],[Process step]]="","",IF(AND(N(tblFmea[[#This Row],[Completed]])&gt;0,N(tblFmea[[#This Row],[New S]])&gt;0),tblFmea[[#This Row],[New S]],tblFmea[[#This Row],[Severity]]))</f>
        <v>4</v>
      </c>
      <c r="AA17" s="38" t="str">
        <f>IF(tblFmea[[#This Row],[Process step]]="","",IF(tblFmea[[#This Row],[Current RPN]]&gt;=RPNLimit,"Out of limits",IF(tblFmea[[#This Row],[Current S]]&gt;=SevLimit,"Check","Within limits")))</f>
        <v>Within limits</v>
      </c>
      <c r="AB17" s="38">
        <f>IF(tblFmea[[#This Row],[Process step]]="","",IF(tblFmea[[#This Row],[Recommended action]]="","",IF(N(tblFmea[[#This Row],[Completed]])&gt;0,"Complete",IF(N(tblFmea[[#This Row],[Due]])=0,"Check",IF(tblFmea[[#This Row],[Due]]&lt;AsOf,"Overdue",IF(tblFmea[[#This Row],[Due]]-AsOf&lt;=DueSoonDays,"Due soon","In progress"))))))</f>
        <v/>
      </c>
      <c r="AC17" s="37">
        <f>IF(tblFmea[[#This Row],[Process step]]="","",COUNTIF(tblFmea[Current RPN],"&gt;"&amp;tblFmea[[#This Row],[Current RPN]])+SUMPRODUCT((tblFmea[Current RPN]=tblFmea[[#This Row],[Current RPN]])*(ROW(tblFmea[Current RPN])&lt;=ROW(tblFmea[[#This Row],[Current RPN]]))))</f>
        <v>18</v>
      </c>
      <c r="AD17"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8" spans="2:30" x14ac:dyDescent="0.25">
      <c r="B18" s="28" t="s">
        <v>105</v>
      </c>
      <c r="C18" s="36" t="str">
        <f>IF(tblFmea[[#This Row],[Process step]]="","",IFERROR(INDEX(tblSteps[Area],MATCH(tblFmea[[#This Row],[Process step]],tblSteps[Process step],0)),""))</f>
        <v>Machining</v>
      </c>
      <c r="D18" s="28" t="s">
        <v>230</v>
      </c>
      <c r="E18" s="28" t="s">
        <v>231</v>
      </c>
      <c r="F18" s="28" t="s">
        <v>232</v>
      </c>
      <c r="G18" s="30">
        <v>7</v>
      </c>
      <c r="H18" s="28" t="s">
        <v>128</v>
      </c>
      <c r="I18" s="28" t="s">
        <v>233</v>
      </c>
      <c r="J18" s="28" t="s">
        <v>234</v>
      </c>
      <c r="K18" s="30">
        <v>4</v>
      </c>
      <c r="L18" s="28" t="s">
        <v>235</v>
      </c>
      <c r="M18" s="30">
        <v>4</v>
      </c>
      <c r="N18" s="28"/>
      <c r="O18" s="37">
        <f>IF(tblFmea[[#This Row],[Process step]]="","",tblFmea[[#This Row],[Severity]]*tblFmea[[#This Row],[Occurrence]]*tblFmea[[#This Row],[Detection]])</f>
        <v>112</v>
      </c>
      <c r="P18" s="28" t="s">
        <v>236</v>
      </c>
      <c r="Q18" s="28" t="s">
        <v>119</v>
      </c>
      <c r="R18" s="31">
        <v>46325</v>
      </c>
      <c r="S18" s="28"/>
      <c r="T18" s="31"/>
      <c r="U18" s="30"/>
      <c r="V18" s="30"/>
      <c r="W18" s="30"/>
      <c r="X18" s="37">
        <f>IF(tblFmea[[#This Row],[Process step]]="","",IF(AND(N(tblFmea[[#This Row],[New S]])&gt;0,N(tblFmea[[#This Row],[New O]])&gt;0,N(tblFmea[[#This Row],[New D]])&gt;0),tblFmea[[#This Row],[New S]]*tblFmea[[#This Row],[New O]]*tblFmea[[#This Row],[New D]],""))</f>
        <v/>
      </c>
      <c r="Y18" s="37">
        <f>IF(tblFmea[[#This Row],[Process step]]="","",IF(AND(N(tblFmea[[#This Row],[Completed]])&gt;0,ISNUMBER(tblFmea[[#This Row],[New RPN]])),tblFmea[[#This Row],[New RPN]],tblFmea[[#This Row],[RPN]]))</f>
        <v>112</v>
      </c>
      <c r="Z18" s="37">
        <f>IF(tblFmea[[#This Row],[Process step]]="","",IF(AND(N(tblFmea[[#This Row],[Completed]])&gt;0,N(tblFmea[[#This Row],[New S]])&gt;0),tblFmea[[#This Row],[New S]],tblFmea[[#This Row],[Severity]]))</f>
        <v>7</v>
      </c>
      <c r="AA18" s="38" t="str">
        <f>IF(tblFmea[[#This Row],[Process step]]="","",IF(tblFmea[[#This Row],[Current RPN]]&gt;=RPNLimit,"Out of limits",IF(tblFmea[[#This Row],[Current S]]&gt;=SevLimit,"Check","Within limits")))</f>
        <v>Out of limits</v>
      </c>
      <c r="AB18" s="38" t="str">
        <f>IF(tblFmea[[#This Row],[Process step]]="","",IF(tblFmea[[#This Row],[Recommended action]]="","",IF(N(tblFmea[[#This Row],[Completed]])&gt;0,"Complete",IF(N(tblFmea[[#This Row],[Due]])=0,"Check",IF(tblFmea[[#This Row],[Due]]&lt;AsOf,"Overdue",IF(tblFmea[[#This Row],[Due]]-AsOf&lt;=DueSoonDays,"Due soon","In progress"))))))</f>
        <v>In progress</v>
      </c>
      <c r="AC18" s="37">
        <f>IF(tblFmea[[#This Row],[Process step]]="","",COUNTIF(tblFmea[Current RPN],"&gt;"&amp;tblFmea[[#This Row],[Current RPN]])+SUMPRODUCT((tblFmea[Current RPN]=tblFmea[[#This Row],[Current RPN]])*(ROW(tblFmea[Current RPN])&lt;=ROW(tblFmea[[#This Row],[Current RPN]]))))</f>
        <v>4</v>
      </c>
      <c r="AD18"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19" spans="2:30" x14ac:dyDescent="0.25">
      <c r="B19" s="28" t="s">
        <v>105</v>
      </c>
      <c r="C19" s="36" t="str">
        <f>IF(tblFmea[[#This Row],[Process step]]="","",IFERROR(INDEX(tblSteps[Area],MATCH(tblFmea[[#This Row],[Process step]],tblSteps[Process step],0)),""))</f>
        <v>Machining</v>
      </c>
      <c r="D19" s="28" t="s">
        <v>237</v>
      </c>
      <c r="E19" s="28" t="s">
        <v>238</v>
      </c>
      <c r="F19" s="28" t="s">
        <v>239</v>
      </c>
      <c r="G19" s="30">
        <v>7</v>
      </c>
      <c r="H19" s="28"/>
      <c r="I19" s="28" t="s">
        <v>240</v>
      </c>
      <c r="J19" s="28" t="s">
        <v>241</v>
      </c>
      <c r="K19" s="30">
        <v>3</v>
      </c>
      <c r="L19" s="28" t="s">
        <v>242</v>
      </c>
      <c r="M19" s="30">
        <v>5</v>
      </c>
      <c r="N19" s="28"/>
      <c r="O19" s="37">
        <f>IF(tblFmea[[#This Row],[Process step]]="","",tblFmea[[#This Row],[Severity]]*tblFmea[[#This Row],[Occurrence]]*tblFmea[[#This Row],[Detection]])</f>
        <v>105</v>
      </c>
      <c r="P19" s="28" t="s">
        <v>243</v>
      </c>
      <c r="Q19" s="28" t="s">
        <v>119</v>
      </c>
      <c r="R19" s="31">
        <v>46248</v>
      </c>
      <c r="S19" s="28" t="s">
        <v>244</v>
      </c>
      <c r="T19" s="31">
        <v>46246</v>
      </c>
      <c r="U19" s="30">
        <v>7</v>
      </c>
      <c r="V19" s="30">
        <v>2</v>
      </c>
      <c r="W19" s="30">
        <v>5</v>
      </c>
      <c r="X19" s="37">
        <f>IF(tblFmea[[#This Row],[Process step]]="","",IF(AND(N(tblFmea[[#This Row],[New S]])&gt;0,N(tblFmea[[#This Row],[New O]])&gt;0,N(tblFmea[[#This Row],[New D]])&gt;0),tblFmea[[#This Row],[New S]]*tblFmea[[#This Row],[New O]]*tblFmea[[#This Row],[New D]],""))</f>
        <v>70</v>
      </c>
      <c r="Y19" s="37">
        <f>IF(tblFmea[[#This Row],[Process step]]="","",IF(AND(N(tblFmea[[#This Row],[Completed]])&gt;0,ISNUMBER(tblFmea[[#This Row],[New RPN]])),tblFmea[[#This Row],[New RPN]],tblFmea[[#This Row],[RPN]]))</f>
        <v>70</v>
      </c>
      <c r="Z19" s="37">
        <f>IF(tblFmea[[#This Row],[Process step]]="","",IF(AND(N(tblFmea[[#This Row],[Completed]])&gt;0,N(tblFmea[[#This Row],[New S]])&gt;0),tblFmea[[#This Row],[New S]],tblFmea[[#This Row],[Severity]]))</f>
        <v>7</v>
      </c>
      <c r="AA19" s="38" t="str">
        <f>IF(tblFmea[[#This Row],[Process step]]="","",IF(tblFmea[[#This Row],[Current RPN]]&gt;=RPNLimit,"Out of limits",IF(tblFmea[[#This Row],[Current S]]&gt;=SevLimit,"Check","Within limits")))</f>
        <v>Within limits</v>
      </c>
      <c r="AB19" s="38" t="str">
        <f>IF(tblFmea[[#This Row],[Process step]]="","",IF(tblFmea[[#This Row],[Recommended action]]="","",IF(N(tblFmea[[#This Row],[Completed]])&gt;0,"Complete",IF(N(tblFmea[[#This Row],[Due]])=0,"Check",IF(tblFmea[[#This Row],[Due]]&lt;AsOf,"Overdue",IF(tblFmea[[#This Row],[Due]]-AsOf&lt;=DueSoonDays,"Due soon","In progress"))))))</f>
        <v>Complete</v>
      </c>
      <c r="AC19" s="37">
        <f>IF(tblFmea[[#This Row],[Process step]]="","",COUNTIF(tblFmea[Current RPN],"&gt;"&amp;tblFmea[[#This Row],[Current RPN]])+SUMPRODUCT((tblFmea[Current RPN]=tblFmea[[#This Row],[Current RPN]])*(ROW(tblFmea[Current RPN])&lt;=ROW(tblFmea[[#This Row],[Current RPN]]))))</f>
        <v>13</v>
      </c>
      <c r="AD19"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20" spans="2:30" x14ac:dyDescent="0.25">
      <c r="B20" s="28" t="s">
        <v>105</v>
      </c>
      <c r="C20" s="36" t="str">
        <f>IF(tblFmea[[#This Row],[Process step]]="","",IFERROR(INDEX(tblSteps[Area],MATCH(tblFmea[[#This Row],[Process step]],tblSteps[Process step],0)),""))</f>
        <v>Machining</v>
      </c>
      <c r="D20" s="28" t="s">
        <v>245</v>
      </c>
      <c r="E20" s="28" t="s">
        <v>246</v>
      </c>
      <c r="F20" s="28" t="s">
        <v>247</v>
      </c>
      <c r="G20" s="30">
        <v>7</v>
      </c>
      <c r="H20" s="28"/>
      <c r="I20" s="28" t="s">
        <v>248</v>
      </c>
      <c r="J20" s="28" t="s">
        <v>249</v>
      </c>
      <c r="K20" s="30">
        <v>2</v>
      </c>
      <c r="L20" s="28" t="s">
        <v>250</v>
      </c>
      <c r="M20" s="30">
        <v>6</v>
      </c>
      <c r="N20" s="28"/>
      <c r="O20" s="37">
        <f>IF(tblFmea[[#This Row],[Process step]]="","",tblFmea[[#This Row],[Severity]]*tblFmea[[#This Row],[Occurrence]]*tblFmea[[#This Row],[Detection]])</f>
        <v>84</v>
      </c>
      <c r="P20" s="28"/>
      <c r="Q20" s="28"/>
      <c r="R20" s="31"/>
      <c r="S20" s="28"/>
      <c r="T20" s="31"/>
      <c r="U20" s="30"/>
      <c r="V20" s="30"/>
      <c r="W20" s="30"/>
      <c r="X20" s="37">
        <f>IF(tblFmea[[#This Row],[Process step]]="","",IF(AND(N(tblFmea[[#This Row],[New S]])&gt;0,N(tblFmea[[#This Row],[New O]])&gt;0,N(tblFmea[[#This Row],[New D]])&gt;0),tblFmea[[#This Row],[New S]]*tblFmea[[#This Row],[New O]]*tblFmea[[#This Row],[New D]],""))</f>
        <v/>
      </c>
      <c r="Y20" s="37">
        <f>IF(tblFmea[[#This Row],[Process step]]="","",IF(AND(N(tblFmea[[#This Row],[Completed]])&gt;0,ISNUMBER(tblFmea[[#This Row],[New RPN]])),tblFmea[[#This Row],[New RPN]],tblFmea[[#This Row],[RPN]]))</f>
        <v>84</v>
      </c>
      <c r="Z20" s="37">
        <f>IF(tblFmea[[#This Row],[Process step]]="","",IF(AND(N(tblFmea[[#This Row],[Completed]])&gt;0,N(tblFmea[[#This Row],[New S]])&gt;0),tblFmea[[#This Row],[New S]],tblFmea[[#This Row],[Severity]]))</f>
        <v>7</v>
      </c>
      <c r="AA20" s="38" t="str">
        <f>IF(tblFmea[[#This Row],[Process step]]="","",IF(tblFmea[[#This Row],[Current RPN]]&gt;=RPNLimit,"Out of limits",IF(tblFmea[[#This Row],[Current S]]&gt;=SevLimit,"Check","Within limits")))</f>
        <v>Within limits</v>
      </c>
      <c r="AB20" s="38">
        <f>IF(tblFmea[[#This Row],[Process step]]="","",IF(tblFmea[[#This Row],[Recommended action]]="","",IF(N(tblFmea[[#This Row],[Completed]])&gt;0,"Complete",IF(N(tblFmea[[#This Row],[Due]])=0,"Check",IF(tblFmea[[#This Row],[Due]]&lt;AsOf,"Overdue",IF(tblFmea[[#This Row],[Due]]-AsOf&lt;=DueSoonDays,"Due soon","In progress"))))))</f>
        <v/>
      </c>
      <c r="AC20" s="37">
        <f>IF(tblFmea[[#This Row],[Process step]]="","",COUNTIF(tblFmea[Current RPN],"&gt;"&amp;tblFmea[[#This Row],[Current RPN]])+SUMPRODUCT((tblFmea[Current RPN]=tblFmea[[#This Row],[Current RPN]])*(ROW(tblFmea[Current RPN])&lt;=ROW(tblFmea[[#This Row],[Current RPN]]))))</f>
        <v>7</v>
      </c>
      <c r="AD20"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21" spans="2:30" x14ac:dyDescent="0.25">
      <c r="B21" s="28" t="s">
        <v>105</v>
      </c>
      <c r="C21" s="36" t="str">
        <f>IF(tblFmea[[#This Row],[Process step]]="","",IFERROR(INDEX(tblSteps[Area],MATCH(tblFmea[[#This Row],[Process step]],tblSteps[Process step],0)),""))</f>
        <v>Machining</v>
      </c>
      <c r="D21" s="28" t="s">
        <v>217</v>
      </c>
      <c r="E21" s="28" t="s">
        <v>251</v>
      </c>
      <c r="F21" s="28" t="s">
        <v>252</v>
      </c>
      <c r="G21" s="30">
        <v>6</v>
      </c>
      <c r="H21" s="28"/>
      <c r="I21" s="28" t="s">
        <v>253</v>
      </c>
      <c r="J21" s="28" t="s">
        <v>254</v>
      </c>
      <c r="K21" s="30">
        <v>3</v>
      </c>
      <c r="L21" s="28" t="s">
        <v>255</v>
      </c>
      <c r="M21" s="30">
        <v>4</v>
      </c>
      <c r="N21" s="28"/>
      <c r="O21" s="37">
        <f>IF(tblFmea[[#This Row],[Process step]]="","",tblFmea[[#This Row],[Severity]]*tblFmea[[#This Row],[Occurrence]]*tblFmea[[#This Row],[Detection]])</f>
        <v>72</v>
      </c>
      <c r="P21" s="28"/>
      <c r="Q21" s="28"/>
      <c r="R21" s="31"/>
      <c r="S21" s="28"/>
      <c r="T21" s="31"/>
      <c r="U21" s="30"/>
      <c r="V21" s="30"/>
      <c r="W21" s="30"/>
      <c r="X21" s="37">
        <f>IF(tblFmea[[#This Row],[Process step]]="","",IF(AND(N(tblFmea[[#This Row],[New S]])&gt;0,N(tblFmea[[#This Row],[New O]])&gt;0,N(tblFmea[[#This Row],[New D]])&gt;0),tblFmea[[#This Row],[New S]]*tblFmea[[#This Row],[New O]]*tblFmea[[#This Row],[New D]],""))</f>
        <v/>
      </c>
      <c r="Y21" s="37">
        <f>IF(tblFmea[[#This Row],[Process step]]="","",IF(AND(N(tblFmea[[#This Row],[Completed]])&gt;0,ISNUMBER(tblFmea[[#This Row],[New RPN]])),tblFmea[[#This Row],[New RPN]],tblFmea[[#This Row],[RPN]]))</f>
        <v>72</v>
      </c>
      <c r="Z21" s="37">
        <f>IF(tblFmea[[#This Row],[Process step]]="","",IF(AND(N(tblFmea[[#This Row],[Completed]])&gt;0,N(tblFmea[[#This Row],[New S]])&gt;0),tblFmea[[#This Row],[New S]],tblFmea[[#This Row],[Severity]]))</f>
        <v>6</v>
      </c>
      <c r="AA21" s="38" t="str">
        <f>IF(tblFmea[[#This Row],[Process step]]="","",IF(tblFmea[[#This Row],[Current RPN]]&gt;=RPNLimit,"Out of limits",IF(tblFmea[[#This Row],[Current S]]&gt;=SevLimit,"Check","Within limits")))</f>
        <v>Within limits</v>
      </c>
      <c r="AB21" s="38">
        <f>IF(tblFmea[[#This Row],[Process step]]="","",IF(tblFmea[[#This Row],[Recommended action]]="","",IF(N(tblFmea[[#This Row],[Completed]])&gt;0,"Complete",IF(N(tblFmea[[#This Row],[Due]])=0,"Check",IF(tblFmea[[#This Row],[Due]]&lt;AsOf,"Overdue",IF(tblFmea[[#This Row],[Due]]-AsOf&lt;=DueSoonDays,"Due soon","In progress"))))))</f>
        <v/>
      </c>
      <c r="AC21" s="37">
        <f>IF(tblFmea[[#This Row],[Process step]]="","",COUNTIF(tblFmea[Current RPN],"&gt;"&amp;tblFmea[[#This Row],[Current RPN]])+SUMPRODUCT((tblFmea[Current RPN]=tblFmea[[#This Row],[Current RPN]])*(ROW(tblFmea[Current RPN])&lt;=ROW(tblFmea[[#This Row],[Current RPN]]))))</f>
        <v>12</v>
      </c>
      <c r="AD21"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22" spans="2:30" x14ac:dyDescent="0.25">
      <c r="B22" s="28" t="s">
        <v>108</v>
      </c>
      <c r="C22" s="36" t="str">
        <f>IF(tblFmea[[#This Row],[Process step]]="","",IFERROR(INDEX(tblSteps[Area],MATCH(tblFmea[[#This Row],[Process step]],tblSteps[Process step],0)),""))</f>
        <v>Test</v>
      </c>
      <c r="D22" s="28" t="s">
        <v>256</v>
      </c>
      <c r="E22" s="28" t="s">
        <v>257</v>
      </c>
      <c r="F22" s="28" t="s">
        <v>258</v>
      </c>
      <c r="G22" s="30">
        <v>9</v>
      </c>
      <c r="H22" s="28" t="s">
        <v>126</v>
      </c>
      <c r="I22" s="28" t="s">
        <v>259</v>
      </c>
      <c r="J22" s="28" t="s">
        <v>260</v>
      </c>
      <c r="K22" s="30">
        <v>2</v>
      </c>
      <c r="L22" s="28" t="s">
        <v>261</v>
      </c>
      <c r="M22" s="30">
        <v>3</v>
      </c>
      <c r="N22" s="28"/>
      <c r="O22" s="37">
        <f>IF(tblFmea[[#This Row],[Process step]]="","",tblFmea[[#This Row],[Severity]]*tblFmea[[#This Row],[Occurrence]]*tblFmea[[#This Row],[Detection]])</f>
        <v>54</v>
      </c>
      <c r="P22" s="28"/>
      <c r="Q22" s="28"/>
      <c r="R22" s="31"/>
      <c r="S22" s="28"/>
      <c r="T22" s="31"/>
      <c r="U22" s="30"/>
      <c r="V22" s="30"/>
      <c r="W22" s="30"/>
      <c r="X22" s="37">
        <f>IF(tblFmea[[#This Row],[Process step]]="","",IF(AND(N(tblFmea[[#This Row],[New S]])&gt;0,N(tblFmea[[#This Row],[New O]])&gt;0,N(tblFmea[[#This Row],[New D]])&gt;0),tblFmea[[#This Row],[New S]]*tblFmea[[#This Row],[New O]]*tblFmea[[#This Row],[New D]],""))</f>
        <v/>
      </c>
      <c r="Y22" s="37">
        <f>IF(tblFmea[[#This Row],[Process step]]="","",IF(AND(N(tblFmea[[#This Row],[Completed]])&gt;0,ISNUMBER(tblFmea[[#This Row],[New RPN]])),tblFmea[[#This Row],[New RPN]],tblFmea[[#This Row],[RPN]]))</f>
        <v>54</v>
      </c>
      <c r="Z22" s="37">
        <f>IF(tblFmea[[#This Row],[Process step]]="","",IF(AND(N(tblFmea[[#This Row],[Completed]])&gt;0,N(tblFmea[[#This Row],[New S]])&gt;0),tblFmea[[#This Row],[New S]],tblFmea[[#This Row],[Severity]]))</f>
        <v>9</v>
      </c>
      <c r="AA22" s="38" t="str">
        <f>IF(tblFmea[[#This Row],[Process step]]="","",IF(tblFmea[[#This Row],[Current RPN]]&gt;=RPNLimit,"Out of limits",IF(tblFmea[[#This Row],[Current S]]&gt;=SevLimit,"Check","Within limits")))</f>
        <v>Check</v>
      </c>
      <c r="AB22" s="38">
        <f>IF(tblFmea[[#This Row],[Process step]]="","",IF(tblFmea[[#This Row],[Recommended action]]="","",IF(N(tblFmea[[#This Row],[Completed]])&gt;0,"Complete",IF(N(tblFmea[[#This Row],[Due]])=0,"Check",IF(tblFmea[[#This Row],[Due]]&lt;AsOf,"Overdue",IF(tblFmea[[#This Row],[Due]]-AsOf&lt;=DueSoonDays,"Due soon","In progress"))))))</f>
        <v/>
      </c>
      <c r="AC22" s="37">
        <f>IF(tblFmea[[#This Row],[Process step]]="","",COUNTIF(tblFmea[Current RPN],"&gt;"&amp;tblFmea[[#This Row],[Current RPN]])+SUMPRODUCT((tblFmea[Current RPN]=tblFmea[[#This Row],[Current RPN]])*(ROW(tblFmea[Current RPN])&lt;=ROW(tblFmea[[#This Row],[Current RPN]]))))</f>
        <v>16</v>
      </c>
      <c r="AD22"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23" spans="2:30" x14ac:dyDescent="0.25">
      <c r="B23" s="28" t="s">
        <v>108</v>
      </c>
      <c r="C23" s="36" t="str">
        <f>IF(tblFmea[[#This Row],[Process step]]="","",IFERROR(INDEX(tblSteps[Area],MATCH(tblFmea[[#This Row],[Process step]],tblSteps[Process step],0)),""))</f>
        <v>Test</v>
      </c>
      <c r="D23" s="28" t="s">
        <v>262</v>
      </c>
      <c r="E23" s="28" t="s">
        <v>263</v>
      </c>
      <c r="F23" s="28" t="s">
        <v>264</v>
      </c>
      <c r="G23" s="30">
        <v>4</v>
      </c>
      <c r="H23" s="28"/>
      <c r="I23" s="28" t="s">
        <v>265</v>
      </c>
      <c r="J23" s="28" t="s">
        <v>266</v>
      </c>
      <c r="K23" s="30">
        <v>4</v>
      </c>
      <c r="L23" s="28" t="s">
        <v>267</v>
      </c>
      <c r="M23" s="30">
        <v>3</v>
      </c>
      <c r="N23" s="28"/>
      <c r="O23" s="37">
        <f>IF(tblFmea[[#This Row],[Process step]]="","",tblFmea[[#This Row],[Severity]]*tblFmea[[#This Row],[Occurrence]]*tblFmea[[#This Row],[Detection]])</f>
        <v>48</v>
      </c>
      <c r="P23" s="28"/>
      <c r="Q23" s="28"/>
      <c r="R23" s="31"/>
      <c r="S23" s="28"/>
      <c r="T23" s="31"/>
      <c r="U23" s="30"/>
      <c r="V23" s="30"/>
      <c r="W23" s="30"/>
      <c r="X23" s="37">
        <f>IF(tblFmea[[#This Row],[Process step]]="","",IF(AND(N(tblFmea[[#This Row],[New S]])&gt;0,N(tblFmea[[#This Row],[New O]])&gt;0,N(tblFmea[[#This Row],[New D]])&gt;0),tblFmea[[#This Row],[New S]]*tblFmea[[#This Row],[New O]]*tblFmea[[#This Row],[New D]],""))</f>
        <v/>
      </c>
      <c r="Y23" s="37">
        <f>IF(tblFmea[[#This Row],[Process step]]="","",IF(AND(N(tblFmea[[#This Row],[Completed]])&gt;0,ISNUMBER(tblFmea[[#This Row],[New RPN]])),tblFmea[[#This Row],[New RPN]],tblFmea[[#This Row],[RPN]]))</f>
        <v>48</v>
      </c>
      <c r="Z23" s="37">
        <f>IF(tblFmea[[#This Row],[Process step]]="","",IF(AND(N(tblFmea[[#This Row],[Completed]])&gt;0,N(tblFmea[[#This Row],[New S]])&gt;0),tblFmea[[#This Row],[New S]],tblFmea[[#This Row],[Severity]]))</f>
        <v>4</v>
      </c>
      <c r="AA23" s="38" t="str">
        <f>IF(tblFmea[[#This Row],[Process step]]="","",IF(tblFmea[[#This Row],[Current RPN]]&gt;=RPNLimit,"Out of limits",IF(tblFmea[[#This Row],[Current S]]&gt;=SevLimit,"Check","Within limits")))</f>
        <v>Within limits</v>
      </c>
      <c r="AB23" s="38">
        <f>IF(tblFmea[[#This Row],[Process step]]="","",IF(tblFmea[[#This Row],[Recommended action]]="","",IF(N(tblFmea[[#This Row],[Completed]])&gt;0,"Complete",IF(N(tblFmea[[#This Row],[Due]])=0,"Check",IF(tblFmea[[#This Row],[Due]]&lt;AsOf,"Overdue",IF(tblFmea[[#This Row],[Due]]-AsOf&lt;=DueSoonDays,"Due soon","In progress"))))))</f>
        <v/>
      </c>
      <c r="AC23" s="37">
        <f>IF(tblFmea[[#This Row],[Process step]]="","",COUNTIF(tblFmea[Current RPN],"&gt;"&amp;tblFmea[[#This Row],[Current RPN]])+SUMPRODUCT((tblFmea[Current RPN]=tblFmea[[#This Row],[Current RPN]])*(ROW(tblFmea[Current RPN])&lt;=ROW(tblFmea[[#This Row],[Current RPN]]))))</f>
        <v>17</v>
      </c>
      <c r="AD23"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24" spans="2:30" x14ac:dyDescent="0.25">
      <c r="B24" s="28" t="s">
        <v>111</v>
      </c>
      <c r="C24" s="36" t="str">
        <f>IF(tblFmea[[#This Row],[Process step]]="","",IFERROR(INDEX(tblSteps[Area],MATCH(tblFmea[[#This Row],[Process step]],tblSteps[Process step],0)),""))</f>
        <v>Shipping</v>
      </c>
      <c r="D24" s="28" t="s">
        <v>268</v>
      </c>
      <c r="E24" s="28" t="s">
        <v>269</v>
      </c>
      <c r="F24" s="28" t="s">
        <v>270</v>
      </c>
      <c r="G24" s="30">
        <v>7</v>
      </c>
      <c r="H24" s="28" t="s">
        <v>128</v>
      </c>
      <c r="I24" s="28" t="s">
        <v>271</v>
      </c>
      <c r="J24" s="28" t="s">
        <v>272</v>
      </c>
      <c r="K24" s="30">
        <v>3</v>
      </c>
      <c r="L24" s="28" t="s">
        <v>273</v>
      </c>
      <c r="M24" s="30">
        <v>4</v>
      </c>
      <c r="N24" s="28"/>
      <c r="O24" s="37">
        <f>IF(tblFmea[[#This Row],[Process step]]="","",tblFmea[[#This Row],[Severity]]*tblFmea[[#This Row],[Occurrence]]*tblFmea[[#This Row],[Detection]])</f>
        <v>84</v>
      </c>
      <c r="P24" s="28"/>
      <c r="Q24" s="28"/>
      <c r="R24" s="31"/>
      <c r="S24" s="28"/>
      <c r="T24" s="31"/>
      <c r="U24" s="30"/>
      <c r="V24" s="30"/>
      <c r="W24" s="30"/>
      <c r="X24" s="37">
        <f>IF(tblFmea[[#This Row],[Process step]]="","",IF(AND(N(tblFmea[[#This Row],[New S]])&gt;0,N(tblFmea[[#This Row],[New O]])&gt;0,N(tblFmea[[#This Row],[New D]])&gt;0),tblFmea[[#This Row],[New S]]*tblFmea[[#This Row],[New O]]*tblFmea[[#This Row],[New D]],""))</f>
        <v/>
      </c>
      <c r="Y24" s="37">
        <f>IF(tblFmea[[#This Row],[Process step]]="","",IF(AND(N(tblFmea[[#This Row],[Completed]])&gt;0,ISNUMBER(tblFmea[[#This Row],[New RPN]])),tblFmea[[#This Row],[New RPN]],tblFmea[[#This Row],[RPN]]))</f>
        <v>84</v>
      </c>
      <c r="Z24" s="37">
        <f>IF(tblFmea[[#This Row],[Process step]]="","",IF(AND(N(tblFmea[[#This Row],[Completed]])&gt;0,N(tblFmea[[#This Row],[New S]])&gt;0),tblFmea[[#This Row],[New S]],tblFmea[[#This Row],[Severity]]))</f>
        <v>7</v>
      </c>
      <c r="AA24" s="38" t="str">
        <f>IF(tblFmea[[#This Row],[Process step]]="","",IF(tblFmea[[#This Row],[Current RPN]]&gt;=RPNLimit,"Out of limits",IF(tblFmea[[#This Row],[Current S]]&gt;=SevLimit,"Check","Within limits")))</f>
        <v>Within limits</v>
      </c>
      <c r="AB24" s="38">
        <f>IF(tblFmea[[#This Row],[Process step]]="","",IF(tblFmea[[#This Row],[Recommended action]]="","",IF(N(tblFmea[[#This Row],[Completed]])&gt;0,"Complete",IF(N(tblFmea[[#This Row],[Due]])=0,"Check",IF(tblFmea[[#This Row],[Due]]&lt;AsOf,"Overdue",IF(tblFmea[[#This Row],[Due]]-AsOf&lt;=DueSoonDays,"Due soon","In progress"))))))</f>
        <v/>
      </c>
      <c r="AC24" s="37">
        <f>IF(tblFmea[[#This Row],[Process step]]="","",COUNTIF(tblFmea[Current RPN],"&gt;"&amp;tblFmea[[#This Row],[Current RPN]])+SUMPRODUCT((tblFmea[Current RPN]=tblFmea[[#This Row],[Current RPN]])*(ROW(tblFmea[Current RPN])&lt;=ROW(tblFmea[[#This Row],[Current RPN]]))))</f>
        <v>8</v>
      </c>
      <c r="AD24"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25" spans="2:30" x14ac:dyDescent="0.25">
      <c r="B25" s="28" t="s">
        <v>111</v>
      </c>
      <c r="C25" s="36" t="str">
        <f>IF(tblFmea[[#This Row],[Process step]]="","",IFERROR(INDEX(tblSteps[Area],MATCH(tblFmea[[#This Row],[Process step]],tblSteps[Process step],0)),""))</f>
        <v>Shipping</v>
      </c>
      <c r="D25" s="28" t="s">
        <v>274</v>
      </c>
      <c r="E25" s="28" t="s">
        <v>275</v>
      </c>
      <c r="F25" s="28" t="s">
        <v>276</v>
      </c>
      <c r="G25" s="30">
        <v>6</v>
      </c>
      <c r="H25" s="28"/>
      <c r="I25" s="28" t="s">
        <v>277</v>
      </c>
      <c r="J25" s="28" t="s">
        <v>278</v>
      </c>
      <c r="K25" s="30">
        <v>3</v>
      </c>
      <c r="L25" s="28" t="s">
        <v>279</v>
      </c>
      <c r="M25" s="30">
        <v>6</v>
      </c>
      <c r="N25" s="28"/>
      <c r="O25" s="37">
        <f>IF(tblFmea[[#This Row],[Process step]]="","",tblFmea[[#This Row],[Severity]]*tblFmea[[#This Row],[Occurrence]]*tblFmea[[#This Row],[Detection]])</f>
        <v>108</v>
      </c>
      <c r="P25" s="28" t="s">
        <v>280</v>
      </c>
      <c r="Q25" s="28" t="s">
        <v>123</v>
      </c>
      <c r="R25" s="31">
        <v>46318</v>
      </c>
      <c r="S25" s="28"/>
      <c r="T25" s="31"/>
      <c r="U25" s="30"/>
      <c r="V25" s="30"/>
      <c r="W25" s="30"/>
      <c r="X25" s="37">
        <f>IF(tblFmea[[#This Row],[Process step]]="","",IF(AND(N(tblFmea[[#This Row],[New S]])&gt;0,N(tblFmea[[#This Row],[New O]])&gt;0,N(tblFmea[[#This Row],[New D]])&gt;0),tblFmea[[#This Row],[New S]]*tblFmea[[#This Row],[New O]]*tblFmea[[#This Row],[New D]],""))</f>
        <v/>
      </c>
      <c r="Y25" s="37">
        <f>IF(tblFmea[[#This Row],[Process step]]="","",IF(AND(N(tblFmea[[#This Row],[Completed]])&gt;0,ISNUMBER(tblFmea[[#This Row],[New RPN]])),tblFmea[[#This Row],[New RPN]],tblFmea[[#This Row],[RPN]]))</f>
        <v>108</v>
      </c>
      <c r="Z25" s="37">
        <f>IF(tblFmea[[#This Row],[Process step]]="","",IF(AND(N(tblFmea[[#This Row],[Completed]])&gt;0,N(tblFmea[[#This Row],[New S]])&gt;0),tblFmea[[#This Row],[New S]],tblFmea[[#This Row],[Severity]]))</f>
        <v>6</v>
      </c>
      <c r="AA25" s="38" t="str">
        <f>IF(tblFmea[[#This Row],[Process step]]="","",IF(tblFmea[[#This Row],[Current RPN]]&gt;=RPNLimit,"Out of limits",IF(tblFmea[[#This Row],[Current S]]&gt;=SevLimit,"Check","Within limits")))</f>
        <v>Out of limits</v>
      </c>
      <c r="AB25" s="38" t="str">
        <f>IF(tblFmea[[#This Row],[Process step]]="","",IF(tblFmea[[#This Row],[Recommended action]]="","",IF(N(tblFmea[[#This Row],[Completed]])&gt;0,"Complete",IF(N(tblFmea[[#This Row],[Due]])=0,"Check",IF(tblFmea[[#This Row],[Due]]&lt;AsOf,"Overdue",IF(tblFmea[[#This Row],[Due]]-AsOf&lt;=DueSoonDays,"Due soon","In progress"))))))</f>
        <v>Due soon</v>
      </c>
      <c r="AC25" s="37">
        <f>IF(tblFmea[[#This Row],[Process step]]="","",COUNTIF(tblFmea[Current RPN],"&gt;"&amp;tblFmea[[#This Row],[Current RPN]])+SUMPRODUCT((tblFmea[Current RPN]=tblFmea[[#This Row],[Current RPN]])*(ROW(tblFmea[Current RPN])&lt;=ROW(tblFmea[[#This Row],[Current RPN]]))))</f>
        <v>5</v>
      </c>
      <c r="AD25"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row r="26" spans="2:30" x14ac:dyDescent="0.25">
      <c r="B26" s="28" t="s">
        <v>111</v>
      </c>
      <c r="C26" s="36" t="str">
        <f>IF(tblFmea[[#This Row],[Process step]]="","",IFERROR(INDEX(tblSteps[Area],MATCH(tblFmea[[#This Row],[Process step]],tblSteps[Process step],0)),""))</f>
        <v>Shipping</v>
      </c>
      <c r="D26" s="28" t="s">
        <v>281</v>
      </c>
      <c r="E26" s="28" t="s">
        <v>282</v>
      </c>
      <c r="F26" s="28" t="s">
        <v>283</v>
      </c>
      <c r="G26" s="30">
        <v>6</v>
      </c>
      <c r="H26" s="28"/>
      <c r="I26" s="28" t="s">
        <v>284</v>
      </c>
      <c r="J26" s="28" t="s">
        <v>285</v>
      </c>
      <c r="K26" s="30">
        <v>2</v>
      </c>
      <c r="L26" s="28" t="s">
        <v>286</v>
      </c>
      <c r="M26" s="30">
        <v>2</v>
      </c>
      <c r="N26" s="28"/>
      <c r="O26" s="37">
        <f>IF(tblFmea[[#This Row],[Process step]]="","",tblFmea[[#This Row],[Severity]]*tblFmea[[#This Row],[Occurrence]]*tblFmea[[#This Row],[Detection]])</f>
        <v>24</v>
      </c>
      <c r="P26" s="28"/>
      <c r="Q26" s="28"/>
      <c r="R26" s="31"/>
      <c r="S26" s="28"/>
      <c r="T26" s="31"/>
      <c r="U26" s="30"/>
      <c r="V26" s="30"/>
      <c r="W26" s="30"/>
      <c r="X26" s="37">
        <f>IF(tblFmea[[#This Row],[Process step]]="","",IF(AND(N(tblFmea[[#This Row],[New S]])&gt;0,N(tblFmea[[#This Row],[New O]])&gt;0,N(tblFmea[[#This Row],[New D]])&gt;0),tblFmea[[#This Row],[New S]]*tblFmea[[#This Row],[New O]]*tblFmea[[#This Row],[New D]],""))</f>
        <v/>
      </c>
      <c r="Y26" s="37">
        <f>IF(tblFmea[[#This Row],[Process step]]="","",IF(AND(N(tblFmea[[#This Row],[Completed]])&gt;0,ISNUMBER(tblFmea[[#This Row],[New RPN]])),tblFmea[[#This Row],[New RPN]],tblFmea[[#This Row],[RPN]]))</f>
        <v>24</v>
      </c>
      <c r="Z26" s="37">
        <f>IF(tblFmea[[#This Row],[Process step]]="","",IF(AND(N(tblFmea[[#This Row],[Completed]])&gt;0,N(tblFmea[[#This Row],[New S]])&gt;0),tblFmea[[#This Row],[New S]],tblFmea[[#This Row],[Severity]]))</f>
        <v>6</v>
      </c>
      <c r="AA26" s="38" t="str">
        <f>IF(tblFmea[[#This Row],[Process step]]="","",IF(tblFmea[[#This Row],[Current RPN]]&gt;=RPNLimit,"Out of limits",IF(tblFmea[[#This Row],[Current S]]&gt;=SevLimit,"Check","Within limits")))</f>
        <v>Within limits</v>
      </c>
      <c r="AB26" s="38">
        <f>IF(tblFmea[[#This Row],[Process step]]="","",IF(tblFmea[[#This Row],[Recommended action]]="","",IF(N(tblFmea[[#This Row],[Completed]])&gt;0,"Complete",IF(N(tblFmea[[#This Row],[Due]])=0,"Check",IF(tblFmea[[#This Row],[Due]]&lt;AsOf,"Overdue",IF(tblFmea[[#This Row],[Due]]-AsOf&lt;=DueSoonDays,"Due soon","In progress"))))))</f>
        <v/>
      </c>
      <c r="AC26" s="37">
        <f>IF(tblFmea[[#This Row],[Process step]]="","",COUNTIF(tblFmea[Current RPN],"&gt;"&amp;tblFmea[[#This Row],[Current RPN]])+SUMPRODUCT((tblFmea[Current RPN]=tblFmea[[#This Row],[Current RPN]])*(ROW(tblFmea[Current RPN])&lt;=ROW(tblFmea[[#This Row],[Current RPN]]))))</f>
        <v>20</v>
      </c>
      <c r="AD26" s="39" t="str">
        <f>IF(tblFmea[[#This Row],[Process step]]="","",IF(tblFmea[[#This Row],[Failure mode]]="","Missing failure mode",IF(tblFmea[[#This Row],[Severity]]="","Missing severity",IF(tblFmea[[#This Row],[Occurrence]]="","Missing occurrence",IF(tblFmea[[#This Row],[Detection]]="","Missing detection",IF(tblFmea[[#This Row],[Area]]="","Step not on Setup list",IF(AND(tblFmea[[#This Row],[Risk]]="Out of limits",tblFmea[[#This Row],[Recommended action]]=""),"Over the limit: add an action",IF(AND(tblFmea[[#This Row],[Recommended action]]&lt;&gt;"",tblFmea[[#This Row],[Owner]]=""),"Action without an owner",IF(AND(N(tblFmea[[#This Row],[Completed]])&gt;0,NOT(ISNUMBER(tblFmea[[#This Row],[New RPN]]))),"Completed: add the new ratings",IF(AND(ISNUMBER(tblFmea[[#This Row],[New RPN]]),N(tblFmea[[#This Row],[Completed]])=0,tblFmea[[#This Row],[Recommended action]]=""),"New ratings without an action",IF(N(tblFmea[[#This Row],[New S]])&gt;tblFmea[[#This Row],[Severity]],"New severity above original","OK")))))))))))</f>
        <v>OK</v>
      </c>
    </row>
  </sheetData>
  <mergeCells count="4">
    <mergeCell ref="A1:AD1"/>
    <mergeCell ref="B2:AC2"/>
    <mergeCell ref="B4:I4"/>
    <mergeCell ref="B5:AD5"/>
  </mergeCells>
  <conditionalFormatting sqref="AA7:AA526">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AB7:AB526">
    <cfRule type="cellIs" dxfId="0" priority="22" operator="equal">
      <formula>"On target"</formula>
    </cfRule>
    <cfRule type="cellIs" dxfId="0" priority="23" operator="equal">
      <formula>"PASS"</formula>
    </cfRule>
    <cfRule type="cellIs" dxfId="0" priority="24" operator="equal">
      <formula>"OK"</formula>
    </cfRule>
    <cfRule type="cellIs" dxfId="0" priority="25" operator="equal">
      <formula>"Within limits"</formula>
    </cfRule>
    <cfRule type="cellIs" dxfId="0" priority="26" operator="equal">
      <formula>"Under capacity"</formula>
    </cfRule>
    <cfRule type="cellIs" dxfId="0" priority="27" operator="equal">
      <formula>"Complete"</formula>
    </cfRule>
    <cfRule type="cellIs" dxfId="0" priority="28" operator="equal">
      <formula>"Yes"</formula>
    </cfRule>
    <cfRule type="cellIs" dxfId="1" priority="29" operator="equal">
      <formula>"Near target"</formula>
    </cfRule>
    <cfRule type="cellIs" dxfId="1" priority="30" operator="equal">
      <formula>"Check"</formula>
    </cfRule>
    <cfRule type="cellIs" dxfId="1" priority="31" operator="equal">
      <formula>"Due soon"</formula>
    </cfRule>
    <cfRule type="cellIs" dxfId="1" priority="32" operator="equal">
      <formula>"Near capacity"</formula>
    </cfRule>
    <cfRule type="cellIs" dxfId="1" priority="33" operator="equal">
      <formula>"In progress"</formula>
    </cfRule>
    <cfRule type="cellIs" dxfId="1" priority="34" operator="equal">
      <formula>"Partial"</formula>
    </cfRule>
    <cfRule type="cellIs" dxfId="2" priority="35" operator="equal">
      <formula>"Below target"</formula>
    </cfRule>
    <cfRule type="cellIs" dxfId="2" priority="36" operator="equal">
      <formula>"Above target"</formula>
    </cfRule>
    <cfRule type="cellIs" dxfId="2" priority="37" operator="equal">
      <formula>"FAIL"</formula>
    </cfRule>
    <cfRule type="cellIs" dxfId="2" priority="38" operator="equal">
      <formula>"Over capacity"</formula>
    </cfRule>
    <cfRule type="cellIs" dxfId="2" priority="39" operator="equal">
      <formula>"Overdue"</formula>
    </cfRule>
    <cfRule type="cellIs" dxfId="2" priority="40" operator="equal">
      <formula>"Out of limits"</formula>
    </cfRule>
    <cfRule type="cellIs" dxfId="2" priority="41" operator="equal">
      <formula>"No"</formula>
    </cfRule>
  </conditionalFormatting>
  <conditionalFormatting sqref="AD7:AD526">
    <cfRule type="expression" dxfId="3" priority="42">
      <formula>$AD7="OK"</formula>
    </cfRule>
    <cfRule type="expression" dxfId="1" priority="43">
      <formula>AND($AD7&lt;&gt;"",$AD7&lt;&gt;"OK")</formula>
    </cfRule>
  </conditionalFormatting>
  <conditionalFormatting sqref="Y7:Y526">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dataValidations count="20">
    <dataValidation type="list" allowBlank="1" showInputMessage="1" showErrorMessage="1" errorTitle="Check this entry" error="Pick from the list (edit the list on Setup: Steps)." promptTitle="Process step" prompt="Pick from the list (edit the list on Setup: Steps)." sqref="B7:B526">
      <formula1>Steps</formula1>
    </dataValidation>
    <dataValidation type="textLength" allowBlank="1" showInputMessage="1" showErrorMessage="1" errorTitle="Check this entry" error="Text up to 160 characters." promptTitle="Function or requirement" prompt="Text up to 160 characters." sqref="D7:D526">
      <formula1>0</formula1>
      <formula2>160</formula2>
    </dataValidation>
    <dataValidation type="textLength" allowBlank="1" showInputMessage="1" showErrorMessage="1" errorTitle="Check this entry" error="Text up to 160 characters." promptTitle="Failure mode" prompt="Text up to 160 characters." sqref="E7:E526">
      <formula1>0</formula1>
      <formula2>160</formula2>
    </dataValidation>
    <dataValidation type="textLength" allowBlank="1" showInputMessage="1" showErrorMessage="1" errorTitle="Check this entry" error="Text up to 160 characters." promptTitle="Effect of failure" prompt="Text up to 160 characters." sqref="F7:F526">
      <formula1>0</formula1>
      <formula2>160</formula2>
    </dataValidation>
    <dataValidation type="whole" allowBlank="1" showInputMessage="1" showErrorMessage="1" errorTitle="Check this entry" error="Enter a whole number from 1 to 10." promptTitle="Severity" prompt="1 to 10 from your severity scale: 10 is the most severe effect on the customer or the next operation. Enter a whole number from 1 to 10." sqref="G7:G526">
      <formula1>1</formula1>
      <formula2>10</formula2>
    </dataValidation>
    <dataValidation type="list" allowBlank="1" showInputMessage="1" showErrorMessage="1" errorTitle="Check this entry" error="Pick from the list (edit the list on Setup: Classes)." promptTitle="Class" prompt="Special characteristic symbol, if any (see Setup). Pick from the list (edit the list on Setup: Classes)." sqref="H7:H526">
      <formula1>Classes</formula1>
    </dataValidation>
    <dataValidation type="textLength" allowBlank="1" showInputMessage="1" showErrorMessage="1" errorTitle="Check this entry" error="Text up to 160 characters." promptTitle="Cause" prompt="Text up to 160 characters." sqref="I7:I526">
      <formula1>0</formula1>
      <formula2>160</formula2>
    </dataValidation>
    <dataValidation type="textLength" allowBlank="1" showInputMessage="1" showErrorMessage="1" errorTitle="Check this entry" error="Text up to 160 characters." promptTitle="Prevention controls" prompt="Controls that prevent the cause or reduce its occurrence. Text up to 160 characters." sqref="J7:J526">
      <formula1>0</formula1>
      <formula2>160</formula2>
    </dataValidation>
    <dataValidation type="whole" allowBlank="1" showInputMessage="1" showErrorMessage="1" errorTitle="Check this entry" error="Enter a whole number from 1 to 10." promptTitle="Occurrence" prompt="1 to 10 from your occurrence scale, given the prevention controls. Enter a whole number from 1 to 10." sqref="K7:K526">
      <formula1>1</formula1>
      <formula2>10</formula2>
    </dataValidation>
    <dataValidation type="textLength" allowBlank="1" showInputMessage="1" showErrorMessage="1" errorTitle="Check this entry" error="Text up to 160 characters." promptTitle="Detection controls" prompt="Controls that detect the cause or the failure mode before the part leaves. Text up to 160 characters." sqref="L7:L526">
      <formula1>0</formula1>
      <formula2>160</formula2>
    </dataValidation>
    <dataValidation type="whole" allowBlank="1" showInputMessage="1" showErrorMessage="1" errorTitle="Check this entry" error="Enter a whole number from 1 to 10." promptTitle="Detection" prompt="1 to 10 from your detection scale: 10 means almost no chance of detection. Enter a whole number from 1 to 10." sqref="M7:M526">
      <formula1>1</formula1>
      <formula2>10</formula2>
    </dataValidation>
    <dataValidation type="list" allowBlank="1" showInputMessage="1" showErrorMessage="1" errorTitle="Check this entry" error="Pick one of: H, M, L." promptTitle="AP" prompt="Optional: Action Priority (H, M, L) read from the AIAG-VDA handbook's table by your team. Not computed here. Pick one of: H, M, L." sqref="N7:N526">
      <formula1>"H,M,L"</formula1>
    </dataValidation>
    <dataValidation type="textLength" allowBlank="1" showInputMessage="1" showErrorMessage="1" errorTitle="Check this entry" error="Text up to 200 characters." promptTitle="Recommended action" prompt="Text up to 200 characters." sqref="P7:P526">
      <formula1>0</formula1>
      <formula2>200</formula2>
    </dataValidation>
    <dataValidation type="list" allowBlank="1" showInputMessage="1" showErrorMessage="1" errorTitle="Check this entry" error="Pick from the list (edit the list on Setup: Owners)." promptTitle="Owner" prompt="Pick from the list (edit the list on Setup: Owners)." sqref="Q7:Q526">
      <formula1>Owners</formula1>
    </dataValidation>
    <dataValidation type="date" allowBlank="1" showInputMessage="1" showErrorMessage="1" errorTitle="Check this entry" error="Enter a date between 01 Jan 2000 and 31 Dec 2100." promptTitle="Due" prompt="Enter a date between 01 Jan 2000 and 31 Dec 2100." sqref="R7:R526">
      <formula1>36526</formula1>
      <formula2>73415</formula2>
    </dataValidation>
    <dataValidation type="textLength" allowBlank="1" showInputMessage="1" showErrorMessage="1" errorTitle="Check this entry" error="Text up to 200 characters." promptTitle="Action taken" prompt="Text up to 200 characters." sqref="S7:S526">
      <formula1>0</formula1>
      <formula2>200</formula2>
    </dataValidation>
    <dataValidation type="date" allowBlank="1" showInputMessage="1" showErrorMessage="1" errorTitle="Check this entry" error="Enter a date between 01 Jan 2000 and 31 Dec 2100." promptTitle="Completed" prompt="Date the action was completed and its effect confirmed. Enter a date between 01 Jan 2000 and 31 Dec 2100." sqref="T7:T526">
      <formula1>36526</formula1>
      <formula2>73415</formula2>
    </dataValidation>
    <dataValidation type="whole" allowBlank="1" showInputMessage="1" showErrorMessage="1" errorTitle="Check this entry" error="Enter a whole number from 1 to 10." promptTitle="New S" prompt="Severity after the action (only a design change usually lowers it). Enter a whole number from 1 to 10." sqref="U7:U526">
      <formula1>1</formula1>
      <formula2>10</formula2>
    </dataValidation>
    <dataValidation type="whole" allowBlank="1" showInputMessage="1" showErrorMessage="1" errorTitle="Check this entry" error="Enter a whole number from 1 to 10." promptTitle="New O" prompt="Enter a whole number from 1 to 10." sqref="V7:V526">
      <formula1>1</formula1>
      <formula2>10</formula2>
    </dataValidation>
    <dataValidation type="whole" allowBlank="1" showInputMessage="1" showErrorMessage="1" errorTitle="Check this entry" error="Enter a whole number from 1 to 10." promptTitle="New D" prompt="Enter a whole number from 1 to 10." sqref="W7:W526">
      <formula1>1</formula1>
      <formula2>10</formula2>
    </dataValidation>
  </dataValidations>
  <hyperlinks>
    <hyperlink ref="AD2" r:id="rId1" tooltip="Free manufacturing calculators and templates"/>
  </hyperlinks>
  <pageMargins left="0.4" right="0.4" top="0.7" bottom="0.65" header="0.3" footer="0.3"/>
  <pageSetup fitToHeight="0" orientation="landscape"/>
  <headerFooter>
    <oddHeader>&amp;L&amp;8MFG Calcs - Process FMEA (PFMEA)&amp;R&amp;8&amp;A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Y7:Y526</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0"/>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34" t="str">
        <f>"FMEA "&amp;FmeaNo&amp;": "&amp;PartName&amp;" ("&amp;PartNo&amp;"). RPN limit "&amp;RPNLimit&amp;", severity limit "&amp;SevLimit&amp;", actions judged at "&amp;TEXT(AsOf,"d mmm yyyy")&amp;" (Setup)."</f>
        <v>FMEA PF-450-01: Pump housing, A380 aluminium die casting (PH-450 rev D). RPN limit 100, severity limit 9, actions judged at 9 Oct 2026 (Setup).</v>
      </c>
      <c r="C4" s="34"/>
      <c r="D4" s="34"/>
      <c r="E4" s="34"/>
      <c r="F4" s="34"/>
      <c r="G4" s="34"/>
      <c r="H4" s="34"/>
      <c r="I4" s="34"/>
      <c r="J4" s="34"/>
      <c r="K4" s="34"/>
      <c r="L4" s="34"/>
    </row>
    <row r="6" spans="1:12" ht="18" customHeight="1">
      <c r="B6" s="40" t="s">
        <v>287</v>
      </c>
      <c r="C6" s="40"/>
      <c r="D6" s="40" t="s">
        <v>288</v>
      </c>
      <c r="E6" s="40"/>
      <c r="F6" s="40"/>
      <c r="G6" s="40" t="s">
        <v>289</v>
      </c>
      <c r="H6" s="40"/>
      <c r="I6" s="40"/>
      <c r="J6" s="40" t="s">
        <v>290</v>
      </c>
      <c r="K6" s="40"/>
      <c r="L6" s="40"/>
    </row>
    <row r="7" spans="1:12" ht="21" customHeight="1">
      <c r="B7" s="41">
        <f>COUNTIFS(tblFmea[Process step],"&lt;&gt;")</f>
        <v>20</v>
      </c>
      <c r="C7" s="41"/>
      <c r="D7" s="41">
        <f>COUNTIFS(tblFmea[Risk],"Out of limits")</f>
        <v>5</v>
      </c>
      <c r="E7" s="41"/>
      <c r="F7" s="41"/>
      <c r="G7" s="41">
        <f>IF(COUNT(tblFmea[Current RPN])=0,"",MAX(tblFmea[Current RPN]))</f>
        <v>189</v>
      </c>
      <c r="H7" s="41"/>
      <c r="I7" s="41"/>
      <c r="J7" s="41">
        <f>COUNTIFS(tblFmea[Action status],"Overdue")</f>
        <v>2</v>
      </c>
      <c r="K7" s="41"/>
      <c r="L7" s="41"/>
    </row>
    <row r="8" spans="1:12" ht="21" customHeight="1">
      <c r="B8" s="41"/>
      <c r="C8" s="41"/>
      <c r="D8" s="41"/>
      <c r="E8" s="41"/>
      <c r="F8" s="41"/>
      <c r="G8" s="41"/>
      <c r="H8" s="41"/>
      <c r="I8" s="41"/>
      <c r="J8" s="41"/>
      <c r="K8" s="41"/>
      <c r="L8" s="41"/>
    </row>
    <row r="9" spans="1:12">
      <c r="B9" s="42" t="s">
        <v>291</v>
      </c>
      <c r="C9" s="42"/>
      <c r="D9" s="43">
        <f>0</f>
        <v>0</v>
      </c>
      <c r="E9" s="43"/>
      <c r="F9" s="43"/>
      <c r="G9" s="44">
        <f>RPNLimit</f>
        <v>100</v>
      </c>
      <c r="H9" s="44"/>
      <c r="I9" s="44"/>
      <c r="J9" s="43">
        <f>0</f>
        <v>0</v>
      </c>
      <c r="K9" s="43"/>
      <c r="L9" s="43"/>
    </row>
    <row r="10" spans="1:12" ht="18" customHeight="1">
      <c r="B10" s="45"/>
      <c r="C10" s="45"/>
      <c r="D10" s="45" t="str">
        <f>IF(NOT(ISNUMBER(KpiOut)),"No data",IF(KpiOut&lt;=(0),"On target",IF(KpiOut&lt;=(0)*(1+0.05),"Near target","Above target")))</f>
        <v>Above target</v>
      </c>
      <c r="E10" s="45"/>
      <c r="F10" s="45"/>
      <c r="G10" s="45" t="str">
        <f>IF(NOT(ISNUMBER(KpiMax)),"No data",IF(KpiMax&lt;=(RPNLimit),"On target",IF(KpiMax&lt;=(RPNLimit)*(1+0.0001),"Near target","Above target")))</f>
        <v>Above target</v>
      </c>
      <c r="H10" s="45"/>
      <c r="I10" s="45"/>
      <c r="J10" s="45" t="str">
        <f>IF(NOT(ISNUMBER(KpiOverdue)),"No data",IF(KpiOverdue&lt;=(0),"On target",IF(KpiOverdue&lt;=(0)*(1+0.05),"Near target","Above target")))</f>
        <v>Above target</v>
      </c>
      <c r="K10" s="45"/>
      <c r="L10" s="45"/>
    </row>
    <row r="29" spans="2:12" ht="18" customHeight="1">
      <c r="B29" s="40" t="s">
        <v>292</v>
      </c>
      <c r="C29" s="40"/>
      <c r="D29" s="40" t="s">
        <v>293</v>
      </c>
      <c r="E29" s="40"/>
      <c r="F29" s="40"/>
      <c r="G29" s="40" t="s">
        <v>294</v>
      </c>
      <c r="H29" s="40"/>
      <c r="I29" s="40"/>
      <c r="J29" s="40" t="s">
        <v>295</v>
      </c>
      <c r="K29" s="40"/>
      <c r="L29" s="40"/>
    </row>
    <row r="30" spans="2:12" ht="21" customHeight="1">
      <c r="B30" s="41">
        <f>COUNTIFS(tblFmea[Action status],"Complete")</f>
        <v>4</v>
      </c>
      <c r="C30" s="41"/>
      <c r="D30" s="46">
        <f>IF(SUMIFS(tblFmea[RPN],tblFmea[Action status],"Complete")=0,"",1-SUMIFS(tblFmea[Current RPN],tblFmea[Action status],"Complete")/SUMIFS(tblFmea[RPN],tblFmea[Action status],"Complete"))</f>
        <v>0.497400346620451</v>
      </c>
      <c r="E30" s="46"/>
      <c r="F30" s="46"/>
      <c r="G30" s="41">
        <f>COUNTIFS(tblFmea[Current S],"&gt;="&amp;SevLimit)</f>
        <v>3</v>
      </c>
      <c r="H30" s="41"/>
      <c r="I30" s="41"/>
      <c r="J30" s="41">
        <f>COUNTIFS(tblFmea[Process step],"&lt;&gt;",tblFmea[Class],"&lt;&gt;")</f>
        <v>8</v>
      </c>
      <c r="K30" s="41"/>
      <c r="L30" s="41"/>
    </row>
    <row r="31" spans="2:12" ht="21" customHeight="1">
      <c r="B31" s="41"/>
      <c r="C31" s="41"/>
      <c r="D31" s="46"/>
      <c r="E31" s="46"/>
      <c r="F31" s="46"/>
      <c r="G31" s="41"/>
      <c r="H31" s="41"/>
      <c r="I31" s="41"/>
      <c r="J31" s="41"/>
      <c r="K31" s="41"/>
      <c r="L31" s="41"/>
    </row>
    <row r="32" spans="2:12">
      <c r="B32" s="42" t="s">
        <v>296</v>
      </c>
      <c r="C32" s="42"/>
      <c r="D32" s="42" t="s">
        <v>297</v>
      </c>
      <c r="E32" s="42"/>
      <c r="F32" s="42"/>
      <c r="G32" s="42" t="s">
        <v>298</v>
      </c>
      <c r="H32" s="42"/>
      <c r="I32" s="42"/>
      <c r="J32" s="42" t="s">
        <v>299</v>
      </c>
      <c r="K32" s="42"/>
      <c r="L32" s="42"/>
    </row>
    <row r="33" spans="2:12" ht="18" customHeight="1">
      <c r="B33" s="45"/>
      <c r="C33" s="45"/>
      <c r="D33" s="45"/>
      <c r="E33" s="45"/>
      <c r="F33" s="45"/>
      <c r="G33" s="45"/>
      <c r="H33" s="45"/>
      <c r="I33" s="45"/>
      <c r="J33" s="45"/>
      <c r="K33" s="45"/>
      <c r="L33" s="45"/>
    </row>
    <row r="35" spans="2:12">
      <c r="B35" s="32" t="s">
        <v>300</v>
      </c>
      <c r="C35" s="32"/>
      <c r="D35" s="32"/>
      <c r="E35" s="32"/>
      <c r="F35" s="32"/>
      <c r="G35" s="32"/>
      <c r="H35" s="32"/>
      <c r="I35" s="32"/>
      <c r="J35" s="32"/>
      <c r="K35" s="32"/>
      <c r="L35" s="32"/>
    </row>
    <row r="36" spans="2:12" ht="20" customHeight="1">
      <c r="B36" s="47" t="s">
        <v>153</v>
      </c>
      <c r="C36" s="33" t="s">
        <v>301</v>
      </c>
      <c r="D36" s="33" t="s">
        <v>302</v>
      </c>
      <c r="E36" s="33"/>
      <c r="F36" s="33"/>
      <c r="G36" s="33"/>
      <c r="H36" s="33" t="s">
        <v>303</v>
      </c>
      <c r="I36" s="33" t="s">
        <v>304</v>
      </c>
      <c r="J36" s="33" t="s">
        <v>305</v>
      </c>
      <c r="K36" s="33" t="s">
        <v>151</v>
      </c>
      <c r="L36" s="33" t="s">
        <v>306</v>
      </c>
    </row>
    <row r="37" spans="2:12">
      <c r="B37" s="48">
        <v>1</v>
      </c>
      <c r="C37" s="49">
        <f>IFERROR(MATCH($B$37,tblFmea[Rank],0),"")</f>
        <v>10</v>
      </c>
      <c r="D37" s="36" t="str">
        <f>IF($C$37="","",INDEX(tblFmea[Process step],$C$37)&amp;": "&amp;INDEX(tblFmea[Failure mode],$C$37))</f>
        <v>OP50 Shot blast: Blast media left in a cored passage</v>
      </c>
      <c r="E37" s="36"/>
      <c r="F37" s="36"/>
      <c r="G37" s="36"/>
      <c r="H37" s="37">
        <f>IF($C$37="","",INDEX(tblFmea[Current S],$C$37))</f>
        <v>9</v>
      </c>
      <c r="I37" s="37">
        <f>IF($C$37="","",INDEX(tblFmea[RPN],$C$37))</f>
        <v>189</v>
      </c>
      <c r="J37" s="37">
        <f>IF($C$37="","",INDEX(tblFmea[Current RPN],$C$37))</f>
        <v>189</v>
      </c>
      <c r="K37" s="36" t="str">
        <f>IF($C$37="","",INDEX(tblFmea[Risk],$C$37))</f>
        <v>Out of limits</v>
      </c>
      <c r="L37" s="36" t="str">
        <f>IF($C$37="","",INDEX(tblFmea[Action status],$C$37))</f>
        <v>Overdue</v>
      </c>
    </row>
    <row r="38" spans="2:12">
      <c r="B38" s="48">
        <f>$B$37+1</f>
        <v>2</v>
      </c>
      <c r="C38" s="49">
        <f>IFERROR(MATCH($B$38,tblFmea[Rank],0),"")</f>
        <v>5</v>
      </c>
      <c r="D38" s="36" t="str">
        <f>IF($C$38="","",INDEX(tblFmea[Process step],$C$38)&amp;": "&amp;INDEX(tblFmea[Failure mode],$C$38))</f>
        <v>OP30 Die cast: Shrink porosity at the sealing face</v>
      </c>
      <c r="E38" s="36"/>
      <c r="F38" s="36"/>
      <c r="G38" s="36"/>
      <c r="H38" s="37">
        <f>IF($C$38="","",INDEX(tblFmea[Current S],$C$38))</f>
        <v>9</v>
      </c>
      <c r="I38" s="37">
        <f>IF($C$38="","",INDEX(tblFmea[RPN],$C$38))</f>
        <v>180</v>
      </c>
      <c r="J38" s="37">
        <f>IF($C$38="","",INDEX(tblFmea[Current RPN],$C$38))</f>
        <v>180</v>
      </c>
      <c r="K38" s="36" t="str">
        <f>IF($C$38="","",INDEX(tblFmea[Risk],$C$38))</f>
        <v>Out of limits</v>
      </c>
      <c r="L38" s="36" t="str">
        <f>IF($C$38="","",INDEX(tblFmea[Action status],$C$38))</f>
        <v>Overdue</v>
      </c>
    </row>
    <row r="39" spans="2:12">
      <c r="B39" s="48">
        <f>$B$38+1</f>
        <v>3</v>
      </c>
      <c r="C39" s="49">
        <f>IFERROR(MATCH($B$39,tblFmea[Rank],0),"")</f>
        <v>7</v>
      </c>
      <c r="D39" s="36" t="str">
        <f>IF($C$39="","",INDEX(tblFmea[Process step],$C$39)&amp;": "&amp;INDEX(tblFmea[Failure mode],$C$39))</f>
        <v>OP30 Die cast: Cold shut on rib</v>
      </c>
      <c r="E39" s="36"/>
      <c r="F39" s="36"/>
      <c r="G39" s="36"/>
      <c r="H39" s="37">
        <f>IF($C$39="","",INDEX(tblFmea[Current S],$C$39))</f>
        <v>8</v>
      </c>
      <c r="I39" s="37">
        <f>IF($C$39="","",INDEX(tblFmea[RPN],$C$39))</f>
        <v>144</v>
      </c>
      <c r="J39" s="37">
        <f>IF($C$39="","",INDEX(tblFmea[Current RPN],$C$39))</f>
        <v>144</v>
      </c>
      <c r="K39" s="36" t="str">
        <f>IF($C$39="","",INDEX(tblFmea[Risk],$C$39))</f>
        <v>Out of limits</v>
      </c>
      <c r="L39" s="36" t="str">
        <f>IF($C$39="","",INDEX(tblFmea[Action status],$C$39))</f>
        <v>In progress</v>
      </c>
    </row>
    <row r="40" spans="2:12">
      <c r="B40" s="48">
        <f>$B$39+1</f>
        <v>4</v>
      </c>
      <c r="C40" s="49">
        <f>IFERROR(MATCH($B$40,tblFmea[Rank],0),"")</f>
        <v>12</v>
      </c>
      <c r="D40" s="36" t="str">
        <f>IF($C$40="","",INDEX(tblFmea[Process step],$C$40)&amp;": "&amp;INDEX(tblFmea[Failure mode],$C$40))</f>
        <v>OP60 Machine: Bore oversize</v>
      </c>
      <c r="E40" s="36"/>
      <c r="F40" s="36"/>
      <c r="G40" s="36"/>
      <c r="H40" s="37">
        <f>IF($C$40="","",INDEX(tblFmea[Current S],$C$40))</f>
        <v>7</v>
      </c>
      <c r="I40" s="37">
        <f>IF($C$40="","",INDEX(tblFmea[RPN],$C$40))</f>
        <v>112</v>
      </c>
      <c r="J40" s="37">
        <f>IF($C$40="","",INDEX(tblFmea[Current RPN],$C$40))</f>
        <v>112</v>
      </c>
      <c r="K40" s="36" t="str">
        <f>IF($C$40="","",INDEX(tblFmea[Risk],$C$40))</f>
        <v>Out of limits</v>
      </c>
      <c r="L40" s="36" t="str">
        <f>IF($C$40="","",INDEX(tblFmea[Action status],$C$40))</f>
        <v>In progress</v>
      </c>
    </row>
    <row r="41" spans="2:12">
      <c r="B41" s="48">
        <f>$B$40+1</f>
        <v>5</v>
      </c>
      <c r="C41" s="49">
        <f>IFERROR(MATCH($B$41,tblFmea[Rank],0),"")</f>
        <v>19</v>
      </c>
      <c r="D41" s="36" t="str">
        <f>IF($C$41="","",INDEX(tblFmea[Process step],$C$41)&amp;": "&amp;INDEX(tblFmea[Failure mode],$C$41))</f>
        <v>OP80 Wash and pack: Parts damaged in transit</v>
      </c>
      <c r="E41" s="36"/>
      <c r="F41" s="36"/>
      <c r="G41" s="36"/>
      <c r="H41" s="37">
        <f>IF($C$41="","",INDEX(tblFmea[Current S],$C$41))</f>
        <v>6</v>
      </c>
      <c r="I41" s="37">
        <f>IF($C$41="","",INDEX(tblFmea[RPN],$C$41))</f>
        <v>108</v>
      </c>
      <c r="J41" s="37">
        <f>IF($C$41="","",INDEX(tblFmea[Current RPN],$C$41))</f>
        <v>108</v>
      </c>
      <c r="K41" s="36" t="str">
        <f>IF($C$41="","",INDEX(tblFmea[Risk],$C$41))</f>
        <v>Out of limits</v>
      </c>
      <c r="L41" s="36" t="str">
        <f>IF($C$41="","",INDEX(tblFmea[Action status],$C$41))</f>
        <v>Due soon</v>
      </c>
    </row>
    <row r="42" spans="2:12">
      <c r="B42" s="48">
        <f>$B$41+1</f>
        <v>6</v>
      </c>
      <c r="C42" s="49">
        <f>IFERROR(MATCH($B$42,tblFmea[Rank],0),"")</f>
        <v>8</v>
      </c>
      <c r="D42" s="36" t="str">
        <f>IF($C$42="","",INDEX(tblFmea[Process step],$C$42)&amp;": "&amp;INDEX(tblFmea[Failure mode],$C$42))</f>
        <v>OP40 Trim: Flash left on the sealing face</v>
      </c>
      <c r="E42" s="36"/>
      <c r="F42" s="36"/>
      <c r="G42" s="36"/>
      <c r="H42" s="37">
        <f>IF($C$42="","",INDEX(tblFmea[Current S],$C$42))</f>
        <v>7</v>
      </c>
      <c r="I42" s="37">
        <f>IF($C$42="","",INDEX(tblFmea[RPN],$C$42))</f>
        <v>168</v>
      </c>
      <c r="J42" s="37">
        <f>IF($C$42="","",INDEX(tblFmea[Current RPN],$C$42))</f>
        <v>84</v>
      </c>
      <c r="K42" s="36" t="str">
        <f>IF($C$42="","",INDEX(tblFmea[Risk],$C$42))</f>
        <v>Within limits</v>
      </c>
      <c r="L42" s="36" t="str">
        <f>IF($C$42="","",INDEX(tblFmea[Action status],$C$42))</f>
        <v>Complete</v>
      </c>
    </row>
    <row r="43" spans="2:12">
      <c r="B43" s="48">
        <f>$B$42+1</f>
        <v>7</v>
      </c>
      <c r="C43" s="49">
        <f>IFERROR(MATCH($B$43,tblFmea[Rank],0),"")</f>
        <v>14</v>
      </c>
      <c r="D43" s="36" t="str">
        <f>IF($C$43="","",INDEX(tblFmea[Process step],$C$43)&amp;": "&amp;INDEX(tblFmea[Failure mode],$C$43))</f>
        <v>OP60 Machine: Thread missing</v>
      </c>
      <c r="E43" s="36"/>
      <c r="F43" s="36"/>
      <c r="G43" s="36"/>
      <c r="H43" s="37">
        <f>IF($C$43="","",INDEX(tblFmea[Current S],$C$43))</f>
        <v>7</v>
      </c>
      <c r="I43" s="37">
        <f>IF($C$43="","",INDEX(tblFmea[RPN],$C$43))</f>
        <v>84</v>
      </c>
      <c r="J43" s="37">
        <f>IF($C$43="","",INDEX(tblFmea[Current RPN],$C$43))</f>
        <v>84</v>
      </c>
      <c r="K43" s="36" t="str">
        <f>IF($C$43="","",INDEX(tblFmea[Risk],$C$43))</f>
        <v>Within limits</v>
      </c>
      <c r="L43" s="36">
        <f>IF($C$43="","",INDEX(tblFmea[Action status],$C$43))</f>
        <v/>
      </c>
    </row>
    <row r="44" spans="2:12">
      <c r="B44" s="48">
        <f>$B$43+1</f>
        <v>8</v>
      </c>
      <c r="C44" s="49">
        <f>IFERROR(MATCH($B$44,tblFmea[Rank],0),"")</f>
        <v>18</v>
      </c>
      <c r="D44" s="36" t="str">
        <f>IF($C$44="","",INDEX(tblFmea[Process step],$C$44)&amp;": "&amp;INDEX(tblFmea[Failure mode],$C$44))</f>
        <v>OP80 Wash and pack: Particulate above limit</v>
      </c>
      <c r="E44" s="36"/>
      <c r="F44" s="36"/>
      <c r="G44" s="36"/>
      <c r="H44" s="37">
        <f>IF($C$44="","",INDEX(tblFmea[Current S],$C$44))</f>
        <v>7</v>
      </c>
      <c r="I44" s="37">
        <f>IF($C$44="","",INDEX(tblFmea[RPN],$C$44))</f>
        <v>84</v>
      </c>
      <c r="J44" s="37">
        <f>IF($C$44="","",INDEX(tblFmea[Current RPN],$C$44))</f>
        <v>84</v>
      </c>
      <c r="K44" s="36" t="str">
        <f>IF($C$44="","",INDEX(tblFmea[Risk],$C$44))</f>
        <v>Within limits</v>
      </c>
      <c r="L44" s="36">
        <f>IF($C$44="","",INDEX(tblFmea[Action status],$C$44))</f>
        <v/>
      </c>
    </row>
    <row r="45" spans="2:12">
      <c r="B45" s="48">
        <f>$B$44+1</f>
        <v>9</v>
      </c>
      <c r="C45" s="49">
        <f>IFERROR(MATCH($B$45,tblFmea[Rank],0),"")</f>
        <v>6</v>
      </c>
      <c r="D45" s="36" t="str">
        <f>IF($C$45="","",INDEX(tblFmea[Process step],$C$45)&amp;": "&amp;INDEX(tblFmea[Failure mode],$C$45))</f>
        <v>OP30 Die cast: Die soldering, dimension out</v>
      </c>
      <c r="E45" s="36"/>
      <c r="F45" s="36"/>
      <c r="G45" s="36"/>
      <c r="H45" s="37">
        <f>IF($C$45="","",INDEX(tblFmea[Current S],$C$45))</f>
        <v>5</v>
      </c>
      <c r="I45" s="37">
        <f>IF($C$45="","",INDEX(tblFmea[RPN],$C$45))</f>
        <v>80</v>
      </c>
      <c r="J45" s="37">
        <f>IF($C$45="","",INDEX(tblFmea[Current RPN],$C$45))</f>
        <v>80</v>
      </c>
      <c r="K45" s="36" t="str">
        <f>IF($C$45="","",INDEX(tblFmea[Risk],$C$45))</f>
        <v>Within limits</v>
      </c>
      <c r="L45" s="36">
        <f>IF($C$45="","",INDEX(tblFmea[Action status],$C$45))</f>
        <v/>
      </c>
    </row>
    <row r="46" spans="2:12">
      <c r="B46" s="48">
        <f>$B$45+1</f>
        <v>10</v>
      </c>
      <c r="C46" s="49">
        <f>IFERROR(MATCH($B$46,tblFmea[Rank],0),"")</f>
        <v>9</v>
      </c>
      <c r="D46" s="36" t="str">
        <f>IF($C$46="","",INDEX(tblFmea[Process step],$C$46)&amp;": "&amp;INDEX(tblFmea[Failure mode],$C$46))</f>
        <v>OP40 Trim: Casting cracked by the trim press</v>
      </c>
      <c r="E46" s="36"/>
      <c r="F46" s="36"/>
      <c r="G46" s="36"/>
      <c r="H46" s="37">
        <f>IF($C$46="","",INDEX(tblFmea[Current S],$C$46))</f>
        <v>8</v>
      </c>
      <c r="I46" s="37">
        <f>IF($C$46="","",INDEX(tblFmea[RPN],$C$46))</f>
        <v>80</v>
      </c>
      <c r="J46" s="37">
        <f>IF($C$46="","",INDEX(tblFmea[Current RPN],$C$46))</f>
        <v>80</v>
      </c>
      <c r="K46" s="36" t="str">
        <f>IF($C$46="","",INDEX(tblFmea[Risk],$C$46))</f>
        <v>Within limits</v>
      </c>
      <c r="L46" s="36">
        <f>IF($C$46="","",INDEX(tblFmea[Action status],$C$46))</f>
        <v/>
      </c>
    </row>
    <row r="48" spans="2:12">
      <c r="B48" s="32" t="s">
        <v>307</v>
      </c>
      <c r="C48" s="32"/>
      <c r="D48" s="32"/>
      <c r="E48" s="32"/>
      <c r="F48" s="32"/>
      <c r="G48" s="32"/>
      <c r="H48" s="32"/>
    </row>
    <row r="49" spans="2:12" ht="32" customHeight="1">
      <c r="B49" s="47" t="s">
        <v>60</v>
      </c>
      <c r="C49" s="33" t="s">
        <v>308</v>
      </c>
      <c r="D49" s="33" t="s">
        <v>309</v>
      </c>
      <c r="E49" s="33" t="s">
        <v>310</v>
      </c>
      <c r="F49" s="33" t="s">
        <v>311</v>
      </c>
      <c r="G49" s="33" t="s">
        <v>312</v>
      </c>
      <c r="H49" s="33" t="s">
        <v>81</v>
      </c>
    </row>
    <row r="50" spans="2:12">
      <c r="B50" s="50" t="str">
        <f>IFERROR(INDEX(tblSteps[Process step],1)&amp;"","")</f>
        <v>OP10 Melt</v>
      </c>
      <c r="C50" s="37">
        <f>IF($B$50="","",COUNTIFS(tblFmea[Process step],$B$50))</f>
        <v>2</v>
      </c>
      <c r="D50" s="37">
        <f>IF($B$50="","",SUMPRODUCT(MAX((tblFmea[Process step]=$B$50)*tblFmea[Severity]*tblFmea[Occurrence]*tblFmea[Detection])))</f>
        <v>54</v>
      </c>
      <c r="E50" s="37">
        <f>IF($B$50="","",SUMPRODUCT(MAX((tblFmea[Process step]=$B$50)*(tblFmea[Severity]*tblFmea[Occurrence]*tblFmea[Detection]+(tblFmea[Completed]&gt;0)*(tblFmea[New S]&gt;0)*(tblFmea[New O]&gt;0)*(tblFmea[New D]&gt;0)*(tblFmea[New S]*tblFmea[New O]*tblFmea[New D]-tblFmea[Severity]*tblFmea[Occurrence]*tblFmea[Detection])))))</f>
        <v>54</v>
      </c>
      <c r="F50" s="37">
        <f>IF($B$50="","",COUNTIFS(tblFmea[Process step],$B$50,tblFmea[Risk],"Out of limits"))</f>
        <v>0</v>
      </c>
      <c r="G50" s="37">
        <f>IF($B$50="","",COUNTIFS(tblFmea[Process step],$B$50,tblFmea[Recommended action],"&lt;&gt;")-COUNTIFS(tblFmea[Process step],$B$50,tblFmea[Action status],"Complete"))</f>
        <v>0</v>
      </c>
      <c r="H50" s="49">
        <f>RPNLimit</f>
        <v>100</v>
      </c>
    </row>
    <row r="51" spans="2:12">
      <c r="B51" s="50" t="str">
        <f>IFERROR(INDEX(tblSteps[Process step],2)&amp;"","")</f>
        <v>OP20 Degas</v>
      </c>
      <c r="C51" s="37">
        <f>IF($B$51="","",COUNTIFS(tblFmea[Process step],$B$51))</f>
        <v>2</v>
      </c>
      <c r="D51" s="37">
        <f>IF($B$51="","",SUMPRODUCT(MAX((tblFmea[Process step]=$B$51)*tblFmea[Severity]*tblFmea[Occurrence]*tblFmea[Detection])))</f>
        <v>160</v>
      </c>
      <c r="E51" s="37">
        <f>IF($B$51="","",SUMPRODUCT(MAX((tblFmea[Process step]=$B$51)*(tblFmea[Severity]*tblFmea[Occurrence]*tblFmea[Detection]+(tblFmea[Completed]&gt;0)*(tblFmea[New S]&gt;0)*(tblFmea[New O]&gt;0)*(tblFmea[New D]&gt;0)*(tblFmea[New S]*tblFmea[New O]*tblFmea[New D]-tblFmea[Severity]*tblFmea[Occurrence]*tblFmea[Detection])))))</f>
        <v>72</v>
      </c>
      <c r="F51" s="37">
        <f>IF($B$51="","",COUNTIFS(tblFmea[Process step],$B$51,tblFmea[Risk],"Out of limits"))</f>
        <v>0</v>
      </c>
      <c r="G51" s="37">
        <f>IF($B$51="","",COUNTIFS(tblFmea[Process step],$B$51,tblFmea[Recommended action],"&lt;&gt;")-COUNTIFS(tblFmea[Process step],$B$51,tblFmea[Action status],"Complete"))</f>
        <v>0</v>
      </c>
      <c r="H51" s="49">
        <f>RPNLimit</f>
        <v>100</v>
      </c>
    </row>
    <row r="52" spans="2:12">
      <c r="B52" s="50" t="str">
        <f>IFERROR(INDEX(tblSteps[Process step],3)&amp;"","")</f>
        <v>OP30 Die cast</v>
      </c>
      <c r="C52" s="37">
        <f>IF($B$52="","",COUNTIFS(tblFmea[Process step],$B$52))</f>
        <v>3</v>
      </c>
      <c r="D52" s="37">
        <f>IF($B$52="","",SUMPRODUCT(MAX((tblFmea[Process step]=$B$52)*tblFmea[Severity]*tblFmea[Occurrence]*tblFmea[Detection])))</f>
        <v>180</v>
      </c>
      <c r="E52" s="37">
        <f>IF($B$52="","",SUMPRODUCT(MAX((tblFmea[Process step]=$B$52)*(tblFmea[Severity]*tblFmea[Occurrence]*tblFmea[Detection]+(tblFmea[Completed]&gt;0)*(tblFmea[New S]&gt;0)*(tblFmea[New O]&gt;0)*(tblFmea[New D]&gt;0)*(tblFmea[New S]*tblFmea[New O]*tblFmea[New D]-tblFmea[Severity]*tblFmea[Occurrence]*tblFmea[Detection])))))</f>
        <v>180</v>
      </c>
      <c r="F52" s="37">
        <f>IF($B$52="","",COUNTIFS(tblFmea[Process step],$B$52,tblFmea[Risk],"Out of limits"))</f>
        <v>2</v>
      </c>
      <c r="G52" s="37">
        <f>IF($B$52="","",COUNTIFS(tblFmea[Process step],$B$52,tblFmea[Recommended action],"&lt;&gt;")-COUNTIFS(tblFmea[Process step],$B$52,tblFmea[Action status],"Complete"))</f>
        <v>2</v>
      </c>
      <c r="H52" s="49">
        <f>RPNLimit</f>
        <v>100</v>
      </c>
    </row>
    <row r="53" spans="2:12">
      <c r="B53" s="50" t="str">
        <f>IFERROR(INDEX(tblSteps[Process step],4)&amp;"","")</f>
        <v>OP40 Trim</v>
      </c>
      <c r="C53" s="37">
        <f>IF($B$53="","",COUNTIFS(tblFmea[Process step],$B$53))</f>
        <v>2</v>
      </c>
      <c r="D53" s="37">
        <f>IF($B$53="","",SUMPRODUCT(MAX((tblFmea[Process step]=$B$53)*tblFmea[Severity]*tblFmea[Occurrence]*tblFmea[Detection])))</f>
        <v>168</v>
      </c>
      <c r="E53" s="37">
        <f>IF($B$53="","",SUMPRODUCT(MAX((tblFmea[Process step]=$B$53)*(tblFmea[Severity]*tblFmea[Occurrence]*tblFmea[Detection]+(tblFmea[Completed]&gt;0)*(tblFmea[New S]&gt;0)*(tblFmea[New O]&gt;0)*(tblFmea[New D]&gt;0)*(tblFmea[New S]*tblFmea[New O]*tblFmea[New D]-tblFmea[Severity]*tblFmea[Occurrence]*tblFmea[Detection])))))</f>
        <v>84</v>
      </c>
      <c r="F53" s="37">
        <f>IF($B$53="","",COUNTIFS(tblFmea[Process step],$B$53,tblFmea[Risk],"Out of limits"))</f>
        <v>0</v>
      </c>
      <c r="G53" s="37">
        <f>IF($B$53="","",COUNTIFS(tblFmea[Process step],$B$53,tblFmea[Recommended action],"&lt;&gt;")-COUNTIFS(tblFmea[Process step],$B$53,tblFmea[Action status],"Complete"))</f>
        <v>0</v>
      </c>
      <c r="H53" s="49">
        <f>RPNLimit</f>
        <v>100</v>
      </c>
    </row>
    <row r="54" spans="2:12">
      <c r="B54" s="50" t="str">
        <f>IFERROR(INDEX(tblSteps[Process step],5)&amp;"","")</f>
        <v>OP50 Shot blast</v>
      </c>
      <c r="C54" s="37">
        <f>IF($B$54="","",COUNTIFS(tblFmea[Process step],$B$54))</f>
        <v>2</v>
      </c>
      <c r="D54" s="37">
        <f>IF($B$54="","",SUMPRODUCT(MAX((tblFmea[Process step]=$B$54)*tblFmea[Severity]*tblFmea[Occurrence]*tblFmea[Detection])))</f>
        <v>189</v>
      </c>
      <c r="E54" s="37">
        <f>IF($B$54="","",SUMPRODUCT(MAX((tblFmea[Process step]=$B$54)*(tblFmea[Severity]*tblFmea[Occurrence]*tblFmea[Detection]+(tblFmea[Completed]&gt;0)*(tblFmea[New S]&gt;0)*(tblFmea[New O]&gt;0)*(tblFmea[New D]&gt;0)*(tblFmea[New S]*tblFmea[New O]*tblFmea[New D]-tblFmea[Severity]*tblFmea[Occurrence]*tblFmea[Detection])))))</f>
        <v>189</v>
      </c>
      <c r="F54" s="37">
        <f>IF($B$54="","",COUNTIFS(tblFmea[Process step],$B$54,tblFmea[Risk],"Out of limits"))</f>
        <v>1</v>
      </c>
      <c r="G54" s="37">
        <f>IF($B$54="","",COUNTIFS(tblFmea[Process step],$B$54,tblFmea[Recommended action],"&lt;&gt;")-COUNTIFS(tblFmea[Process step],$B$54,tblFmea[Action status],"Complete"))</f>
        <v>1</v>
      </c>
      <c r="H54" s="49">
        <f>RPNLimit</f>
        <v>100</v>
      </c>
    </row>
    <row r="55" spans="2:12">
      <c r="B55" s="50" t="str">
        <f>IFERROR(INDEX(tblSteps[Process step],6)&amp;"","")</f>
        <v>OP60 Machine</v>
      </c>
      <c r="C55" s="37">
        <f>IF($B$55="","",COUNTIFS(tblFmea[Process step],$B$55))</f>
        <v>4</v>
      </c>
      <c r="D55" s="37">
        <f>IF($B$55="","",SUMPRODUCT(MAX((tblFmea[Process step]=$B$55)*tblFmea[Severity]*tblFmea[Occurrence]*tblFmea[Detection])))</f>
        <v>112</v>
      </c>
      <c r="E55" s="37">
        <f>IF($B$55="","",SUMPRODUCT(MAX((tblFmea[Process step]=$B$55)*(tblFmea[Severity]*tblFmea[Occurrence]*tblFmea[Detection]+(tblFmea[Completed]&gt;0)*(tblFmea[New S]&gt;0)*(tblFmea[New O]&gt;0)*(tblFmea[New D]&gt;0)*(tblFmea[New S]*tblFmea[New O]*tblFmea[New D]-tblFmea[Severity]*tblFmea[Occurrence]*tblFmea[Detection])))))</f>
        <v>112</v>
      </c>
      <c r="F55" s="37">
        <f>IF($B$55="","",COUNTIFS(tblFmea[Process step],$B$55,tblFmea[Risk],"Out of limits"))</f>
        <v>1</v>
      </c>
      <c r="G55" s="37">
        <f>IF($B$55="","",COUNTIFS(tblFmea[Process step],$B$55,tblFmea[Recommended action],"&lt;&gt;")-COUNTIFS(tblFmea[Process step],$B$55,tblFmea[Action status],"Complete"))</f>
        <v>1</v>
      </c>
      <c r="H55" s="49">
        <f>RPNLimit</f>
        <v>100</v>
      </c>
    </row>
    <row r="56" spans="2:12">
      <c r="B56" s="50" t="str">
        <f>IFERROR(INDEX(tblSteps[Process step],7)&amp;"","")</f>
        <v>OP70 Leak test</v>
      </c>
      <c r="C56" s="37">
        <f>IF($B$56="","",COUNTIFS(tblFmea[Process step],$B$56))</f>
        <v>2</v>
      </c>
      <c r="D56" s="37">
        <f>IF($B$56="","",SUMPRODUCT(MAX((tblFmea[Process step]=$B$56)*tblFmea[Severity]*tblFmea[Occurrence]*tblFmea[Detection])))</f>
        <v>54</v>
      </c>
      <c r="E56" s="37">
        <f>IF($B$56="","",SUMPRODUCT(MAX((tblFmea[Process step]=$B$56)*(tblFmea[Severity]*tblFmea[Occurrence]*tblFmea[Detection]+(tblFmea[Completed]&gt;0)*(tblFmea[New S]&gt;0)*(tblFmea[New O]&gt;0)*(tblFmea[New D]&gt;0)*(tblFmea[New S]*tblFmea[New O]*tblFmea[New D]-tblFmea[Severity]*tblFmea[Occurrence]*tblFmea[Detection])))))</f>
        <v>54</v>
      </c>
      <c r="F56" s="37">
        <f>IF($B$56="","",COUNTIFS(tblFmea[Process step],$B$56,tblFmea[Risk],"Out of limits"))</f>
        <v>0</v>
      </c>
      <c r="G56" s="37">
        <f>IF($B$56="","",COUNTIFS(tblFmea[Process step],$B$56,tblFmea[Recommended action],"&lt;&gt;")-COUNTIFS(tblFmea[Process step],$B$56,tblFmea[Action status],"Complete"))</f>
        <v>0</v>
      </c>
      <c r="H56" s="49">
        <f>RPNLimit</f>
        <v>100</v>
      </c>
    </row>
    <row r="57" spans="2:12">
      <c r="B57" s="50" t="str">
        <f>IFERROR(INDEX(tblSteps[Process step],8)&amp;"","")</f>
        <v>OP80 Wash and pack</v>
      </c>
      <c r="C57" s="37">
        <f>IF($B$57="","",COUNTIFS(tblFmea[Process step],$B$57))</f>
        <v>3</v>
      </c>
      <c r="D57" s="37">
        <f>IF($B$57="","",SUMPRODUCT(MAX((tblFmea[Process step]=$B$57)*tblFmea[Severity]*tblFmea[Occurrence]*tblFmea[Detection])))</f>
        <v>108</v>
      </c>
      <c r="E57" s="37">
        <f>IF($B$57="","",SUMPRODUCT(MAX((tblFmea[Process step]=$B$57)*(tblFmea[Severity]*tblFmea[Occurrence]*tblFmea[Detection]+(tblFmea[Completed]&gt;0)*(tblFmea[New S]&gt;0)*(tblFmea[New O]&gt;0)*(tblFmea[New D]&gt;0)*(tblFmea[New S]*tblFmea[New O]*tblFmea[New D]-tblFmea[Severity]*tblFmea[Occurrence]*tblFmea[Detection])))))</f>
        <v>108</v>
      </c>
      <c r="F57" s="37">
        <f>IF($B$57="","",COUNTIFS(tblFmea[Process step],$B$57,tblFmea[Risk],"Out of limits"))</f>
        <v>1</v>
      </c>
      <c r="G57" s="37">
        <f>IF($B$57="","",COUNTIFS(tblFmea[Process step],$B$57,tblFmea[Recommended action],"&lt;&gt;")-COUNTIFS(tblFmea[Process step],$B$57,tblFmea[Action status],"Complete"))</f>
        <v>1</v>
      </c>
      <c r="H57" s="49">
        <f>RPNLimit</f>
        <v>100</v>
      </c>
    </row>
    <row r="58" spans="2:12" ht="8" customHeight="1"/>
    <row r="59" spans="2:12">
      <c r="B59" s="21" t="s">
        <v>313</v>
      </c>
      <c r="C59" s="21"/>
      <c r="D59" s="21"/>
      <c r="E59" s="21"/>
      <c r="F59" s="21"/>
      <c r="G59" s="21"/>
      <c r="H59" s="21"/>
      <c r="I59" s="21"/>
      <c r="J59" s="21"/>
      <c r="K59" s="21"/>
      <c r="L59" s="21"/>
    </row>
    <row r="60" spans="2:12">
      <c r="B60" s="51">
        <f>IF(COUNTA(tblSteps[Process step])&gt;8,"The process step list is longer than the Dashboard block: some steps are not shown.","")</f>
        <v/>
      </c>
      <c r="C60" s="51"/>
      <c r="D60" s="51"/>
      <c r="E60" s="51"/>
      <c r="F60" s="51"/>
      <c r="G60" s="51"/>
      <c r="H60" s="51"/>
      <c r="I60" s="51"/>
      <c r="J60" s="51"/>
      <c r="K60" s="51"/>
      <c r="L60" s="51"/>
    </row>
  </sheetData>
  <sheetProtection sheet="1" formatColumns="0" formatRows="0"/>
  <mergeCells count="51">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L35"/>
    <mergeCell ref="D36:G36"/>
    <mergeCell ref="D37:G37"/>
    <mergeCell ref="D38:G38"/>
    <mergeCell ref="D39:G39"/>
    <mergeCell ref="D40:G40"/>
    <mergeCell ref="D41:G41"/>
    <mergeCell ref="D42:G42"/>
    <mergeCell ref="D43:G43"/>
    <mergeCell ref="D44:G44"/>
    <mergeCell ref="D45:G45"/>
    <mergeCell ref="D46:G46"/>
    <mergeCell ref="B48:H48"/>
    <mergeCell ref="B59:L59"/>
    <mergeCell ref="B60:L60"/>
  </mergeCells>
  <conditionalFormatting sqref="D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50:E57">
    <cfRule type="expression" dxfId="3" priority="104" stopIfTrue="1">
      <formula>AND(ISNUMBER(E50),E50&lt;=(RPNLimit))</formula>
    </cfRule>
    <cfRule type="expression" dxfId="4" priority="105" stopIfTrue="1">
      <formula>AND(ISNUMBER(E50),E50&lt;=(RPNLimit)*(1+0.0001))</formula>
    </cfRule>
    <cfRule type="expression" dxfId="5" priority="106">
      <formula>ISNUMBER(E50)</formula>
    </cfRule>
  </conditionalFormatting>
  <conditionalFormatting sqref="G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J10">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J37:J46">
    <cfRule type="expression" dxfId="3" priority="61" stopIfTrue="1">
      <formula>AND(ISNUMBER(J37),J37&lt;=(RPNLimit))</formula>
    </cfRule>
    <cfRule type="expression" dxfId="4" priority="62" stopIfTrue="1">
      <formula>AND(ISNUMBER(J37),J37&lt;=(RPNLimit)*(1+0.0001))</formula>
    </cfRule>
    <cfRule type="expression" dxfId="5" priority="63">
      <formula>ISNUMBER(J37)</formula>
    </cfRule>
  </conditionalFormatting>
  <conditionalFormatting sqref="K37:K46">
    <cfRule type="cellIs" dxfId="0" priority="64" operator="equal">
      <formula>"On target"</formula>
    </cfRule>
    <cfRule type="cellIs" dxfId="0" priority="65" operator="equal">
      <formula>"PASS"</formula>
    </cfRule>
    <cfRule type="cellIs" dxfId="0" priority="66" operator="equal">
      <formula>"OK"</formula>
    </cfRule>
    <cfRule type="cellIs" dxfId="0" priority="67" operator="equal">
      <formula>"Within limits"</formula>
    </cfRule>
    <cfRule type="cellIs" dxfId="0" priority="68" operator="equal">
      <formula>"Under capacity"</formula>
    </cfRule>
    <cfRule type="cellIs" dxfId="0" priority="69" operator="equal">
      <formula>"Complete"</formula>
    </cfRule>
    <cfRule type="cellIs" dxfId="0" priority="70" operator="equal">
      <formula>"Yes"</formula>
    </cfRule>
    <cfRule type="cellIs" dxfId="1" priority="71" operator="equal">
      <formula>"Near target"</formula>
    </cfRule>
    <cfRule type="cellIs" dxfId="1" priority="72" operator="equal">
      <formula>"Check"</formula>
    </cfRule>
    <cfRule type="cellIs" dxfId="1" priority="73" operator="equal">
      <formula>"Due soon"</formula>
    </cfRule>
    <cfRule type="cellIs" dxfId="1" priority="74" operator="equal">
      <formula>"Near capacity"</formula>
    </cfRule>
    <cfRule type="cellIs" dxfId="1" priority="75" operator="equal">
      <formula>"In progress"</formula>
    </cfRule>
    <cfRule type="cellIs" dxfId="1" priority="76" operator="equal">
      <formula>"Partial"</formula>
    </cfRule>
    <cfRule type="cellIs" dxfId="2" priority="77" operator="equal">
      <formula>"Below target"</formula>
    </cfRule>
    <cfRule type="cellIs" dxfId="2" priority="78" operator="equal">
      <formula>"Above target"</formula>
    </cfRule>
    <cfRule type="cellIs" dxfId="2" priority="79" operator="equal">
      <formula>"FAIL"</formula>
    </cfRule>
    <cfRule type="cellIs" dxfId="2" priority="80" operator="equal">
      <formula>"Over capacity"</formula>
    </cfRule>
    <cfRule type="cellIs" dxfId="2" priority="81" operator="equal">
      <formula>"Overdue"</formula>
    </cfRule>
    <cfRule type="cellIs" dxfId="2" priority="82" operator="equal">
      <formula>"Out of limits"</formula>
    </cfRule>
    <cfRule type="cellIs" dxfId="2" priority="83" operator="equal">
      <formula>"No"</formula>
    </cfRule>
  </conditionalFormatting>
  <conditionalFormatting sqref="L37:L46">
    <cfRule type="cellIs" dxfId="0" priority="84" operator="equal">
      <formula>"On target"</formula>
    </cfRule>
    <cfRule type="cellIs" dxfId="0" priority="85" operator="equal">
      <formula>"PASS"</formula>
    </cfRule>
    <cfRule type="cellIs" dxfId="0" priority="86" operator="equal">
      <formula>"OK"</formula>
    </cfRule>
    <cfRule type="cellIs" dxfId="0" priority="87" operator="equal">
      <formula>"Within limits"</formula>
    </cfRule>
    <cfRule type="cellIs" dxfId="0" priority="88" operator="equal">
      <formula>"Under capacity"</formula>
    </cfRule>
    <cfRule type="cellIs" dxfId="0" priority="89" operator="equal">
      <formula>"Complete"</formula>
    </cfRule>
    <cfRule type="cellIs" dxfId="0" priority="90" operator="equal">
      <formula>"Yes"</formula>
    </cfRule>
    <cfRule type="cellIs" dxfId="1" priority="91" operator="equal">
      <formula>"Near target"</formula>
    </cfRule>
    <cfRule type="cellIs" dxfId="1" priority="92" operator="equal">
      <formula>"Check"</formula>
    </cfRule>
    <cfRule type="cellIs" dxfId="1" priority="93" operator="equal">
      <formula>"Due soon"</formula>
    </cfRule>
    <cfRule type="cellIs" dxfId="1" priority="94" operator="equal">
      <formula>"Near capacity"</formula>
    </cfRule>
    <cfRule type="cellIs" dxfId="1" priority="95" operator="equal">
      <formula>"In progress"</formula>
    </cfRule>
    <cfRule type="cellIs" dxfId="1" priority="96" operator="equal">
      <formula>"Partial"</formula>
    </cfRule>
    <cfRule type="cellIs" dxfId="2" priority="97" operator="equal">
      <formula>"Below target"</formula>
    </cfRule>
    <cfRule type="cellIs" dxfId="2" priority="98" operator="equal">
      <formula>"Above target"</formula>
    </cfRule>
    <cfRule type="cellIs" dxfId="2" priority="99" operator="equal">
      <formula>"FAIL"</formula>
    </cfRule>
    <cfRule type="cellIs" dxfId="2" priority="100" operator="equal">
      <formula>"Over capacity"</formula>
    </cfRule>
    <cfRule type="cellIs" dxfId="2" priority="101" operator="equal">
      <formula>"Overdue"</formula>
    </cfRule>
    <cfRule type="cellIs" dxfId="2" priority="102" operator="equal">
      <formula>"Out of limits"</formula>
    </cfRule>
    <cfRule type="cellIs" dxfId="2" priority="103"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Process FMEA (PFMEA)&amp;R&amp;8&amp;A</oddHeader>
    <oddFooter>&amp;L&amp;8mfgcalcs.com - free manufacturing templates&amp;R&amp;8Page &amp;P of &amp;N</oddFooter>
  </headerFooter>
  <rowBreaks count="2" manualBreakCount="2">
    <brk id="28" max="16383" man="1"/>
    <brk id="47"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314</v>
      </c>
      <c r="C4" s="8"/>
      <c r="D4" s="8"/>
    </row>
    <row r="5" spans="1:4" ht="5" customHeight="1"/>
    <row r="6" spans="1:4" ht="55.8" customHeight="1">
      <c r="B6" s="10" t="s">
        <v>315</v>
      </c>
      <c r="C6" s="10"/>
      <c r="D6" s="10"/>
    </row>
    <row r="8" spans="1:4" ht="21" customHeight="1">
      <c r="B8" s="8" t="s">
        <v>316</v>
      </c>
      <c r="C8" s="8"/>
      <c r="D8" s="8"/>
    </row>
    <row r="9" spans="1:4" ht="5" customHeight="1"/>
    <row r="10" spans="1:4" ht="20" customHeight="1">
      <c r="B10" s="47" t="s">
        <v>317</v>
      </c>
      <c r="C10" s="47" t="s">
        <v>318</v>
      </c>
      <c r="D10" s="33" t="s">
        <v>319</v>
      </c>
    </row>
    <row r="11" spans="1:4" ht="17.2" customHeight="1">
      <c r="B11" s="52" t="s">
        <v>140</v>
      </c>
      <c r="C11" s="53" t="s">
        <v>320</v>
      </c>
      <c r="D11" s="54" t="s">
        <v>82</v>
      </c>
    </row>
    <row r="12" spans="1:4" ht="17.2" customHeight="1">
      <c r="B12" s="52" t="s">
        <v>148</v>
      </c>
      <c r="C12" s="53" t="s">
        <v>321</v>
      </c>
      <c r="D12" s="54" t="s">
        <v>82</v>
      </c>
    </row>
    <row r="13" spans="1:4" ht="17.2" customHeight="1">
      <c r="B13" s="52" t="s">
        <v>149</v>
      </c>
      <c r="C13" s="53" t="s">
        <v>322</v>
      </c>
      <c r="D13" s="54" t="s">
        <v>82</v>
      </c>
    </row>
    <row r="14" spans="1:4" ht="17.2" customHeight="1">
      <c r="B14" s="52" t="s">
        <v>150</v>
      </c>
      <c r="C14" s="53" t="s">
        <v>323</v>
      </c>
      <c r="D14" s="54" t="s">
        <v>324</v>
      </c>
    </row>
    <row r="15" spans="1:4" ht="30.4" customHeight="1">
      <c r="B15" s="52" t="s">
        <v>151</v>
      </c>
      <c r="C15" s="53" t="s">
        <v>325</v>
      </c>
      <c r="D15" s="54" t="s">
        <v>326</v>
      </c>
    </row>
    <row r="16" spans="1:4" ht="43.6" customHeight="1">
      <c r="B16" s="52" t="s">
        <v>152</v>
      </c>
      <c r="C16" s="53" t="s">
        <v>327</v>
      </c>
      <c r="D16" s="54" t="s">
        <v>326</v>
      </c>
    </row>
    <row r="17" spans="2:4" ht="30.4" customHeight="1">
      <c r="B17" s="52" t="s">
        <v>153</v>
      </c>
      <c r="C17" s="53" t="s">
        <v>328</v>
      </c>
      <c r="D17" s="54" t="s">
        <v>326</v>
      </c>
    </row>
    <row r="18" spans="2:4" ht="30.4" customHeight="1">
      <c r="B18" s="52" t="s">
        <v>329</v>
      </c>
      <c r="C18" s="53" t="s">
        <v>330</v>
      </c>
      <c r="D18" s="54" t="s">
        <v>326</v>
      </c>
    </row>
    <row r="19" spans="2:4" ht="30.4" customHeight="1">
      <c r="B19" s="52" t="s">
        <v>331</v>
      </c>
      <c r="C19" s="53" t="s">
        <v>332</v>
      </c>
      <c r="D19" s="54" t="s">
        <v>82</v>
      </c>
    </row>
    <row r="20" spans="2:4" ht="17.2" customHeight="1">
      <c r="B20" s="52" t="s">
        <v>333</v>
      </c>
      <c r="C20" s="53" t="s">
        <v>334</v>
      </c>
      <c r="D20" s="54" t="s">
        <v>335</v>
      </c>
    </row>
    <row r="22" spans="2:4" ht="21" customHeight="1">
      <c r="B22" s="8" t="s">
        <v>336</v>
      </c>
      <c r="C22" s="8"/>
      <c r="D22" s="8"/>
    </row>
    <row r="23" spans="2:4" ht="5" customHeight="1"/>
    <row r="24" spans="2:4" ht="29.4" customHeight="1">
      <c r="B24" s="26" t="s">
        <v>53</v>
      </c>
      <c r="C24" s="10" t="s">
        <v>337</v>
      </c>
      <c r="D24" s="10"/>
    </row>
    <row r="25" spans="2:4" ht="29.4" customHeight="1">
      <c r="B25" s="26" t="s">
        <v>53</v>
      </c>
      <c r="C25" s="10" t="s">
        <v>338</v>
      </c>
      <c r="D25" s="10"/>
    </row>
    <row r="26" spans="2:4" ht="16.2" customHeight="1">
      <c r="B26" s="26" t="s">
        <v>53</v>
      </c>
      <c r="C26" s="10" t="s">
        <v>339</v>
      </c>
      <c r="D26" s="10"/>
    </row>
    <row r="28" spans="2:4" ht="21" customHeight="1">
      <c r="B28" s="8" t="s">
        <v>340</v>
      </c>
      <c r="C28" s="8"/>
      <c r="D28" s="8"/>
    </row>
    <row r="29" spans="2:4" ht="5" customHeight="1"/>
    <row r="30" spans="2:4" ht="29.4" customHeight="1">
      <c r="B30" s="26" t="s">
        <v>53</v>
      </c>
      <c r="C30" s="10" t="s">
        <v>341</v>
      </c>
      <c r="D30" s="10"/>
    </row>
    <row r="31" spans="2:4" ht="29.4" customHeight="1">
      <c r="B31" s="26" t="s">
        <v>53</v>
      </c>
      <c r="C31" s="10" t="s">
        <v>342</v>
      </c>
      <c r="D31" s="10"/>
    </row>
    <row r="32" spans="2:4" ht="29.4" customHeight="1">
      <c r="B32" s="26" t="s">
        <v>53</v>
      </c>
      <c r="C32" s="10" t="s">
        <v>343</v>
      </c>
      <c r="D32" s="10"/>
    </row>
    <row r="33" spans="2:4" ht="29.4" customHeight="1">
      <c r="B33" s="26" t="s">
        <v>53</v>
      </c>
      <c r="C33" s="10" t="s">
        <v>344</v>
      </c>
      <c r="D33" s="10"/>
    </row>
    <row r="35" spans="2:4" ht="21" customHeight="1">
      <c r="B35" s="8" t="s">
        <v>345</v>
      </c>
      <c r="C35" s="8"/>
      <c r="D35" s="8"/>
    </row>
    <row r="36" spans="2:4" ht="5" customHeight="1"/>
    <row r="37" spans="2:4" ht="55.8" customHeight="1">
      <c r="B37" s="10" t="s">
        <v>346</v>
      </c>
      <c r="C37" s="10"/>
      <c r="D37" s="10"/>
    </row>
    <row r="38" spans="2:4">
      <c r="B38" s="24" t="s">
        <v>347</v>
      </c>
      <c r="C38" s="24"/>
      <c r="D38" s="24"/>
    </row>
    <row r="40" spans="2:4" ht="21" customHeight="1">
      <c r="B40" s="8" t="s">
        <v>40</v>
      </c>
      <c r="C40" s="8"/>
      <c r="D40" s="8"/>
    </row>
    <row r="41" spans="2:4" ht="5" customHeight="1"/>
    <row r="42" spans="2:4" ht="42.6" customHeight="1">
      <c r="B42" s="10" t="s">
        <v>348</v>
      </c>
      <c r="C42" s="10"/>
      <c r="D42" s="10"/>
    </row>
    <row r="44" spans="2:4" ht="21" customHeight="1">
      <c r="B44" s="8" t="s">
        <v>349</v>
      </c>
      <c r="C44" s="8"/>
      <c r="D44" s="8"/>
    </row>
    <row r="45" spans="2:4" ht="5" customHeight="1"/>
    <row r="46" spans="2:4" ht="29.4" customHeight="1">
      <c r="B46" s="26" t="s">
        <v>53</v>
      </c>
      <c r="C46" s="10" t="s">
        <v>350</v>
      </c>
      <c r="D46" s="10"/>
    </row>
    <row r="47" spans="2:4" ht="29.4" customHeight="1">
      <c r="B47" s="26" t="s">
        <v>53</v>
      </c>
      <c r="C47" s="10" t="s">
        <v>351</v>
      </c>
      <c r="D47" s="10"/>
    </row>
    <row r="48" spans="2:4" ht="29.4" customHeight="1">
      <c r="B48" s="26" t="s">
        <v>53</v>
      </c>
      <c r="C48" s="10" t="s">
        <v>352</v>
      </c>
      <c r="D48" s="10"/>
    </row>
    <row r="49" spans="2:4" ht="16.2" customHeight="1">
      <c r="B49" s="26" t="s">
        <v>53</v>
      </c>
      <c r="C49" s="10" t="s">
        <v>353</v>
      </c>
      <c r="D49" s="10"/>
    </row>
    <row r="50" spans="2:4" ht="16.2" customHeight="1">
      <c r="B50" s="26" t="s">
        <v>53</v>
      </c>
      <c r="C50" s="10" t="s">
        <v>354</v>
      </c>
      <c r="D50" s="10"/>
    </row>
    <row r="51" spans="2:4">
      <c r="B51" s="21" t="s">
        <v>355</v>
      </c>
      <c r="C51" s="21"/>
      <c r="D51" s="21"/>
    </row>
    <row r="53" spans="2:4" ht="21" customHeight="1">
      <c r="B53" s="8" t="s">
        <v>356</v>
      </c>
      <c r="C53" s="8"/>
      <c r="D53" s="8"/>
    </row>
    <row r="54" spans="2:4" ht="5" customHeight="1"/>
    <row r="55" spans="2:4">
      <c r="B55" s="47" t="s">
        <v>48</v>
      </c>
      <c r="C55" s="47" t="s">
        <v>357</v>
      </c>
      <c r="D55" s="33" t="s">
        <v>358</v>
      </c>
    </row>
    <row r="56" spans="2:4" ht="16.2" customHeight="1">
      <c r="B56" s="55" t="s">
        <v>359</v>
      </c>
      <c r="C56" s="56" t="s">
        <v>360</v>
      </c>
      <c r="D56" s="57" t="s">
        <v>361</v>
      </c>
    </row>
    <row r="58" spans="2:4">
      <c r="B58" s="21" t="s">
        <v>59</v>
      </c>
      <c r="C58" s="21"/>
      <c r="D58" s="21"/>
    </row>
  </sheetData>
  <sheetProtection sheet="1" formatColumns="0" formatRows="0"/>
  <mergeCells count="28">
    <mergeCell ref="A1:D1"/>
    <mergeCell ref="B2:C2"/>
    <mergeCell ref="B4:D4"/>
    <mergeCell ref="B6:D6"/>
    <mergeCell ref="B8:D8"/>
    <mergeCell ref="B22:D22"/>
    <mergeCell ref="C24:D24"/>
    <mergeCell ref="C25:D25"/>
    <mergeCell ref="C26:D26"/>
    <mergeCell ref="B28:D28"/>
    <mergeCell ref="C30:D30"/>
    <mergeCell ref="C31:D31"/>
    <mergeCell ref="C32:D32"/>
    <mergeCell ref="C33:D33"/>
    <mergeCell ref="B35:D35"/>
    <mergeCell ref="B37:D37"/>
    <mergeCell ref="B38:D38"/>
    <mergeCell ref="B40:D40"/>
    <mergeCell ref="B42:D42"/>
    <mergeCell ref="B44:D44"/>
    <mergeCell ref="C46:D46"/>
    <mergeCell ref="C47:D47"/>
    <mergeCell ref="C48:D48"/>
    <mergeCell ref="C49:D49"/>
    <mergeCell ref="C50:D50"/>
    <mergeCell ref="B51:D51"/>
    <mergeCell ref="B53:D53"/>
    <mergeCell ref="B58:D58"/>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Process FMEA (PFMEA)&amp;R&amp;8&amp;A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D54"/>
  <sheetViews>
    <sheetView showGridLines="0" workbookViewId="0"/>
  </sheetViews>
  <sheetFormatPr defaultRowHeight="15"/>
  <cols>
    <col min="1" max="1" width="2.7109375" customWidth="1"/>
    <col min="2" max="19" width="12.7109375" customWidth="1"/>
    <col min="20" max="20" width="11.7109375" customWidth="1"/>
    <col min="21" max="23" width="7.28515625" customWidth="1"/>
    <col min="24" max="24" width="8.28515625" customWidth="1"/>
    <col min="25" max="25" width="9.28515625" customWidth="1"/>
    <col min="26" max="26" width="8.7109375" customWidth="1"/>
    <col min="27" max="27" width="13.28515625" customWidth="1"/>
    <col min="28" max="28" width="12.28515625" customWidth="1"/>
    <col min="29" max="29" width="6.7109375" customWidth="1"/>
    <col min="30" max="30" width="26.7109375" customWidth="1"/>
  </cols>
  <sheetData>
    <row r="1" spans="1:30"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c r="B2" s="2" t="s">
        <v>26</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row r="4" spans="1:30" ht="30" customHeight="1">
      <c r="B4" s="58" t="s">
        <v>362</v>
      </c>
      <c r="C4" s="58"/>
      <c r="D4" s="22" t="str">
        <f>IF(COUNTIF($K$11:$K$36,"PASS")=26,"PASS","FAIL")</f>
        <v>PASS</v>
      </c>
      <c r="E4" s="22"/>
      <c r="F4" s="23" t="str">
        <f>COUNTIF($K$11:$K$36,"PASS")&amp;" of 26 checks pass"</f>
        <v>26 of 26 checks pass</v>
      </c>
      <c r="G4" s="23"/>
      <c r="H4" s="23"/>
      <c r="I4" s="23"/>
      <c r="J4" s="23"/>
    </row>
    <row r="6" spans="1:30" ht="29.4" customHeight="1">
      <c r="B6" s="10" t="s">
        <v>363</v>
      </c>
      <c r="C6" s="10"/>
      <c r="D6" s="10"/>
      <c r="E6" s="10"/>
      <c r="F6" s="10"/>
      <c r="G6" s="10"/>
      <c r="H6" s="10"/>
      <c r="I6" s="10"/>
      <c r="J6" s="10"/>
      <c r="K6" s="10"/>
      <c r="L6" s="10"/>
    </row>
    <row r="8" spans="1:30" ht="21" customHeight="1">
      <c r="B8" s="8" t="s">
        <v>364</v>
      </c>
      <c r="C8" s="8"/>
      <c r="D8" s="8"/>
      <c r="E8" s="8"/>
      <c r="F8" s="8"/>
      <c r="G8" s="8"/>
      <c r="H8" s="8"/>
      <c r="I8" s="8"/>
      <c r="J8" s="8"/>
      <c r="K8" s="8"/>
      <c r="L8" s="8"/>
    </row>
    <row r="9" spans="1:30" ht="5" customHeight="1"/>
    <row r="10" spans="1:30" ht="30" customHeight="1">
      <c r="B10" s="33" t="s">
        <v>365</v>
      </c>
      <c r="C10" s="47" t="s">
        <v>154</v>
      </c>
      <c r="D10" s="47"/>
      <c r="E10" s="47"/>
      <c r="F10" s="47"/>
      <c r="G10" s="33" t="s">
        <v>366</v>
      </c>
      <c r="H10" s="33" t="s">
        <v>367</v>
      </c>
      <c r="I10" s="33" t="s">
        <v>368</v>
      </c>
      <c r="J10" s="33" t="s">
        <v>369</v>
      </c>
      <c r="K10" s="33" t="s">
        <v>370</v>
      </c>
    </row>
    <row r="11" spans="1:30" ht="16.2" customHeight="1">
      <c r="B11" s="59">
        <v>1</v>
      </c>
      <c r="C11" s="56" t="s">
        <v>371</v>
      </c>
      <c r="D11" s="56"/>
      <c r="E11" s="56"/>
      <c r="F11" s="56"/>
      <c r="G11" s="49">
        <v>72</v>
      </c>
      <c r="H11" s="37">
        <f>$O$49</f>
        <v>72</v>
      </c>
      <c r="I11" s="60">
        <f>IF(AND(ISNUMBER($G$11),ISNUMBER($H$11)),ABS($H$11-$G$11),"")</f>
        <v>0</v>
      </c>
      <c r="J11" s="61">
        <v>1E-09</v>
      </c>
      <c r="K11" s="38" t="str">
        <f>IF(AND(ISNUMBER($G$11),ISNUMBER($H$11)),IF(ABS($H$11-$G$11)&lt;=$J$11,"PASS","FAIL"),"FAIL")</f>
        <v>PASS</v>
      </c>
    </row>
    <row r="12" spans="1:30" ht="16.2" customHeight="1">
      <c r="B12" s="59">
        <v>2</v>
      </c>
      <c r="C12" s="56" t="s">
        <v>372</v>
      </c>
      <c r="D12" s="56"/>
      <c r="E12" s="56"/>
      <c r="F12" s="56"/>
      <c r="G12" s="49">
        <v>72</v>
      </c>
      <c r="H12" s="37">
        <f>$Y$49</f>
        <v>72</v>
      </c>
      <c r="I12" s="60">
        <f>IF(AND(ISNUMBER($G$12),ISNUMBER($H$12)),ABS($H$12-$G$12),"")</f>
        <v>0</v>
      </c>
      <c r="J12" s="61">
        <v>1E-09</v>
      </c>
      <c r="K12" s="38" t="str">
        <f>IF(AND(ISNUMBER($G$12),ISNUMBER($H$12)),IF(ABS($H$12-$G$12)&lt;=$J$12,"PASS","FAIL"),"FAIL")</f>
        <v>PASS</v>
      </c>
    </row>
    <row r="13" spans="1:30" ht="16.2" customHeight="1">
      <c r="B13" s="59">
        <v>3</v>
      </c>
      <c r="C13" s="56" t="s">
        <v>373</v>
      </c>
      <c r="D13" s="56"/>
      <c r="E13" s="56"/>
      <c r="F13" s="56"/>
      <c r="G13" s="55" t="s">
        <v>374</v>
      </c>
      <c r="H13" s="36" t="str">
        <f>$AA$49</f>
        <v>Within limits</v>
      </c>
      <c r="I13" s="36"/>
      <c r="J13" s="57" t="s">
        <v>375</v>
      </c>
      <c r="K13" s="38" t="str">
        <f>IF($H$13&amp;""=$G$13&amp;"","PASS","FAIL")</f>
        <v>PASS</v>
      </c>
    </row>
    <row r="14" spans="1:30" ht="16.2" customHeight="1">
      <c r="B14" s="59">
        <v>4</v>
      </c>
      <c r="C14" s="56" t="s">
        <v>376</v>
      </c>
      <c r="D14" s="56"/>
      <c r="E14" s="56"/>
      <c r="F14" s="56"/>
      <c r="G14" s="49">
        <v>160</v>
      </c>
      <c r="H14" s="37">
        <f>$O$50</f>
        <v>160</v>
      </c>
      <c r="I14" s="60">
        <f>IF(AND(ISNUMBER($G$14),ISNUMBER($H$14)),ABS($H$14-$G$14),"")</f>
        <v>0</v>
      </c>
      <c r="J14" s="61">
        <v>1E-09</v>
      </c>
      <c r="K14" s="38" t="str">
        <f>IF(AND(ISNUMBER($G$14),ISNUMBER($H$14)),IF(ABS($H$14-$G$14)&lt;=$J$14,"PASS","FAIL"),"FAIL")</f>
        <v>PASS</v>
      </c>
    </row>
    <row r="15" spans="1:30" ht="16.2" customHeight="1">
      <c r="B15" s="59">
        <v>5</v>
      </c>
      <c r="C15" s="56" t="s">
        <v>377</v>
      </c>
      <c r="D15" s="56"/>
      <c r="E15" s="56"/>
      <c r="F15" s="56"/>
      <c r="G15" s="49">
        <v>64</v>
      </c>
      <c r="H15" s="37">
        <f>$Y$50</f>
        <v>64</v>
      </c>
      <c r="I15" s="60">
        <f>IF(AND(ISNUMBER($G$15),ISNUMBER($H$15)),ABS($H$15-$G$15),"")</f>
        <v>0</v>
      </c>
      <c r="J15" s="61">
        <v>1E-09</v>
      </c>
      <c r="K15" s="38" t="str">
        <f>IF(AND(ISNUMBER($G$15),ISNUMBER($H$15)),IF(ABS($H$15-$G$15)&lt;=$J$15,"PASS","FAIL"),"FAIL")</f>
        <v>PASS</v>
      </c>
    </row>
    <row r="16" spans="1:30" ht="16.2" customHeight="1">
      <c r="B16" s="59">
        <v>6</v>
      </c>
      <c r="C16" s="56" t="s">
        <v>378</v>
      </c>
      <c r="D16" s="56"/>
      <c r="E16" s="56"/>
      <c r="F16" s="56"/>
      <c r="G16" s="55" t="s">
        <v>374</v>
      </c>
      <c r="H16" s="36" t="str">
        <f>$AA$50</f>
        <v>Within limits</v>
      </c>
      <c r="I16" s="36"/>
      <c r="J16" s="57" t="s">
        <v>375</v>
      </c>
      <c r="K16" s="38" t="str">
        <f>IF($H$16&amp;""=$G$16&amp;"","PASS","FAIL")</f>
        <v>PASS</v>
      </c>
    </row>
    <row r="17" spans="2:11" ht="16.2" customHeight="1">
      <c r="B17" s="59">
        <v>7</v>
      </c>
      <c r="C17" s="56" t="s">
        <v>379</v>
      </c>
      <c r="D17" s="56"/>
      <c r="E17" s="56"/>
      <c r="F17" s="56"/>
      <c r="G17" s="49">
        <v>168</v>
      </c>
      <c r="H17" s="37">
        <f>$O$51</f>
        <v>168</v>
      </c>
      <c r="I17" s="60">
        <f>IF(AND(ISNUMBER($G$17),ISNUMBER($H$17)),ABS($H$17-$G$17),"")</f>
        <v>0</v>
      </c>
      <c r="J17" s="61">
        <v>1E-09</v>
      </c>
      <c r="K17" s="38" t="str">
        <f>IF(AND(ISNUMBER($G$17),ISNUMBER($H$17)),IF(ABS($H$17-$G$17)&lt;=$J$17,"PASS","FAIL"),"FAIL")</f>
        <v>PASS</v>
      </c>
    </row>
    <row r="18" spans="2:11" ht="16.2" customHeight="1">
      <c r="B18" s="59">
        <v>8</v>
      </c>
      <c r="C18" s="56" t="s">
        <v>380</v>
      </c>
      <c r="D18" s="56"/>
      <c r="E18" s="56"/>
      <c r="F18" s="56"/>
      <c r="G18" s="49">
        <v>168</v>
      </c>
      <c r="H18" s="37">
        <f>$Y$51</f>
        <v>168</v>
      </c>
      <c r="I18" s="60">
        <f>IF(AND(ISNUMBER($G$18),ISNUMBER($H$18)),ABS($H$18-$G$18),"")</f>
        <v>0</v>
      </c>
      <c r="J18" s="61">
        <v>1E-09</v>
      </c>
      <c r="K18" s="38" t="str">
        <f>IF(AND(ISNUMBER($G$18),ISNUMBER($H$18)),IF(ABS($H$18-$G$18)&lt;=$J$18,"PASS","FAIL"),"FAIL")</f>
        <v>PASS</v>
      </c>
    </row>
    <row r="19" spans="2:11" ht="16.2" customHeight="1">
      <c r="B19" s="59">
        <v>9</v>
      </c>
      <c r="C19" s="56" t="s">
        <v>381</v>
      </c>
      <c r="D19" s="56"/>
      <c r="E19" s="56"/>
      <c r="F19" s="56"/>
      <c r="G19" s="55" t="s">
        <v>311</v>
      </c>
      <c r="H19" s="36" t="str">
        <f>$AA$51</f>
        <v>Out of limits</v>
      </c>
      <c r="I19" s="36"/>
      <c r="J19" s="57" t="s">
        <v>375</v>
      </c>
      <c r="K19" s="38" t="str">
        <f>IF($H$19&amp;""=$G$19&amp;"","PASS","FAIL")</f>
        <v>PASS</v>
      </c>
    </row>
    <row r="20" spans="2:11" ht="16.2" customHeight="1">
      <c r="B20" s="59">
        <v>10</v>
      </c>
      <c r="C20" s="56" t="s">
        <v>382</v>
      </c>
      <c r="D20" s="56"/>
      <c r="E20" s="56"/>
      <c r="F20" s="56"/>
      <c r="G20" s="49">
        <v>54</v>
      </c>
      <c r="H20" s="37">
        <f>$O$52</f>
        <v>54</v>
      </c>
      <c r="I20" s="60">
        <f>IF(AND(ISNUMBER($G$20),ISNUMBER($H$20)),ABS($H$20-$G$20),"")</f>
        <v>0</v>
      </c>
      <c r="J20" s="61">
        <v>1E-09</v>
      </c>
      <c r="K20" s="38" t="str">
        <f>IF(AND(ISNUMBER($G$20),ISNUMBER($H$20)),IF(ABS($H$20-$G$20)&lt;=$J$20,"PASS","FAIL"),"FAIL")</f>
        <v>PASS</v>
      </c>
    </row>
    <row r="21" spans="2:11" ht="16.2" customHeight="1">
      <c r="B21" s="59">
        <v>11</v>
      </c>
      <c r="C21" s="56" t="s">
        <v>383</v>
      </c>
      <c r="D21" s="56"/>
      <c r="E21" s="56"/>
      <c r="F21" s="56"/>
      <c r="G21" s="49">
        <v>54</v>
      </c>
      <c r="H21" s="37">
        <f>$Y$52</f>
        <v>54</v>
      </c>
      <c r="I21" s="60">
        <f>IF(AND(ISNUMBER($G$21),ISNUMBER($H$21)),ABS($H$21-$G$21),"")</f>
        <v>0</v>
      </c>
      <c r="J21" s="61">
        <v>1E-09</v>
      </c>
      <c r="K21" s="38" t="str">
        <f>IF(AND(ISNUMBER($G$21),ISNUMBER($H$21)),IF(ABS($H$21-$G$21)&lt;=$J$21,"PASS","FAIL"),"FAIL")</f>
        <v>PASS</v>
      </c>
    </row>
    <row r="22" spans="2:11" ht="16.2" customHeight="1">
      <c r="B22" s="59">
        <v>12</v>
      </c>
      <c r="C22" s="56" t="s">
        <v>384</v>
      </c>
      <c r="D22" s="56"/>
      <c r="E22" s="56"/>
      <c r="F22" s="56"/>
      <c r="G22" s="55" t="s">
        <v>154</v>
      </c>
      <c r="H22" s="36" t="str">
        <f>$AA$52</f>
        <v>Check</v>
      </c>
      <c r="I22" s="36"/>
      <c r="J22" s="57" t="s">
        <v>375</v>
      </c>
      <c r="K22" s="38" t="str">
        <f>IF($H$22&amp;""=$G$22&amp;"","PASS","FAIL")</f>
        <v>PASS</v>
      </c>
    </row>
    <row r="23" spans="2:11" ht="16.2" customHeight="1">
      <c r="B23" s="59">
        <v>13</v>
      </c>
      <c r="C23" s="56" t="s">
        <v>385</v>
      </c>
      <c r="D23" s="56"/>
      <c r="E23" s="56"/>
      <c r="F23" s="56"/>
      <c r="G23" s="49">
        <v>100</v>
      </c>
      <c r="H23" s="37">
        <f>$O$53</f>
        <v>100</v>
      </c>
      <c r="I23" s="60">
        <f>IF(AND(ISNUMBER($G$23),ISNUMBER($H$23)),ABS($H$23-$G$23),"")</f>
        <v>0</v>
      </c>
      <c r="J23" s="61">
        <v>1E-09</v>
      </c>
      <c r="K23" s="38" t="str">
        <f>IF(AND(ISNUMBER($G$23),ISNUMBER($H$23)),IF(ABS($H$23-$G$23)&lt;=$J$23,"PASS","FAIL"),"FAIL")</f>
        <v>PASS</v>
      </c>
    </row>
    <row r="24" spans="2:11" ht="16.2" customHeight="1">
      <c r="B24" s="59">
        <v>14</v>
      </c>
      <c r="C24" s="56" t="s">
        <v>386</v>
      </c>
      <c r="D24" s="56"/>
      <c r="E24" s="56"/>
      <c r="F24" s="56"/>
      <c r="G24" s="49">
        <v>100</v>
      </c>
      <c r="H24" s="37">
        <f>$Y$53</f>
        <v>100</v>
      </c>
      <c r="I24" s="60">
        <f>IF(AND(ISNUMBER($G$24),ISNUMBER($H$24)),ABS($H$24-$G$24),"")</f>
        <v>0</v>
      </c>
      <c r="J24" s="61">
        <v>1E-09</v>
      </c>
      <c r="K24" s="38" t="str">
        <f>IF(AND(ISNUMBER($G$24),ISNUMBER($H$24)),IF(ABS($H$24-$G$24)&lt;=$J$24,"PASS","FAIL"),"FAIL")</f>
        <v>PASS</v>
      </c>
    </row>
    <row r="25" spans="2:11" ht="16.2" customHeight="1">
      <c r="B25" s="59">
        <v>15</v>
      </c>
      <c r="C25" s="56" t="s">
        <v>387</v>
      </c>
      <c r="D25" s="56"/>
      <c r="E25" s="56"/>
      <c r="F25" s="56"/>
      <c r="G25" s="55" t="s">
        <v>311</v>
      </c>
      <c r="H25" s="36" t="str">
        <f>$AA$53</f>
        <v>Out of limits</v>
      </c>
      <c r="I25" s="36"/>
      <c r="J25" s="57" t="s">
        <v>375</v>
      </c>
      <c r="K25" s="38" t="str">
        <f>IF($H$25&amp;""=$G$25&amp;"","PASS","FAIL")</f>
        <v>PASS</v>
      </c>
    </row>
    <row r="26" spans="2:11" ht="16.2" customHeight="1">
      <c r="B26" s="59">
        <v>16</v>
      </c>
      <c r="C26" s="56" t="s">
        <v>388</v>
      </c>
      <c r="D26" s="56"/>
      <c r="E26" s="56"/>
      <c r="F26" s="56"/>
      <c r="G26" s="55" t="s">
        <v>389</v>
      </c>
      <c r="H26" s="36" t="str">
        <f>$AB$50</f>
        <v>Complete</v>
      </c>
      <c r="I26" s="36"/>
      <c r="J26" s="57" t="s">
        <v>375</v>
      </c>
      <c r="K26" s="38" t="str">
        <f>IF($H$26&amp;""=$G$26&amp;"","PASS","FAIL")</f>
        <v>PASS</v>
      </c>
    </row>
    <row r="27" spans="2:11" ht="16.2" customHeight="1">
      <c r="B27" s="59">
        <v>17</v>
      </c>
      <c r="C27" s="56" t="s">
        <v>390</v>
      </c>
      <c r="D27" s="56"/>
      <c r="E27" s="56"/>
      <c r="F27" s="56"/>
      <c r="G27" s="55" t="s">
        <v>391</v>
      </c>
      <c r="H27" s="36" t="str">
        <f>$AB$51</f>
        <v>Overdue</v>
      </c>
      <c r="I27" s="36"/>
      <c r="J27" s="57" t="s">
        <v>375</v>
      </c>
      <c r="K27" s="38" t="str">
        <f>IF($H$27&amp;""=$G$27&amp;"","PASS","FAIL")</f>
        <v>PASS</v>
      </c>
    </row>
    <row r="28" spans="2:11" ht="16.2" customHeight="1">
      <c r="B28" s="59">
        <v>18</v>
      </c>
      <c r="C28" s="56" t="s">
        <v>392</v>
      </c>
      <c r="D28" s="56"/>
      <c r="E28" s="56"/>
      <c r="F28" s="56"/>
      <c r="G28" s="55" t="s">
        <v>393</v>
      </c>
      <c r="H28" s="36" t="str">
        <f>$AB$52</f>
        <v>Due soon</v>
      </c>
      <c r="I28" s="36"/>
      <c r="J28" s="57" t="s">
        <v>375</v>
      </c>
      <c r="K28" s="38" t="str">
        <f>IF($H$28&amp;""=$G$28&amp;"","PASS","FAIL")</f>
        <v>PASS</v>
      </c>
    </row>
    <row r="29" spans="2:11" ht="16.2" customHeight="1">
      <c r="B29" s="59">
        <v>19</v>
      </c>
      <c r="C29" s="56" t="s">
        <v>394</v>
      </c>
      <c r="D29" s="56"/>
      <c r="E29" s="56"/>
      <c r="F29" s="56"/>
      <c r="G29" s="55" t="s">
        <v>395</v>
      </c>
      <c r="H29" s="36" t="str">
        <f>$AB$53</f>
        <v>In progress</v>
      </c>
      <c r="I29" s="36"/>
      <c r="J29" s="57" t="s">
        <v>375</v>
      </c>
      <c r="K29" s="38" t="str">
        <f>IF($H$29&amp;""=$G$29&amp;"","PASS","FAIL")</f>
        <v>PASS</v>
      </c>
    </row>
    <row r="30" spans="2:11" ht="16.2" customHeight="1">
      <c r="B30" s="59">
        <v>20</v>
      </c>
      <c r="C30" s="56" t="s">
        <v>396</v>
      </c>
      <c r="D30" s="56"/>
      <c r="E30" s="56"/>
      <c r="F30" s="56"/>
      <c r="G30" s="49">
        <v>1</v>
      </c>
      <c r="H30" s="37">
        <f>$AC$51</f>
        <v>1</v>
      </c>
      <c r="I30" s="60">
        <f>IF(AND(ISNUMBER($G$30),ISNUMBER($H$30)),ABS($H$30-$G$30),"")</f>
        <v>0</v>
      </c>
      <c r="J30" s="61">
        <v>1E-09</v>
      </c>
      <c r="K30" s="38" t="str">
        <f>IF(AND(ISNUMBER($G$30),ISNUMBER($H$30)),IF(ABS($H$30-$G$30)&lt;=$J$30,"PASS","FAIL"),"FAIL")</f>
        <v>PASS</v>
      </c>
    </row>
    <row r="31" spans="2:11" ht="16.2" customHeight="1">
      <c r="B31" s="59">
        <v>21</v>
      </c>
      <c r="C31" s="56" t="s">
        <v>397</v>
      </c>
      <c r="D31" s="56"/>
      <c r="E31" s="56"/>
      <c r="F31" s="56"/>
      <c r="G31" s="49">
        <v>2</v>
      </c>
      <c r="H31" s="37">
        <f>$AC$53</f>
        <v>2</v>
      </c>
      <c r="I31" s="60">
        <f>IF(AND(ISNUMBER($G$31),ISNUMBER($H$31)),ABS($H$31-$G$31),"")</f>
        <v>0</v>
      </c>
      <c r="J31" s="61">
        <v>1E-09</v>
      </c>
      <c r="K31" s="38" t="str">
        <f>IF(AND(ISNUMBER($G$31),ISNUMBER($H$31)),IF(ABS($H$31-$G$31)&lt;=$J$31,"PASS","FAIL"),"FAIL")</f>
        <v>PASS</v>
      </c>
    </row>
    <row r="32" spans="2:11" ht="16.2" customHeight="1">
      <c r="B32" s="59">
        <v>22</v>
      </c>
      <c r="C32" s="56" t="s">
        <v>398</v>
      </c>
      <c r="D32" s="56"/>
      <c r="E32" s="56"/>
      <c r="F32" s="56"/>
      <c r="G32" s="55" t="s">
        <v>399</v>
      </c>
      <c r="H32" s="36" t="str">
        <f>$AD$54</f>
        <v>Completed: add the new ratings</v>
      </c>
      <c r="I32" s="36"/>
      <c r="J32" s="57" t="s">
        <v>375</v>
      </c>
      <c r="K32" s="38" t="str">
        <f>IF($H$32&amp;""=$G$32&amp;"","PASS","FAIL")</f>
        <v>PASS</v>
      </c>
    </row>
    <row r="33" spans="2:30" ht="16.2" customHeight="1">
      <c r="B33" s="59">
        <v>23</v>
      </c>
      <c r="C33" s="56" t="s">
        <v>400</v>
      </c>
      <c r="D33" s="56"/>
      <c r="E33" s="56"/>
      <c r="F33" s="56"/>
      <c r="G33" s="49">
        <v>2</v>
      </c>
      <c r="H33" s="37">
        <f>COUNTIFS(tblVerifyFmea[Risk],"Out of limits")</f>
        <v>2</v>
      </c>
      <c r="I33" s="60">
        <f>IF(AND(ISNUMBER($G$33),ISNUMBER($H$33)),ABS($H$33-$G$33),"")</f>
        <v>0</v>
      </c>
      <c r="J33" s="61">
        <v>1E-09</v>
      </c>
      <c r="K33" s="38" t="str">
        <f>IF(AND(ISNUMBER($G$33),ISNUMBER($H$33)),IF(ABS($H$33-$G$33)&lt;=$J$33,"PASS","FAIL"),"FAIL")</f>
        <v>PASS</v>
      </c>
    </row>
    <row r="34" spans="2:30" ht="16.2" customHeight="1">
      <c r="B34" s="59">
        <v>24</v>
      </c>
      <c r="C34" s="56" t="s">
        <v>401</v>
      </c>
      <c r="D34" s="56"/>
      <c r="E34" s="56"/>
      <c r="F34" s="56"/>
      <c r="G34" s="49">
        <v>168</v>
      </c>
      <c r="H34" s="37">
        <f>IF(COUNT(tblVerifyFmea[Current RPN])=0,"",MAX(tblVerifyFmea[Current RPN]))</f>
        <v>168</v>
      </c>
      <c r="I34" s="60">
        <f>IF(AND(ISNUMBER($G$34),ISNUMBER($H$34)),ABS($H$34-$G$34),"")</f>
        <v>0</v>
      </c>
      <c r="J34" s="61">
        <v>1E-09</v>
      </c>
      <c r="K34" s="38" t="str">
        <f>IF(AND(ISNUMBER($G$34),ISNUMBER($H$34)),IF(ABS($H$34-$G$34)&lt;=$J$34,"PASS","FAIL"),"FAIL")</f>
        <v>PASS</v>
      </c>
    </row>
    <row r="35" spans="2:30" ht="16.2" customHeight="1">
      <c r="B35" s="59">
        <v>25</v>
      </c>
      <c r="C35" s="56" t="s">
        <v>402</v>
      </c>
      <c r="D35" s="56"/>
      <c r="E35" s="56"/>
      <c r="F35" s="56"/>
      <c r="G35" s="49">
        <v>1</v>
      </c>
      <c r="H35" s="37">
        <f>COUNTIFS(tblVerifyFmea[Action status],"Overdue")</f>
        <v>1</v>
      </c>
      <c r="I35" s="60">
        <f>IF(AND(ISNUMBER($G$35),ISNUMBER($H$35)),ABS($H$35-$G$35),"")</f>
        <v>0</v>
      </c>
      <c r="J35" s="61">
        <v>1E-09</v>
      </c>
      <c r="K35" s="38" t="str">
        <f>IF(AND(ISNUMBER($G$35),ISNUMBER($H$35)),IF(ABS($H$35-$G$35)&lt;=$J$35,"PASS","FAIL"),"FAIL")</f>
        <v>PASS</v>
      </c>
    </row>
    <row r="36" spans="2:30" ht="16.2" customHeight="1">
      <c r="B36" s="59">
        <v>26</v>
      </c>
      <c r="C36" s="56" t="s">
        <v>403</v>
      </c>
      <c r="D36" s="56"/>
      <c r="E36" s="56"/>
      <c r="F36" s="56"/>
      <c r="G36" s="62">
        <v>0.4897959183673469</v>
      </c>
      <c r="H36" s="63">
        <f>IF(SUMIFS(tblVerifyFmea[RPN],tblVerifyFmea[Action status],"Complete")=0,"",1-SUMIFS(tblVerifyFmea[Current RPN],tblVerifyFmea[Action status],"Complete")/SUMIFS(tblVerifyFmea[RPN],tblVerifyFmea[Action status],"Complete"))</f>
        <v>0.489795918367347</v>
      </c>
      <c r="I36" s="60">
        <f>IF(AND(ISNUMBER($G$36),ISNUMBER($H$36)),ABS($H$36-$G$36),"")</f>
        <v>0</v>
      </c>
      <c r="J36" s="61">
        <v>1E-09</v>
      </c>
      <c r="K36" s="38" t="str">
        <f>IF(AND(ISNUMBER($G$36),ISNUMBER($H$36)),IF(ABS($H$36-$G$36)&lt;=$J$36,"PASS","FAIL"),"FAIL")</f>
        <v>PASS</v>
      </c>
    </row>
    <row r="38" spans="2:30" ht="21" customHeight="1">
      <c r="B38" s="8" t="s">
        <v>404</v>
      </c>
      <c r="C38" s="8"/>
      <c r="D38" s="8"/>
      <c r="E38" s="8"/>
      <c r="F38" s="8"/>
      <c r="G38" s="8"/>
      <c r="H38" s="8"/>
      <c r="I38" s="8"/>
      <c r="J38" s="8"/>
      <c r="K38" s="8"/>
      <c r="L38" s="8"/>
    </row>
    <row r="39" spans="2:30" ht="5" customHeight="1"/>
    <row r="40" spans="2:30">
      <c r="B40" s="21" t="s">
        <v>405</v>
      </c>
      <c r="C40" s="21"/>
      <c r="D40" s="21"/>
      <c r="E40" s="21"/>
      <c r="F40" s="21"/>
      <c r="G40" s="21"/>
      <c r="H40" s="21"/>
      <c r="I40" s="21"/>
      <c r="J40" s="21"/>
      <c r="K40" s="21"/>
      <c r="L40" s="21"/>
    </row>
    <row r="41" spans="2:30">
      <c r="B41" s="32" t="s">
        <v>406</v>
      </c>
      <c r="C41" s="32"/>
      <c r="D41" s="32"/>
      <c r="E41" s="32"/>
      <c r="F41" s="32"/>
    </row>
    <row r="42" spans="2:30">
      <c r="B42" s="27" t="s">
        <v>85</v>
      </c>
      <c r="C42" s="27"/>
      <c r="D42" s="27"/>
      <c r="E42" s="64">
        <v>46203</v>
      </c>
      <c r="F42" s="7"/>
    </row>
    <row r="43" spans="2:30">
      <c r="B43" s="27" t="s">
        <v>81</v>
      </c>
      <c r="C43" s="27"/>
      <c r="D43" s="27"/>
      <c r="E43" s="49">
        <v>100</v>
      </c>
      <c r="F43" s="7"/>
    </row>
    <row r="44" spans="2:30">
      <c r="B44" s="27" t="s">
        <v>83</v>
      </c>
      <c r="C44" s="27"/>
      <c r="D44" s="27"/>
      <c r="E44" s="49">
        <v>9</v>
      </c>
      <c r="F44" s="7"/>
    </row>
    <row r="45" spans="2:30">
      <c r="B45" s="27" t="s">
        <v>407</v>
      </c>
      <c r="C45" s="27"/>
      <c r="D45" s="27"/>
      <c r="E45" s="49">
        <v>14</v>
      </c>
      <c r="F45" s="7"/>
    </row>
    <row r="47" spans="2:30">
      <c r="B47" s="32" t="s">
        <v>408</v>
      </c>
      <c r="C47" s="32"/>
      <c r="D47" s="32"/>
      <c r="E47" s="32"/>
      <c r="F47" s="32"/>
      <c r="G47" s="32"/>
      <c r="H47" s="32"/>
      <c r="I47" s="32"/>
      <c r="J47" s="32"/>
      <c r="K47" s="32"/>
      <c r="L47" s="32"/>
    </row>
    <row r="48" spans="2:30" ht="32" customHeight="1">
      <c r="B48" s="33" t="s">
        <v>60</v>
      </c>
      <c r="C48" s="33" t="s">
        <v>61</v>
      </c>
      <c r="D48" s="33" t="s">
        <v>130</v>
      </c>
      <c r="E48" s="33" t="s">
        <v>131</v>
      </c>
      <c r="F48" s="33" t="s">
        <v>132</v>
      </c>
      <c r="G48" s="33" t="s">
        <v>133</v>
      </c>
      <c r="H48" s="33" t="s">
        <v>65</v>
      </c>
      <c r="I48" s="33" t="s">
        <v>134</v>
      </c>
      <c r="J48" s="33" t="s">
        <v>135</v>
      </c>
      <c r="K48" s="33" t="s">
        <v>136</v>
      </c>
      <c r="L48" s="33" t="s">
        <v>137</v>
      </c>
      <c r="M48" s="33" t="s">
        <v>138</v>
      </c>
      <c r="N48" s="33" t="s">
        <v>139</v>
      </c>
      <c r="O48" s="33" t="s">
        <v>140</v>
      </c>
      <c r="P48" s="33" t="s">
        <v>141</v>
      </c>
      <c r="Q48" s="33" t="s">
        <v>63</v>
      </c>
      <c r="R48" s="33" t="s">
        <v>142</v>
      </c>
      <c r="S48" s="33" t="s">
        <v>143</v>
      </c>
      <c r="T48" s="33" t="s">
        <v>144</v>
      </c>
      <c r="U48" s="33" t="s">
        <v>145</v>
      </c>
      <c r="V48" s="33" t="s">
        <v>146</v>
      </c>
      <c r="W48" s="33" t="s">
        <v>147</v>
      </c>
      <c r="X48" s="33" t="s">
        <v>148</v>
      </c>
      <c r="Y48" s="33" t="s">
        <v>149</v>
      </c>
      <c r="Z48" s="33" t="s">
        <v>150</v>
      </c>
      <c r="AA48" s="33" t="s">
        <v>151</v>
      </c>
      <c r="AB48" s="33" t="s">
        <v>152</v>
      </c>
      <c r="AC48" s="33" t="s">
        <v>153</v>
      </c>
      <c r="AD48" s="33" t="s">
        <v>154</v>
      </c>
    </row>
    <row r="49" spans="2:30">
      <c r="B49" s="55" t="s">
        <v>409</v>
      </c>
      <c r="C49" s="55" t="s">
        <v>410</v>
      </c>
      <c r="D49" s="55" t="s">
        <v>411</v>
      </c>
      <c r="E49" s="55" t="s">
        <v>412</v>
      </c>
      <c r="F49" s="55" t="s">
        <v>413</v>
      </c>
      <c r="G49" s="49">
        <v>6</v>
      </c>
      <c r="H49" s="55"/>
      <c r="I49" s="55" t="s">
        <v>414</v>
      </c>
      <c r="J49" s="55" t="s">
        <v>415</v>
      </c>
      <c r="K49" s="49">
        <v>4</v>
      </c>
      <c r="L49" s="55" t="s">
        <v>416</v>
      </c>
      <c r="M49" s="49">
        <v>3</v>
      </c>
      <c r="N49" s="55"/>
      <c r="O49" s="37">
        <f>IF(tblVerifyFmea[[#This Row],[Process step]]="","",tblVerifyFmea[[#This Row],[Severity]]*tblVerifyFmea[[#This Row],[Occurrence]]*tblVerifyFmea[[#This Row],[Detection]])</f>
        <v>72</v>
      </c>
      <c r="P49" s="55"/>
      <c r="Q49" s="55"/>
      <c r="R49" s="64"/>
      <c r="S49" s="55"/>
      <c r="T49" s="64"/>
      <c r="U49" s="49"/>
      <c r="V49" s="49"/>
      <c r="W49" s="49"/>
      <c r="X49" s="37">
        <f>IF(tblVerifyFmea[[#This Row],[Process step]]="","",IF(AND(N(tblVerifyFmea[[#This Row],[New S]])&gt;0,N(tblVerifyFmea[[#This Row],[New O]])&gt;0,N(tblVerifyFmea[[#This Row],[New D]])&gt;0),tblVerifyFmea[[#This Row],[New S]]*tblVerifyFmea[[#This Row],[New O]]*tblVerifyFmea[[#This Row],[New D]],""))</f>
        <v/>
      </c>
      <c r="Y49" s="37">
        <f>IF(tblVerifyFmea[[#This Row],[Process step]]="","",IF(AND(N(tblVerifyFmea[[#This Row],[Completed]])&gt;0,ISNUMBER(tblVerifyFmea[[#This Row],[New RPN]])),tblVerifyFmea[[#This Row],[New RPN]],tblVerifyFmea[[#This Row],[RPN]]))</f>
        <v>72</v>
      </c>
      <c r="Z49" s="37">
        <f>IF(tblVerifyFmea[[#This Row],[Process step]]="","",IF(AND(N(tblVerifyFmea[[#This Row],[Completed]])&gt;0,N(tblVerifyFmea[[#This Row],[New S]])&gt;0),tblVerifyFmea[[#This Row],[New S]],tblVerifyFmea[[#This Row],[Severity]]))</f>
        <v>6</v>
      </c>
      <c r="AA49" s="38" t="str">
        <f>IF(tblVerifyFmea[[#This Row],[Process step]]="","",IF(tblVerifyFmea[[#This Row],[Current RPN]]&gt;=$E$43,"Out of limits",IF(tblVerifyFmea[[#This Row],[Current S]]&gt;=$E$44,"Check","Within limits")))</f>
        <v>Within limits</v>
      </c>
      <c r="AB49" s="38">
        <f>IF(tblVerifyFmea[[#This Row],[Process step]]="","",IF(tblVerifyFmea[[#This Row],[Recommended action]]="","",IF(N(tblVerifyFmea[[#This Row],[Completed]])&gt;0,"Complete",IF(N(tblVerifyFmea[[#This Row],[Due]])=0,"Check",IF(tblVerifyFmea[[#This Row],[Due]]&lt;$E$42,"Overdue",IF(tblVerifyFmea[[#This Row],[Due]]-$E$42&lt;=$E$45,"Due soon","In progress"))))))</f>
        <v/>
      </c>
      <c r="AC49" s="37">
        <f>IF(tblVerifyFmea[[#This Row],[Process step]]="","",COUNTIF(tblVerifyFmea[Current RPN],"&gt;"&amp;tblVerifyFmea[[#This Row],[Current RPN]])+SUMPRODUCT((tblVerifyFmea[Current RPN]=tblVerifyFmea[[#This Row],[Current RPN]])*(ROW(tblVerifyFmea[Current RPN])&lt;=ROW(tblVerifyFmea[[#This Row],[Current RPN]]))))</f>
        <v>3</v>
      </c>
      <c r="AD49" s="39" t="str">
        <f>IF(tblVerifyFmea[[#This Row],[Process step]]="","",IF(tblVerifyFmea[[#This Row],[Failure mode]]="","Missing failure mode",IF(tblVerifyFmea[[#This Row],[Severity]]="","Missing severity",IF(tblVerifyFmea[[#This Row],[Occurrence]]="","Missing occurrence",IF(tblVerifyFmea[[#This Row],[Detection]]="","Missing detection",IF(tblVerifyFmea[[#This Row],[Area]]="","Step not on Setup list",IF(AND(tblVerifyFmea[[#This Row],[Risk]]="Out of limits",tblVerifyFmea[[#This Row],[Recommended action]]=""),"Over the limit: add an action",IF(AND(tblVerifyFmea[[#This Row],[Recommended action]]&lt;&gt;"",tblVerifyFmea[[#This Row],[Owner]]=""),"Action without an owner",IF(AND(N(tblVerifyFmea[[#This Row],[Completed]])&gt;0,NOT(ISNUMBER(tblVerifyFmea[[#This Row],[New RPN]]))),"Completed: add the new ratings",IF(AND(ISNUMBER(tblVerifyFmea[[#This Row],[New RPN]]),N(tblVerifyFmea[[#This Row],[Completed]])=0,tblVerifyFmea[[#This Row],[Recommended action]]=""),"New ratings without an action",IF(N(tblVerifyFmea[[#This Row],[New S]])&gt;tblVerifyFmea[[#This Row],[Severity]],"New severity above original","OK")))))))))))</f>
        <v>OK</v>
      </c>
    </row>
    <row r="50" spans="2:30">
      <c r="B50" s="55" t="s">
        <v>417</v>
      </c>
      <c r="C50" s="55" t="s">
        <v>410</v>
      </c>
      <c r="D50" s="55" t="s">
        <v>411</v>
      </c>
      <c r="E50" s="55" t="s">
        <v>418</v>
      </c>
      <c r="F50" s="55" t="s">
        <v>413</v>
      </c>
      <c r="G50" s="49">
        <v>8</v>
      </c>
      <c r="H50" s="55"/>
      <c r="I50" s="55" t="s">
        <v>414</v>
      </c>
      <c r="J50" s="55" t="s">
        <v>415</v>
      </c>
      <c r="K50" s="49">
        <v>5</v>
      </c>
      <c r="L50" s="55" t="s">
        <v>416</v>
      </c>
      <c r="M50" s="49">
        <v>4</v>
      </c>
      <c r="N50" s="55"/>
      <c r="O50" s="37">
        <f>IF(tblVerifyFmea[[#This Row],[Process step]]="","",tblVerifyFmea[[#This Row],[Severity]]*tblVerifyFmea[[#This Row],[Occurrence]]*tblVerifyFmea[[#This Row],[Detection]])</f>
        <v>160</v>
      </c>
      <c r="P50" s="55" t="s">
        <v>419</v>
      </c>
      <c r="Q50" s="55" t="s">
        <v>420</v>
      </c>
      <c r="R50" s="64">
        <v>46157</v>
      </c>
      <c r="S50" s="55"/>
      <c r="T50" s="64">
        <v>46152</v>
      </c>
      <c r="U50" s="49">
        <v>8</v>
      </c>
      <c r="V50" s="49">
        <v>2</v>
      </c>
      <c r="W50" s="49">
        <v>4</v>
      </c>
      <c r="X50" s="37">
        <f>IF(tblVerifyFmea[[#This Row],[Process step]]="","",IF(AND(N(tblVerifyFmea[[#This Row],[New S]])&gt;0,N(tblVerifyFmea[[#This Row],[New O]])&gt;0,N(tblVerifyFmea[[#This Row],[New D]])&gt;0),tblVerifyFmea[[#This Row],[New S]]*tblVerifyFmea[[#This Row],[New O]]*tblVerifyFmea[[#This Row],[New D]],""))</f>
        <v>64</v>
      </c>
      <c r="Y50" s="37">
        <f>IF(tblVerifyFmea[[#This Row],[Process step]]="","",IF(AND(N(tblVerifyFmea[[#This Row],[Completed]])&gt;0,ISNUMBER(tblVerifyFmea[[#This Row],[New RPN]])),tblVerifyFmea[[#This Row],[New RPN]],tblVerifyFmea[[#This Row],[RPN]]))</f>
        <v>64</v>
      </c>
      <c r="Z50" s="37">
        <f>IF(tblVerifyFmea[[#This Row],[Process step]]="","",IF(AND(N(tblVerifyFmea[[#This Row],[Completed]])&gt;0,N(tblVerifyFmea[[#This Row],[New S]])&gt;0),tblVerifyFmea[[#This Row],[New S]],tblVerifyFmea[[#This Row],[Severity]]))</f>
        <v>8</v>
      </c>
      <c r="AA50" s="38" t="str">
        <f>IF(tblVerifyFmea[[#This Row],[Process step]]="","",IF(tblVerifyFmea[[#This Row],[Current RPN]]&gt;=$E$43,"Out of limits",IF(tblVerifyFmea[[#This Row],[Current S]]&gt;=$E$44,"Check","Within limits")))</f>
        <v>Within limits</v>
      </c>
      <c r="AB50" s="38" t="str">
        <f>IF(tblVerifyFmea[[#This Row],[Process step]]="","",IF(tblVerifyFmea[[#This Row],[Recommended action]]="","",IF(N(tblVerifyFmea[[#This Row],[Completed]])&gt;0,"Complete",IF(N(tblVerifyFmea[[#This Row],[Due]])=0,"Check",IF(tblVerifyFmea[[#This Row],[Due]]&lt;$E$42,"Overdue",IF(tblVerifyFmea[[#This Row],[Due]]-$E$42&lt;=$E$45,"Due soon","In progress"))))))</f>
        <v>Complete</v>
      </c>
      <c r="AC50" s="37">
        <f>IF(tblVerifyFmea[[#This Row],[Process step]]="","",COUNTIF(tblVerifyFmea[Current RPN],"&gt;"&amp;tblVerifyFmea[[#This Row],[Current RPN]])+SUMPRODUCT((tblVerifyFmea[Current RPN]=tblVerifyFmea[[#This Row],[Current RPN]])*(ROW(tblVerifyFmea[Current RPN])&lt;=ROW(tblVerifyFmea[[#This Row],[Current RPN]]))))</f>
        <v>4</v>
      </c>
      <c r="AD50" s="39" t="str">
        <f>IF(tblVerifyFmea[[#This Row],[Process step]]="","",IF(tblVerifyFmea[[#This Row],[Failure mode]]="","Missing failure mode",IF(tblVerifyFmea[[#This Row],[Severity]]="","Missing severity",IF(tblVerifyFmea[[#This Row],[Occurrence]]="","Missing occurrence",IF(tblVerifyFmea[[#This Row],[Detection]]="","Missing detection",IF(tblVerifyFmea[[#This Row],[Area]]="","Step not on Setup list",IF(AND(tblVerifyFmea[[#This Row],[Risk]]="Out of limits",tblVerifyFmea[[#This Row],[Recommended action]]=""),"Over the limit: add an action",IF(AND(tblVerifyFmea[[#This Row],[Recommended action]]&lt;&gt;"",tblVerifyFmea[[#This Row],[Owner]]=""),"Action without an owner",IF(AND(N(tblVerifyFmea[[#This Row],[Completed]])&gt;0,NOT(ISNUMBER(tblVerifyFmea[[#This Row],[New RPN]]))),"Completed: add the new ratings",IF(AND(ISNUMBER(tblVerifyFmea[[#This Row],[New RPN]]),N(tblVerifyFmea[[#This Row],[Completed]])=0,tblVerifyFmea[[#This Row],[Recommended action]]=""),"New ratings without an action",IF(N(tblVerifyFmea[[#This Row],[New S]])&gt;tblVerifyFmea[[#This Row],[Severity]],"New severity above original","OK")))))))))))</f>
        <v>OK</v>
      </c>
    </row>
    <row r="51" spans="2:30">
      <c r="B51" s="55" t="s">
        <v>417</v>
      </c>
      <c r="C51" s="55" t="s">
        <v>410</v>
      </c>
      <c r="D51" s="55" t="s">
        <v>411</v>
      </c>
      <c r="E51" s="55" t="s">
        <v>421</v>
      </c>
      <c r="F51" s="55" t="s">
        <v>413</v>
      </c>
      <c r="G51" s="49">
        <v>7</v>
      </c>
      <c r="H51" s="55"/>
      <c r="I51" s="55" t="s">
        <v>414</v>
      </c>
      <c r="J51" s="55" t="s">
        <v>415</v>
      </c>
      <c r="K51" s="49">
        <v>4</v>
      </c>
      <c r="L51" s="55" t="s">
        <v>416</v>
      </c>
      <c r="M51" s="49">
        <v>6</v>
      </c>
      <c r="N51" s="55"/>
      <c r="O51" s="37">
        <f>IF(tblVerifyFmea[[#This Row],[Process step]]="","",tblVerifyFmea[[#This Row],[Severity]]*tblVerifyFmea[[#This Row],[Occurrence]]*tblVerifyFmea[[#This Row],[Detection]])</f>
        <v>168</v>
      </c>
      <c r="P51" s="55" t="s">
        <v>419</v>
      </c>
      <c r="Q51" s="55" t="s">
        <v>420</v>
      </c>
      <c r="R51" s="64">
        <v>46185</v>
      </c>
      <c r="S51" s="55"/>
      <c r="T51" s="64"/>
      <c r="U51" s="49"/>
      <c r="V51" s="49"/>
      <c r="W51" s="49"/>
      <c r="X51" s="37">
        <f>IF(tblVerifyFmea[[#This Row],[Process step]]="","",IF(AND(N(tblVerifyFmea[[#This Row],[New S]])&gt;0,N(tblVerifyFmea[[#This Row],[New O]])&gt;0,N(tblVerifyFmea[[#This Row],[New D]])&gt;0),tblVerifyFmea[[#This Row],[New S]]*tblVerifyFmea[[#This Row],[New O]]*tblVerifyFmea[[#This Row],[New D]],""))</f>
        <v/>
      </c>
      <c r="Y51" s="37">
        <f>IF(tblVerifyFmea[[#This Row],[Process step]]="","",IF(AND(N(tblVerifyFmea[[#This Row],[Completed]])&gt;0,ISNUMBER(tblVerifyFmea[[#This Row],[New RPN]])),tblVerifyFmea[[#This Row],[New RPN]],tblVerifyFmea[[#This Row],[RPN]]))</f>
        <v>168</v>
      </c>
      <c r="Z51" s="37">
        <f>IF(tblVerifyFmea[[#This Row],[Process step]]="","",IF(AND(N(tblVerifyFmea[[#This Row],[Completed]])&gt;0,N(tblVerifyFmea[[#This Row],[New S]])&gt;0),tblVerifyFmea[[#This Row],[New S]],tblVerifyFmea[[#This Row],[Severity]]))</f>
        <v>7</v>
      </c>
      <c r="AA51" s="38" t="str">
        <f>IF(tblVerifyFmea[[#This Row],[Process step]]="","",IF(tblVerifyFmea[[#This Row],[Current RPN]]&gt;=$E$43,"Out of limits",IF(tblVerifyFmea[[#This Row],[Current S]]&gt;=$E$44,"Check","Within limits")))</f>
        <v>Out of limits</v>
      </c>
      <c r="AB51" s="38" t="str">
        <f>IF(tblVerifyFmea[[#This Row],[Process step]]="","",IF(tblVerifyFmea[[#This Row],[Recommended action]]="","",IF(N(tblVerifyFmea[[#This Row],[Completed]])&gt;0,"Complete",IF(N(tblVerifyFmea[[#This Row],[Due]])=0,"Check",IF(tblVerifyFmea[[#This Row],[Due]]&lt;$E$42,"Overdue",IF(tblVerifyFmea[[#This Row],[Due]]-$E$42&lt;=$E$45,"Due soon","In progress"))))))</f>
        <v>Overdue</v>
      </c>
      <c r="AC51" s="37">
        <f>IF(tblVerifyFmea[[#This Row],[Process step]]="","",COUNTIF(tblVerifyFmea[Current RPN],"&gt;"&amp;tblVerifyFmea[[#This Row],[Current RPN]])+SUMPRODUCT((tblVerifyFmea[Current RPN]=tblVerifyFmea[[#This Row],[Current RPN]])*(ROW(tblVerifyFmea[Current RPN])&lt;=ROW(tblVerifyFmea[[#This Row],[Current RPN]]))))</f>
        <v>1</v>
      </c>
      <c r="AD51" s="39" t="str">
        <f>IF(tblVerifyFmea[[#This Row],[Process step]]="","",IF(tblVerifyFmea[[#This Row],[Failure mode]]="","Missing failure mode",IF(tblVerifyFmea[[#This Row],[Severity]]="","Missing severity",IF(tblVerifyFmea[[#This Row],[Occurrence]]="","Missing occurrence",IF(tblVerifyFmea[[#This Row],[Detection]]="","Missing detection",IF(tblVerifyFmea[[#This Row],[Area]]="","Step not on Setup list",IF(AND(tblVerifyFmea[[#This Row],[Risk]]="Out of limits",tblVerifyFmea[[#This Row],[Recommended action]]=""),"Over the limit: add an action",IF(AND(tblVerifyFmea[[#This Row],[Recommended action]]&lt;&gt;"",tblVerifyFmea[[#This Row],[Owner]]=""),"Action without an owner",IF(AND(N(tblVerifyFmea[[#This Row],[Completed]])&gt;0,NOT(ISNUMBER(tblVerifyFmea[[#This Row],[New RPN]]))),"Completed: add the new ratings",IF(AND(ISNUMBER(tblVerifyFmea[[#This Row],[New RPN]]),N(tblVerifyFmea[[#This Row],[Completed]])=0,tblVerifyFmea[[#This Row],[Recommended action]]=""),"New ratings without an action",IF(N(tblVerifyFmea[[#This Row],[New S]])&gt;tblVerifyFmea[[#This Row],[Severity]],"New severity above original","OK")))))))))))</f>
        <v>OK</v>
      </c>
    </row>
    <row r="52" spans="2:30">
      <c r="B52" s="55" t="s">
        <v>422</v>
      </c>
      <c r="C52" s="55" t="s">
        <v>410</v>
      </c>
      <c r="D52" s="55" t="s">
        <v>411</v>
      </c>
      <c r="E52" s="55" t="s">
        <v>423</v>
      </c>
      <c r="F52" s="55" t="s">
        <v>413</v>
      </c>
      <c r="G52" s="49">
        <v>9</v>
      </c>
      <c r="H52" s="55"/>
      <c r="I52" s="55" t="s">
        <v>414</v>
      </c>
      <c r="J52" s="55" t="s">
        <v>415</v>
      </c>
      <c r="K52" s="49">
        <v>2</v>
      </c>
      <c r="L52" s="55" t="s">
        <v>416</v>
      </c>
      <c r="M52" s="49">
        <v>3</v>
      </c>
      <c r="N52" s="55"/>
      <c r="O52" s="37">
        <f>IF(tblVerifyFmea[[#This Row],[Process step]]="","",tblVerifyFmea[[#This Row],[Severity]]*tblVerifyFmea[[#This Row],[Occurrence]]*tblVerifyFmea[[#This Row],[Detection]])</f>
        <v>54</v>
      </c>
      <c r="P52" s="55" t="s">
        <v>419</v>
      </c>
      <c r="Q52" s="55" t="s">
        <v>420</v>
      </c>
      <c r="R52" s="64">
        <v>46213</v>
      </c>
      <c r="S52" s="55"/>
      <c r="T52" s="64"/>
      <c r="U52" s="49"/>
      <c r="V52" s="49"/>
      <c r="W52" s="49"/>
      <c r="X52" s="37">
        <f>IF(tblVerifyFmea[[#This Row],[Process step]]="","",IF(AND(N(tblVerifyFmea[[#This Row],[New S]])&gt;0,N(tblVerifyFmea[[#This Row],[New O]])&gt;0,N(tblVerifyFmea[[#This Row],[New D]])&gt;0),tblVerifyFmea[[#This Row],[New S]]*tblVerifyFmea[[#This Row],[New O]]*tblVerifyFmea[[#This Row],[New D]],""))</f>
        <v/>
      </c>
      <c r="Y52" s="37">
        <f>IF(tblVerifyFmea[[#This Row],[Process step]]="","",IF(AND(N(tblVerifyFmea[[#This Row],[Completed]])&gt;0,ISNUMBER(tblVerifyFmea[[#This Row],[New RPN]])),tblVerifyFmea[[#This Row],[New RPN]],tblVerifyFmea[[#This Row],[RPN]]))</f>
        <v>54</v>
      </c>
      <c r="Z52" s="37">
        <f>IF(tblVerifyFmea[[#This Row],[Process step]]="","",IF(AND(N(tblVerifyFmea[[#This Row],[Completed]])&gt;0,N(tblVerifyFmea[[#This Row],[New S]])&gt;0),tblVerifyFmea[[#This Row],[New S]],tblVerifyFmea[[#This Row],[Severity]]))</f>
        <v>9</v>
      </c>
      <c r="AA52" s="38" t="str">
        <f>IF(tblVerifyFmea[[#This Row],[Process step]]="","",IF(tblVerifyFmea[[#This Row],[Current RPN]]&gt;=$E$43,"Out of limits",IF(tblVerifyFmea[[#This Row],[Current S]]&gt;=$E$44,"Check","Within limits")))</f>
        <v>Check</v>
      </c>
      <c r="AB52" s="38" t="str">
        <f>IF(tblVerifyFmea[[#This Row],[Process step]]="","",IF(tblVerifyFmea[[#This Row],[Recommended action]]="","",IF(N(tblVerifyFmea[[#This Row],[Completed]])&gt;0,"Complete",IF(N(tblVerifyFmea[[#This Row],[Due]])=0,"Check",IF(tblVerifyFmea[[#This Row],[Due]]&lt;$E$42,"Overdue",IF(tblVerifyFmea[[#This Row],[Due]]-$E$42&lt;=$E$45,"Due soon","In progress"))))))</f>
        <v>Due soon</v>
      </c>
      <c r="AC52" s="37">
        <f>IF(tblVerifyFmea[[#This Row],[Process step]]="","",COUNTIF(tblVerifyFmea[Current RPN],"&gt;"&amp;tblVerifyFmea[[#This Row],[Current RPN]])+SUMPRODUCT((tblVerifyFmea[Current RPN]=tblVerifyFmea[[#This Row],[Current RPN]])*(ROW(tblVerifyFmea[Current RPN])&lt;=ROW(tblVerifyFmea[[#This Row],[Current RPN]]))))</f>
        <v>5</v>
      </c>
      <c r="AD52" s="39" t="str">
        <f>IF(tblVerifyFmea[[#This Row],[Process step]]="","",IF(tblVerifyFmea[[#This Row],[Failure mode]]="","Missing failure mode",IF(tblVerifyFmea[[#This Row],[Severity]]="","Missing severity",IF(tblVerifyFmea[[#This Row],[Occurrence]]="","Missing occurrence",IF(tblVerifyFmea[[#This Row],[Detection]]="","Missing detection",IF(tblVerifyFmea[[#This Row],[Area]]="","Step not on Setup list",IF(AND(tblVerifyFmea[[#This Row],[Risk]]="Out of limits",tblVerifyFmea[[#This Row],[Recommended action]]=""),"Over the limit: add an action",IF(AND(tblVerifyFmea[[#This Row],[Recommended action]]&lt;&gt;"",tblVerifyFmea[[#This Row],[Owner]]=""),"Action without an owner",IF(AND(N(tblVerifyFmea[[#This Row],[Completed]])&gt;0,NOT(ISNUMBER(tblVerifyFmea[[#This Row],[New RPN]]))),"Completed: add the new ratings",IF(AND(ISNUMBER(tblVerifyFmea[[#This Row],[New RPN]]),N(tblVerifyFmea[[#This Row],[Completed]])=0,tblVerifyFmea[[#This Row],[Recommended action]]=""),"New ratings without an action",IF(N(tblVerifyFmea[[#This Row],[New S]])&gt;tblVerifyFmea[[#This Row],[Severity]],"New severity above original","OK")))))))))))</f>
        <v>OK</v>
      </c>
    </row>
    <row r="53" spans="2:30">
      <c r="B53" s="55" t="s">
        <v>422</v>
      </c>
      <c r="C53" s="55" t="s">
        <v>410</v>
      </c>
      <c r="D53" s="55" t="s">
        <v>411</v>
      </c>
      <c r="E53" s="55" t="s">
        <v>424</v>
      </c>
      <c r="F53" s="55" t="s">
        <v>413</v>
      </c>
      <c r="G53" s="49">
        <v>5</v>
      </c>
      <c r="H53" s="55"/>
      <c r="I53" s="55" t="s">
        <v>414</v>
      </c>
      <c r="J53" s="55" t="s">
        <v>415</v>
      </c>
      <c r="K53" s="49">
        <v>5</v>
      </c>
      <c r="L53" s="55" t="s">
        <v>416</v>
      </c>
      <c r="M53" s="49">
        <v>4</v>
      </c>
      <c r="N53" s="55"/>
      <c r="O53" s="37">
        <f>IF(tblVerifyFmea[[#This Row],[Process step]]="","",tblVerifyFmea[[#This Row],[Severity]]*tblVerifyFmea[[#This Row],[Occurrence]]*tblVerifyFmea[[#This Row],[Detection]])</f>
        <v>100</v>
      </c>
      <c r="P53" s="55" t="s">
        <v>419</v>
      </c>
      <c r="Q53" s="55" t="s">
        <v>420</v>
      </c>
      <c r="R53" s="64">
        <v>46266</v>
      </c>
      <c r="S53" s="55"/>
      <c r="T53" s="64"/>
      <c r="U53" s="49"/>
      <c r="V53" s="49"/>
      <c r="W53" s="49"/>
      <c r="X53" s="37">
        <f>IF(tblVerifyFmea[[#This Row],[Process step]]="","",IF(AND(N(tblVerifyFmea[[#This Row],[New S]])&gt;0,N(tblVerifyFmea[[#This Row],[New O]])&gt;0,N(tblVerifyFmea[[#This Row],[New D]])&gt;0),tblVerifyFmea[[#This Row],[New S]]*tblVerifyFmea[[#This Row],[New O]]*tblVerifyFmea[[#This Row],[New D]],""))</f>
        <v/>
      </c>
      <c r="Y53" s="37">
        <f>IF(tblVerifyFmea[[#This Row],[Process step]]="","",IF(AND(N(tblVerifyFmea[[#This Row],[Completed]])&gt;0,ISNUMBER(tblVerifyFmea[[#This Row],[New RPN]])),tblVerifyFmea[[#This Row],[New RPN]],tblVerifyFmea[[#This Row],[RPN]]))</f>
        <v>100</v>
      </c>
      <c r="Z53" s="37">
        <f>IF(tblVerifyFmea[[#This Row],[Process step]]="","",IF(AND(N(tblVerifyFmea[[#This Row],[Completed]])&gt;0,N(tblVerifyFmea[[#This Row],[New S]])&gt;0),tblVerifyFmea[[#This Row],[New S]],tblVerifyFmea[[#This Row],[Severity]]))</f>
        <v>5</v>
      </c>
      <c r="AA53" s="38" t="str">
        <f>IF(tblVerifyFmea[[#This Row],[Process step]]="","",IF(tblVerifyFmea[[#This Row],[Current RPN]]&gt;=$E$43,"Out of limits",IF(tblVerifyFmea[[#This Row],[Current S]]&gt;=$E$44,"Check","Within limits")))</f>
        <v>Out of limits</v>
      </c>
      <c r="AB53" s="38" t="str">
        <f>IF(tblVerifyFmea[[#This Row],[Process step]]="","",IF(tblVerifyFmea[[#This Row],[Recommended action]]="","",IF(N(tblVerifyFmea[[#This Row],[Completed]])&gt;0,"Complete",IF(N(tblVerifyFmea[[#This Row],[Due]])=0,"Check",IF(tblVerifyFmea[[#This Row],[Due]]&lt;$E$42,"Overdue",IF(tblVerifyFmea[[#This Row],[Due]]-$E$42&lt;=$E$45,"Due soon","In progress"))))))</f>
        <v>In progress</v>
      </c>
      <c r="AC53" s="37">
        <f>IF(tblVerifyFmea[[#This Row],[Process step]]="","",COUNTIF(tblVerifyFmea[Current RPN],"&gt;"&amp;tblVerifyFmea[[#This Row],[Current RPN]])+SUMPRODUCT((tblVerifyFmea[Current RPN]=tblVerifyFmea[[#This Row],[Current RPN]])*(ROW(tblVerifyFmea[Current RPN])&lt;=ROW(tblVerifyFmea[[#This Row],[Current RPN]]))))</f>
        <v>2</v>
      </c>
      <c r="AD53" s="39" t="str">
        <f>IF(tblVerifyFmea[[#This Row],[Process step]]="","",IF(tblVerifyFmea[[#This Row],[Failure mode]]="","Missing failure mode",IF(tblVerifyFmea[[#This Row],[Severity]]="","Missing severity",IF(tblVerifyFmea[[#This Row],[Occurrence]]="","Missing occurrence",IF(tblVerifyFmea[[#This Row],[Detection]]="","Missing detection",IF(tblVerifyFmea[[#This Row],[Area]]="","Step not on Setup list",IF(AND(tblVerifyFmea[[#This Row],[Risk]]="Out of limits",tblVerifyFmea[[#This Row],[Recommended action]]=""),"Over the limit: add an action",IF(AND(tblVerifyFmea[[#This Row],[Recommended action]]&lt;&gt;"",tblVerifyFmea[[#This Row],[Owner]]=""),"Action without an owner",IF(AND(N(tblVerifyFmea[[#This Row],[Completed]])&gt;0,NOT(ISNUMBER(tblVerifyFmea[[#This Row],[New RPN]]))),"Completed: add the new ratings",IF(AND(ISNUMBER(tblVerifyFmea[[#This Row],[New RPN]]),N(tblVerifyFmea[[#This Row],[Completed]])=0,tblVerifyFmea[[#This Row],[Recommended action]]=""),"New ratings without an action",IF(N(tblVerifyFmea[[#This Row],[New S]])&gt;tblVerifyFmea[[#This Row],[Severity]],"New severity above original","OK")))))))))))</f>
        <v>OK</v>
      </c>
    </row>
    <row r="54" spans="2:30">
      <c r="B54" s="55" t="s">
        <v>409</v>
      </c>
      <c r="C54" s="55" t="s">
        <v>410</v>
      </c>
      <c r="D54" s="55" t="s">
        <v>411</v>
      </c>
      <c r="E54" s="55" t="s">
        <v>425</v>
      </c>
      <c r="F54" s="55" t="s">
        <v>413</v>
      </c>
      <c r="G54" s="49">
        <v>4</v>
      </c>
      <c r="H54" s="55"/>
      <c r="I54" s="55" t="s">
        <v>414</v>
      </c>
      <c r="J54" s="55" t="s">
        <v>415</v>
      </c>
      <c r="K54" s="49">
        <v>3</v>
      </c>
      <c r="L54" s="55" t="s">
        <v>416</v>
      </c>
      <c r="M54" s="49">
        <v>3</v>
      </c>
      <c r="N54" s="55"/>
      <c r="O54" s="37">
        <f>IF(tblVerifyFmea[[#This Row],[Process step]]="","",tblVerifyFmea[[#This Row],[Severity]]*tblVerifyFmea[[#This Row],[Occurrence]]*tblVerifyFmea[[#This Row],[Detection]])</f>
        <v>36</v>
      </c>
      <c r="P54" s="55" t="s">
        <v>419</v>
      </c>
      <c r="Q54" s="55" t="s">
        <v>420</v>
      </c>
      <c r="R54" s="64">
        <v>46143</v>
      </c>
      <c r="S54" s="55"/>
      <c r="T54" s="64">
        <v>46144</v>
      </c>
      <c r="U54" s="49"/>
      <c r="V54" s="49"/>
      <c r="W54" s="49"/>
      <c r="X54" s="37">
        <f>IF(tblVerifyFmea[[#This Row],[Process step]]="","",IF(AND(N(tblVerifyFmea[[#This Row],[New S]])&gt;0,N(tblVerifyFmea[[#This Row],[New O]])&gt;0,N(tblVerifyFmea[[#This Row],[New D]])&gt;0),tblVerifyFmea[[#This Row],[New S]]*tblVerifyFmea[[#This Row],[New O]]*tblVerifyFmea[[#This Row],[New D]],""))</f>
        <v/>
      </c>
      <c r="Y54" s="37">
        <f>IF(tblVerifyFmea[[#This Row],[Process step]]="","",IF(AND(N(tblVerifyFmea[[#This Row],[Completed]])&gt;0,ISNUMBER(tblVerifyFmea[[#This Row],[New RPN]])),tblVerifyFmea[[#This Row],[New RPN]],tblVerifyFmea[[#This Row],[RPN]]))</f>
        <v>36</v>
      </c>
      <c r="Z54" s="37">
        <f>IF(tblVerifyFmea[[#This Row],[Process step]]="","",IF(AND(N(tblVerifyFmea[[#This Row],[Completed]])&gt;0,N(tblVerifyFmea[[#This Row],[New S]])&gt;0),tblVerifyFmea[[#This Row],[New S]],tblVerifyFmea[[#This Row],[Severity]]))</f>
        <v>4</v>
      </c>
      <c r="AA54" s="38" t="str">
        <f>IF(tblVerifyFmea[[#This Row],[Process step]]="","",IF(tblVerifyFmea[[#This Row],[Current RPN]]&gt;=$E$43,"Out of limits",IF(tblVerifyFmea[[#This Row],[Current S]]&gt;=$E$44,"Check","Within limits")))</f>
        <v>Within limits</v>
      </c>
      <c r="AB54" s="38" t="str">
        <f>IF(tblVerifyFmea[[#This Row],[Process step]]="","",IF(tblVerifyFmea[[#This Row],[Recommended action]]="","",IF(N(tblVerifyFmea[[#This Row],[Completed]])&gt;0,"Complete",IF(N(tblVerifyFmea[[#This Row],[Due]])=0,"Check",IF(tblVerifyFmea[[#This Row],[Due]]&lt;$E$42,"Overdue",IF(tblVerifyFmea[[#This Row],[Due]]-$E$42&lt;=$E$45,"Due soon","In progress"))))))</f>
        <v>Complete</v>
      </c>
      <c r="AC54" s="37">
        <f>IF(tblVerifyFmea[[#This Row],[Process step]]="","",COUNTIF(tblVerifyFmea[Current RPN],"&gt;"&amp;tblVerifyFmea[[#This Row],[Current RPN]])+SUMPRODUCT((tblVerifyFmea[Current RPN]=tblVerifyFmea[[#This Row],[Current RPN]])*(ROW(tblVerifyFmea[Current RPN])&lt;=ROW(tblVerifyFmea[[#This Row],[Current RPN]]))))</f>
        <v>6</v>
      </c>
      <c r="AD54" s="39" t="str">
        <f>IF(tblVerifyFmea[[#This Row],[Process step]]="","",IF(tblVerifyFmea[[#This Row],[Failure mode]]="","Missing failure mode",IF(tblVerifyFmea[[#This Row],[Severity]]="","Missing severity",IF(tblVerifyFmea[[#This Row],[Occurrence]]="","Missing occurrence",IF(tblVerifyFmea[[#This Row],[Detection]]="","Missing detection",IF(tblVerifyFmea[[#This Row],[Area]]="","Step not on Setup list",IF(AND(tblVerifyFmea[[#This Row],[Risk]]="Out of limits",tblVerifyFmea[[#This Row],[Recommended action]]=""),"Over the limit: add an action",IF(AND(tblVerifyFmea[[#This Row],[Recommended action]]&lt;&gt;"",tblVerifyFmea[[#This Row],[Owner]]=""),"Action without an owner",IF(AND(N(tblVerifyFmea[[#This Row],[Completed]])&gt;0,NOT(ISNUMBER(tblVerifyFmea[[#This Row],[New RPN]]))),"Completed: add the new ratings",IF(AND(ISNUMBER(tblVerifyFmea[[#This Row],[New RPN]]),N(tblVerifyFmea[[#This Row],[Completed]])=0,tblVerifyFmea[[#This Row],[Recommended action]]=""),"New ratings without an action",IF(N(tblVerifyFmea[[#This Row],[New S]])&gt;tblVerifyFmea[[#This Row],[Severity]],"New severity above original","OK")))))))))))</f>
        <v>Completed: add the new ratings</v>
      </c>
    </row>
  </sheetData>
  <sheetProtection sheet="1" formatColumns="0" formatRows="0"/>
  <mergeCells count="42">
    <mergeCell ref="A1:AD1"/>
    <mergeCell ref="B2:AC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B38:L38"/>
    <mergeCell ref="B40:L40"/>
    <mergeCell ref="B41:F41"/>
    <mergeCell ref="B42:D42"/>
    <mergeCell ref="B43:D43"/>
    <mergeCell ref="B44:D44"/>
    <mergeCell ref="B45:D45"/>
    <mergeCell ref="B47:L47"/>
  </mergeCells>
  <conditionalFormatting sqref="AD49:AD54">
    <cfRule type="expression" dxfId="3" priority="41">
      <formula>$AD49="OK"</formula>
    </cfRule>
    <cfRule type="expression" dxfId="1" priority="42">
      <formula>AND($AD49&lt;&gt;"",$AD49&lt;&gt;"OK")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D2" r:id="rId1" tooltip="Free manufacturing calculators and templates"/>
  </hyperlinks>
  <printOptions horizontalCentered="1"/>
  <pageMargins left="0.4" right="0.4" top="0.7" bottom="0.65" header="0.3" footer="0.3"/>
  <pageSetup fitToHeight="0" orientation="landscape"/>
  <headerFooter>
    <oddHeader>&amp;L&amp;8MFG Calcs - Process FMEA (PFMEA)&amp;R&amp;8&amp;A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29</vt:i4>
      </vt:variant>
    </vt:vector>
  </HeadingPairs>
  <TitlesOfParts>
    <vt:vector size="35" baseType="lpstr">
      <vt:lpstr>Start Here</vt:lpstr>
      <vt:lpstr>Setup</vt:lpstr>
      <vt:lpstr>PFMEA</vt:lpstr>
      <vt:lpstr>Dashboard</vt:lpstr>
      <vt:lpstr>Method</vt:lpstr>
      <vt:lpstr>Verify</vt:lpstr>
      <vt:lpstr>AsOf</vt:lpstr>
      <vt:lpstr>Company</vt:lpstr>
      <vt:lpstr>DueSoonDays</vt:lpstr>
      <vt:lpstr>FmeaNo</vt:lpstr>
      <vt:lpstr>KpiDone</vt:lpstr>
      <vt:lpstr>KpiHighSev</vt:lpstr>
      <vt:lpstr>KpiMax</vt:lpstr>
      <vt:lpstr>KpiOut</vt:lpstr>
      <vt:lpstr>KpiOverdue</vt:lpstr>
      <vt:lpstr>KpiReduction</vt:lpstr>
      <vt:lpstr>KpiRows</vt:lpstr>
      <vt:lpstr>KpiSpecial</vt:lpstr>
      <vt:lpstr>PartName</vt:lpstr>
      <vt:lpstr>PartNo</vt:lpstr>
      <vt:lpstr>Dashboard!Print_Area</vt:lpstr>
      <vt:lpstr>Method!Print_Area</vt:lpstr>
      <vt:lpstr>PFMEA!Print_Area</vt:lpstr>
      <vt:lpstr>Setup!Print_Area</vt:lpstr>
      <vt:lpstr>'Start Here'!Print_Area</vt:lpstr>
      <vt:lpstr>Verify!Print_Area</vt:lpstr>
      <vt:lpstr>Method!Print_Titles</vt:lpstr>
      <vt:lpstr>PFMEA!Print_Titles</vt:lpstr>
      <vt:lpstr>RevDate</vt:lpstr>
      <vt:lpstr>RPNLimit</vt:lpstr>
      <vt:lpstr>SelfCheck</vt:lpstr>
      <vt:lpstr>SelfCheckSummary</vt:lpstr>
      <vt:lpstr>SevLimit</vt:lpstr>
      <vt:lpstr>StartDate</vt:lpstr>
      <vt:lpstr>Team</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Process FMEA (PFMEA) - free Excel template from MFG Calcs</dc:title>
  <dc:subject>Rate every process failure mode for severity, occurrence and detection, rank the risks, and follow each recommended action until the re-rated risk is under your limit.</dc:subject>
  <dc:creator>MFG Calcs</dc:creator>
  <cp:keywords>PFMEA, process FMEA, FMEA, RPN, risk priority number, severity, occurrence, detection, IATF 16949, APQP</cp:keywords>
  <dc:description>https://www.mfgcalcs.com/templates/pfmea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pfmea</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https://www.mfgcalcs.com/templates/pfmea</vt:lpwstr>
  </property>
  <property fmtid="{D5CDD505-2E9C-101B-9397-08002B2CF9AE}" pid="7" name="Template sheet roles">
    <vt:lpwstr>Start Here=start;Setup=setup;PFMEA=work;Dashboard=dashboard;Method=method;Verify=verify</vt:lpwstr>
  </property>
</Properties>
</file>