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Monthly Results" sheetId="3" r:id="rId3"/>
    <sheet name="Volume" sheetId="4" r:id="rId4"/>
    <sheet name="Dashboard" sheetId="5" r:id="rId5"/>
    <sheet name="Method" sheetId="6" r:id="rId6"/>
    <sheet name="Verify" sheetId="7" r:id="rId7"/>
  </sheets>
  <definedNames>
    <definedName name="CostLines">tblCostLines[Cost line]</definedName>
    <definedName name="Currency">Setup!$C$7</definedName>
    <definedName name="DashMonth">Dashboard!$C$5</definedName>
    <definedName name="DashShown">Dashboard!$G$5</definedName>
    <definedName name="FLatest">SUMPRODUCT(MAX((tblResults[Actual]&lt;&gt;"")*tblResults[Month]))</definedName>
    <definedName name="FMonth">IF(DashMonth="",DATE(YEAR(FLatest),MONTH(FLatest),1),DATE(YEAR(DashMonth),MONTH(DashMonth),1))</definedName>
    <definedName name="FYStart">Setup!$C$9</definedName>
    <definedName name="Groups">tblGroups[Group]</definedName>
    <definedName name="KpiCpu">Dashboard!$G$9</definedName>
    <definedName name="KpiMonthAct">Dashboard!$B$9</definedName>
    <definedName name="KpiStatic">Dashboard!$G$32</definedName>
    <definedName name="KpiSV">Dashboard!$B$32</definedName>
    <definedName name="KpiVol">Dashboard!$J$32</definedName>
    <definedName name="KpiVolEffect">Dashboard!$D$32</definedName>
    <definedName name="KpiWorst">Dashboard!$J$9</definedName>
    <definedName name="KpiYtdAct">Dashboard!$D$9</definedName>
    <definedName name="PlantName">Setup!$C$6</definedName>
    <definedName name="_xlnm.Print_Area" localSheetId="4">Dashboard!$A$1:$L$75</definedName>
    <definedName name="_xlnm.Print_Area" localSheetId="5">Method!$A$1:$D$56</definedName>
    <definedName name="_xlnm.Print_Area" localSheetId="2">'Monthly Results'!$A$1:$P$150</definedName>
    <definedName name="_xlnm.Print_Area" localSheetId="1">Setup!$A$1:$E$38</definedName>
    <definedName name="_xlnm.Print_Area" localSheetId="0">'Start Here'!$A$1:$F$56</definedName>
    <definedName name="_xlnm.Print_Area" localSheetId="6">Verify!$A$1:$P$95</definedName>
    <definedName name="_xlnm.Print_Area" localSheetId="3">Volume!$A$1:$G$18</definedName>
    <definedName name="_xlnm.Print_Titles" localSheetId="5">Method!$1:$2</definedName>
    <definedName name="_xlnm.Print_Titles" localSheetId="2">'Monthly Results'!$1:$6</definedName>
    <definedName name="_xlnm.Print_Titles" localSheetId="3">Volume!$1:$6</definedName>
    <definedName name="SelfCheck">Verify!$D$4</definedName>
    <definedName name="SelfCheckSummary">Verify!$F$4</definedName>
    <definedName name="VarAmount">Setup!$C$11</definedName>
    <definedName name="VarPct">Setup!$C$10</definedName>
    <definedName name="VolumeUnit">Setup!$C$8</definedName>
  </definedNames>
  <calcPr calcId="124519" fullCalcOnLoad="1"/>
</workbook>
</file>

<file path=xl/sharedStrings.xml><?xml version="1.0" encoding="utf-8"?>
<sst xmlns="http://schemas.openxmlformats.org/spreadsheetml/2006/main" count="763" uniqueCount="258">
  <si>
    <t>Plant Budget vs Actual</t>
  </si>
  <si>
    <t>Read this first: what the workbook does and how to use it.</t>
  </si>
  <si>
    <t>mfgcalcs.com</t>
  </si>
  <si>
    <t>Compare each month's plant spending with a budget flexed to the volume you actually made, and see which cost lines are out of limits and why.</t>
  </si>
  <si>
    <t>For: Plant managers, plant and cost controllers, and operations managers who own a plant budget.</t>
  </si>
  <si>
    <t>Version 1.0.0  ·  updated 15 October 2026</t>
  </si>
  <si>
    <t>Quick start</t>
  </si>
  <si>
    <t>1.</t>
  </si>
  <si>
    <t>On Setup, type your plant name, currency, volume measure, first month of the year and the two variance thresholds; list your cost lines with the share of each that moves with volume.</t>
  </si>
  <si>
    <t>2.</t>
  </si>
  <si>
    <t>On Volume, type the budget volume for every month and the actual volume as each month closes.</t>
  </si>
  <si>
    <t>3.</t>
  </si>
  <si>
    <t>On Monthly Results, add one row per cost line per month with its budget and actual (paste from your ledger export).</t>
  </si>
  <si>
    <t>4.</t>
  </si>
  <si>
    <t>Read the Check column: a line out of limits asks for a comment. Then open the Dashboard and pick the report month.</t>
  </si>
  <si>
    <t>What is in this workbook</t>
  </si>
  <si>
    <t>Start Here</t>
  </si>
  <si>
    <t>Setup</t>
  </si>
  <si>
    <t>Plant, currency, volume measure, the year and the variance thresholds, and the cost lines with how each moves with volume.</t>
  </si>
  <si>
    <t>Monthly Results</t>
  </si>
  <si>
    <t>One row per cost line per month: budget and actual in; flexed budget, variances and a flag out.</t>
  </si>
  <si>
    <t>Volume</t>
  </si>
  <si>
    <t>Budget and actual volume for each month of the year: the ratio flexes every budget line.</t>
  </si>
  <si>
    <t>Dashboard</t>
  </si>
  <si>
    <t>The month and the year to date against the flexed budget, by cost line, group and month.</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</si>
  <si>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</si>
  <si>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</si>
  <si>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</si>
  <si>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</si>
  <si>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</si>
  <si>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</si>
  <si>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</si>
  <si>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</si>
  <si>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</si>
  <si>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</si>
  <si>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</si>
  <si>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</si>
  <si>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</si>
  <si>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</si>
  <si>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</si>
  <si>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</si>
  <si>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</si>
  <si>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</si>
  <si>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</si>
  <si>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</si>
  <si>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Actual vs Standard Cost Calculator on mfgcalcs.com</t>
  </si>
  <si>
    <t>Latest version</t>
  </si>
  <si>
    <t>mfgcalcs.com/templates/plant-budget-vs-actual</t>
  </si>
  <si>
    <t>More free templates</t>
  </si>
  <si>
    <t>mfgcalcs.com/templates</t>
  </si>
  <si>
    <t>Version</t>
  </si>
  <si>
    <t>1.0.0 (updated 15 October 2026)</t>
  </si>
  <si>
    <t>About the example data</t>
  </si>
  <si>
    <t>Every number already in this workbook is example data for Ashworth Castings, a fictional business invented for this template, so the dashboard and charts show something meaningful on day one. It covers twelve cost lines of an iron foundry from January to September 2026 (108 rows), generated from a fixed seed: volume runs below budget from May, electricity costs more from April and a furnace was relined in June.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</si>
  <si>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</si>
  <si>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</si>
  <si>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</si>
  <si>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</si>
  <si>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</si>
  <si>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</si>
  <si>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</si>
  <si>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</si>
  <si>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Cost line</t>
  </si>
  <si>
    <t>Group</t>
  </si>
  <si>
    <t>Variable share</t>
  </si>
  <si>
    <t>Notes</t>
  </si>
  <si>
    <t>Plant and year</t>
  </si>
  <si>
    <t>Plant or business</t>
  </si>
  <si>
    <t>Ashworth Castings (example)</t>
  </si>
  <si>
    <t>Currency label</t>
  </si>
  <si>
    <t>GBP</t>
  </si>
  <si>
    <t>Volume measure</t>
  </si>
  <si>
    <t>t</t>
  </si>
  <si>
    <t>First month of the budget year</t>
  </si>
  <si>
    <t>Variance threshold, share of flexed budget</t>
  </si>
  <si>
    <t>Variance threshold, amount</t>
  </si>
  <si>
    <t>A line is 'Out of limits' when it is over its flexed budget by more than both thresholds; 'Check' when it is under by more than both (a big underspend is often a timing or accrual error). The thresholds are yours.</t>
  </si>
  <si>
    <t>Cost lines</t>
  </si>
  <si>
    <t>Variable share: the part of the line's budget that moves with volume. 100% = fully variable (metal), 0% = fixed (depreciation). Estimate it from how the budget was built; the flexed budget uses it every month.</t>
  </si>
  <si>
    <t>Cost lines (example)</t>
  </si>
  <si>
    <t>Metallic charge</t>
  </si>
  <si>
    <t>Materials</t>
  </si>
  <si>
    <t>Pig iron, steel scrap and bought-in returns</t>
  </si>
  <si>
    <t>Alloys and inoculants</t>
  </si>
  <si>
    <t>Ferro-silicon, magnesium treatment, inoculants</t>
  </si>
  <si>
    <t>Sand and binders</t>
  </si>
  <si>
    <t>Moulding and core sand, resin, coatings</t>
  </si>
  <si>
    <t>Melting electricity</t>
  </si>
  <si>
    <t>Energy</t>
  </si>
  <si>
    <t>Induction melting; standing charges are fixed</t>
  </si>
  <si>
    <t>Gas and other energy</t>
  </si>
  <si>
    <t>Ladle heating, space heating</t>
  </si>
  <si>
    <t>Direct labour</t>
  </si>
  <si>
    <t>Labour</t>
  </si>
  <si>
    <t>Core team fixed; overtime and agency flex</t>
  </si>
  <si>
    <t>Indirect labour</t>
  </si>
  <si>
    <t>Supervisors, planners, quality, stores</t>
  </si>
  <si>
    <t>Maintenance and repairs</t>
  </si>
  <si>
    <t>Overheads</t>
  </si>
  <si>
    <t>Furnace relines, spares, contractors</t>
  </si>
  <si>
    <t>Patterns and consumables</t>
  </si>
  <si>
    <t>Pattern repairs, grinding wheels, shot</t>
  </si>
  <si>
    <t>Waste and environment</t>
  </si>
  <si>
    <t>Sand disposal, dust, permits</t>
  </si>
  <si>
    <t>Depreciation</t>
  </si>
  <si>
    <t>Plant and equipment</t>
  </si>
  <si>
    <t>Site costs</t>
  </si>
  <si>
    <t>Rates, insurance, IT, security</t>
  </si>
  <si>
    <t>Cost groups</t>
  </si>
  <si>
    <t>Month</t>
  </si>
  <si>
    <t>Budget</t>
  </si>
  <si>
    <t>Actual</t>
  </si>
  <si>
    <t>Volume ratio</t>
  </si>
  <si>
    <t>Flexed budget</t>
  </si>
  <si>
    <t>Spending variance</t>
  </si>
  <si>
    <t>Spending variance %</t>
  </si>
  <si>
    <t>Volume effect</t>
  </si>
  <si>
    <t>Total variance</t>
  </si>
  <si>
    <t>Variance flag</t>
  </si>
  <si>
    <t>Check</t>
  </si>
  <si>
    <t>Commentary</t>
  </si>
  <si>
    <t>Example data for Ashworth Castings (fictional). Replace it with your own: select the example rows, right-click, Delete &gt; Table Rows; paste the year's budget (month, cost line, budget) and add each actual as the month closes. Positive variance = overspent.</t>
  </si>
  <si>
    <t/>
  </si>
  <si>
    <t>Insurance renewal: premium up; budget reset next year</t>
  </si>
  <si>
    <t>New electricity tariff from April (+9%); hedge for 2027 under review</t>
  </si>
  <si>
    <t>Overtime and agency cover for absence and arrears</t>
  </si>
  <si>
    <t>Furnace 2 lining failure: emergency reline</t>
  </si>
  <si>
    <t>Business rates rebate received (one-off)</t>
  </si>
  <si>
    <t>Budget volume</t>
  </si>
  <si>
    <t>Actual volume</t>
  </si>
  <si>
    <t>Example data for Ashworth Castings (fictional): tonnes of good castings. Twelve months, budget for all, actual up to September.</t>
  </si>
  <si>
    <t>Customer destocking from May</t>
  </si>
  <si>
    <t>Two-week summer shutdown</t>
  </si>
  <si>
    <t>Christmas shutdown</t>
  </si>
  <si>
    <t>Report month</t>
  </si>
  <si>
    <t>Showing</t>
  </si>
  <si>
    <t>BIGGEST OVERSPEND, YEAR TO DATE</t>
  </si>
  <si>
    <t>Largest variance over flexed budget</t>
  </si>
  <si>
    <t>Actual - flexed budget (+ = overspent)</t>
  </si>
  <si>
    <t>Flexed - static budget: the volume's share</t>
  </si>
  <si>
    <t>Actual - budget: the two above added</t>
  </si>
  <si>
    <t>By cost line: the report month and the year to date</t>
  </si>
  <si>
    <t>Actual, month</t>
  </si>
  <si>
    <t>Spending variance, month</t>
  </si>
  <si>
    <t>Budget, YTD</t>
  </si>
  <si>
    <t>Flexed budget, YTD</t>
  </si>
  <si>
    <t>Actual, YTD</t>
  </si>
  <si>
    <t>Spending variance, YTD</t>
  </si>
  <si>
    <t>Spending variance %, YTD</t>
  </si>
  <si>
    <t>Flag, YTD</t>
  </si>
  <si>
    <t>By cost group, year to date</t>
  </si>
  <si>
    <t>Volume effect, YTD</t>
  </si>
  <si>
    <t>By month (actuals to the report month)</t>
  </si>
  <si>
    <t>Budget per unit</t>
  </si>
  <si>
    <t>Actual per unit</t>
  </si>
  <si>
    <t>The Dashboard shows the 12 cost lines and 4 groups of the Setup lists. If you add more, extend the 'By cost line' and 'By cost group' blocks (see Method) or they will not appear here.</t>
  </si>
  <si>
    <t>What this workbook calculates</t>
  </si>
  <si>
    <t>A static budget is set for a planned volume. When the plant makes more or less than planned, part of every budget line should move with it: metal and energy per tonne, overtime, consumables. The flexed budget is the budget re-stated at the volume actually made, using each line's variable share. The spending variance (actual - flexed budget) is what the plant controls; the volume effect (flexed - static budget) is what volume did to the budget. Together they make the total variance against the static budget.</t>
  </si>
  <si>
    <t>Calculations</t>
  </si>
  <si>
    <t>Quantity</t>
  </si>
  <si>
    <t>How it is calculated</t>
  </si>
  <si>
    <t>Units</t>
  </si>
  <si>
    <t>Actual volume / budget volume for the month (Volume sheet).</t>
  </si>
  <si>
    <t>-</t>
  </si>
  <si>
    <t>Budget x (1 - variable share + variable share x volume ratio). A fixed line (0%) keeps its budget; a fully variable line (100%) scales with volume.</t>
  </si>
  <si>
    <t>currency</t>
  </si>
  <si>
    <t>Actual - flexed budget. Positive = overspent. Its percentage is divided by the flexed budget.</t>
  </si>
  <si>
    <t>currency, %</t>
  </si>
  <si>
    <t>Flexed budget - budget: the change in the allowed spend caused by volume.</t>
  </si>
  <si>
    <t>Actual - budget = spending variance + volume effect.</t>
  </si>
  <si>
    <t>Out of limits when the spending variance is above both Setup thresholds (amount and share of flexed budget); Check when it is below minus both; otherwise Within limits. The same rule on year-to-date totals gives the by-line flag.</t>
  </si>
  <si>
    <t>Month and year to date</t>
  </si>
  <si>
    <t>SUMIFS over Monthly Results for the report month, and from the first month of the year to the report month. A blank report month means the latest month with an actual; budget rows for later months can be loaded ahead.</t>
  </si>
  <si>
    <t>Cost per unit</t>
  </si>
  <si>
    <t>Year-to-date actual / year-to-date actual volume, against the flexed budget / the same volume.</t>
  </si>
  <si>
    <t>currency/unit</t>
  </si>
  <si>
    <t>Biggest overspend</t>
  </si>
  <si>
    <t>The cost line with the largest positive year-to-date spending variance.</t>
  </si>
  <si>
    <t>By-month budget per unit</t>
  </si>
  <si>
    <t>Monthly budget / budget volume; actual per unit = monthly actual / actual volume.</t>
  </si>
  <si>
    <t>Assumptions</t>
  </si>
  <si>
    <t>Each line's budget splits into a fixed part and a part proportional to volume, in the shares set on Setup, every month.</t>
  </si>
  <si>
    <t>One volume measure drives every flexing line. If a line follows another driver (machine hours, melts), flex it outside the workbook and type the result as its budget.</t>
  </si>
  <si>
    <t>Budget and actual are for the same scope and period (accruals in the right month).</t>
  </si>
  <si>
    <t>Months are calendar months; any day of a month counts as that month.</t>
  </si>
  <si>
    <t>Limitations</t>
  </si>
  <si>
    <t>Spending variance mixes price and usage (paying more per kWh vs using more kWh); split them with the standard cost variance templates if you need to.</t>
  </si>
  <si>
    <t>The Dashboard has fixed blocks for 12 cost lines and 4 groups; longer lists need the blocks extended (a warning appears on the Dashboard).</t>
  </si>
  <si>
    <t>Thresholds apply the same way to every line; a line that matters more to you needs your own attention.</t>
  </si>
  <si>
    <t>Rows with no actual volume for their month have no flexed budget; the Check column says so.</t>
  </si>
  <si>
    <t>Agreement with the live calculator</t>
  </si>
  <si>
    <t>The live Actual vs Standard Cost calculator compares actual production cost with the standard allowed for the good units made (good units x standard unit cost). For a fully variable cost line that is this workbook's flexed budget (budget / budget volume x actual volume), so the calculator's total cost variance equals the spending variance: with 10,800 actual, 1,000 good units and a 10.00 standard, both give an allowed cost of 10,000 and a variance of 800 (a 12,000 budget for 1,200 units flexed to 1,000). The Standard Cost Variance calculator's total (material + labour + overhead variances) equals the sum of the spending variances of the lines. The build checks both against the calculators' engines. Difference: this workbook also flexes partly fixed lines, by month and by line.</t>
  </si>
  <si>
    <t>Open the Actual vs Standard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</si>
  <si>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</si>
  <si>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</si>
  <si>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Flexible budgeting and the split of budget variance into spending and volume effects, as in management accounting texts (for example Horngren, Datar and Rajan, Cost Accounting: A Managerial Emphasis, chapters on flexible budgets).</t>
  </si>
  <si>
    <t>MFG Calcs Actual vs Standard Cost calculator (actual-vs-standard-cost) and Standard Cost Variance calculator (standard-cost-variance).</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</si>
  <si>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</si>
  <si>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</si>
  <si>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</si>
  <si>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</si>
  <si>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</si>
  <si>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</si>
  <si>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</si>
  <si>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</si>
  <si>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</si>
  <si>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</si>
  <si>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</si>
  <si>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</si>
  <si>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</si>
  <si>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</si>
  <si>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</si>
  <si>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</si>
  <si>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Feb, variable line: flexed budget = calculator's allowed cost</t>
  </si>
  <si>
    <t>Feb, variable line: spending variance = calculator's cost variance</t>
  </si>
  <si>
    <t>Jan, semi-variable line: flexed budget (40% variable)</t>
  </si>
  <si>
    <t>Jan, semi-variable line: flag</t>
  </si>
  <si>
    <t>Out of limits</t>
  </si>
  <si>
    <t>exact</t>
  </si>
  <si>
    <t>Feb, semi-variable line: far under is flagged Check</t>
  </si>
  <si>
    <t>Feb, semi-variable line: volume effect</t>
  </si>
  <si>
    <t>Feb, fixed line: small variance within limits</t>
  </si>
  <si>
    <t>Within limits</t>
  </si>
  <si>
    <t>Jan, fixed line: out of limits without a comment</t>
  </si>
  <si>
    <t>Comment needed</t>
  </si>
  <si>
    <t>Mar, actual but no actual volume: Check says so</t>
  </si>
  <si>
    <t>No actual volume for this month</t>
  </si>
  <si>
    <t>Mar, budget loaded ahead (no actual yet): Check is OK</t>
  </si>
  <si>
    <t>OK</t>
  </si>
  <si>
    <t>Mar, budget loaded ahead: total variance blank</t>
  </si>
  <si>
    <t>Spend in the report month (Dashboard)</t>
  </si>
  <si>
    <t>Spend year to date (Dashboard)</t>
  </si>
  <si>
    <t>Spending variance year to date (Dashboard)</t>
  </si>
  <si>
    <t>Volume effect year to date (Dashboard)</t>
  </si>
  <si>
    <t>Cost per unit year to date (Dashboard)</t>
  </si>
  <si>
    <t>Lines out of limits in the report month</t>
  </si>
  <si>
    <t>By line: semi-variable line spending variance YTD</t>
  </si>
  <si>
    <t>By line: fixed line flag YTD</t>
  </si>
  <si>
    <t>By month: February flexed budget</t>
  </si>
  <si>
    <t>By month: March actual is blank after the report month</t>
  </si>
  <si>
    <t>Fixed test inputs</t>
  </si>
  <si>
    <t>White cells are fixed test inputs; blue cells are the workbook's formulas evaluated on them.</t>
  </si>
  <si>
    <t>Parameters</t>
  </si>
  <si>
    <t>First month of the year</t>
  </si>
  <si>
    <t>Variance threshold (share)</t>
  </si>
  <si>
    <t>Variance threshold (amount)</t>
  </si>
  <si>
    <t>Test table: CostLines</t>
  </si>
  <si>
    <t>Variable line</t>
  </si>
  <si>
    <t>Calculator example</t>
  </si>
  <si>
    <t>Semi-variable line</t>
  </si>
  <si>
    <t>Fixed line</t>
  </si>
  <si>
    <t>Test table: Volume</t>
  </si>
  <si>
    <t>Test table: Results</t>
  </si>
  <si>
    <t>Calculator example: 1,000 good units at a 10.00 standard</t>
  </si>
  <si>
    <t>Over: tested flag</t>
  </si>
  <si>
    <t>Far under: tested flag</t>
  </si>
  <si>
    <t>Test by cost line (same formulas as the Dashboard)</t>
  </si>
  <si>
    <t>Test by month</t>
  </si>
</sst>
</file>

<file path=xl/styles.xml><?xml version="1.0" encoding="utf-8"?>
<styleSheet xmlns="http://schemas.openxmlformats.org/spreadsheetml/2006/main">
  <numFmts count="13">
    <numFmt numFmtId="164" formatCode="mmm yyyy"/>
    <numFmt numFmtId="165" formatCode="0.0%"/>
    <numFmt numFmtId="166" formatCode="#,##0"/>
    <numFmt numFmtId="167" formatCode="0%"/>
    <numFmt numFmtId="168" formatCode="#,##0.000"/>
    <numFmt numFmtId="169" formatCode="+#,##0;-#,##0;0"/>
    <numFmt numFmtId="170" formatCode="+0.0%;-0.0%;0.0%"/>
    <numFmt numFmtId="171" formatCode="#,##0.00"/>
    <numFmt numFmtId="172" formatCode="&quot;Flexed budget &quot;#,##0"/>
    <numFmt numFmtId="173" formatCode="&quot;Flexed budget &quot;#,##0.00"/>
    <numFmt numFmtId="174" formatCode="&quot;Budget &quot;#,##0"/>
    <numFmt numFmtId="175" formatCode="0.0E+00"/>
    <numFmt numFmtId="176" formatCode="0.0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b/>
      <sz val="14"/>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2">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7" fontId="10" fillId="3" borderId="2" xfId="0" applyNumberFormat="1" applyFont="1" applyFill="1" applyBorder="1" applyAlignment="1" applyProtection="1">
      <alignment vertical="center"/>
      <protection locked="0"/>
    </xf>
    <xf numFmtId="0" fontId="19" fillId="7" borderId="2" xfId="0" applyFont="1" applyFill="1" applyBorder="1" applyAlignment="1">
      <alignment vertical="center" wrapText="1"/>
    </xf>
    <xf numFmtId="0" fontId="20" fillId="0" borderId="0" xfId="0" applyFont="1" applyAlignment="1">
      <alignment horizontal="center" vertical="center"/>
    </xf>
    <xf numFmtId="0" fontId="10" fillId="4" borderId="3" xfId="0" applyFont="1" applyFill="1" applyBorder="1" applyAlignment="1">
      <alignment vertical="center"/>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5" fontId="10" fillId="4" borderId="3" xfId="0" applyNumberFormat="1" applyFont="1" applyFill="1" applyBorder="1" applyAlignment="1">
      <alignment vertical="center"/>
    </xf>
    <xf numFmtId="0" fontId="8" fillId="0" borderId="0" xfId="0" applyFont="1" applyAlignment="1">
      <alignment vertical="center"/>
    </xf>
    <xf numFmtId="164" fontId="10" fillId="3" borderId="2" xfId="0" applyNumberFormat="1" applyFont="1" applyFill="1" applyBorder="1" applyAlignment="1" applyProtection="1">
      <alignment horizontal="left" vertical="center"/>
      <protection locked="0"/>
    </xf>
    <xf numFmtId="164" fontId="10" fillId="4" borderId="3" xfId="0" applyNumberFormat="1"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71"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172" fontId="24" fillId="9" borderId="7" xfId="0" applyNumberFormat="1" applyFont="1" applyFill="1" applyBorder="1" applyAlignment="1">
      <alignment horizontal="left" vertical="center"/>
    </xf>
    <xf numFmtId="173" fontId="24" fillId="9" borderId="7" xfId="0" applyNumberFormat="1"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169" fontId="4" fillId="9" borderId="7" xfId="0" applyNumberFormat="1" applyFont="1" applyFill="1" applyBorder="1" applyAlignment="1">
      <alignment horizontal="left" vertical="center"/>
    </xf>
    <xf numFmtId="174" fontId="2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4" fontId="9" fillId="0" borderId="9" xfId="0" applyNumberFormat="1" applyFont="1" applyBorder="1" applyAlignment="1">
      <alignment vertical="center"/>
    </xf>
    <xf numFmtId="171"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166" fontId="9" fillId="0" borderId="9" xfId="0" applyNumberFormat="1" applyFont="1" applyBorder="1" applyAlignment="1">
      <alignment horizontal="center" vertical="center"/>
    </xf>
    <xf numFmtId="171" fontId="10" fillId="0" borderId="9" xfId="0" applyNumberFormat="1" applyFont="1" applyBorder="1" applyAlignment="1">
      <alignment vertical="center"/>
    </xf>
    <xf numFmtId="175" fontId="10" fillId="4" borderId="3" xfId="0" applyNumberFormat="1" applyFont="1" applyFill="1" applyBorder="1" applyAlignment="1">
      <alignment vertical="center"/>
    </xf>
    <xf numFmtId="175" fontId="10" fillId="0" borderId="9" xfId="0" applyNumberFormat="1" applyFont="1" applyBorder="1" applyAlignment="1">
      <alignment vertical="center"/>
    </xf>
    <xf numFmtId="166" fontId="10" fillId="0" borderId="9" xfId="0" applyNumberFormat="1" applyFont="1" applyBorder="1" applyAlignment="1">
      <alignment vertical="center"/>
    </xf>
    <xf numFmtId="176" fontId="10" fillId="0" borderId="9" xfId="0" applyNumberFormat="1" applyFont="1" applyBorder="1" applyAlignment="1">
      <alignment vertical="center"/>
    </xf>
    <xf numFmtId="176"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5"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Spend by month: actual vs flexed and static budget</a:t>
            </a:r>
          </a:p>
        </c:rich>
      </c:tx>
      <c:layout/>
    </c:title>
    <c:plotArea>
      <c:layout/>
      <c:barChart>
        <c:barDir val="col"/>
        <c:grouping val="clustered"/>
        <c:ser>
          <c:idx val="0"/>
          <c:order val="0"/>
          <c:tx>
            <c:v>Actual</c:v>
          </c:tx>
          <c:spPr>
            <a:solidFill>
              <a:srgbClr val="3B64D8"/>
            </a:solidFill>
            <a:ln w="9525">
              <a:solidFill>
                <a:srgbClr val="FFFFFF"/>
              </a:solidFill>
            </a:ln>
          </c:spPr>
          <c:cat>
            <c:numRef>
              <c:f>Dashboard!$B$61:$B$72</c:f>
              <c:numCache>
                <c:formatCode>General</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Dashboard!$E$61:$E$72</c:f>
              <c:numCache>
                <c:formatCode>General</c:formatCode>
                <c:ptCount val="12"/>
                <c:pt idx="0">
                  <c:v>1003110</c:v>
                </c:pt>
                <c:pt idx="1">
                  <c:v>1053650</c:v>
                </c:pt>
                <c:pt idx="2">
                  <c:v>1091000</c:v>
                </c:pt>
                <c:pt idx="3">
                  <c:v>1028560</c:v>
                </c:pt>
                <c:pt idx="4">
                  <c:v>1036570</c:v>
                </c:pt>
                <c:pt idx="5">
                  <c:v>1100590</c:v>
                </c:pt>
                <c:pt idx="6">
                  <c:v>993570</c:v>
                </c:pt>
                <c:pt idx="7">
                  <c:v>766120</c:v>
                </c:pt>
                <c:pt idx="8">
                  <c:v>1015100</c:v>
                </c:pt>
                <c:pt idx="9">
                  <c:v>0</c:v>
                </c:pt>
                <c:pt idx="10">
                  <c:v>0</c:v>
                </c:pt>
                <c:pt idx="11">
                  <c:v>0</c:v>
                </c:pt>
              </c:numCache>
            </c:numRef>
          </c:val>
        </c:ser>
        <c:ser>
          <c:idx val="1"/>
          <c:order val="1"/>
          <c:tx>
            <c:v>Flexed budget</c:v>
          </c:tx>
          <c:spPr>
            <a:solidFill>
              <a:srgbClr val="E8702A"/>
            </a:solidFill>
            <a:ln w="9525">
              <a:solidFill>
                <a:srgbClr val="FFFFFF"/>
              </a:solidFill>
            </a:ln>
          </c:spPr>
          <c:cat>
            <c:numRef>
              <c:f>Dashboard!$B$61:$B$72</c:f>
              <c:numCache>
                <c:formatCode>General</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Dashboard!$D$61:$D$72</c:f>
              <c:numCache>
                <c:formatCode>General</c:formatCode>
                <c:ptCount val="12"/>
                <c:pt idx="0">
                  <c:v>1002283.55072464</c:v>
                </c:pt>
                <c:pt idx="1">
                  <c:v>1052530.32042254</c:v>
                </c:pt>
                <c:pt idx="2">
                  <c:v>1079379.15789474</c:v>
                </c:pt>
                <c:pt idx="3">
                  <c:v>1023862.82758621</c:v>
                </c:pt>
                <c:pt idx="4">
                  <c:v>1010143.81756757</c:v>
                </c:pt>
                <c:pt idx="5">
                  <c:v>1031053.03333333</c:v>
                </c:pt>
                <c:pt idx="6">
                  <c:v>973661.517605634</c:v>
                </c:pt>
                <c:pt idx="7">
                  <c:v>747741.964285714</c:v>
                </c:pt>
                <c:pt idx="8">
                  <c:v>998114.753424658</c:v>
                </c:pt>
                <c:pt idx="9">
                  <c:v>0</c:v>
                </c:pt>
                <c:pt idx="10">
                  <c:v>0</c:v>
                </c:pt>
                <c:pt idx="11">
                  <c:v>0</c:v>
                </c:pt>
              </c:numCache>
            </c:numRef>
          </c:val>
        </c:ser>
        <c:gapWidth val="60"/>
        <c:overlap val="-10"/>
        <c:axId val="50010001"/>
        <c:axId val="50010002"/>
      </c:barChart>
      <c:lineChart>
        <c:grouping val="standard"/>
        <c:ser>
          <c:idx val="2"/>
          <c:order val="2"/>
          <c:tx>
            <c:v>Budget (static)</c:v>
          </c:tx>
          <c:spPr>
            <a:ln w="28575">
              <a:solidFill>
                <a:srgbClr val="1BA37A"/>
              </a:solidFill>
            </a:ln>
          </c:spPr>
          <c:marker>
            <c:symbol val="circle"/>
            <c:size val="5"/>
            <c:spPr>
              <a:solidFill>
                <a:srgbClr val="1BA37A"/>
              </a:solidFill>
              <a:ln>
                <a:solidFill>
                  <a:srgbClr val="1BA37A"/>
                </a:solidFill>
              </a:ln>
            </c:spPr>
          </c:marker>
          <c:cat>
            <c:numRef>
              <c:f>Dashboard!$B$61:$B$72</c:f>
              <c:numCache>
                <c:formatCode>General</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Dashboard!$C$61:$C$72</c:f>
              <c:numCache>
                <c:formatCode>General</c:formatCode>
                <c:ptCount val="12"/>
                <c:pt idx="0">
                  <c:v>1018100</c:v>
                </c:pt>
                <c:pt idx="1">
                  <c:v>1040700</c:v>
                </c:pt>
                <c:pt idx="2">
                  <c:v>1097300</c:v>
                </c:pt>
                <c:pt idx="3">
                  <c:v>1057600</c:v>
                </c:pt>
                <c:pt idx="4">
                  <c:v>1074700</c:v>
                </c:pt>
                <c:pt idx="5">
                  <c:v>1086000</c:v>
                </c:pt>
                <c:pt idx="6">
                  <c:v>1040700</c:v>
                </c:pt>
                <c:pt idx="7">
                  <c:v>791700</c:v>
                </c:pt>
                <c:pt idx="8">
                  <c:v>1063300</c:v>
                </c:pt>
                <c:pt idx="9">
                  <c:v>1086000</c:v>
                </c:pt>
                <c:pt idx="10">
                  <c:v>1069000</c:v>
                </c:pt>
                <c:pt idx="11">
                  <c:v>870900</c:v>
                </c:pt>
              </c:numCache>
            </c:numRef>
          </c:val>
        </c:ser>
        <c:marker val="1"/>
        <c:axId val="50010001"/>
        <c:axId val="50010002"/>
      </c:line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quot;k&quot;"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Spending variance by cost line, year to date</a:t>
            </a:r>
          </a:p>
        </c:rich>
      </c:tx>
      <c:layout/>
    </c:title>
    <c:plotArea>
      <c:layout/>
      <c:barChart>
        <c:barDir val="bar"/>
        <c:grouping val="clustered"/>
        <c:ser>
          <c:idx val="0"/>
          <c:order val="0"/>
          <c:tx>
            <c:v>Spending variance (+ = overspent)</c:v>
          </c:tx>
          <c:spPr>
            <a:solidFill>
              <a:srgbClr val="E8702A"/>
            </a:solidFill>
            <a:ln w="9525">
              <a:solidFill>
                <a:srgbClr val="FFFFFF"/>
              </a:solidFill>
            </a:ln>
          </c:spPr>
          <c:cat>
            <c:strRef>
              <c:f>Dashboard!$B$39:$B$50</c:f>
              <c:strCache>
                <c:ptCount val="12"/>
                <c:pt idx="0">
                  <c:v>Metallic charge</c:v>
                </c:pt>
                <c:pt idx="1">
                  <c:v>Alloys and inoculants</c:v>
                </c:pt>
                <c:pt idx="2">
                  <c:v>Sand and binders</c:v>
                </c:pt>
                <c:pt idx="3">
                  <c:v>Melting electricity</c:v>
                </c:pt>
                <c:pt idx="4">
                  <c:v>Gas and other energy</c:v>
                </c:pt>
                <c:pt idx="5">
                  <c:v>Direct labour</c:v>
                </c:pt>
                <c:pt idx="6">
                  <c:v>Indirect labour</c:v>
                </c:pt>
                <c:pt idx="7">
                  <c:v>Maintenance and repairs</c:v>
                </c:pt>
                <c:pt idx="8">
                  <c:v>Patterns and consumables</c:v>
                </c:pt>
                <c:pt idx="9">
                  <c:v>Waste and environment</c:v>
                </c:pt>
                <c:pt idx="10">
                  <c:v>Depreciation</c:v>
                </c:pt>
                <c:pt idx="11">
                  <c:v>Site costs</c:v>
                </c:pt>
              </c:strCache>
            </c:strRef>
          </c:cat>
          <c:val>
            <c:numRef>
              <c:f>Dashboard!$H$39:$H$50</c:f>
              <c:numCache>
                <c:formatCode>General</c:formatCode>
                <c:ptCount val="12"/>
                <c:pt idx="0">
                  <c:v>62410</c:v>
                </c:pt>
                <c:pt idx="1">
                  <c:v>-694.21078293852</c:v>
                </c:pt>
                <c:pt idx="2">
                  <c:v>-1041.87538485904</c:v>
                </c:pt>
                <c:pt idx="3">
                  <c:v>53078.8279378384</c:v>
                </c:pt>
                <c:pt idx="4">
                  <c:v>-263.170763760456</c:v>
                </c:pt>
                <c:pt idx="5">
                  <c:v>18237.3576391821</c:v>
                </c:pt>
                <c:pt idx="6">
                  <c:v>-480</c:v>
                </c:pt>
                <c:pt idx="7">
                  <c:v>36127.6962438485</c:v>
                </c:pt>
                <c:pt idx="8">
                  <c:v>-1294.25477784855</c:v>
                </c:pt>
                <c:pt idx="9">
                  <c:v>228.687043514292</c:v>
                </c:pt>
                <c:pt idx="10">
                  <c:v>2330</c:v>
                </c:pt>
                <c:pt idx="11">
                  <c:v>860</c:v>
                </c:pt>
              </c:numCache>
            </c:numRef>
          </c:val>
        </c:ser>
        <c:gapWidth val="50"/>
        <c:overlap val="-10"/>
        <c:axId val="50020001"/>
        <c:axId val="50020002"/>
      </c:barChart>
      <c:catAx>
        <c:axId val="50020001"/>
        <c:scaling>
          <c:orientation val="maxMin"/>
        </c:scaling>
        <c:axPos val="l"/>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t"/>
        <c:majorGridlines>
          <c:spPr>
            <a:ln w="9525">
              <a:solidFill>
                <a:srgbClr val="E6E9EE"/>
              </a:solidFill>
            </a:ln>
          </c:spPr>
        </c:majorGridlines>
        <c:numFmt formatCode="#,##0,&quot;k&quot;"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13</xdr:row>
      <xdr:rowOff>38100</xdr:rowOff>
    </xdr:from>
    <xdr:to>
      <xdr:col>5</xdr:col>
      <xdr:colOff>676275</xdr:colOff>
      <xdr:row>28</xdr:row>
      <xdr:rowOff>152400</xdr:rowOff>
    </xdr:to>
    <xdr:graphicFrame macro="">
      <xdr:nvGraphicFramePr>
        <xdr:cNvPr id="2" name="Chart 1" descr="Clustered column chart of actual spend and the flexed budget for each month to the report month, with the static budget for all twelve months as a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13</xdr:row>
      <xdr:rowOff>38100</xdr:rowOff>
    </xdr:from>
    <xdr:to>
      <xdr:col>11</xdr:col>
      <xdr:colOff>676275</xdr:colOff>
      <xdr:row>28</xdr:row>
      <xdr:rowOff>152400</xdr:rowOff>
    </xdr:to>
    <xdr:graphicFrame macro="">
      <xdr:nvGraphicFramePr>
        <xdr:cNvPr id="3" name="Chart 2" descr="Horizontal bar chart of each cost line's year-to-date spending variance against the flexed budget; bars to the right are overspend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ostLines" displayName="tblCostLines" ref="B19:E31" totalsRowShown="0">
  <autoFilter ref="B19:E31"/>
  <tableColumns count="4">
    <tableColumn id="1" name="Cost line"/>
    <tableColumn id="2" name="Group"/>
    <tableColumn id="3" name="Variable share"/>
    <tableColumn id="4" name="Notes"/>
  </tableColumns>
  <tableStyleInfo name="TableStyleLight1" showFirstColumn="0" showLastColumn="0" showRowStripes="0" showColumnStripes="0"/>
</table>
</file>

<file path=xl/tables/table2.xml><?xml version="1.0" encoding="utf-8"?>
<table xmlns="http://schemas.openxmlformats.org/spreadsheetml/2006/main" id="2" name="tblGroups" displayName="tblGroups" ref="B34:B38" totalsRowShown="0">
  <autoFilter ref="B34:B38"/>
  <tableColumns count="1">
    <tableColumn id="1" name="Group"/>
  </tableColumns>
  <tableStyleInfo name="TableStyleLight1" showFirstColumn="0" showLastColumn="0" showRowStripes="0" showColumnStripes="0"/>
</table>
</file>

<file path=xl/tables/table3.xml><?xml version="1.0" encoding="utf-8"?>
<table xmlns="http://schemas.openxmlformats.org/spreadsheetml/2006/main" id="3" name="tblResults" displayName="tblResults" ref="B6:P150" totalsRowShown="0">
  <autoFilter ref="B6:P150"/>
  <tableColumns count="15">
    <tableColumn id="1" name="Month"/>
    <tableColumn id="2" name="Cost line"/>
    <tableColumn id="3" name="Budget"/>
    <tableColumn id="4" name="Actual"/>
    <tableColumn id="5" name="Group">
      <calculatedColumnFormula>IF(tblResults[[#This Row],[Month]]="","",IFERROR(INDEX(tblCostLines[Group],MATCH(tblResults[[#This Row],[Cost line]],tblCostLines[Cost line],0)),""))</calculatedColumnFormula>
    </tableColumn>
    <tableColumn id="6" name="Variable share">
      <calculatedColumnFormula>IF(tblResults[[#This Row],[Month]]="","",IFERROR(INDEX(tblCostLines[Variable share],MATCH(tblResults[[#This Row],[Cost line]],tblCostLines[Cost line],0)),""))</calculatedColumnFormula>
    </tableColumn>
    <tableColumn id="7" name="Volume ratio">
      <calculatedColumnFormula>IF(tblResults[[#This Row],[Month]]="","",IFERROR(INDEX(tblVolume[Volume ratio],MATCH(DATE(YEAR(tblResults[[#This Row],[Month]]),MONTH(tblResults[[#This Row],[Month]]),1),tblVolume[Month],0)),""))</calculatedColumnFormula>
    </tableColumn>
    <tableColumn id="8" name="Flexed budget">
      <calculatedColumnFormula>IF(tblResults[[#This Row],[Month]]="","",IF(OR(tblResults[[#This Row],[Volume ratio]]="",tblResults[[#This Row],[Variable share]]=""),"",tblResults[[#This Row],[Budget]]*(1-tblResults[[#This Row],[Variable share]]+tblResults[[#This Row],[Variable share]]*tblResults[[#This Row],[Volume ratio]])))</calculatedColumnFormula>
    </tableColumn>
    <tableColumn id="9" name="Spending variance">
      <calculatedColumnFormula>IF(tblResults[[#This Row],[Month]]="","",IF(OR(tblResults[[#This Row],[Flexed budget]]="",tblResults[[#This Row],[Actual]]=""),"",tblResults[[#This Row],[Actual]]-tblResults[[#This Row],[Flexed budget]]))</calculatedColumnFormula>
    </tableColumn>
    <tableColumn id="10" name="Spending variance %">
      <calculatedColumnFormula>IF(tblResults[[#This Row],[Month]]="","",IF(OR(tblResults[[#This Row],[Spending variance]]="",tblResults[[#This Row],[Flexed budget]]=0),"",tblResults[[#This Row],[Spending variance]]/tblResults[[#This Row],[Flexed budget]]))</calculatedColumnFormula>
    </tableColumn>
    <tableColumn id="11" name="Volume effect">
      <calculatedColumnFormula>IF(tblResults[[#This Row],[Month]]="","",IF(tblResults[[#This Row],[Flexed budget]]="","",tblResults[[#This Row],[Flexed budget]]-tblResults[[#This Row],[Budget]]))</calculatedColumnFormula>
    </tableColumn>
    <tableColumn id="12" name="Total variance">
      <calculatedColumnFormula>IF(tblResults[[#This Row],[Month]]="","",IF(tblResults[[#This Row],[Actual]]="","",tblResults[[#This Row],[Actual]]-tblResults[[#This Row],[Budget]]))</calculatedColumnFormula>
    </tableColumn>
    <tableColumn id="13" name="Variance flag">
      <calculatedColumnFormula>IF(tblResults[[#This Row],[Spending variance]]="","",IF(AND(ABS(tblResults[[#This Row],[Spending variance]])&gt;VarAmount,ABS(tblResults[[#This Row],[Spending variance %]])&gt;VarPct),IF(tblResults[[#This Row],[Spending variance]]&gt;0,"Out of limits","Check"),"Within limits"))</calculatedColumnFormula>
    </tableColumn>
    <tableColumn id="14" name="Check">
      <calculatedColumnFormula>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calculatedColumnFormula>
    </tableColumn>
    <tableColumn id="15" name="Commentary"/>
  </tableColumns>
  <tableStyleInfo name="TableStyleLight1" showFirstColumn="0" showLastColumn="0" showRowStripes="0" showColumnStripes="0"/>
</table>
</file>

<file path=xl/tables/table4.xml><?xml version="1.0" encoding="utf-8"?>
<table xmlns="http://schemas.openxmlformats.org/spreadsheetml/2006/main" id="4" name="tblVolume" displayName="tblVolume" ref="B6:G18" totalsRowShown="0">
  <autoFilter ref="B6:G18"/>
  <tableColumns count="6">
    <tableColumn id="1" name="Month"/>
    <tableColumn id="2" name="Budget volume"/>
    <tableColumn id="3" name="Actual volume"/>
    <tableColumn id="4" name="Volume ratio">
      <calculatedColumnFormula>IF(tblVolume[[#This Row],[Month]]="","",IF(OR(tblVolume[[#This Row],[Actual volume]]="",tblVolume[[#This Row],[Budget volume]]=0),"",tblVolume[[#This Row],[Actual volume]]/tblVolume[[#This Row],[Budget volume]]))</calculatedColumnFormula>
    </tableColumn>
    <tableColumn id="5" name="Check">
      <calculatedColumnFormula>IF(tblVolume[[#This Row],[Month]]="","",IF(tblVolume[[#This Row],[Budget volume]]="","Missing budget volume",IF(DAY(tblVolume[[#This Row],[Month]])&lt;&gt;1,"Use the 1st of the month",IF(COUNTIFS(tblVolume[Month],tblVolume[[#This Row],[Month]])&gt;1,"Month listed twice","OK"))))</calculatedColumnFormula>
    </tableColumn>
    <tableColumn id="6" name="Notes"/>
  </tableColumns>
  <tableStyleInfo name="TableStyleLight1" showFirstColumn="0" showLastColumn="0" showRowStripes="0" showColumnStripes="0"/>
</table>
</file>

<file path=xl/tables/table5.xml><?xml version="1.0" encoding="utf-8"?>
<table xmlns="http://schemas.openxmlformats.org/spreadsheetml/2006/main" id="5" name="tblVerifyCostLines" displayName="tblVerifyCostLines" ref="B43:E46" totalsRowShown="0">
  <tableColumns count="4">
    <tableColumn id="1" name="Cost line"/>
    <tableColumn id="2" name="Group"/>
    <tableColumn id="3" name="Variable share"/>
    <tableColumn id="4" name="Notes"/>
  </tableColumns>
  <tableStyleInfo name="TableStyleLight1" showFirstColumn="0" showLastColumn="0" showRowStripes="0" showColumnStripes="0"/>
</table>
</file>

<file path=xl/tables/table6.xml><?xml version="1.0" encoding="utf-8"?>
<table xmlns="http://schemas.openxmlformats.org/spreadsheetml/2006/main" id="6" name="tblVerifyVolume" displayName="tblVerifyVolume" ref="B50:G53" totalsRowShown="0">
  <tableColumns count="6">
    <tableColumn id="1" name="Month"/>
    <tableColumn id="2" name="Budget volume"/>
    <tableColumn id="3" name="Actual volume"/>
    <tableColumn id="4" name="Volume ratio">
      <calculatedColumnFormula>IF(tblVerifyVolume[[#This Row],[Month]]="","",IF(OR(tblVerifyVolume[[#This Row],[Actual volume]]="",tblVerifyVolume[[#This Row],[Budget volume]]=0),"",tblVerifyVolume[[#This Row],[Actual volume]]/tblVerifyVolume[[#This Row],[Budget volume]]))</calculatedColumnFormula>
    </tableColumn>
    <tableColumn id="5" name="Check">
      <calculatedColumnFormula>IF(tblVerifyVolume[[#This Row],[Month]]="","",IF(tblVerifyVolume[[#This Row],[Budget volume]]="","Missing budget volume",IF(DAY(tblVerifyVolume[[#This Row],[Month]])&lt;&gt;1,"Use the 1st of the month",IF(COUNTIFS(tblVerifyVolume[Month],tblVerifyVolume[[#This Row],[Month]])&gt;1,"Month listed twice","OK"))))</calculatedColumnFormula>
    </tableColumn>
    <tableColumn id="6" name="Notes"/>
  </tableColumns>
  <tableStyleInfo name="TableStyleLight1" showFirstColumn="0" showLastColumn="0" showRowStripes="0" showColumnStripes="0"/>
</table>
</file>

<file path=xl/tables/table7.xml><?xml version="1.0" encoding="utf-8"?>
<table xmlns="http://schemas.openxmlformats.org/spreadsheetml/2006/main" id="7" name="tblVerifyResults" displayName="tblVerifyResults" ref="B57:P65" totalsRowShown="0">
  <tableColumns count="15">
    <tableColumn id="1" name="Month"/>
    <tableColumn id="2" name="Cost line"/>
    <tableColumn id="3" name="Budget"/>
    <tableColumn id="4" name="Actual"/>
    <tableColumn id="5" name="Group"/>
    <tableColumn id="6" name="Variable share"/>
    <tableColumn id="7" name="Volume ratio">
      <calculatedColumnFormula>IF(tblVerifyResults[[#This Row],[Month]]="","",IFERROR(INDEX(tblVerifyVolume[Volume ratio],MATCH(DATE(YEAR(tblVerifyResults[[#This Row],[Month]]),MONTH(tblVerifyResults[[#This Row],[Month]]),1),tblVerifyVolume[Month],0)),""))</calculatedColumnFormula>
    </tableColumn>
    <tableColumn id="8" name="Flexed budget">
      <calculatedColumnFormula>IF(tblVerifyResults[[#This Row],[Month]]="","",IF(OR(tblVerifyResults[[#This Row],[Volume ratio]]="",tblVerifyResults[[#This Row],[Variable share]]=""),"",tblVerifyResults[[#This Row],[Budget]]*(1-tblVerifyResults[[#This Row],[Variable share]]+tblVerifyResults[[#This Row],[Variable share]]*tblVerifyResults[[#This Row],[Volume ratio]])))</calculatedColumnFormula>
    </tableColumn>
    <tableColumn id="9" name="Spending variance">
      <calculatedColumnFormula>IF(tblVerifyResults[[#This Row],[Month]]="","",IF(OR(tblVerifyResults[[#This Row],[Flexed budget]]="",tblVerifyResults[[#This Row],[Actual]]=""),"",tblVerifyResults[[#This Row],[Actual]]-tblVerifyResults[[#This Row],[Flexed budget]]))</calculatedColumnFormula>
    </tableColumn>
    <tableColumn id="10" name="Spending variance %">
      <calculatedColumnFormula>IF(tblVerifyResults[[#This Row],[Month]]="","",IF(OR(tblVerifyResults[[#This Row],[Spending variance]]="",tblVerifyResults[[#This Row],[Flexed budget]]=0),"",tblVerifyResults[[#This Row],[Spending variance]]/tblVerifyResults[[#This Row],[Flexed budget]]))</calculatedColumnFormula>
    </tableColumn>
    <tableColumn id="11" name="Volume effect">
      <calculatedColumnFormula>IF(tblVerifyResults[[#This Row],[Month]]="","",IF(tblVerifyResults[[#This Row],[Flexed budget]]="","",tblVerifyResults[[#This Row],[Flexed budget]]-tblVerifyResults[[#This Row],[Budget]]))</calculatedColumnFormula>
    </tableColumn>
    <tableColumn id="12" name="Total variance">
      <calculatedColumnFormula>IF(tblVerifyResults[[#This Row],[Month]]="","",IF(tblVerifyResults[[#This Row],[Actual]]="","",tblVerifyResults[[#This Row],[Actual]]-tblVerifyResults[[#This Row],[Budget]]))</calculatedColumnFormula>
    </tableColumn>
    <tableColumn id="13" name="Variance flag">
      <calculatedColumnFormula>IF(tblVerifyResults[[#This Row],[Spending variance]]="","",IF(AND(ABS(tblVerifyResults[[#This Row],[Spending variance]])&gt;$E$40,ABS(tblVerifyResults[[#This Row],[Spending variance %]])&gt;$E$39),IF(tblVerifyResults[[#This Row],[Spending variance]]&gt;0,"Out of limits","Check"),"Within limits"))</calculatedColumnFormula>
    </tableColumn>
    <tableColumn id="14" name="Check">
      <calculatedColumnFormula>IF(tblVerifyResults[[#This Row],[Month]]="","",IF(tblVerifyResults[[#This Row],[Cost line]]="","Missing cost line",IF(tblVerifyResults[[#This Row],[Budget]]="","Missing budget",IF(tblVerifyResults[[#This Row],[Group]]="","Cost line not on Setup list",IF(AND(tblVerifyResults[[#This Row],[Actual]]&lt;&gt;"",tblVerifyResults[[#This Row],[Volume ratio]]=""),"No actual volume for this month",IF(AND(tblVerifyResults[[#This Row],[Actual]]="",tblVerifyResults[[#This Row],[Volume ratio]]&lt;&gt;""),"Missing actual",IF(COUNTIFS(tblVerifyResults[Cost line],tblVerifyResults[[#This Row],[Cost line]],tblVerifyResults[Month],"&gt;="&amp;DATE(YEAR(tblVerifyResults[[#This Row],[Month]]),MONTH(tblVerifyResults[[#This Row],[Month]]),1),tblVerifyResults[Month],"&lt;"&amp;EDATE(DATE(YEAR(tblVerifyResults[[#This Row],[Month]]),MONTH(tblVerifyResults[[#This Row],[Month]]),1),1))&gt;1,"Line twice in one month",IF(AND(tblVerifyResults[[#This Row],[Variance flag]]="Out of limits",tblVerifyResults[[#This Row],[Commentary]]=""),"Comment needed","OK"))))))))</calculatedColumnFormula>
    </tableColumn>
    <tableColumn id="15" name="Commentary"/>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lant-budget-vs-actual" TargetMode="External"/><Relationship Id="rId2" Type="http://schemas.openxmlformats.org/officeDocument/2006/relationships/hyperlink" Target="https://www.mfgcalcs.com/calculators/manufacturing-cost-accounting-finance/actual-vs-standard-cost?utm_source=mfgcalcs-template&amp;utm_medium=xlsx&amp;utm_campaign=plant-budget-vs-actual" TargetMode="External"/><Relationship Id="rId3" Type="http://schemas.openxmlformats.org/officeDocument/2006/relationships/hyperlink" Target="https://www.mfgcalcs.com/templates/plant-budget-vs-actual?utm_source=mfgcalcs-template&amp;utm_medium=xlsx&amp;utm_campaign=plant-budget-vs-actual" TargetMode="External"/><Relationship Id="rId4" Type="http://schemas.openxmlformats.org/officeDocument/2006/relationships/hyperlink" Target="https://www.mfgcalcs.com/templates?utm_source=mfgcalcs-template&amp;utm_medium=xlsx&amp;utm_campaign=plant-budget-vs-actual"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lant-budget-vs-actual"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lant-budget-vs-actual"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lant-budget-vs-actual" TargetMode="External"/><Relationship Id="rId2"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lant-budget-vs-actual"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lant-budget-vs-actual" TargetMode="External"/><Relationship Id="rId2" Type="http://schemas.openxmlformats.org/officeDocument/2006/relationships/hyperlink" Target="https://www.mfgcalcs.com/calculators/manufacturing-cost-accounting-finance/actual-vs-standard-cost?utm_source=mfgcalcs-template&amp;utm_medium=xlsx&amp;utm_campaign=plant-budget-vs-actua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lant-budget-vs-actual" TargetMode="External"/><Relationship Id="rId2" Type="http://schemas.openxmlformats.org/officeDocument/2006/relationships/table" Target="../tables/table5.xml"/><Relationship Id="rId3" Type="http://schemas.openxmlformats.org/officeDocument/2006/relationships/table" Target="../tables/table6.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21 of 21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Monthly Results'!A1" tooltip="Go to Monthly Results" display="Monthly Results"/>
    <hyperlink ref="C22" location="Volume!A1" tooltip="Go to Volume" display="Volume"/>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Plant Budget vs Actual&amp;R&amp;8&amp;A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8"/>
  <sheetViews>
    <sheetView showGridLines="0" workbookViewId="0"/>
  </sheetViews>
  <sheetFormatPr defaultRowHeight="15"/>
  <cols>
    <col min="1" max="1" width="2.7109375" customWidth="1"/>
    <col min="2" max="2" width="34.7109375" customWidth="1"/>
    <col min="3" max="3" width="14.7109375" customWidth="1"/>
    <col min="4" max="4" width="12.7109375" customWidth="1"/>
    <col min="5" max="5" width="44.7109375" customWidth="1"/>
  </cols>
  <sheetData>
    <row r="1" spans="1:5" ht="30" customHeight="1">
      <c r="A1" s="1" t="s">
        <v>0</v>
      </c>
      <c r="B1" s="1"/>
      <c r="C1" s="1"/>
      <c r="D1" s="1"/>
      <c r="E1" s="1"/>
    </row>
    <row r="2" spans="1:5" ht="32.4" customHeight="1">
      <c r="B2" s="2" t="s">
        <v>18</v>
      </c>
      <c r="C2" s="2"/>
      <c r="D2" s="2"/>
      <c r="E2" s="3" t="s">
        <v>2</v>
      </c>
    </row>
    <row r="3" spans="1:5" ht="6" customHeight="1"/>
    <row r="4" spans="1:5" ht="21" customHeight="1">
      <c r="B4" s="8" t="s">
        <v>66</v>
      </c>
      <c r="C4" s="8"/>
      <c r="D4" s="8"/>
      <c r="E4" s="8"/>
    </row>
    <row r="5" spans="1:5" ht="5" customHeight="1"/>
    <row r="6" spans="1:5">
      <c r="B6" s="27" t="s">
        <v>67</v>
      </c>
      <c r="C6" s="28" t="s">
        <v>68</v>
      </c>
      <c r="D6" s="28"/>
    </row>
    <row r="7" spans="1:5">
      <c r="B7" s="27" t="s">
        <v>69</v>
      </c>
      <c r="C7" s="28" t="s">
        <v>70</v>
      </c>
      <c r="D7" s="28"/>
    </row>
    <row r="8" spans="1:5">
      <c r="B8" s="27" t="s">
        <v>71</v>
      </c>
      <c r="C8" s="28" t="s">
        <v>72</v>
      </c>
      <c r="D8" s="28"/>
    </row>
    <row r="9" spans="1:5">
      <c r="B9" s="27" t="s">
        <v>73</v>
      </c>
      <c r="C9" s="29">
        <v>46023</v>
      </c>
      <c r="D9" s="7"/>
    </row>
    <row r="10" spans="1:5">
      <c r="B10" s="27" t="s">
        <v>74</v>
      </c>
      <c r="C10" s="30">
        <v>0.05</v>
      </c>
      <c r="D10" s="7"/>
    </row>
    <row r="11" spans="1:5">
      <c r="B11" s="27" t="s">
        <v>75</v>
      </c>
      <c r="C11" s="31">
        <v>2500</v>
      </c>
      <c r="D11" s="7" t="str">
        <f>Currency</f>
        <v>GBP</v>
      </c>
    </row>
    <row r="13" spans="1:5" ht="35.4" customHeight="1">
      <c r="B13" s="25" t="s">
        <v>76</v>
      </c>
      <c r="C13" s="25"/>
      <c r="D13" s="25"/>
      <c r="E13" s="25"/>
    </row>
    <row r="15" spans="1:5" ht="21" customHeight="1">
      <c r="B15" s="8" t="s">
        <v>77</v>
      </c>
      <c r="C15" s="8"/>
      <c r="D15" s="8"/>
      <c r="E15" s="8"/>
    </row>
    <row r="16" spans="1:5" ht="5" customHeight="1"/>
    <row r="17" spans="2:5" ht="26.76" customHeight="1">
      <c r="B17" s="21" t="s">
        <v>78</v>
      </c>
      <c r="C17" s="21"/>
      <c r="D17" s="21"/>
      <c r="E17" s="21"/>
    </row>
    <row r="18" spans="2:5">
      <c r="B18" s="32" t="s">
        <v>79</v>
      </c>
      <c r="C18" s="32"/>
      <c r="D18" s="32"/>
      <c r="E18" s="32"/>
    </row>
    <row r="19" spans="2:5" ht="32" customHeight="1">
      <c r="B19" s="33" t="s">
        <v>62</v>
      </c>
      <c r="C19" s="33" t="s">
        <v>63</v>
      </c>
      <c r="D19" s="33" t="s">
        <v>64</v>
      </c>
      <c r="E19" s="33" t="s">
        <v>65</v>
      </c>
    </row>
    <row r="20" spans="2:5">
      <c r="B20" s="28" t="s">
        <v>80</v>
      </c>
      <c r="C20" s="28" t="s">
        <v>81</v>
      </c>
      <c r="D20" s="34">
        <v>1</v>
      </c>
      <c r="E20" s="28" t="s">
        <v>82</v>
      </c>
    </row>
    <row r="21" spans="2:5">
      <c r="B21" s="28" t="s">
        <v>83</v>
      </c>
      <c r="C21" s="28" t="s">
        <v>81</v>
      </c>
      <c r="D21" s="34">
        <v>1</v>
      </c>
      <c r="E21" s="28" t="s">
        <v>84</v>
      </c>
    </row>
    <row r="22" spans="2:5">
      <c r="B22" s="28" t="s">
        <v>85</v>
      </c>
      <c r="C22" s="28" t="s">
        <v>81</v>
      </c>
      <c r="D22" s="34">
        <v>0.9</v>
      </c>
      <c r="E22" s="28" t="s">
        <v>86</v>
      </c>
    </row>
    <row r="23" spans="2:5">
      <c r="B23" s="28" t="s">
        <v>87</v>
      </c>
      <c r="C23" s="28" t="s">
        <v>88</v>
      </c>
      <c r="D23" s="34">
        <v>0.85</v>
      </c>
      <c r="E23" s="28" t="s">
        <v>89</v>
      </c>
    </row>
    <row r="24" spans="2:5">
      <c r="B24" s="28" t="s">
        <v>90</v>
      </c>
      <c r="C24" s="28" t="s">
        <v>88</v>
      </c>
      <c r="D24" s="34">
        <v>0.5</v>
      </c>
      <c r="E24" s="28" t="s">
        <v>91</v>
      </c>
    </row>
    <row r="25" spans="2:5">
      <c r="B25" s="28" t="s">
        <v>92</v>
      </c>
      <c r="C25" s="28" t="s">
        <v>93</v>
      </c>
      <c r="D25" s="34">
        <v>0.5</v>
      </c>
      <c r="E25" s="28" t="s">
        <v>94</v>
      </c>
    </row>
    <row r="26" spans="2:5">
      <c r="B26" s="28" t="s">
        <v>95</v>
      </c>
      <c r="C26" s="28" t="s">
        <v>93</v>
      </c>
      <c r="D26" s="34">
        <v>0</v>
      </c>
      <c r="E26" s="28" t="s">
        <v>96</v>
      </c>
    </row>
    <row r="27" spans="2:5">
      <c r="B27" s="28" t="s">
        <v>97</v>
      </c>
      <c r="C27" s="28" t="s">
        <v>98</v>
      </c>
      <c r="D27" s="34">
        <v>0.3</v>
      </c>
      <c r="E27" s="28" t="s">
        <v>99</v>
      </c>
    </row>
    <row r="28" spans="2:5">
      <c r="B28" s="28" t="s">
        <v>100</v>
      </c>
      <c r="C28" s="28" t="s">
        <v>98</v>
      </c>
      <c r="D28" s="34">
        <v>0.75</v>
      </c>
      <c r="E28" s="28" t="s">
        <v>101</v>
      </c>
    </row>
    <row r="29" spans="2:5">
      <c r="B29" s="28" t="s">
        <v>102</v>
      </c>
      <c r="C29" s="28" t="s">
        <v>98</v>
      </c>
      <c r="D29" s="34">
        <v>0.85</v>
      </c>
      <c r="E29" s="28" t="s">
        <v>103</v>
      </c>
    </row>
    <row r="30" spans="2:5">
      <c r="B30" s="28" t="s">
        <v>104</v>
      </c>
      <c r="C30" s="28" t="s">
        <v>98</v>
      </c>
      <c r="D30" s="34">
        <v>0</v>
      </c>
      <c r="E30" s="28" t="s">
        <v>105</v>
      </c>
    </row>
    <row r="31" spans="2:5">
      <c r="B31" s="28" t="s">
        <v>106</v>
      </c>
      <c r="C31" s="28" t="s">
        <v>98</v>
      </c>
      <c r="D31" s="34">
        <v>0</v>
      </c>
      <c r="E31" s="28" t="s">
        <v>107</v>
      </c>
    </row>
    <row r="33" spans="2:2">
      <c r="B33" s="32" t="s">
        <v>108</v>
      </c>
    </row>
    <row r="34" spans="2:2" ht="20" customHeight="1">
      <c r="B34" s="33" t="s">
        <v>63</v>
      </c>
    </row>
    <row r="35" spans="2:2">
      <c r="B35" s="28" t="s">
        <v>81</v>
      </c>
    </row>
    <row r="36" spans="2:2">
      <c r="B36" s="28" t="s">
        <v>88</v>
      </c>
    </row>
    <row r="37" spans="2:2">
      <c r="B37" s="28" t="s">
        <v>93</v>
      </c>
    </row>
    <row r="38" spans="2:2">
      <c r="B38" s="28" t="s">
        <v>98</v>
      </c>
    </row>
  </sheetData>
  <mergeCells count="10">
    <mergeCell ref="A1:E1"/>
    <mergeCell ref="B2:D2"/>
    <mergeCell ref="B4:E4"/>
    <mergeCell ref="C6:D6"/>
    <mergeCell ref="C7:D7"/>
    <mergeCell ref="C8:D8"/>
    <mergeCell ref="B13:E13"/>
    <mergeCell ref="B15:E15"/>
    <mergeCell ref="B17:E17"/>
    <mergeCell ref="B18:E18"/>
  </mergeCells>
  <dataValidations count="11">
    <dataValidation type="textLength" allowBlank="1" showInputMessage="1" showErrorMessage="1" errorTitle="Check this entry" error="Text up to 80 characters." promptTitle="Plant or business" prompt="Text up to 80 characters." sqref="C6">
      <formula1>0</formula1>
      <formula2>80</formula2>
    </dataValidation>
    <dataValidation type="textLength" allowBlank="1" showInputMessage="1" showErrorMessage="1" errorTitle="Check this entry" error="Text up to 12 characters." promptTitle="Currency label" prompt="Text shown with every amount, e.g. USD, INR, GBP, EUR, MXN. No exchange rate is applied. Text up to 12 characters." sqref="C7">
      <formula1>0</formula1>
      <formula2>12</formula2>
    </dataValidation>
    <dataValidation type="textLength" allowBlank="1" showInputMessage="1" showErrorMessage="1" errorTitle="Check this entry" error="Text up to 24 characters." promptTitle="Volume measure" prompt="What volume is counted in: t (tonnes of good castings), units, standard hours... Used in labels only. Text up to 24 characters." sqref="C8">
      <formula1>0</formula1>
      <formula2>24</formula2>
    </dataValidation>
    <dataValidation type="date" allowBlank="1" showInputMessage="1" showErrorMessage="1" errorTitle="Check this entry" error="Enter a date between 01 Jan 2000 and 31 Dec 2100." promptTitle="First month of the budget year" prompt="The 1st of the first month of your budget year. Enter a date between 01 Jan 2000 and 31 Dec 2100." sqref="C9">
      <formula1>36526</formula1>
      <formula2>73415</formula2>
    </dataValidation>
    <dataValidation type="decimal" allowBlank="1" showInputMessage="1" showErrorMessage="1" errorTitle="Check this entry" error="Enter a percentage from 0% to 100% (type 85% or 0.85)." promptTitle="Variance threshold, share of ..." prompt="A line is flagged when its spending variance is above this share of its flexed budget AND above the amount below. Enter a percentage from 0% to 100% (type 85% or 0.85)." sqref="C10">
      <formula1>0</formula1>
      <formula2>1</formula2>
    </dataValidation>
    <dataValidation type="decimal" allowBlank="1" showInputMessage="1" showErrorMessage="1" errorTitle="Check this entry" error="Enter a number of at least 0." promptTitle="Variance threshold, amount" prompt="Ignore variances smaller than this, whatever their percentage. Enter a number of at least 0." sqref="C11">
      <formula1>0</formula1>
      <formula2>10000000000.0</formula2>
    </dataValidation>
    <dataValidation type="textLength" allowBlank="1" showInputMessage="1" showErrorMessage="1" errorTitle="Check this entry" error="Text up to 60 characters." promptTitle="Cost line" prompt="Text up to 60 characters." sqref="B20:B131">
      <formula1>0</formula1>
      <formula2>60</formula2>
    </dataValidation>
    <dataValidation type="list" allowBlank="1" showInputMessage="1" showErrorMessage="1" errorTitle="Check this entry" error="Pick from the list (edit the list on Setup: Groups)." promptTitle="Group" prompt="Pick from the list (edit the list on Setup: Groups)." sqref="C20:C131">
      <formula1>Groups</formula1>
    </dataValidation>
    <dataValidation type="decimal" allowBlank="1" showInputMessage="1" showErrorMessage="1" errorTitle="Check this entry" error="Enter a percentage from 0% to 100% (type 85% or 0.85)." promptTitle="Variable share" prompt="Share of the budget that moves with volume: 100% fully variable, 0% fixed. Enter a percentage from 0% to 100% (type 85% or 0.85)." sqref="D20:D131">
      <formula1>0</formula1>
      <formula2>1</formula2>
    </dataValidation>
    <dataValidation type="textLength" allowBlank="1" showInputMessage="1" showErrorMessage="1" errorTitle="Check this entry" error="Text up to 160 characters." promptTitle="Notes" prompt="Text up to 160 characters." sqref="E20:E131">
      <formula1>0</formula1>
      <formula2>160</formula2>
    </dataValidation>
    <dataValidation type="textLength" allowBlank="1" showInputMessage="1" showErrorMessage="1" errorTitle="Check this entry" error="Text up to 40 characters." promptTitle="Group" prompt="Text up to 40 characters." sqref="B35:B138">
      <formula1>0</formula1>
      <formula2>40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Plant Budget vs Actual&amp;R&amp;8&amp;A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P150"/>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0.7109375" customWidth="1"/>
    <col min="3" max="3" width="26.7109375" customWidth="1"/>
    <col min="4" max="5" width="11.28515625" customWidth="1"/>
    <col min="6" max="6" width="10.7109375" customWidth="1"/>
    <col min="7" max="8" width="9.28515625" customWidth="1"/>
    <col min="9" max="9" width="11.28515625" customWidth="1"/>
    <col min="10" max="11" width="10.7109375" customWidth="1"/>
    <col min="12" max="13" width="10.28515625" customWidth="1"/>
    <col min="14" max="14" width="12.7109375" customWidth="1"/>
    <col min="15" max="15" width="22.7109375" customWidth="1"/>
    <col min="16" max="16" width="40.7109375" customWidth="1"/>
  </cols>
  <sheetData>
    <row r="1" spans="1:16" ht="30" customHeight="1">
      <c r="A1" s="1" t="s">
        <v>0</v>
      </c>
      <c r="B1" s="1"/>
      <c r="C1" s="1"/>
      <c r="D1" s="1"/>
      <c r="E1" s="1"/>
      <c r="F1" s="1"/>
      <c r="G1" s="1"/>
      <c r="H1" s="1"/>
      <c r="I1" s="1"/>
      <c r="J1" s="1"/>
      <c r="K1" s="1"/>
      <c r="L1" s="1"/>
      <c r="M1" s="1"/>
      <c r="N1" s="1"/>
      <c r="O1" s="1"/>
      <c r="P1" s="1"/>
    </row>
    <row r="2" spans="1:16" ht="21" customHeight="1">
      <c r="B2" s="2" t="s">
        <v>20</v>
      </c>
      <c r="C2" s="2"/>
      <c r="D2" s="2"/>
      <c r="E2" s="2"/>
      <c r="F2" s="2"/>
      <c r="G2" s="2"/>
      <c r="H2" s="2"/>
      <c r="I2" s="2"/>
      <c r="J2" s="2"/>
      <c r="K2" s="2"/>
      <c r="L2" s="2"/>
      <c r="M2" s="2"/>
      <c r="N2" s="2"/>
      <c r="O2" s="2"/>
      <c r="P2" s="3" t="s">
        <v>2</v>
      </c>
    </row>
    <row r="3" spans="1:16" ht="6" customHeight="1"/>
    <row r="4" spans="1:16" ht="29.76" customHeight="1">
      <c r="B4" s="35" t="s">
        <v>121</v>
      </c>
      <c r="C4" s="35"/>
      <c r="D4" s="35"/>
      <c r="E4" s="35"/>
      <c r="F4" s="35"/>
      <c r="G4" s="35"/>
      <c r="H4" s="35"/>
      <c r="I4" s="35"/>
      <c r="J4" s="35"/>
      <c r="K4" s="35"/>
      <c r="L4" s="35"/>
      <c r="M4" s="35"/>
      <c r="N4" s="35"/>
      <c r="O4" s="35"/>
      <c r="P4" s="35"/>
    </row>
    <row r="5" spans="1:16" ht="14" customHeight="1">
      <c r="B5" s="36"/>
      <c r="C5" s="36"/>
      <c r="D5" s="36" t="str">
        <f>Currency</f>
        <v>GBP</v>
      </c>
      <c r="E5" s="36" t="str">
        <f>Currency</f>
        <v>GBP</v>
      </c>
      <c r="F5" s="36"/>
      <c r="G5" s="36"/>
      <c r="H5" s="36"/>
      <c r="I5" s="36" t="str">
        <f>Currency</f>
        <v>GBP</v>
      </c>
      <c r="J5" s="36" t="str">
        <f>Currency</f>
        <v>GBP</v>
      </c>
      <c r="K5" s="36"/>
      <c r="L5" s="36" t="str">
        <f>Currency</f>
        <v>GBP</v>
      </c>
      <c r="M5" s="36" t="str">
        <f>Currency</f>
        <v>GBP</v>
      </c>
      <c r="N5" s="36"/>
      <c r="O5" s="36"/>
      <c r="P5" s="36"/>
    </row>
    <row r="6" spans="1:16" ht="32" customHeight="1">
      <c r="B6" s="33" t="s">
        <v>109</v>
      </c>
      <c r="C6" s="33" t="s">
        <v>62</v>
      </c>
      <c r="D6" s="33" t="s">
        <v>110</v>
      </c>
      <c r="E6" s="33" t="s">
        <v>111</v>
      </c>
      <c r="F6" s="33" t="s">
        <v>63</v>
      </c>
      <c r="G6" s="33" t="s">
        <v>64</v>
      </c>
      <c r="H6" s="33" t="s">
        <v>112</v>
      </c>
      <c r="I6" s="33" t="s">
        <v>113</v>
      </c>
      <c r="J6" s="33" t="s">
        <v>114</v>
      </c>
      <c r="K6" s="33" t="s">
        <v>115</v>
      </c>
      <c r="L6" s="33" t="s">
        <v>116</v>
      </c>
      <c r="M6" s="33" t="s">
        <v>117</v>
      </c>
      <c r="N6" s="33" t="s">
        <v>118</v>
      </c>
      <c r="O6" s="33" t="s">
        <v>119</v>
      </c>
      <c r="P6" s="33" t="s">
        <v>120</v>
      </c>
    </row>
    <row r="7" spans="1:16">
      <c r="B7" s="29">
        <v>46023</v>
      </c>
      <c r="C7" s="28" t="s">
        <v>80</v>
      </c>
      <c r="D7" s="31">
        <v>427800</v>
      </c>
      <c r="E7" s="31">
        <v>418650</v>
      </c>
      <c r="F7" s="37" t="str">
        <f>IF(tblResults[[#This Row],[Month]]="","",IFERROR(INDEX(tblCostLines[Group],MATCH(tblResults[[#This Row],[Cost line]],tblCostLines[Cost line],0)),""))</f>
        <v>Materials</v>
      </c>
      <c r="G7" s="38">
        <f>IF(tblResults[[#This Row],[Month]]="","",IFERROR(INDEX(tblCostLines[Variable share],MATCH(tblResults[[#This Row],[Cost line]],tblCostLines[Cost line],0)),""))</f>
        <v>1</v>
      </c>
      <c r="H7" s="39">
        <f>IF(tblResults[[#This Row],[Month]]="","",IFERROR(INDEX(tblVolume[Volume ratio],MATCH(DATE(YEAR(tblResults[[#This Row],[Month]]),MONTH(tblResults[[#This Row],[Month]]),1),tblVolume[Month],0)),""))</f>
        <v>0.979710144927536</v>
      </c>
      <c r="I7" s="40">
        <f>IF(tblResults[[#This Row],[Month]]="","",IF(OR(tblResults[[#This Row],[Volume ratio]]="",tblResults[[#This Row],[Variable share]]=""),"",tblResults[[#This Row],[Budget]]*(1-tblResults[[#This Row],[Variable share]]+tblResults[[#This Row],[Variable share]]*tblResults[[#This Row],[Volume ratio]])))</f>
        <v>419120</v>
      </c>
      <c r="J7" s="41">
        <f>IF(tblResults[[#This Row],[Month]]="","",IF(OR(tblResults[[#This Row],[Flexed budget]]="",tblResults[[#This Row],[Actual]]=""),"",tblResults[[#This Row],[Actual]]-tblResults[[#This Row],[Flexed budget]]))</f>
        <v>-470</v>
      </c>
      <c r="K7" s="42">
        <f>IF(tblResults[[#This Row],[Month]]="","",IF(OR(tblResults[[#This Row],[Spending variance]]="",tblResults[[#This Row],[Flexed budget]]=0),"",tblResults[[#This Row],[Spending variance]]/tblResults[[#This Row],[Flexed budget]]))</f>
        <v>-0.00112139721320863</v>
      </c>
      <c r="L7" s="41">
        <f>IF(tblResults[[#This Row],[Month]]="","",IF(tblResults[[#This Row],[Flexed budget]]="","",tblResults[[#This Row],[Flexed budget]]-tblResults[[#This Row],[Budget]]))</f>
        <v>-8680</v>
      </c>
      <c r="M7" s="41">
        <f>IF(tblResults[[#This Row],[Month]]="","",IF(tblResults[[#This Row],[Actual]]="","",tblResults[[#This Row],[Actual]]-tblResults[[#This Row],[Budget]]))</f>
        <v>-9150</v>
      </c>
      <c r="N7" s="43" t="str">
        <f>IF(tblResults[[#This Row],[Spending variance]]="","",IF(AND(ABS(tblResults[[#This Row],[Spending variance]])&gt;VarAmount,ABS(tblResults[[#This Row],[Spending variance %]])&gt;VarPct),IF(tblResults[[#This Row],[Spending variance]]&gt;0,"Out of limits","Check"),"Within limits"))</f>
        <v>Within limits</v>
      </c>
      <c r="O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 s="45" t="s">
        <v>122</v>
      </c>
    </row>
    <row r="8" spans="1:16">
      <c r="B8" s="29">
        <v>46023</v>
      </c>
      <c r="C8" s="28" t="s">
        <v>83</v>
      </c>
      <c r="D8" s="31">
        <v>58000</v>
      </c>
      <c r="E8" s="31">
        <v>57010</v>
      </c>
      <c r="F8" s="37" t="str">
        <f>IF(tblResults[[#This Row],[Month]]="","",IFERROR(INDEX(tblCostLines[Group],MATCH(tblResults[[#This Row],[Cost line]],tblCostLines[Cost line],0)),""))</f>
        <v>Materials</v>
      </c>
      <c r="G8" s="38">
        <f>IF(tblResults[[#This Row],[Month]]="","",IFERROR(INDEX(tblCostLines[Variable share],MATCH(tblResults[[#This Row],[Cost line]],tblCostLines[Cost line],0)),""))</f>
        <v>1</v>
      </c>
      <c r="H8" s="39">
        <f>IF(tblResults[[#This Row],[Month]]="","",IFERROR(INDEX(tblVolume[Volume ratio],MATCH(DATE(YEAR(tblResults[[#This Row],[Month]]),MONTH(tblResults[[#This Row],[Month]]),1),tblVolume[Month],0)),""))</f>
        <v>0.979710144927536</v>
      </c>
      <c r="I8" s="40">
        <f>IF(tblResults[[#This Row],[Month]]="","",IF(OR(tblResults[[#This Row],[Volume ratio]]="",tblResults[[#This Row],[Variable share]]=""),"",tblResults[[#This Row],[Budget]]*(1-tblResults[[#This Row],[Variable share]]+tblResults[[#This Row],[Variable share]]*tblResults[[#This Row],[Volume ratio]])))</f>
        <v>56823.1884057971</v>
      </c>
      <c r="J8" s="41">
        <f>IF(tblResults[[#This Row],[Month]]="","",IF(OR(tblResults[[#This Row],[Flexed budget]]="",tblResults[[#This Row],[Actual]]=""),"",tblResults[[#This Row],[Actual]]-tblResults[[#This Row],[Flexed budget]]))</f>
        <v>186.811594202896</v>
      </c>
      <c r="K8" s="42">
        <f>IF(tblResults[[#This Row],[Month]]="","",IF(OR(tblResults[[#This Row],[Spending variance]]="",tblResults[[#This Row],[Flexed budget]]=0),"",tblResults[[#This Row],[Spending variance]]/tblResults[[#This Row],[Flexed budget]]))</f>
        <v>0.00328759436849618</v>
      </c>
      <c r="L8" s="41">
        <f>IF(tblResults[[#This Row],[Month]]="","",IF(tblResults[[#This Row],[Flexed budget]]="","",tblResults[[#This Row],[Flexed budget]]-tblResults[[#This Row],[Budget]]))</f>
        <v>-1176.8115942029</v>
      </c>
      <c r="M8" s="41">
        <f>IF(tblResults[[#This Row],[Month]]="","",IF(tblResults[[#This Row],[Actual]]="","",tblResults[[#This Row],[Actual]]-tblResults[[#This Row],[Budget]]))</f>
        <v>-990</v>
      </c>
      <c r="N8" s="43" t="str">
        <f>IF(tblResults[[#This Row],[Spending variance]]="","",IF(AND(ABS(tblResults[[#This Row],[Spending variance]])&gt;VarAmount,ABS(tblResults[[#This Row],[Spending variance %]])&gt;VarPct),IF(tblResults[[#This Row],[Spending variance]]&gt;0,"Out of limits","Check"),"Within limits"))</f>
        <v>Within limits</v>
      </c>
      <c r="O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 s="45" t="s">
        <v>122</v>
      </c>
    </row>
    <row r="9" spans="1:16">
      <c r="B9" s="29">
        <v>46023</v>
      </c>
      <c r="C9" s="28" t="s">
        <v>85</v>
      </c>
      <c r="D9" s="31">
        <v>78300</v>
      </c>
      <c r="E9" s="31">
        <v>76160</v>
      </c>
      <c r="F9" s="37" t="str">
        <f>IF(tblResults[[#This Row],[Month]]="","",IFERROR(INDEX(tblCostLines[Group],MATCH(tblResults[[#This Row],[Cost line]],tblCostLines[Cost line],0)),""))</f>
        <v>Materials</v>
      </c>
      <c r="G9" s="38">
        <f>IF(tblResults[[#This Row],[Month]]="","",IFERROR(INDEX(tblCostLines[Variable share],MATCH(tblResults[[#This Row],[Cost line]],tblCostLines[Cost line],0)),""))</f>
        <v>0.9</v>
      </c>
      <c r="H9" s="39">
        <f>IF(tblResults[[#This Row],[Month]]="","",IFERROR(INDEX(tblVolume[Volume ratio],MATCH(DATE(YEAR(tblResults[[#This Row],[Month]]),MONTH(tblResults[[#This Row],[Month]]),1),tblVolume[Month],0)),""))</f>
        <v>0.979710144927536</v>
      </c>
      <c r="I9" s="40">
        <f>IF(tblResults[[#This Row],[Month]]="","",IF(OR(tblResults[[#This Row],[Volume ratio]]="",tblResults[[#This Row],[Variable share]]=""),"",tblResults[[#This Row],[Budget]]*(1-tblResults[[#This Row],[Variable share]]+tblResults[[#This Row],[Variable share]]*tblResults[[#This Row],[Volume ratio]])))</f>
        <v>76870.1739130435</v>
      </c>
      <c r="J9" s="41">
        <f>IF(tblResults[[#This Row],[Month]]="","",IF(OR(tblResults[[#This Row],[Flexed budget]]="",tblResults[[#This Row],[Actual]]=""),"",tblResults[[#This Row],[Actual]]-tblResults[[#This Row],[Flexed budget]]))</f>
        <v>-710.173913043487</v>
      </c>
      <c r="K9" s="42">
        <f>IF(tblResults[[#This Row],[Month]]="","",IF(OR(tblResults[[#This Row],[Spending variance]]="",tblResults[[#This Row],[Flexed budget]]=0),"",tblResults[[#This Row],[Spending variance]]/tblResults[[#This Row],[Flexed budget]]))</f>
        <v>-0.00923861462635488</v>
      </c>
      <c r="L9" s="41">
        <f>IF(tblResults[[#This Row],[Month]]="","",IF(tblResults[[#This Row],[Flexed budget]]="","",tblResults[[#This Row],[Flexed budget]]-tblResults[[#This Row],[Budget]]))</f>
        <v>-1429.82608695651</v>
      </c>
      <c r="M9" s="41">
        <f>IF(tblResults[[#This Row],[Month]]="","",IF(tblResults[[#This Row],[Actual]]="","",tblResults[[#This Row],[Actual]]-tblResults[[#This Row],[Budget]]))</f>
        <v>-2140</v>
      </c>
      <c r="N9" s="43" t="str">
        <f>IF(tblResults[[#This Row],[Spending variance]]="","",IF(AND(ABS(tblResults[[#This Row],[Spending variance]])&gt;VarAmount,ABS(tblResults[[#This Row],[Spending variance %]])&gt;VarPct),IF(tblResults[[#This Row],[Spending variance]]&gt;0,"Out of limits","Check"),"Within limits"))</f>
        <v>Within limits</v>
      </c>
      <c r="O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 s="45" t="s">
        <v>122</v>
      </c>
    </row>
    <row r="10" spans="1:16">
      <c r="B10" s="29">
        <v>46023</v>
      </c>
      <c r="C10" s="28" t="s">
        <v>87</v>
      </c>
      <c r="D10" s="31">
        <v>130400</v>
      </c>
      <c r="E10" s="31">
        <v>127420</v>
      </c>
      <c r="F10" s="37" t="str">
        <f>IF(tblResults[[#This Row],[Month]]="","",IFERROR(INDEX(tblCostLines[Group],MATCH(tblResults[[#This Row],[Cost line]],tblCostLines[Cost line],0)),""))</f>
        <v>Energy</v>
      </c>
      <c r="G10" s="38">
        <f>IF(tblResults[[#This Row],[Month]]="","",IFERROR(INDEX(tblCostLines[Variable share],MATCH(tblResults[[#This Row],[Cost line]],tblCostLines[Cost line],0)),""))</f>
        <v>0.85</v>
      </c>
      <c r="H10" s="39">
        <f>IF(tblResults[[#This Row],[Month]]="","",IFERROR(INDEX(tblVolume[Volume ratio],MATCH(DATE(YEAR(tblResults[[#This Row],[Month]]),MONTH(tblResults[[#This Row],[Month]]),1),tblVolume[Month],0)),""))</f>
        <v>0.979710144927536</v>
      </c>
      <c r="I10" s="40">
        <f>IF(tblResults[[#This Row],[Month]]="","",IF(OR(tblResults[[#This Row],[Volume ratio]]="",tblResults[[#This Row],[Variable share]]=""),"",tblResults[[#This Row],[Budget]]*(1-tblResults[[#This Row],[Variable share]]+tblResults[[#This Row],[Variable share]]*tblResults[[#This Row],[Volume ratio]])))</f>
        <v>128151.072463768</v>
      </c>
      <c r="J10" s="41">
        <f>IF(tblResults[[#This Row],[Month]]="","",IF(OR(tblResults[[#This Row],[Flexed budget]]="",tblResults[[#This Row],[Actual]]=""),"",tblResults[[#This Row],[Actual]]-tblResults[[#This Row],[Flexed budget]]))</f>
        <v>-731.072463768127</v>
      </c>
      <c r="K10" s="42">
        <f>IF(tblResults[[#This Row],[Month]]="","",IF(OR(tblResults[[#This Row],[Spending variance]]="",tblResults[[#This Row],[Flexed budget]]=0),"",tblResults[[#This Row],[Spending variance]]/tblResults[[#This Row],[Flexed budget]]))</f>
        <v>-0.00570477054708084</v>
      </c>
      <c r="L10" s="41">
        <f>IF(tblResults[[#This Row],[Month]]="","",IF(tblResults[[#This Row],[Flexed budget]]="","",tblResults[[#This Row],[Flexed budget]]-tblResults[[#This Row],[Budget]]))</f>
        <v>-2248.92753623187</v>
      </c>
      <c r="M10" s="41">
        <f>IF(tblResults[[#This Row],[Month]]="","",IF(tblResults[[#This Row],[Actual]]="","",tblResults[[#This Row],[Actual]]-tblResults[[#This Row],[Budget]]))</f>
        <v>-2980</v>
      </c>
      <c r="N10" s="43" t="str">
        <f>IF(tblResults[[#This Row],[Spending variance]]="","",IF(AND(ABS(tblResults[[#This Row],[Spending variance]])&gt;VarAmount,ABS(tblResults[[#This Row],[Spending variance %]])&gt;VarPct),IF(tblResults[[#This Row],[Spending variance]]&gt;0,"Out of limits","Check"),"Within limits"))</f>
        <v>Within limits</v>
      </c>
      <c r="O1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 s="45" t="s">
        <v>122</v>
      </c>
    </row>
    <row r="11" spans="1:16">
      <c r="B11" s="29">
        <v>46023</v>
      </c>
      <c r="C11" s="28" t="s">
        <v>90</v>
      </c>
      <c r="D11" s="31">
        <v>17300</v>
      </c>
      <c r="E11" s="31">
        <v>17110</v>
      </c>
      <c r="F11" s="37" t="str">
        <f>IF(tblResults[[#This Row],[Month]]="","",IFERROR(INDEX(tblCostLines[Group],MATCH(tblResults[[#This Row],[Cost line]],tblCostLines[Cost line],0)),""))</f>
        <v>Energy</v>
      </c>
      <c r="G11" s="38">
        <f>IF(tblResults[[#This Row],[Month]]="","",IFERROR(INDEX(tblCostLines[Variable share],MATCH(tblResults[[#This Row],[Cost line]],tblCostLines[Cost line],0)),""))</f>
        <v>0.5</v>
      </c>
      <c r="H11" s="39">
        <f>IF(tblResults[[#This Row],[Month]]="","",IFERROR(INDEX(tblVolume[Volume ratio],MATCH(DATE(YEAR(tblResults[[#This Row],[Month]]),MONTH(tblResults[[#This Row],[Month]]),1),tblVolume[Month],0)),""))</f>
        <v>0.979710144927536</v>
      </c>
      <c r="I11" s="40">
        <f>IF(tblResults[[#This Row],[Month]]="","",IF(OR(tblResults[[#This Row],[Volume ratio]]="",tblResults[[#This Row],[Variable share]]=""),"",tblResults[[#This Row],[Budget]]*(1-tblResults[[#This Row],[Variable share]]+tblResults[[#This Row],[Variable share]]*tblResults[[#This Row],[Volume ratio]])))</f>
        <v>17124.4927536232</v>
      </c>
      <c r="J11" s="41">
        <f>IF(tblResults[[#This Row],[Month]]="","",IF(OR(tblResults[[#This Row],[Flexed budget]]="",tblResults[[#This Row],[Actual]]=""),"",tblResults[[#This Row],[Actual]]-tblResults[[#This Row],[Flexed budget]]))</f>
        <v>-14.492753623188</v>
      </c>
      <c r="K11" s="42">
        <f>IF(tblResults[[#This Row],[Month]]="","",IF(OR(tblResults[[#This Row],[Spending variance]]="",tblResults[[#This Row],[Flexed budget]]=0),"",tblResults[[#This Row],[Spending variance]]/tblResults[[#This Row],[Flexed budget]]))</f>
        <v>-0.000846317250484495</v>
      </c>
      <c r="L11" s="41">
        <f>IF(tblResults[[#This Row],[Month]]="","",IF(tblResults[[#This Row],[Flexed budget]]="","",tblResults[[#This Row],[Flexed budget]]-tblResults[[#This Row],[Budget]]))</f>
        <v>-175.507246376812</v>
      </c>
      <c r="M11" s="41">
        <f>IF(tblResults[[#This Row],[Month]]="","",IF(tblResults[[#This Row],[Actual]]="","",tblResults[[#This Row],[Actual]]-tblResults[[#This Row],[Budget]]))</f>
        <v>-190</v>
      </c>
      <c r="N11" s="43" t="str">
        <f>IF(tblResults[[#This Row],[Spending variance]]="","",IF(AND(ABS(tblResults[[#This Row],[Spending variance]])&gt;VarAmount,ABS(tblResults[[#This Row],[Spending variance %]])&gt;VarPct),IF(tblResults[[#This Row],[Spending variance]]&gt;0,"Out of limits","Check"),"Within limits"))</f>
        <v>Within limits</v>
      </c>
      <c r="O1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 s="45" t="s">
        <v>122</v>
      </c>
    </row>
    <row r="12" spans="1:16">
      <c r="B12" s="29">
        <v>46023</v>
      </c>
      <c r="C12" s="28" t="s">
        <v>92</v>
      </c>
      <c r="D12" s="31">
        <v>124100</v>
      </c>
      <c r="E12" s="31">
        <v>124460</v>
      </c>
      <c r="F12" s="37" t="str">
        <f>IF(tblResults[[#This Row],[Month]]="","",IFERROR(INDEX(tblCostLines[Group],MATCH(tblResults[[#This Row],[Cost line]],tblCostLines[Cost line],0)),""))</f>
        <v>Labour</v>
      </c>
      <c r="G12" s="38">
        <f>IF(tblResults[[#This Row],[Month]]="","",IFERROR(INDEX(tblCostLines[Variable share],MATCH(tblResults[[#This Row],[Cost line]],tblCostLines[Cost line],0)),""))</f>
        <v>0.5</v>
      </c>
      <c r="H12" s="39">
        <f>IF(tblResults[[#This Row],[Month]]="","",IFERROR(INDEX(tblVolume[Volume ratio],MATCH(DATE(YEAR(tblResults[[#This Row],[Month]]),MONTH(tblResults[[#This Row],[Month]]),1),tblVolume[Month],0)),""))</f>
        <v>0.979710144927536</v>
      </c>
      <c r="I12" s="40">
        <f>IF(tblResults[[#This Row],[Month]]="","",IF(OR(tblResults[[#This Row],[Volume ratio]]="",tblResults[[#This Row],[Variable share]]=""),"",tblResults[[#This Row],[Budget]]*(1-tblResults[[#This Row],[Variable share]]+tblResults[[#This Row],[Variable share]]*tblResults[[#This Row],[Volume ratio]])))</f>
        <v>122841.014492754</v>
      </c>
      <c r="J12" s="41">
        <f>IF(tblResults[[#This Row],[Month]]="","",IF(OR(tblResults[[#This Row],[Flexed budget]]="",tblResults[[#This Row],[Actual]]=""),"",tblResults[[#This Row],[Actual]]-tblResults[[#This Row],[Flexed budget]]))</f>
        <v>1618.98550724637</v>
      </c>
      <c r="K12" s="42">
        <f>IF(tblResults[[#This Row],[Month]]="","",IF(OR(tblResults[[#This Row],[Spending variance]]="",tblResults[[#This Row],[Flexed budget]]=0),"",tblResults[[#This Row],[Spending variance]]/tblResults[[#This Row],[Flexed budget]]))</f>
        <v>0.0131795191852789</v>
      </c>
      <c r="L12" s="41">
        <f>IF(tblResults[[#This Row],[Month]]="","",IF(tblResults[[#This Row],[Flexed budget]]="","",tblResults[[#This Row],[Flexed budget]]-tblResults[[#This Row],[Budget]]))</f>
        <v>-1258.98550724637</v>
      </c>
      <c r="M12" s="41">
        <f>IF(tblResults[[#This Row],[Month]]="","",IF(tblResults[[#This Row],[Actual]]="","",tblResults[[#This Row],[Actual]]-tblResults[[#This Row],[Budget]]))</f>
        <v>360</v>
      </c>
      <c r="N12" s="43" t="str">
        <f>IF(tblResults[[#This Row],[Spending variance]]="","",IF(AND(ABS(tblResults[[#This Row],[Spending variance]])&gt;VarAmount,ABS(tblResults[[#This Row],[Spending variance %]])&gt;VarPct),IF(tblResults[[#This Row],[Spending variance]]&gt;0,"Out of limits","Check"),"Within limits"))</f>
        <v>Within limits</v>
      </c>
      <c r="O1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 s="45" t="s">
        <v>122</v>
      </c>
    </row>
    <row r="13" spans="1:16">
      <c r="B13" s="29">
        <v>46023</v>
      </c>
      <c r="C13" s="28" t="s">
        <v>95</v>
      </c>
      <c r="D13" s="31">
        <v>48000</v>
      </c>
      <c r="E13" s="31">
        <v>48210</v>
      </c>
      <c r="F13" s="37" t="str">
        <f>IF(tblResults[[#This Row],[Month]]="","",IFERROR(INDEX(tblCostLines[Group],MATCH(tblResults[[#This Row],[Cost line]],tblCostLines[Cost line],0)),""))</f>
        <v>Labour</v>
      </c>
      <c r="G13" s="38">
        <f>IF(tblResults[[#This Row],[Month]]="","",IFERROR(INDEX(tblCostLines[Variable share],MATCH(tblResults[[#This Row],[Cost line]],tblCostLines[Cost line],0)),""))</f>
        <v>0</v>
      </c>
      <c r="H13" s="39">
        <f>IF(tblResults[[#This Row],[Month]]="","",IFERROR(INDEX(tblVolume[Volume ratio],MATCH(DATE(YEAR(tblResults[[#This Row],[Month]]),MONTH(tblResults[[#This Row],[Month]]),1),tblVolume[Month],0)),""))</f>
        <v>0.979710144927536</v>
      </c>
      <c r="I13" s="40">
        <f>IF(tblResults[[#This Row],[Month]]="","",IF(OR(tblResults[[#This Row],[Volume ratio]]="",tblResults[[#This Row],[Variable share]]=""),"",tblResults[[#This Row],[Budget]]*(1-tblResults[[#This Row],[Variable share]]+tblResults[[#This Row],[Variable share]]*tblResults[[#This Row],[Volume ratio]])))</f>
        <v>48000</v>
      </c>
      <c r="J13" s="41">
        <f>IF(tblResults[[#This Row],[Month]]="","",IF(OR(tblResults[[#This Row],[Flexed budget]]="",tblResults[[#This Row],[Actual]]=""),"",tblResults[[#This Row],[Actual]]-tblResults[[#This Row],[Flexed budget]]))</f>
        <v>210</v>
      </c>
      <c r="K13" s="42">
        <f>IF(tblResults[[#This Row],[Month]]="","",IF(OR(tblResults[[#This Row],[Spending variance]]="",tblResults[[#This Row],[Flexed budget]]=0),"",tblResults[[#This Row],[Spending variance]]/tblResults[[#This Row],[Flexed budget]]))</f>
        <v>0.004375</v>
      </c>
      <c r="L13" s="41">
        <f>IF(tblResults[[#This Row],[Month]]="","",IF(tblResults[[#This Row],[Flexed budget]]="","",tblResults[[#This Row],[Flexed budget]]-tblResults[[#This Row],[Budget]]))</f>
        <v>0</v>
      </c>
      <c r="M13" s="41">
        <f>IF(tblResults[[#This Row],[Month]]="","",IF(tblResults[[#This Row],[Actual]]="","",tblResults[[#This Row],[Actual]]-tblResults[[#This Row],[Budget]]))</f>
        <v>210</v>
      </c>
      <c r="N13" s="43" t="str">
        <f>IF(tblResults[[#This Row],[Spending variance]]="","",IF(AND(ABS(tblResults[[#This Row],[Spending variance]])&gt;VarAmount,ABS(tblResults[[#This Row],[Spending variance %]])&gt;VarPct),IF(tblResults[[#This Row],[Spending variance]]&gt;0,"Out of limits","Check"),"Within limits"))</f>
        <v>Within limits</v>
      </c>
      <c r="O1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 s="45" t="s">
        <v>122</v>
      </c>
    </row>
    <row r="14" spans="1:16">
      <c r="B14" s="29">
        <v>46023</v>
      </c>
      <c r="C14" s="28" t="s">
        <v>97</v>
      </c>
      <c r="D14" s="31">
        <v>35000</v>
      </c>
      <c r="E14" s="31">
        <v>35150</v>
      </c>
      <c r="F14" s="37" t="str">
        <f>IF(tblResults[[#This Row],[Month]]="","",IFERROR(INDEX(tblCostLines[Group],MATCH(tblResults[[#This Row],[Cost line]],tblCostLines[Cost line],0)),""))</f>
        <v>Overheads</v>
      </c>
      <c r="G14" s="38">
        <f>IF(tblResults[[#This Row],[Month]]="","",IFERROR(INDEX(tblCostLines[Variable share],MATCH(tblResults[[#This Row],[Cost line]],tblCostLines[Cost line],0)),""))</f>
        <v>0.3</v>
      </c>
      <c r="H14" s="39">
        <f>IF(tblResults[[#This Row],[Month]]="","",IFERROR(INDEX(tblVolume[Volume ratio],MATCH(DATE(YEAR(tblResults[[#This Row],[Month]]),MONTH(tblResults[[#This Row],[Month]]),1),tblVolume[Month],0)),""))</f>
        <v>0.979710144927536</v>
      </c>
      <c r="I14" s="40">
        <f>IF(tblResults[[#This Row],[Month]]="","",IF(OR(tblResults[[#This Row],[Volume ratio]]="",tblResults[[#This Row],[Variable share]]=""),"",tblResults[[#This Row],[Budget]]*(1-tblResults[[#This Row],[Variable share]]+tblResults[[#This Row],[Variable share]]*tblResults[[#This Row],[Volume ratio]])))</f>
        <v>34786.9565217391</v>
      </c>
      <c r="J14" s="41">
        <f>IF(tblResults[[#This Row],[Month]]="","",IF(OR(tblResults[[#This Row],[Flexed budget]]="",tblResults[[#This Row],[Actual]]=""),"",tblResults[[#This Row],[Actual]]-tblResults[[#This Row],[Flexed budget]]))</f>
        <v>363.043478260872</v>
      </c>
      <c r="K14" s="42">
        <f>IF(tblResults[[#This Row],[Month]]="","",IF(OR(tblResults[[#This Row],[Spending variance]]="",tblResults[[#This Row],[Flexed budget]]=0),"",tblResults[[#This Row],[Spending variance]]/tblResults[[#This Row],[Flexed budget]]))</f>
        <v>0.0104361954755656</v>
      </c>
      <c r="L14" s="41">
        <f>IF(tblResults[[#This Row],[Month]]="","",IF(tblResults[[#This Row],[Flexed budget]]="","",tblResults[[#This Row],[Flexed budget]]-tblResults[[#This Row],[Budget]]))</f>
        <v>-213.043478260872</v>
      </c>
      <c r="M14" s="41">
        <f>IF(tblResults[[#This Row],[Month]]="","",IF(tblResults[[#This Row],[Actual]]="","",tblResults[[#This Row],[Actual]]-tblResults[[#This Row],[Budget]]))</f>
        <v>150</v>
      </c>
      <c r="N14" s="43" t="str">
        <f>IF(tblResults[[#This Row],[Spending variance]]="","",IF(AND(ABS(tblResults[[#This Row],[Spending variance]])&gt;VarAmount,ABS(tblResults[[#This Row],[Spending variance %]])&gt;VarPct),IF(tblResults[[#This Row],[Spending variance]]&gt;0,"Out of limits","Check"),"Within limits"))</f>
        <v>Within limits</v>
      </c>
      <c r="O1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 s="45" t="s">
        <v>122</v>
      </c>
    </row>
    <row r="15" spans="1:16">
      <c r="B15" s="29">
        <v>46023</v>
      </c>
      <c r="C15" s="28" t="s">
        <v>100</v>
      </c>
      <c r="D15" s="31">
        <v>25300</v>
      </c>
      <c r="E15" s="31">
        <v>24590</v>
      </c>
      <c r="F15" s="37" t="str">
        <f>IF(tblResults[[#This Row],[Month]]="","",IFERROR(INDEX(tblCostLines[Group],MATCH(tblResults[[#This Row],[Cost line]],tblCostLines[Cost line],0)),""))</f>
        <v>Overheads</v>
      </c>
      <c r="G15" s="38">
        <f>IF(tblResults[[#This Row],[Month]]="","",IFERROR(INDEX(tblCostLines[Variable share],MATCH(tblResults[[#This Row],[Cost line]],tblCostLines[Cost line],0)),""))</f>
        <v>0.75</v>
      </c>
      <c r="H15" s="39">
        <f>IF(tblResults[[#This Row],[Month]]="","",IFERROR(INDEX(tblVolume[Volume ratio],MATCH(DATE(YEAR(tblResults[[#This Row],[Month]]),MONTH(tblResults[[#This Row],[Month]]),1),tblVolume[Month],0)),""))</f>
        <v>0.979710144927536</v>
      </c>
      <c r="I15" s="40">
        <f>IF(tblResults[[#This Row],[Month]]="","",IF(OR(tblResults[[#This Row],[Volume ratio]]="",tblResults[[#This Row],[Variable share]]=""),"",tblResults[[#This Row],[Budget]]*(1-tblResults[[#This Row],[Variable share]]+tblResults[[#This Row],[Variable share]]*tblResults[[#This Row],[Volume ratio]])))</f>
        <v>24915</v>
      </c>
      <c r="J15" s="41">
        <f>IF(tblResults[[#This Row],[Month]]="","",IF(OR(tblResults[[#This Row],[Flexed budget]]="",tblResults[[#This Row],[Actual]]=""),"",tblResults[[#This Row],[Actual]]-tblResults[[#This Row],[Flexed budget]]))</f>
        <v>-325</v>
      </c>
      <c r="K15" s="42">
        <f>IF(tblResults[[#This Row],[Month]]="","",IF(OR(tblResults[[#This Row],[Spending variance]]="",tblResults[[#This Row],[Flexed budget]]=0),"",tblResults[[#This Row],[Spending variance]]/tblResults[[#This Row],[Flexed budget]]))</f>
        <v>-0.0130443507926952</v>
      </c>
      <c r="L15" s="41">
        <f>IF(tblResults[[#This Row],[Month]]="","",IF(tblResults[[#This Row],[Flexed budget]]="","",tblResults[[#This Row],[Flexed budget]]-tblResults[[#This Row],[Budget]]))</f>
        <v>-385</v>
      </c>
      <c r="M15" s="41">
        <f>IF(tblResults[[#This Row],[Month]]="","",IF(tblResults[[#This Row],[Actual]]="","",tblResults[[#This Row],[Actual]]-tblResults[[#This Row],[Budget]]))</f>
        <v>-710</v>
      </c>
      <c r="N15" s="43" t="str">
        <f>IF(tblResults[[#This Row],[Spending variance]]="","",IF(AND(ABS(tblResults[[#This Row],[Spending variance]])&gt;VarAmount,ABS(tblResults[[#This Row],[Spending variance %]])&gt;VarPct),IF(tblResults[[#This Row],[Spending variance]]&gt;0,"Out of limits","Check"),"Within limits"))</f>
        <v>Within limits</v>
      </c>
      <c r="O1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5" s="45" t="s">
        <v>122</v>
      </c>
    </row>
    <row r="16" spans="1:16">
      <c r="B16" s="29">
        <v>46023</v>
      </c>
      <c r="C16" s="28" t="s">
        <v>102</v>
      </c>
      <c r="D16" s="31">
        <v>14400</v>
      </c>
      <c r="E16" s="31">
        <v>14260</v>
      </c>
      <c r="F16" s="37" t="str">
        <f>IF(tblResults[[#This Row],[Month]]="","",IFERROR(INDEX(tblCostLines[Group],MATCH(tblResults[[#This Row],[Cost line]],tblCostLines[Cost line],0)),""))</f>
        <v>Overheads</v>
      </c>
      <c r="G16" s="38">
        <f>IF(tblResults[[#This Row],[Month]]="","",IFERROR(INDEX(tblCostLines[Variable share],MATCH(tblResults[[#This Row],[Cost line]],tblCostLines[Cost line],0)),""))</f>
        <v>0.85</v>
      </c>
      <c r="H16" s="39">
        <f>IF(tblResults[[#This Row],[Month]]="","",IFERROR(INDEX(tblVolume[Volume ratio],MATCH(DATE(YEAR(tblResults[[#This Row],[Month]]),MONTH(tblResults[[#This Row],[Month]]),1),tblVolume[Month],0)),""))</f>
        <v>0.979710144927536</v>
      </c>
      <c r="I16" s="40">
        <f>IF(tblResults[[#This Row],[Month]]="","",IF(OR(tblResults[[#This Row],[Volume ratio]]="",tblResults[[#This Row],[Variable share]]=""),"",tblResults[[#This Row],[Budget]]*(1-tblResults[[#This Row],[Variable share]]+tblResults[[#This Row],[Variable share]]*tblResults[[#This Row],[Volume ratio]])))</f>
        <v>14151.652173913</v>
      </c>
      <c r="J16" s="41">
        <f>IF(tblResults[[#This Row],[Month]]="","",IF(OR(tblResults[[#This Row],[Flexed budget]]="",tblResults[[#This Row],[Actual]]=""),"",tblResults[[#This Row],[Actual]]-tblResults[[#This Row],[Flexed budget]]))</f>
        <v>108.347826086956</v>
      </c>
      <c r="K16" s="42">
        <f>IF(tblResults[[#This Row],[Month]]="","",IF(OR(tblResults[[#This Row],[Spending variance]]="",tblResults[[#This Row],[Flexed budget]]=0),"",tblResults[[#This Row],[Spending variance]]/tblResults[[#This Row],[Flexed budget]]))</f>
        <v>0.00765619623457697</v>
      </c>
      <c r="L16" s="41">
        <f>IF(tblResults[[#This Row],[Month]]="","",IF(tblResults[[#This Row],[Flexed budget]]="","",tblResults[[#This Row],[Flexed budget]]-tblResults[[#This Row],[Budget]]))</f>
        <v>-248.347826086956</v>
      </c>
      <c r="M16" s="41">
        <f>IF(tblResults[[#This Row],[Month]]="","",IF(tblResults[[#This Row],[Actual]]="","",tblResults[[#This Row],[Actual]]-tblResults[[#This Row],[Budget]]))</f>
        <v>-140</v>
      </c>
      <c r="N16" s="43" t="str">
        <f>IF(tblResults[[#This Row],[Spending variance]]="","",IF(AND(ABS(tblResults[[#This Row],[Spending variance]])&gt;VarAmount,ABS(tblResults[[#This Row],[Spending variance %]])&gt;VarPct),IF(tblResults[[#This Row],[Spending variance]]&gt;0,"Out of limits","Check"),"Within limits"))</f>
        <v>Within limits</v>
      </c>
      <c r="O1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6" s="45" t="s">
        <v>122</v>
      </c>
    </row>
    <row r="17" spans="2:16">
      <c r="B17" s="29">
        <v>46023</v>
      </c>
      <c r="C17" s="28" t="s">
        <v>104</v>
      </c>
      <c r="D17" s="31">
        <v>41000</v>
      </c>
      <c r="E17" s="31">
        <v>41610</v>
      </c>
      <c r="F17" s="37" t="str">
        <f>IF(tblResults[[#This Row],[Month]]="","",IFERROR(INDEX(tblCostLines[Group],MATCH(tblResults[[#This Row],[Cost line]],tblCostLines[Cost line],0)),""))</f>
        <v>Overheads</v>
      </c>
      <c r="G17" s="38">
        <f>IF(tblResults[[#This Row],[Month]]="","",IFERROR(INDEX(tblCostLines[Variable share],MATCH(tblResults[[#This Row],[Cost line]],tblCostLines[Cost line],0)),""))</f>
        <v>0</v>
      </c>
      <c r="H17" s="39">
        <f>IF(tblResults[[#This Row],[Month]]="","",IFERROR(INDEX(tblVolume[Volume ratio],MATCH(DATE(YEAR(tblResults[[#This Row],[Month]]),MONTH(tblResults[[#This Row],[Month]]),1),tblVolume[Month],0)),""))</f>
        <v>0.979710144927536</v>
      </c>
      <c r="I17" s="40">
        <f>IF(tblResults[[#This Row],[Month]]="","",IF(OR(tblResults[[#This Row],[Volume ratio]]="",tblResults[[#This Row],[Variable share]]=""),"",tblResults[[#This Row],[Budget]]*(1-tblResults[[#This Row],[Variable share]]+tblResults[[#This Row],[Variable share]]*tblResults[[#This Row],[Volume ratio]])))</f>
        <v>41000</v>
      </c>
      <c r="J17" s="41">
        <f>IF(tblResults[[#This Row],[Month]]="","",IF(OR(tblResults[[#This Row],[Flexed budget]]="",tblResults[[#This Row],[Actual]]=""),"",tblResults[[#This Row],[Actual]]-tblResults[[#This Row],[Flexed budget]]))</f>
        <v>610</v>
      </c>
      <c r="K17" s="42">
        <f>IF(tblResults[[#This Row],[Month]]="","",IF(OR(tblResults[[#This Row],[Spending variance]]="",tblResults[[#This Row],[Flexed budget]]=0),"",tblResults[[#This Row],[Spending variance]]/tblResults[[#This Row],[Flexed budget]]))</f>
        <v>0.0148780487804878</v>
      </c>
      <c r="L17" s="41">
        <f>IF(tblResults[[#This Row],[Month]]="","",IF(tblResults[[#This Row],[Flexed budget]]="","",tblResults[[#This Row],[Flexed budget]]-tblResults[[#This Row],[Budget]]))</f>
        <v>0</v>
      </c>
      <c r="M17" s="41">
        <f>IF(tblResults[[#This Row],[Month]]="","",IF(tblResults[[#This Row],[Actual]]="","",tblResults[[#This Row],[Actual]]-tblResults[[#This Row],[Budget]]))</f>
        <v>610</v>
      </c>
      <c r="N17" s="43" t="str">
        <f>IF(tblResults[[#This Row],[Spending variance]]="","",IF(AND(ABS(tblResults[[#This Row],[Spending variance]])&gt;VarAmount,ABS(tblResults[[#This Row],[Spending variance %]])&gt;VarPct),IF(tblResults[[#This Row],[Spending variance]]&gt;0,"Out of limits","Check"),"Within limits"))</f>
        <v>Within limits</v>
      </c>
      <c r="O1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7" s="45" t="s">
        <v>122</v>
      </c>
    </row>
    <row r="18" spans="2:16">
      <c r="B18" s="29">
        <v>46023</v>
      </c>
      <c r="C18" s="28" t="s">
        <v>106</v>
      </c>
      <c r="D18" s="31">
        <v>18500</v>
      </c>
      <c r="E18" s="31">
        <v>18480</v>
      </c>
      <c r="F18" s="37" t="str">
        <f>IF(tblResults[[#This Row],[Month]]="","",IFERROR(INDEX(tblCostLines[Group],MATCH(tblResults[[#This Row],[Cost line]],tblCostLines[Cost line],0)),""))</f>
        <v>Overheads</v>
      </c>
      <c r="G18" s="38">
        <f>IF(tblResults[[#This Row],[Month]]="","",IFERROR(INDEX(tblCostLines[Variable share],MATCH(tblResults[[#This Row],[Cost line]],tblCostLines[Cost line],0)),""))</f>
        <v>0</v>
      </c>
      <c r="H18" s="39">
        <f>IF(tblResults[[#This Row],[Month]]="","",IFERROR(INDEX(tblVolume[Volume ratio],MATCH(DATE(YEAR(tblResults[[#This Row],[Month]]),MONTH(tblResults[[#This Row],[Month]]),1),tblVolume[Month],0)),""))</f>
        <v>0.979710144927536</v>
      </c>
      <c r="I18" s="40">
        <f>IF(tblResults[[#This Row],[Month]]="","",IF(OR(tblResults[[#This Row],[Volume ratio]]="",tblResults[[#This Row],[Variable share]]=""),"",tblResults[[#This Row],[Budget]]*(1-tblResults[[#This Row],[Variable share]]+tblResults[[#This Row],[Variable share]]*tblResults[[#This Row],[Volume ratio]])))</f>
        <v>18500</v>
      </c>
      <c r="J18" s="41">
        <f>IF(tblResults[[#This Row],[Month]]="","",IF(OR(tblResults[[#This Row],[Flexed budget]]="",tblResults[[#This Row],[Actual]]=""),"",tblResults[[#This Row],[Actual]]-tblResults[[#This Row],[Flexed budget]]))</f>
        <v>-20</v>
      </c>
      <c r="K18" s="42">
        <f>IF(tblResults[[#This Row],[Month]]="","",IF(OR(tblResults[[#This Row],[Spending variance]]="",tblResults[[#This Row],[Flexed budget]]=0),"",tblResults[[#This Row],[Spending variance]]/tblResults[[#This Row],[Flexed budget]]))</f>
        <v>-0.00108108108108108</v>
      </c>
      <c r="L18" s="41">
        <f>IF(tblResults[[#This Row],[Month]]="","",IF(tblResults[[#This Row],[Flexed budget]]="","",tblResults[[#This Row],[Flexed budget]]-tblResults[[#This Row],[Budget]]))</f>
        <v>0</v>
      </c>
      <c r="M18" s="41">
        <f>IF(tblResults[[#This Row],[Month]]="","",IF(tblResults[[#This Row],[Actual]]="","",tblResults[[#This Row],[Actual]]-tblResults[[#This Row],[Budget]]))</f>
        <v>-20</v>
      </c>
      <c r="N18" s="43" t="str">
        <f>IF(tblResults[[#This Row],[Spending variance]]="","",IF(AND(ABS(tblResults[[#This Row],[Spending variance]])&gt;VarAmount,ABS(tblResults[[#This Row],[Spending variance %]])&gt;VarPct),IF(tblResults[[#This Row],[Spending variance]]&gt;0,"Out of limits","Check"),"Within limits"))</f>
        <v>Within limits</v>
      </c>
      <c r="O1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8" s="45" t="s">
        <v>122</v>
      </c>
    </row>
    <row r="19" spans="2:16">
      <c r="B19" s="29">
        <v>46054</v>
      </c>
      <c r="C19" s="28" t="s">
        <v>80</v>
      </c>
      <c r="D19" s="31">
        <v>440200</v>
      </c>
      <c r="E19" s="31">
        <v>451640</v>
      </c>
      <c r="F19" s="37" t="str">
        <f>IF(tblResults[[#This Row],[Month]]="","",IFERROR(INDEX(tblCostLines[Group],MATCH(tblResults[[#This Row],[Cost line]],tblCostLines[Cost line],0)),""))</f>
        <v>Materials</v>
      </c>
      <c r="G19" s="38">
        <f>IF(tblResults[[#This Row],[Month]]="","",IFERROR(INDEX(tblCostLines[Variable share],MATCH(tblResults[[#This Row],[Cost line]],tblCostLines[Cost line],0)),""))</f>
        <v>1</v>
      </c>
      <c r="H19" s="39">
        <f>IF(tblResults[[#This Row],[Month]]="","",IFERROR(INDEX(tblVolume[Volume ratio],MATCH(DATE(YEAR(tblResults[[#This Row],[Month]]),MONTH(tblResults[[#This Row],[Month]]),1),tblVolume[Month],0)),""))</f>
        <v>1.01478873239437</v>
      </c>
      <c r="I19" s="40">
        <f>IF(tblResults[[#This Row],[Month]]="","",IF(OR(tblResults[[#This Row],[Volume ratio]]="",tblResults[[#This Row],[Variable share]]=""),"",tblResults[[#This Row],[Budget]]*(1-tblResults[[#This Row],[Variable share]]+tblResults[[#This Row],[Variable share]]*tblResults[[#This Row],[Volume ratio]])))</f>
        <v>446710</v>
      </c>
      <c r="J19" s="41">
        <f>IF(tblResults[[#This Row],[Month]]="","",IF(OR(tblResults[[#This Row],[Flexed budget]]="",tblResults[[#This Row],[Actual]]=""),"",tblResults[[#This Row],[Actual]]-tblResults[[#This Row],[Flexed budget]]))</f>
        <v>4929.99999999994</v>
      </c>
      <c r="K19" s="42">
        <f>IF(tblResults[[#This Row],[Month]]="","",IF(OR(tblResults[[#This Row],[Spending variance]]="",tblResults[[#This Row],[Flexed budget]]=0),"",tblResults[[#This Row],[Spending variance]]/tblResults[[#This Row],[Flexed budget]]))</f>
        <v>0.0110362427525687</v>
      </c>
      <c r="L19" s="41">
        <f>IF(tblResults[[#This Row],[Month]]="","",IF(tblResults[[#This Row],[Flexed budget]]="","",tblResults[[#This Row],[Flexed budget]]-tblResults[[#This Row],[Budget]]))</f>
        <v>6510.00000000006</v>
      </c>
      <c r="M19" s="41">
        <f>IF(tblResults[[#This Row],[Month]]="","",IF(tblResults[[#This Row],[Actual]]="","",tblResults[[#This Row],[Actual]]-tblResults[[#This Row],[Budget]]))</f>
        <v>11440</v>
      </c>
      <c r="N19" s="43" t="str">
        <f>IF(tblResults[[#This Row],[Spending variance]]="","",IF(AND(ABS(tblResults[[#This Row],[Spending variance]])&gt;VarAmount,ABS(tblResults[[#This Row],[Spending variance %]])&gt;VarPct),IF(tblResults[[#This Row],[Spending variance]]&gt;0,"Out of limits","Check"),"Within limits"))</f>
        <v>Within limits</v>
      </c>
      <c r="O1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9" s="45" t="s">
        <v>122</v>
      </c>
    </row>
    <row r="20" spans="2:16">
      <c r="B20" s="29">
        <v>46054</v>
      </c>
      <c r="C20" s="28" t="s">
        <v>83</v>
      </c>
      <c r="D20" s="31">
        <v>59600</v>
      </c>
      <c r="E20" s="31">
        <v>60680</v>
      </c>
      <c r="F20" s="37" t="str">
        <f>IF(tblResults[[#This Row],[Month]]="","",IFERROR(INDEX(tblCostLines[Group],MATCH(tblResults[[#This Row],[Cost line]],tblCostLines[Cost line],0)),""))</f>
        <v>Materials</v>
      </c>
      <c r="G20" s="38">
        <f>IF(tblResults[[#This Row],[Month]]="","",IFERROR(INDEX(tblCostLines[Variable share],MATCH(tblResults[[#This Row],[Cost line]],tblCostLines[Cost line],0)),""))</f>
        <v>1</v>
      </c>
      <c r="H20" s="39">
        <f>IF(tblResults[[#This Row],[Month]]="","",IFERROR(INDEX(tblVolume[Volume ratio],MATCH(DATE(YEAR(tblResults[[#This Row],[Month]]),MONTH(tblResults[[#This Row],[Month]]),1),tblVolume[Month],0)),""))</f>
        <v>1.01478873239437</v>
      </c>
      <c r="I20" s="40">
        <f>IF(tblResults[[#This Row],[Month]]="","",IF(OR(tblResults[[#This Row],[Volume ratio]]="",tblResults[[#This Row],[Variable share]]=""),"",tblResults[[#This Row],[Budget]]*(1-tblResults[[#This Row],[Variable share]]+tblResults[[#This Row],[Variable share]]*tblResults[[#This Row],[Volume ratio]])))</f>
        <v>60481.4084507042</v>
      </c>
      <c r="J20" s="41">
        <f>IF(tblResults[[#This Row],[Month]]="","",IF(OR(tblResults[[#This Row],[Flexed budget]]="",tblResults[[#This Row],[Actual]]=""),"",tblResults[[#This Row],[Actual]]-tblResults[[#This Row],[Flexed budget]]))</f>
        <v>198.591549295772</v>
      </c>
      <c r="K20" s="42">
        <f>IF(tblResults[[#This Row],[Month]]="","",IF(OR(tblResults[[#This Row],[Spending variance]]="",tblResults[[#This Row],[Flexed budget]]=0),"",tblResults[[#This Row],[Spending variance]]/tblResults[[#This Row],[Flexed budget]]))</f>
        <v>0.00328351396541361</v>
      </c>
      <c r="L20" s="41">
        <f>IF(tblResults[[#This Row],[Month]]="","",IF(tblResults[[#This Row],[Flexed budget]]="","",tblResults[[#This Row],[Flexed budget]]-tblResults[[#This Row],[Budget]]))</f>
        <v>881.408450704228</v>
      </c>
      <c r="M20" s="41">
        <f>IF(tblResults[[#This Row],[Month]]="","",IF(tblResults[[#This Row],[Actual]]="","",tblResults[[#This Row],[Actual]]-tblResults[[#This Row],[Budget]]))</f>
        <v>1080</v>
      </c>
      <c r="N20" s="43" t="str">
        <f>IF(tblResults[[#This Row],[Spending variance]]="","",IF(AND(ABS(tblResults[[#This Row],[Spending variance]])&gt;VarAmount,ABS(tblResults[[#This Row],[Spending variance %]])&gt;VarPct),IF(tblResults[[#This Row],[Spending variance]]&gt;0,"Out of limits","Check"),"Within limits"))</f>
        <v>Within limits</v>
      </c>
      <c r="O2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20" s="45" t="s">
        <v>122</v>
      </c>
    </row>
    <row r="21" spans="2:16">
      <c r="B21" s="29">
        <v>46054</v>
      </c>
      <c r="C21" s="28" t="s">
        <v>85</v>
      </c>
      <c r="D21" s="31">
        <v>80300</v>
      </c>
      <c r="E21" s="31">
        <v>80280</v>
      </c>
      <c r="F21" s="37" t="str">
        <f>IF(tblResults[[#This Row],[Month]]="","",IFERROR(INDEX(tblCostLines[Group],MATCH(tblResults[[#This Row],[Cost line]],tblCostLines[Cost line],0)),""))</f>
        <v>Materials</v>
      </c>
      <c r="G21" s="38">
        <f>IF(tblResults[[#This Row],[Month]]="","",IFERROR(INDEX(tblCostLines[Variable share],MATCH(tblResults[[#This Row],[Cost line]],tblCostLines[Cost line],0)),""))</f>
        <v>0.9</v>
      </c>
      <c r="H21" s="39">
        <f>IF(tblResults[[#This Row],[Month]]="","",IFERROR(INDEX(tblVolume[Volume ratio],MATCH(DATE(YEAR(tblResults[[#This Row],[Month]]),MONTH(tblResults[[#This Row],[Month]]),1),tblVolume[Month],0)),""))</f>
        <v>1.01478873239437</v>
      </c>
      <c r="I21" s="40">
        <f>IF(tblResults[[#This Row],[Month]]="","",IF(OR(tblResults[[#This Row],[Volume ratio]]="",tblResults[[#This Row],[Variable share]]=""),"",tblResults[[#This Row],[Budget]]*(1-tblResults[[#This Row],[Variable share]]+tblResults[[#This Row],[Variable share]]*tblResults[[#This Row],[Volume ratio]])))</f>
        <v>81368.7816901409</v>
      </c>
      <c r="J21" s="41">
        <f>IF(tblResults[[#This Row],[Month]]="","",IF(OR(tblResults[[#This Row],[Flexed budget]]="",tblResults[[#This Row],[Actual]]=""),"",tblResults[[#This Row],[Actual]]-tblResults[[#This Row],[Flexed budget]]))</f>
        <v>-1088.78169014085</v>
      </c>
      <c r="K21" s="42">
        <f>IF(tblResults[[#This Row],[Month]]="","",IF(OR(tblResults[[#This Row],[Spending variance]]="",tblResults[[#This Row],[Flexed budget]]=0),"",tblResults[[#This Row],[Spending variance]]/tblResults[[#This Row],[Flexed budget]]))</f>
        <v>-0.0133808282184564</v>
      </c>
      <c r="L21" s="41">
        <f>IF(tblResults[[#This Row],[Month]]="","",IF(tblResults[[#This Row],[Flexed budget]]="","",tblResults[[#This Row],[Flexed budget]]-tblResults[[#This Row],[Budget]]))</f>
        <v>1068.78169014085</v>
      </c>
      <c r="M21" s="41">
        <f>IF(tblResults[[#This Row],[Month]]="","",IF(tblResults[[#This Row],[Actual]]="","",tblResults[[#This Row],[Actual]]-tblResults[[#This Row],[Budget]]))</f>
        <v>-20</v>
      </c>
      <c r="N21" s="43" t="str">
        <f>IF(tblResults[[#This Row],[Spending variance]]="","",IF(AND(ABS(tblResults[[#This Row],[Spending variance]])&gt;VarAmount,ABS(tblResults[[#This Row],[Spending variance %]])&gt;VarPct),IF(tblResults[[#This Row],[Spending variance]]&gt;0,"Out of limits","Check"),"Within limits"))</f>
        <v>Within limits</v>
      </c>
      <c r="O2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21" s="45" t="s">
        <v>122</v>
      </c>
    </row>
    <row r="22" spans="2:16">
      <c r="B22" s="29">
        <v>46054</v>
      </c>
      <c r="C22" s="28" t="s">
        <v>87</v>
      </c>
      <c r="D22" s="31">
        <v>133600</v>
      </c>
      <c r="E22" s="31">
        <v>133410</v>
      </c>
      <c r="F22" s="37" t="str">
        <f>IF(tblResults[[#This Row],[Month]]="","",IFERROR(INDEX(tblCostLines[Group],MATCH(tblResults[[#This Row],[Cost line]],tblCostLines[Cost line],0)),""))</f>
        <v>Energy</v>
      </c>
      <c r="G22" s="38">
        <f>IF(tblResults[[#This Row],[Month]]="","",IFERROR(INDEX(tblCostLines[Variable share],MATCH(tblResults[[#This Row],[Cost line]],tblCostLines[Cost line],0)),""))</f>
        <v>0.85</v>
      </c>
      <c r="H22" s="39">
        <f>IF(tblResults[[#This Row],[Month]]="","",IFERROR(INDEX(tblVolume[Volume ratio],MATCH(DATE(YEAR(tblResults[[#This Row],[Month]]),MONTH(tblResults[[#This Row],[Month]]),1),tblVolume[Month],0)),""))</f>
        <v>1.01478873239437</v>
      </c>
      <c r="I22" s="40">
        <f>IF(tblResults[[#This Row],[Month]]="","",IF(OR(tblResults[[#This Row],[Volume ratio]]="",tblResults[[#This Row],[Variable share]]=""),"",tblResults[[#This Row],[Budget]]*(1-tblResults[[#This Row],[Variable share]]+tblResults[[#This Row],[Variable share]]*tblResults[[#This Row],[Volume ratio]])))</f>
        <v>135279.408450704</v>
      </c>
      <c r="J22" s="41">
        <f>IF(tblResults[[#This Row],[Month]]="","",IF(OR(tblResults[[#This Row],[Flexed budget]]="",tblResults[[#This Row],[Actual]]=""),"",tblResults[[#This Row],[Actual]]-tblResults[[#This Row],[Flexed budget]]))</f>
        <v>-1869.40845070424</v>
      </c>
      <c r="K22" s="42">
        <f>IF(tblResults[[#This Row],[Month]]="","",IF(OR(tblResults[[#This Row],[Spending variance]]="",tblResults[[#This Row],[Flexed budget]]=0),"",tblResults[[#This Row],[Spending variance]]/tblResults[[#This Row],[Flexed budget]]))</f>
        <v>-0.0138188691990434</v>
      </c>
      <c r="L22" s="41">
        <f>IF(tblResults[[#This Row],[Month]]="","",IF(tblResults[[#This Row],[Flexed budget]]="","",tblResults[[#This Row],[Flexed budget]]-tblResults[[#This Row],[Budget]]))</f>
        <v>1679.40845070424</v>
      </c>
      <c r="M22" s="41">
        <f>IF(tblResults[[#This Row],[Month]]="","",IF(tblResults[[#This Row],[Actual]]="","",tblResults[[#This Row],[Actual]]-tblResults[[#This Row],[Budget]]))</f>
        <v>-190</v>
      </c>
      <c r="N22" s="43" t="str">
        <f>IF(tblResults[[#This Row],[Spending variance]]="","",IF(AND(ABS(tblResults[[#This Row],[Spending variance]])&gt;VarAmount,ABS(tblResults[[#This Row],[Spending variance %]])&gt;VarPct),IF(tblResults[[#This Row],[Spending variance]]&gt;0,"Out of limits","Check"),"Within limits"))</f>
        <v>Within limits</v>
      </c>
      <c r="O2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22" s="45" t="s">
        <v>122</v>
      </c>
    </row>
    <row r="23" spans="2:16">
      <c r="B23" s="29">
        <v>46054</v>
      </c>
      <c r="C23" s="28" t="s">
        <v>90</v>
      </c>
      <c r="D23" s="31">
        <v>17500</v>
      </c>
      <c r="E23" s="31">
        <v>17840</v>
      </c>
      <c r="F23" s="37" t="str">
        <f>IF(tblResults[[#This Row],[Month]]="","",IFERROR(INDEX(tblCostLines[Group],MATCH(tblResults[[#This Row],[Cost line]],tblCostLines[Cost line],0)),""))</f>
        <v>Energy</v>
      </c>
      <c r="G23" s="38">
        <f>IF(tblResults[[#This Row],[Month]]="","",IFERROR(INDEX(tblCostLines[Variable share],MATCH(tblResults[[#This Row],[Cost line]],tblCostLines[Cost line],0)),""))</f>
        <v>0.5</v>
      </c>
      <c r="H23" s="39">
        <f>IF(tblResults[[#This Row],[Month]]="","",IFERROR(INDEX(tblVolume[Volume ratio],MATCH(DATE(YEAR(tblResults[[#This Row],[Month]]),MONTH(tblResults[[#This Row],[Month]]),1),tblVolume[Month],0)),""))</f>
        <v>1.01478873239437</v>
      </c>
      <c r="I23" s="40">
        <f>IF(tblResults[[#This Row],[Month]]="","",IF(OR(tblResults[[#This Row],[Volume ratio]]="",tblResults[[#This Row],[Variable share]]=""),"",tblResults[[#This Row],[Budget]]*(1-tblResults[[#This Row],[Variable share]]+tblResults[[#This Row],[Variable share]]*tblResults[[#This Row],[Volume ratio]])))</f>
        <v>17629.4014084507</v>
      </c>
      <c r="J23" s="41">
        <f>IF(tblResults[[#This Row],[Month]]="","",IF(OR(tblResults[[#This Row],[Flexed budget]]="",tblResults[[#This Row],[Actual]]=""),"",tblResults[[#This Row],[Actual]]-tblResults[[#This Row],[Flexed budget]]))</f>
        <v>210.598591549297</v>
      </c>
      <c r="K23" s="42">
        <f>IF(tblResults[[#This Row],[Month]]="","",IF(OR(tblResults[[#This Row],[Spending variance]]="",tblResults[[#This Row],[Flexed budget]]=0),"",tblResults[[#This Row],[Spending variance]]/tblResults[[#This Row],[Flexed budget]]))</f>
        <v>0.0119458730713537</v>
      </c>
      <c r="L23" s="41">
        <f>IF(tblResults[[#This Row],[Month]]="","",IF(tblResults[[#This Row],[Flexed budget]]="","",tblResults[[#This Row],[Flexed budget]]-tblResults[[#This Row],[Budget]]))</f>
        <v>129.401408450703</v>
      </c>
      <c r="M23" s="41">
        <f>IF(tblResults[[#This Row],[Month]]="","",IF(tblResults[[#This Row],[Actual]]="","",tblResults[[#This Row],[Actual]]-tblResults[[#This Row],[Budget]]))</f>
        <v>340</v>
      </c>
      <c r="N23" s="43" t="str">
        <f>IF(tblResults[[#This Row],[Spending variance]]="","",IF(AND(ABS(tblResults[[#This Row],[Spending variance]])&gt;VarAmount,ABS(tblResults[[#This Row],[Spending variance %]])&gt;VarPct),IF(tblResults[[#This Row],[Spending variance]]&gt;0,"Out of limits","Check"),"Within limits"))</f>
        <v>Within limits</v>
      </c>
      <c r="O2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23" s="45" t="s">
        <v>122</v>
      </c>
    </row>
    <row r="24" spans="2:16">
      <c r="B24" s="29">
        <v>46054</v>
      </c>
      <c r="C24" s="28" t="s">
        <v>92</v>
      </c>
      <c r="D24" s="31">
        <v>125900</v>
      </c>
      <c r="E24" s="31">
        <v>125620</v>
      </c>
      <c r="F24" s="37" t="str">
        <f>IF(tblResults[[#This Row],[Month]]="","",IFERROR(INDEX(tblCostLines[Group],MATCH(tblResults[[#This Row],[Cost line]],tblCostLines[Cost line],0)),""))</f>
        <v>Labour</v>
      </c>
      <c r="G24" s="38">
        <f>IF(tblResults[[#This Row],[Month]]="","",IFERROR(INDEX(tblCostLines[Variable share],MATCH(tblResults[[#This Row],[Cost line]],tblCostLines[Cost line],0)),""))</f>
        <v>0.5</v>
      </c>
      <c r="H24" s="39">
        <f>IF(tblResults[[#This Row],[Month]]="","",IFERROR(INDEX(tblVolume[Volume ratio],MATCH(DATE(YEAR(tblResults[[#This Row],[Month]]),MONTH(tblResults[[#This Row],[Month]]),1),tblVolume[Month],0)),""))</f>
        <v>1.01478873239437</v>
      </c>
      <c r="I24" s="40">
        <f>IF(tblResults[[#This Row],[Month]]="","",IF(OR(tblResults[[#This Row],[Volume ratio]]="",tblResults[[#This Row],[Variable share]]=""),"",tblResults[[#This Row],[Budget]]*(1-tblResults[[#This Row],[Variable share]]+tblResults[[#This Row],[Variable share]]*tblResults[[#This Row],[Volume ratio]])))</f>
        <v>126830.950704225</v>
      </c>
      <c r="J24" s="41">
        <f>IF(tblResults[[#This Row],[Month]]="","",IF(OR(tblResults[[#This Row],[Flexed budget]]="",tblResults[[#This Row],[Actual]]=""),"",tblResults[[#This Row],[Actual]]-tblResults[[#This Row],[Flexed budget]]))</f>
        <v>-1210.95070422535</v>
      </c>
      <c r="K24" s="42">
        <f>IF(tblResults[[#This Row],[Month]]="","",IF(OR(tblResults[[#This Row],[Spending variance]]="",tblResults[[#This Row],[Flexed budget]]=0),"",tblResults[[#This Row],[Spending variance]]/tblResults[[#This Row],[Flexed budget]]))</f>
        <v>-0.00954775389998721</v>
      </c>
      <c r="L24" s="41">
        <f>IF(tblResults[[#This Row],[Month]]="","",IF(tblResults[[#This Row],[Flexed budget]]="","",tblResults[[#This Row],[Flexed budget]]-tblResults[[#This Row],[Budget]]))</f>
        <v>930.950704225354</v>
      </c>
      <c r="M24" s="41">
        <f>IF(tblResults[[#This Row],[Month]]="","",IF(tblResults[[#This Row],[Actual]]="","",tblResults[[#This Row],[Actual]]-tblResults[[#This Row],[Budget]]))</f>
        <v>-280</v>
      </c>
      <c r="N24" s="43" t="str">
        <f>IF(tblResults[[#This Row],[Spending variance]]="","",IF(AND(ABS(tblResults[[#This Row],[Spending variance]])&gt;VarAmount,ABS(tblResults[[#This Row],[Spending variance %]])&gt;VarPct),IF(tblResults[[#This Row],[Spending variance]]&gt;0,"Out of limits","Check"),"Within limits"))</f>
        <v>Within limits</v>
      </c>
      <c r="O2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24" s="45" t="s">
        <v>122</v>
      </c>
    </row>
    <row r="25" spans="2:16">
      <c r="B25" s="29">
        <v>46054</v>
      </c>
      <c r="C25" s="28" t="s">
        <v>95</v>
      </c>
      <c r="D25" s="31">
        <v>48000</v>
      </c>
      <c r="E25" s="31">
        <v>48050</v>
      </c>
      <c r="F25" s="37" t="str">
        <f>IF(tblResults[[#This Row],[Month]]="","",IFERROR(INDEX(tblCostLines[Group],MATCH(tblResults[[#This Row],[Cost line]],tblCostLines[Cost line],0)),""))</f>
        <v>Labour</v>
      </c>
      <c r="G25" s="38">
        <f>IF(tblResults[[#This Row],[Month]]="","",IFERROR(INDEX(tblCostLines[Variable share],MATCH(tblResults[[#This Row],[Cost line]],tblCostLines[Cost line],0)),""))</f>
        <v>0</v>
      </c>
      <c r="H25" s="39">
        <f>IF(tblResults[[#This Row],[Month]]="","",IFERROR(INDEX(tblVolume[Volume ratio],MATCH(DATE(YEAR(tblResults[[#This Row],[Month]]),MONTH(tblResults[[#This Row],[Month]]),1),tblVolume[Month],0)),""))</f>
        <v>1.01478873239437</v>
      </c>
      <c r="I25" s="40">
        <f>IF(tblResults[[#This Row],[Month]]="","",IF(OR(tblResults[[#This Row],[Volume ratio]]="",tblResults[[#This Row],[Variable share]]=""),"",tblResults[[#This Row],[Budget]]*(1-tblResults[[#This Row],[Variable share]]+tblResults[[#This Row],[Variable share]]*tblResults[[#This Row],[Volume ratio]])))</f>
        <v>48000</v>
      </c>
      <c r="J25" s="41">
        <f>IF(tblResults[[#This Row],[Month]]="","",IF(OR(tblResults[[#This Row],[Flexed budget]]="",tblResults[[#This Row],[Actual]]=""),"",tblResults[[#This Row],[Actual]]-tblResults[[#This Row],[Flexed budget]]))</f>
        <v>50</v>
      </c>
      <c r="K25" s="42">
        <f>IF(tblResults[[#This Row],[Month]]="","",IF(OR(tblResults[[#This Row],[Spending variance]]="",tblResults[[#This Row],[Flexed budget]]=0),"",tblResults[[#This Row],[Spending variance]]/tblResults[[#This Row],[Flexed budget]]))</f>
        <v>0.00104166666666667</v>
      </c>
      <c r="L25" s="41">
        <f>IF(tblResults[[#This Row],[Month]]="","",IF(tblResults[[#This Row],[Flexed budget]]="","",tblResults[[#This Row],[Flexed budget]]-tblResults[[#This Row],[Budget]]))</f>
        <v>0</v>
      </c>
      <c r="M25" s="41">
        <f>IF(tblResults[[#This Row],[Month]]="","",IF(tblResults[[#This Row],[Actual]]="","",tblResults[[#This Row],[Actual]]-tblResults[[#This Row],[Budget]]))</f>
        <v>50</v>
      </c>
      <c r="N25" s="43" t="str">
        <f>IF(tblResults[[#This Row],[Spending variance]]="","",IF(AND(ABS(tblResults[[#This Row],[Spending variance]])&gt;VarAmount,ABS(tblResults[[#This Row],[Spending variance %]])&gt;VarPct),IF(tblResults[[#This Row],[Spending variance]]&gt;0,"Out of limits","Check"),"Within limits"))</f>
        <v>Within limits</v>
      </c>
      <c r="O2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25" s="45" t="s">
        <v>122</v>
      </c>
    </row>
    <row r="26" spans="2:16">
      <c r="B26" s="29">
        <v>46054</v>
      </c>
      <c r="C26" s="28" t="s">
        <v>97</v>
      </c>
      <c r="D26" s="31">
        <v>35400</v>
      </c>
      <c r="E26" s="31">
        <v>35080</v>
      </c>
      <c r="F26" s="37" t="str">
        <f>IF(tblResults[[#This Row],[Month]]="","",IFERROR(INDEX(tblCostLines[Group],MATCH(tblResults[[#This Row],[Cost line]],tblCostLines[Cost line],0)),""))</f>
        <v>Overheads</v>
      </c>
      <c r="G26" s="38">
        <f>IF(tblResults[[#This Row],[Month]]="","",IFERROR(INDEX(tblCostLines[Variable share],MATCH(tblResults[[#This Row],[Cost line]],tblCostLines[Cost line],0)),""))</f>
        <v>0.3</v>
      </c>
      <c r="H26" s="39">
        <f>IF(tblResults[[#This Row],[Month]]="","",IFERROR(INDEX(tblVolume[Volume ratio],MATCH(DATE(YEAR(tblResults[[#This Row],[Month]]),MONTH(tblResults[[#This Row],[Month]]),1),tblVolume[Month],0)),""))</f>
        <v>1.01478873239437</v>
      </c>
      <c r="I26" s="40">
        <f>IF(tblResults[[#This Row],[Month]]="","",IF(OR(tblResults[[#This Row],[Volume ratio]]="",tblResults[[#This Row],[Variable share]]=""),"",tblResults[[#This Row],[Budget]]*(1-tblResults[[#This Row],[Variable share]]+tblResults[[#This Row],[Variable share]]*tblResults[[#This Row],[Volume ratio]])))</f>
        <v>35557.0563380282</v>
      </c>
      <c r="J26" s="41">
        <f>IF(tblResults[[#This Row],[Month]]="","",IF(OR(tblResults[[#This Row],[Flexed budget]]="",tblResults[[#This Row],[Actual]]=""),"",tblResults[[#This Row],[Actual]]-tblResults[[#This Row],[Flexed budget]]))</f>
        <v>-477.056338028167</v>
      </c>
      <c r="K26" s="42">
        <f>IF(tblResults[[#This Row],[Month]]="","",IF(OR(tblResults[[#This Row],[Spending variance]]="",tblResults[[#This Row],[Flexed budget]]=0),"",tblResults[[#This Row],[Spending variance]]/tblResults[[#This Row],[Flexed budget]]))</f>
        <v>-0.0134166431971467</v>
      </c>
      <c r="L26" s="41">
        <f>IF(tblResults[[#This Row],[Month]]="","",IF(tblResults[[#This Row],[Flexed budget]]="","",tblResults[[#This Row],[Flexed budget]]-tblResults[[#This Row],[Budget]]))</f>
        <v>157.056338028167</v>
      </c>
      <c r="M26" s="41">
        <f>IF(tblResults[[#This Row],[Month]]="","",IF(tblResults[[#This Row],[Actual]]="","",tblResults[[#This Row],[Actual]]-tblResults[[#This Row],[Budget]]))</f>
        <v>-320</v>
      </c>
      <c r="N26" s="43" t="str">
        <f>IF(tblResults[[#This Row],[Spending variance]]="","",IF(AND(ABS(tblResults[[#This Row],[Spending variance]])&gt;VarAmount,ABS(tblResults[[#This Row],[Spending variance %]])&gt;VarPct),IF(tblResults[[#This Row],[Spending variance]]&gt;0,"Out of limits","Check"),"Within limits"))</f>
        <v>Within limits</v>
      </c>
      <c r="O2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26" s="45" t="s">
        <v>122</v>
      </c>
    </row>
    <row r="27" spans="2:16">
      <c r="B27" s="29">
        <v>46054</v>
      </c>
      <c r="C27" s="28" t="s">
        <v>100</v>
      </c>
      <c r="D27" s="31">
        <v>25900</v>
      </c>
      <c r="E27" s="31">
        <v>26080</v>
      </c>
      <c r="F27" s="37" t="str">
        <f>IF(tblResults[[#This Row],[Month]]="","",IFERROR(INDEX(tblCostLines[Group],MATCH(tblResults[[#This Row],[Cost line]],tblCostLines[Cost line],0)),""))</f>
        <v>Overheads</v>
      </c>
      <c r="G27" s="38">
        <f>IF(tblResults[[#This Row],[Month]]="","",IFERROR(INDEX(tblCostLines[Variable share],MATCH(tblResults[[#This Row],[Cost line]],tblCostLines[Cost line],0)),""))</f>
        <v>0.75</v>
      </c>
      <c r="H27" s="39">
        <f>IF(tblResults[[#This Row],[Month]]="","",IFERROR(INDEX(tblVolume[Volume ratio],MATCH(DATE(YEAR(tblResults[[#This Row],[Month]]),MONTH(tblResults[[#This Row],[Month]]),1),tblVolume[Month],0)),""))</f>
        <v>1.01478873239437</v>
      </c>
      <c r="I27" s="40">
        <f>IF(tblResults[[#This Row],[Month]]="","",IF(OR(tblResults[[#This Row],[Volume ratio]]="",tblResults[[#This Row],[Variable share]]=""),"",tblResults[[#This Row],[Budget]]*(1-tblResults[[#This Row],[Variable share]]+tblResults[[#This Row],[Variable share]]*tblResults[[#This Row],[Volume ratio]])))</f>
        <v>26187.2711267606</v>
      </c>
      <c r="J27" s="41">
        <f>IF(tblResults[[#This Row],[Month]]="","",IF(OR(tblResults[[#This Row],[Flexed budget]]="",tblResults[[#This Row],[Actual]]=""),"",tblResults[[#This Row],[Actual]]-tblResults[[#This Row],[Flexed budget]]))</f>
        <v>-107.271126760563</v>
      </c>
      <c r="K27" s="42">
        <f>IF(tblResults[[#This Row],[Month]]="","",IF(OR(tblResults[[#This Row],[Spending variance]]="",tblResults[[#This Row],[Flexed budget]]=0),"",tblResults[[#This Row],[Spending variance]]/tblResults[[#This Row],[Flexed budget]]))</f>
        <v>-0.0040963079444709</v>
      </c>
      <c r="L27" s="41">
        <f>IF(tblResults[[#This Row],[Month]]="","",IF(tblResults[[#This Row],[Flexed budget]]="","",tblResults[[#This Row],[Flexed budget]]-tblResults[[#This Row],[Budget]]))</f>
        <v>287.271126760563</v>
      </c>
      <c r="M27" s="41">
        <f>IF(tblResults[[#This Row],[Month]]="","",IF(tblResults[[#This Row],[Actual]]="","",tblResults[[#This Row],[Actual]]-tblResults[[#This Row],[Budget]]))</f>
        <v>180</v>
      </c>
      <c r="N27" s="43" t="str">
        <f>IF(tblResults[[#This Row],[Spending variance]]="","",IF(AND(ABS(tblResults[[#This Row],[Spending variance]])&gt;VarAmount,ABS(tblResults[[#This Row],[Spending variance %]])&gt;VarPct),IF(tblResults[[#This Row],[Spending variance]]&gt;0,"Out of limits","Check"),"Within limits"))</f>
        <v>Within limits</v>
      </c>
      <c r="O2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27" s="45" t="s">
        <v>122</v>
      </c>
    </row>
    <row r="28" spans="2:16">
      <c r="B28" s="29">
        <v>46054</v>
      </c>
      <c r="C28" s="28" t="s">
        <v>102</v>
      </c>
      <c r="D28" s="31">
        <v>14800</v>
      </c>
      <c r="E28" s="31">
        <v>14890</v>
      </c>
      <c r="F28" s="37" t="str">
        <f>IF(tblResults[[#This Row],[Month]]="","",IFERROR(INDEX(tblCostLines[Group],MATCH(tblResults[[#This Row],[Cost line]],tblCostLines[Cost line],0)),""))</f>
        <v>Overheads</v>
      </c>
      <c r="G28" s="38">
        <f>IF(tblResults[[#This Row],[Month]]="","",IFERROR(INDEX(tblCostLines[Variable share],MATCH(tblResults[[#This Row],[Cost line]],tblCostLines[Cost line],0)),""))</f>
        <v>0.85</v>
      </c>
      <c r="H28" s="39">
        <f>IF(tblResults[[#This Row],[Month]]="","",IFERROR(INDEX(tblVolume[Volume ratio],MATCH(DATE(YEAR(tblResults[[#This Row],[Month]]),MONTH(tblResults[[#This Row],[Month]]),1),tblVolume[Month],0)),""))</f>
        <v>1.01478873239437</v>
      </c>
      <c r="I28" s="40">
        <f>IF(tblResults[[#This Row],[Month]]="","",IF(OR(tblResults[[#This Row],[Volume ratio]]="",tblResults[[#This Row],[Variable share]]=""),"",tblResults[[#This Row],[Budget]]*(1-tblResults[[#This Row],[Variable share]]+tblResults[[#This Row],[Variable share]]*tblResults[[#This Row],[Volume ratio]])))</f>
        <v>14986.0422535211</v>
      </c>
      <c r="J28" s="41">
        <f>IF(tblResults[[#This Row],[Month]]="","",IF(OR(tblResults[[#This Row],[Flexed budget]]="",tblResults[[#This Row],[Actual]]=""),"",tblResults[[#This Row],[Actual]]-tblResults[[#This Row],[Flexed budget]]))</f>
        <v>-96.0422535211292</v>
      </c>
      <c r="K28" s="42">
        <f>IF(tblResults[[#This Row],[Month]]="","",IF(OR(tblResults[[#This Row],[Spending variance]]="",tblResults[[#This Row],[Flexed budget]]=0),"",tblResults[[#This Row],[Spending variance]]/tblResults[[#This Row],[Flexed budget]]))</f>
        <v>-0.00640878037685787</v>
      </c>
      <c r="L28" s="41">
        <f>IF(tblResults[[#This Row],[Month]]="","",IF(tblResults[[#This Row],[Flexed budget]]="","",tblResults[[#This Row],[Flexed budget]]-tblResults[[#This Row],[Budget]]))</f>
        <v>186.042253521129</v>
      </c>
      <c r="M28" s="41">
        <f>IF(tblResults[[#This Row],[Month]]="","",IF(tblResults[[#This Row],[Actual]]="","",tblResults[[#This Row],[Actual]]-tblResults[[#This Row],[Budget]]))</f>
        <v>90</v>
      </c>
      <c r="N28" s="43" t="str">
        <f>IF(tblResults[[#This Row],[Spending variance]]="","",IF(AND(ABS(tblResults[[#This Row],[Spending variance]])&gt;VarAmount,ABS(tblResults[[#This Row],[Spending variance %]])&gt;VarPct),IF(tblResults[[#This Row],[Spending variance]]&gt;0,"Out of limits","Check"),"Within limits"))</f>
        <v>Within limits</v>
      </c>
      <c r="O2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28" s="45" t="s">
        <v>122</v>
      </c>
    </row>
    <row r="29" spans="2:16">
      <c r="B29" s="29">
        <v>46054</v>
      </c>
      <c r="C29" s="28" t="s">
        <v>104</v>
      </c>
      <c r="D29" s="31">
        <v>41000</v>
      </c>
      <c r="E29" s="31">
        <v>41420</v>
      </c>
      <c r="F29" s="37" t="str">
        <f>IF(tblResults[[#This Row],[Month]]="","",IFERROR(INDEX(tblCostLines[Group],MATCH(tblResults[[#This Row],[Cost line]],tblCostLines[Cost line],0)),""))</f>
        <v>Overheads</v>
      </c>
      <c r="G29" s="38">
        <f>IF(tblResults[[#This Row],[Month]]="","",IFERROR(INDEX(tblCostLines[Variable share],MATCH(tblResults[[#This Row],[Cost line]],tblCostLines[Cost line],0)),""))</f>
        <v>0</v>
      </c>
      <c r="H29" s="39">
        <f>IF(tblResults[[#This Row],[Month]]="","",IFERROR(INDEX(tblVolume[Volume ratio],MATCH(DATE(YEAR(tblResults[[#This Row],[Month]]),MONTH(tblResults[[#This Row],[Month]]),1),tblVolume[Month],0)),""))</f>
        <v>1.01478873239437</v>
      </c>
      <c r="I29" s="40">
        <f>IF(tblResults[[#This Row],[Month]]="","",IF(OR(tblResults[[#This Row],[Volume ratio]]="",tblResults[[#This Row],[Variable share]]=""),"",tblResults[[#This Row],[Budget]]*(1-tblResults[[#This Row],[Variable share]]+tblResults[[#This Row],[Variable share]]*tblResults[[#This Row],[Volume ratio]])))</f>
        <v>41000</v>
      </c>
      <c r="J29" s="41">
        <f>IF(tblResults[[#This Row],[Month]]="","",IF(OR(tblResults[[#This Row],[Flexed budget]]="",tblResults[[#This Row],[Actual]]=""),"",tblResults[[#This Row],[Actual]]-tblResults[[#This Row],[Flexed budget]]))</f>
        <v>420</v>
      </c>
      <c r="K29" s="42">
        <f>IF(tblResults[[#This Row],[Month]]="","",IF(OR(tblResults[[#This Row],[Spending variance]]="",tblResults[[#This Row],[Flexed budget]]=0),"",tblResults[[#This Row],[Spending variance]]/tblResults[[#This Row],[Flexed budget]]))</f>
        <v>0.0102439024390244</v>
      </c>
      <c r="L29" s="41">
        <f>IF(tblResults[[#This Row],[Month]]="","",IF(tblResults[[#This Row],[Flexed budget]]="","",tblResults[[#This Row],[Flexed budget]]-tblResults[[#This Row],[Budget]]))</f>
        <v>0</v>
      </c>
      <c r="M29" s="41">
        <f>IF(tblResults[[#This Row],[Month]]="","",IF(tblResults[[#This Row],[Actual]]="","",tblResults[[#This Row],[Actual]]-tblResults[[#This Row],[Budget]]))</f>
        <v>420</v>
      </c>
      <c r="N29" s="43" t="str">
        <f>IF(tblResults[[#This Row],[Spending variance]]="","",IF(AND(ABS(tblResults[[#This Row],[Spending variance]])&gt;VarAmount,ABS(tblResults[[#This Row],[Spending variance %]])&gt;VarPct),IF(tblResults[[#This Row],[Spending variance]]&gt;0,"Out of limits","Check"),"Within limits"))</f>
        <v>Within limits</v>
      </c>
      <c r="O2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29" s="45" t="s">
        <v>122</v>
      </c>
    </row>
    <row r="30" spans="2:16">
      <c r="B30" s="29">
        <v>46054</v>
      </c>
      <c r="C30" s="28" t="s">
        <v>106</v>
      </c>
      <c r="D30" s="31">
        <v>18500</v>
      </c>
      <c r="E30" s="31">
        <v>18660</v>
      </c>
      <c r="F30" s="37" t="str">
        <f>IF(tblResults[[#This Row],[Month]]="","",IFERROR(INDEX(tblCostLines[Group],MATCH(tblResults[[#This Row],[Cost line]],tblCostLines[Cost line],0)),""))</f>
        <v>Overheads</v>
      </c>
      <c r="G30" s="38">
        <f>IF(tblResults[[#This Row],[Month]]="","",IFERROR(INDEX(tblCostLines[Variable share],MATCH(tblResults[[#This Row],[Cost line]],tblCostLines[Cost line],0)),""))</f>
        <v>0</v>
      </c>
      <c r="H30" s="39">
        <f>IF(tblResults[[#This Row],[Month]]="","",IFERROR(INDEX(tblVolume[Volume ratio],MATCH(DATE(YEAR(tblResults[[#This Row],[Month]]),MONTH(tblResults[[#This Row],[Month]]),1),tblVolume[Month],0)),""))</f>
        <v>1.01478873239437</v>
      </c>
      <c r="I30" s="40">
        <f>IF(tblResults[[#This Row],[Month]]="","",IF(OR(tblResults[[#This Row],[Volume ratio]]="",tblResults[[#This Row],[Variable share]]=""),"",tblResults[[#This Row],[Budget]]*(1-tblResults[[#This Row],[Variable share]]+tblResults[[#This Row],[Variable share]]*tblResults[[#This Row],[Volume ratio]])))</f>
        <v>18500</v>
      </c>
      <c r="J30" s="41">
        <f>IF(tblResults[[#This Row],[Month]]="","",IF(OR(tblResults[[#This Row],[Flexed budget]]="",tblResults[[#This Row],[Actual]]=""),"",tblResults[[#This Row],[Actual]]-tblResults[[#This Row],[Flexed budget]]))</f>
        <v>160</v>
      </c>
      <c r="K30" s="42">
        <f>IF(tblResults[[#This Row],[Month]]="","",IF(OR(tblResults[[#This Row],[Spending variance]]="",tblResults[[#This Row],[Flexed budget]]=0),"",tblResults[[#This Row],[Spending variance]]/tblResults[[#This Row],[Flexed budget]]))</f>
        <v>0.00864864864864865</v>
      </c>
      <c r="L30" s="41">
        <f>IF(tblResults[[#This Row],[Month]]="","",IF(tblResults[[#This Row],[Flexed budget]]="","",tblResults[[#This Row],[Flexed budget]]-tblResults[[#This Row],[Budget]]))</f>
        <v>0</v>
      </c>
      <c r="M30" s="41">
        <f>IF(tblResults[[#This Row],[Month]]="","",IF(tblResults[[#This Row],[Actual]]="","",tblResults[[#This Row],[Actual]]-tblResults[[#This Row],[Budget]]))</f>
        <v>160</v>
      </c>
      <c r="N30" s="43" t="str">
        <f>IF(tblResults[[#This Row],[Spending variance]]="","",IF(AND(ABS(tblResults[[#This Row],[Spending variance]])&gt;VarAmount,ABS(tblResults[[#This Row],[Spending variance %]])&gt;VarPct),IF(tblResults[[#This Row],[Spending variance]]&gt;0,"Out of limits","Check"),"Within limits"))</f>
        <v>Within limits</v>
      </c>
      <c r="O3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30" s="45" t="s">
        <v>122</v>
      </c>
    </row>
    <row r="31" spans="2:16">
      <c r="B31" s="29">
        <v>46082</v>
      </c>
      <c r="C31" s="28" t="s">
        <v>80</v>
      </c>
      <c r="D31" s="31">
        <v>471200</v>
      </c>
      <c r="E31" s="31">
        <v>467300</v>
      </c>
      <c r="F31" s="37" t="str">
        <f>IF(tblResults[[#This Row],[Month]]="","",IFERROR(INDEX(tblCostLines[Group],MATCH(tblResults[[#This Row],[Cost line]],tblCostLines[Cost line],0)),""))</f>
        <v>Materials</v>
      </c>
      <c r="G31" s="38">
        <f>IF(tblResults[[#This Row],[Month]]="","",IFERROR(INDEX(tblCostLines[Variable share],MATCH(tblResults[[#This Row],[Cost line]],tblCostLines[Cost line],0)),""))</f>
        <v>1</v>
      </c>
      <c r="H31" s="39">
        <f>IF(tblResults[[#This Row],[Month]]="","",IFERROR(INDEX(tblVolume[Volume ratio],MATCH(DATE(YEAR(tblResults[[#This Row],[Month]]),MONTH(tblResults[[#This Row],[Month]]),1),tblVolume[Month],0)),""))</f>
        <v>0.978947368421053</v>
      </c>
      <c r="I31" s="40">
        <f>IF(tblResults[[#This Row],[Month]]="","",IF(OR(tblResults[[#This Row],[Volume ratio]]="",tblResults[[#This Row],[Variable share]]=""),"",tblResults[[#This Row],[Budget]]*(1-tblResults[[#This Row],[Variable share]]+tblResults[[#This Row],[Variable share]]*tblResults[[#This Row],[Volume ratio]])))</f>
        <v>461280</v>
      </c>
      <c r="J31" s="41">
        <f>IF(tblResults[[#This Row],[Month]]="","",IF(OR(tblResults[[#This Row],[Flexed budget]]="",tblResults[[#This Row],[Actual]]=""),"",tblResults[[#This Row],[Actual]]-tblResults[[#This Row],[Flexed budget]]))</f>
        <v>6020</v>
      </c>
      <c r="K31" s="42">
        <f>IF(tblResults[[#This Row],[Month]]="","",IF(OR(tblResults[[#This Row],[Spending variance]]="",tblResults[[#This Row],[Flexed budget]]=0),"",tblResults[[#This Row],[Spending variance]]/tblResults[[#This Row],[Flexed budget]]))</f>
        <v>0.0130506416926812</v>
      </c>
      <c r="L31" s="41">
        <f>IF(tblResults[[#This Row],[Month]]="","",IF(tblResults[[#This Row],[Flexed budget]]="","",tblResults[[#This Row],[Flexed budget]]-tblResults[[#This Row],[Budget]]))</f>
        <v>-9920</v>
      </c>
      <c r="M31" s="41">
        <f>IF(tblResults[[#This Row],[Month]]="","",IF(tblResults[[#This Row],[Actual]]="","",tblResults[[#This Row],[Actual]]-tblResults[[#This Row],[Budget]]))</f>
        <v>-3900</v>
      </c>
      <c r="N31" s="43" t="str">
        <f>IF(tblResults[[#This Row],[Spending variance]]="","",IF(AND(ABS(tblResults[[#This Row],[Spending variance]])&gt;VarAmount,ABS(tblResults[[#This Row],[Spending variance %]])&gt;VarPct),IF(tblResults[[#This Row],[Spending variance]]&gt;0,"Out of limits","Check"),"Within limits"))</f>
        <v>Within limits</v>
      </c>
      <c r="O3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31" s="45" t="s">
        <v>122</v>
      </c>
    </row>
    <row r="32" spans="2:16">
      <c r="B32" s="29">
        <v>46082</v>
      </c>
      <c r="C32" s="28" t="s">
        <v>83</v>
      </c>
      <c r="D32" s="31">
        <v>63800</v>
      </c>
      <c r="E32" s="31">
        <v>63240</v>
      </c>
      <c r="F32" s="37" t="str">
        <f>IF(tblResults[[#This Row],[Month]]="","",IFERROR(INDEX(tblCostLines[Group],MATCH(tblResults[[#This Row],[Cost line]],tblCostLines[Cost line],0)),""))</f>
        <v>Materials</v>
      </c>
      <c r="G32" s="38">
        <f>IF(tblResults[[#This Row],[Month]]="","",IFERROR(INDEX(tblCostLines[Variable share],MATCH(tblResults[[#This Row],[Cost line]],tblCostLines[Cost line],0)),""))</f>
        <v>1</v>
      </c>
      <c r="H32" s="39">
        <f>IF(tblResults[[#This Row],[Month]]="","",IFERROR(INDEX(tblVolume[Volume ratio],MATCH(DATE(YEAR(tblResults[[#This Row],[Month]]),MONTH(tblResults[[#This Row],[Month]]),1),tblVolume[Month],0)),""))</f>
        <v>0.978947368421053</v>
      </c>
      <c r="I32" s="40">
        <f>IF(tblResults[[#This Row],[Month]]="","",IF(OR(tblResults[[#This Row],[Volume ratio]]="",tblResults[[#This Row],[Variable share]]=""),"",tblResults[[#This Row],[Budget]]*(1-tblResults[[#This Row],[Variable share]]+tblResults[[#This Row],[Variable share]]*tblResults[[#This Row],[Volume ratio]])))</f>
        <v>62456.8421052632</v>
      </c>
      <c r="J32" s="41">
        <f>IF(tblResults[[#This Row],[Month]]="","",IF(OR(tblResults[[#This Row],[Flexed budget]]="",tblResults[[#This Row],[Actual]]=""),"",tblResults[[#This Row],[Actual]]-tblResults[[#This Row],[Flexed budget]]))</f>
        <v>783.15789473684</v>
      </c>
      <c r="K32" s="42">
        <f>IF(tblResults[[#This Row],[Month]]="","",IF(OR(tblResults[[#This Row],[Spending variance]]="",tblResults[[#This Row],[Flexed budget]]=0),"",tblResults[[#This Row],[Spending variance]]/tblResults[[#This Row],[Flexed budget]]))</f>
        <v>0.012539184952978</v>
      </c>
      <c r="L32" s="41">
        <f>IF(tblResults[[#This Row],[Month]]="","",IF(tblResults[[#This Row],[Flexed budget]]="","",tblResults[[#This Row],[Flexed budget]]-tblResults[[#This Row],[Budget]]))</f>
        <v>-1343.15789473684</v>
      </c>
      <c r="M32" s="41">
        <f>IF(tblResults[[#This Row],[Month]]="","",IF(tblResults[[#This Row],[Actual]]="","",tblResults[[#This Row],[Actual]]-tblResults[[#This Row],[Budget]]))</f>
        <v>-560</v>
      </c>
      <c r="N32" s="43" t="str">
        <f>IF(tblResults[[#This Row],[Spending variance]]="","",IF(AND(ABS(tblResults[[#This Row],[Spending variance]])&gt;VarAmount,ABS(tblResults[[#This Row],[Spending variance %]])&gt;VarPct),IF(tblResults[[#This Row],[Spending variance]]&gt;0,"Out of limits","Check"),"Within limits"))</f>
        <v>Within limits</v>
      </c>
      <c r="O3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32" s="45" t="s">
        <v>122</v>
      </c>
    </row>
    <row r="33" spans="2:16">
      <c r="B33" s="29">
        <v>46082</v>
      </c>
      <c r="C33" s="28" t="s">
        <v>85</v>
      </c>
      <c r="D33" s="31">
        <v>85500</v>
      </c>
      <c r="E33" s="31">
        <v>83230</v>
      </c>
      <c r="F33" s="37" t="str">
        <f>IF(tblResults[[#This Row],[Month]]="","",IFERROR(INDEX(tblCostLines[Group],MATCH(tblResults[[#This Row],[Cost line]],tblCostLines[Cost line],0)),""))</f>
        <v>Materials</v>
      </c>
      <c r="G33" s="38">
        <f>IF(tblResults[[#This Row],[Month]]="","",IFERROR(INDEX(tblCostLines[Variable share],MATCH(tblResults[[#This Row],[Cost line]],tblCostLines[Cost line],0)),""))</f>
        <v>0.9</v>
      </c>
      <c r="H33" s="39">
        <f>IF(tblResults[[#This Row],[Month]]="","",IFERROR(INDEX(tblVolume[Volume ratio],MATCH(DATE(YEAR(tblResults[[#This Row],[Month]]),MONTH(tblResults[[#This Row],[Month]]),1),tblVolume[Month],0)),""))</f>
        <v>0.978947368421053</v>
      </c>
      <c r="I33" s="40">
        <f>IF(tblResults[[#This Row],[Month]]="","",IF(OR(tblResults[[#This Row],[Volume ratio]]="",tblResults[[#This Row],[Variable share]]=""),"",tblResults[[#This Row],[Budget]]*(1-tblResults[[#This Row],[Variable share]]+tblResults[[#This Row],[Variable share]]*tblResults[[#This Row],[Volume ratio]])))</f>
        <v>83880</v>
      </c>
      <c r="J33" s="41">
        <f>IF(tblResults[[#This Row],[Month]]="","",IF(OR(tblResults[[#This Row],[Flexed budget]]="",tblResults[[#This Row],[Actual]]=""),"",tblResults[[#This Row],[Actual]]-tblResults[[#This Row],[Flexed budget]]))</f>
        <v>-650</v>
      </c>
      <c r="K33" s="42">
        <f>IF(tblResults[[#This Row],[Month]]="","",IF(OR(tblResults[[#This Row],[Spending variance]]="",tblResults[[#This Row],[Flexed budget]]=0),"",tblResults[[#This Row],[Spending variance]]/tblResults[[#This Row],[Flexed budget]]))</f>
        <v>-0.00774916547448736</v>
      </c>
      <c r="L33" s="41">
        <f>IF(tblResults[[#This Row],[Month]]="","",IF(tblResults[[#This Row],[Flexed budget]]="","",tblResults[[#This Row],[Flexed budget]]-tblResults[[#This Row],[Budget]]))</f>
        <v>-1620</v>
      </c>
      <c r="M33" s="41">
        <f>IF(tblResults[[#This Row],[Month]]="","",IF(tblResults[[#This Row],[Actual]]="","",tblResults[[#This Row],[Actual]]-tblResults[[#This Row],[Budget]]))</f>
        <v>-2270</v>
      </c>
      <c r="N33" s="43" t="str">
        <f>IF(tblResults[[#This Row],[Spending variance]]="","",IF(AND(ABS(tblResults[[#This Row],[Spending variance]])&gt;VarAmount,ABS(tblResults[[#This Row],[Spending variance %]])&gt;VarPct),IF(tblResults[[#This Row],[Spending variance]]&gt;0,"Out of limits","Check"),"Within limits"))</f>
        <v>Within limits</v>
      </c>
      <c r="O3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33" s="45" t="s">
        <v>122</v>
      </c>
    </row>
    <row r="34" spans="2:16">
      <c r="B34" s="29">
        <v>46082</v>
      </c>
      <c r="C34" s="28" t="s">
        <v>87</v>
      </c>
      <c r="D34" s="31">
        <v>141600</v>
      </c>
      <c r="E34" s="31">
        <v>136980</v>
      </c>
      <c r="F34" s="37" t="str">
        <f>IF(tblResults[[#This Row],[Month]]="","",IFERROR(INDEX(tblCostLines[Group],MATCH(tblResults[[#This Row],[Cost line]],tblCostLines[Cost line],0)),""))</f>
        <v>Energy</v>
      </c>
      <c r="G34" s="38">
        <f>IF(tblResults[[#This Row],[Month]]="","",IFERROR(INDEX(tblCostLines[Variable share],MATCH(tblResults[[#This Row],[Cost line]],tblCostLines[Cost line],0)),""))</f>
        <v>0.85</v>
      </c>
      <c r="H34" s="39">
        <f>IF(tblResults[[#This Row],[Month]]="","",IFERROR(INDEX(tblVolume[Volume ratio],MATCH(DATE(YEAR(tblResults[[#This Row],[Month]]),MONTH(tblResults[[#This Row],[Month]]),1),tblVolume[Month],0)),""))</f>
        <v>0.978947368421053</v>
      </c>
      <c r="I34" s="40">
        <f>IF(tblResults[[#This Row],[Month]]="","",IF(OR(tblResults[[#This Row],[Volume ratio]]="",tblResults[[#This Row],[Variable share]]=""),"",tblResults[[#This Row],[Budget]]*(1-tblResults[[#This Row],[Variable share]]+tblResults[[#This Row],[Variable share]]*tblResults[[#This Row],[Volume ratio]])))</f>
        <v>139066.105263158</v>
      </c>
      <c r="J34" s="41">
        <f>IF(tblResults[[#This Row],[Month]]="","",IF(OR(tblResults[[#This Row],[Flexed budget]]="",tblResults[[#This Row],[Actual]]=""),"",tblResults[[#This Row],[Actual]]-tblResults[[#This Row],[Flexed budget]]))</f>
        <v>-2086.10526315789</v>
      </c>
      <c r="K34" s="42">
        <f>IF(tblResults[[#This Row],[Month]]="","",IF(OR(tblResults[[#This Row],[Spending variance]]="",tblResults[[#This Row],[Flexed budget]]=0),"",tblResults[[#This Row],[Spending variance]]/tblResults[[#This Row],[Flexed budget]]))</f>
        <v>-0.0150008174832416</v>
      </c>
      <c r="L34" s="41">
        <f>IF(tblResults[[#This Row],[Month]]="","",IF(tblResults[[#This Row],[Flexed budget]]="","",tblResults[[#This Row],[Flexed budget]]-tblResults[[#This Row],[Budget]]))</f>
        <v>-2533.89473684211</v>
      </c>
      <c r="M34" s="41">
        <f>IF(tblResults[[#This Row],[Month]]="","",IF(tblResults[[#This Row],[Actual]]="","",tblResults[[#This Row],[Actual]]-tblResults[[#This Row],[Budget]]))</f>
        <v>-4620</v>
      </c>
      <c r="N34" s="43" t="str">
        <f>IF(tblResults[[#This Row],[Spending variance]]="","",IF(AND(ABS(tblResults[[#This Row],[Spending variance]])&gt;VarAmount,ABS(tblResults[[#This Row],[Spending variance %]])&gt;VarPct),IF(tblResults[[#This Row],[Spending variance]]&gt;0,"Out of limits","Check"),"Within limits"))</f>
        <v>Within limits</v>
      </c>
      <c r="O3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34" s="45" t="s">
        <v>122</v>
      </c>
    </row>
    <row r="35" spans="2:16">
      <c r="B35" s="29">
        <v>46082</v>
      </c>
      <c r="C35" s="28" t="s">
        <v>90</v>
      </c>
      <c r="D35" s="31">
        <v>18100</v>
      </c>
      <c r="E35" s="31">
        <v>17810</v>
      </c>
      <c r="F35" s="37" t="str">
        <f>IF(tblResults[[#This Row],[Month]]="","",IFERROR(INDEX(tblCostLines[Group],MATCH(tblResults[[#This Row],[Cost line]],tblCostLines[Cost line],0)),""))</f>
        <v>Energy</v>
      </c>
      <c r="G35" s="38">
        <f>IF(tblResults[[#This Row],[Month]]="","",IFERROR(INDEX(tblCostLines[Variable share],MATCH(tblResults[[#This Row],[Cost line]],tblCostLines[Cost line],0)),""))</f>
        <v>0.5</v>
      </c>
      <c r="H35" s="39">
        <f>IF(tblResults[[#This Row],[Month]]="","",IFERROR(INDEX(tblVolume[Volume ratio],MATCH(DATE(YEAR(tblResults[[#This Row],[Month]]),MONTH(tblResults[[#This Row],[Month]]),1),tblVolume[Month],0)),""))</f>
        <v>0.978947368421053</v>
      </c>
      <c r="I35" s="40">
        <f>IF(tblResults[[#This Row],[Month]]="","",IF(OR(tblResults[[#This Row],[Volume ratio]]="",tblResults[[#This Row],[Variable share]]=""),"",tblResults[[#This Row],[Budget]]*(1-tblResults[[#This Row],[Variable share]]+tblResults[[#This Row],[Variable share]]*tblResults[[#This Row],[Volume ratio]])))</f>
        <v>17909.4736842105</v>
      </c>
      <c r="J35" s="41">
        <f>IF(tblResults[[#This Row],[Month]]="","",IF(OR(tblResults[[#This Row],[Flexed budget]]="",tblResults[[#This Row],[Actual]]=""),"",tblResults[[#This Row],[Actual]]-tblResults[[#This Row],[Flexed budget]]))</f>
        <v>-99.4736842105267</v>
      </c>
      <c r="K35" s="42">
        <f>IF(tblResults[[#This Row],[Month]]="","",IF(OR(tblResults[[#This Row],[Spending variance]]="",tblResults[[#This Row],[Flexed budget]]=0),"",tblResults[[#This Row],[Spending variance]]/tblResults[[#This Row],[Flexed budget]]))</f>
        <v>-0.00555424944163632</v>
      </c>
      <c r="L35" s="41">
        <f>IF(tblResults[[#This Row],[Month]]="","",IF(tblResults[[#This Row],[Flexed budget]]="","",tblResults[[#This Row],[Flexed budget]]-tblResults[[#This Row],[Budget]]))</f>
        <v>-190.526315789473</v>
      </c>
      <c r="M35" s="41">
        <f>IF(tblResults[[#This Row],[Month]]="","",IF(tblResults[[#This Row],[Actual]]="","",tblResults[[#This Row],[Actual]]-tblResults[[#This Row],[Budget]]))</f>
        <v>-290</v>
      </c>
      <c r="N35" s="43" t="str">
        <f>IF(tblResults[[#This Row],[Spending variance]]="","",IF(AND(ABS(tblResults[[#This Row],[Spending variance]])&gt;VarAmount,ABS(tblResults[[#This Row],[Spending variance %]])&gt;VarPct),IF(tblResults[[#This Row],[Spending variance]]&gt;0,"Out of limits","Check"),"Within limits"))</f>
        <v>Within limits</v>
      </c>
      <c r="O3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35" s="45" t="s">
        <v>122</v>
      </c>
    </row>
    <row r="36" spans="2:16">
      <c r="B36" s="29">
        <v>46082</v>
      </c>
      <c r="C36" s="28" t="s">
        <v>92</v>
      </c>
      <c r="D36" s="31">
        <v>130400</v>
      </c>
      <c r="E36" s="31">
        <v>130810</v>
      </c>
      <c r="F36" s="37" t="str">
        <f>IF(tblResults[[#This Row],[Month]]="","",IFERROR(INDEX(tblCostLines[Group],MATCH(tblResults[[#This Row],[Cost line]],tblCostLines[Cost line],0)),""))</f>
        <v>Labour</v>
      </c>
      <c r="G36" s="38">
        <f>IF(tblResults[[#This Row],[Month]]="","",IFERROR(INDEX(tblCostLines[Variable share],MATCH(tblResults[[#This Row],[Cost line]],tblCostLines[Cost line],0)),""))</f>
        <v>0.5</v>
      </c>
      <c r="H36" s="39">
        <f>IF(tblResults[[#This Row],[Month]]="","",IFERROR(INDEX(tblVolume[Volume ratio],MATCH(DATE(YEAR(tblResults[[#This Row],[Month]]),MONTH(tblResults[[#This Row],[Month]]),1),tblVolume[Month],0)),""))</f>
        <v>0.978947368421053</v>
      </c>
      <c r="I36" s="40">
        <f>IF(tblResults[[#This Row],[Month]]="","",IF(OR(tblResults[[#This Row],[Volume ratio]]="",tblResults[[#This Row],[Variable share]]=""),"",tblResults[[#This Row],[Budget]]*(1-tblResults[[#This Row],[Variable share]]+tblResults[[#This Row],[Variable share]]*tblResults[[#This Row],[Volume ratio]])))</f>
        <v>129027.368421053</v>
      </c>
      <c r="J36" s="41">
        <f>IF(tblResults[[#This Row],[Month]]="","",IF(OR(tblResults[[#This Row],[Flexed budget]]="",tblResults[[#This Row],[Actual]]=""),"",tblResults[[#This Row],[Actual]]-tblResults[[#This Row],[Flexed budget]]))</f>
        <v>1782.63157894737</v>
      </c>
      <c r="K36" s="42">
        <f>IF(tblResults[[#This Row],[Month]]="","",IF(OR(tblResults[[#This Row],[Spending variance]]="",tblResults[[#This Row],[Flexed budget]]=0),"",tblResults[[#This Row],[Spending variance]]/tblResults[[#This Row],[Flexed budget]]))</f>
        <v>0.0138159182874299</v>
      </c>
      <c r="L36" s="41">
        <f>IF(tblResults[[#This Row],[Month]]="","",IF(tblResults[[#This Row],[Flexed budget]]="","",tblResults[[#This Row],[Flexed budget]]-tblResults[[#This Row],[Budget]]))</f>
        <v>-1372.63157894737</v>
      </c>
      <c r="M36" s="41">
        <f>IF(tblResults[[#This Row],[Month]]="","",IF(tblResults[[#This Row],[Actual]]="","",tblResults[[#This Row],[Actual]]-tblResults[[#This Row],[Budget]]))</f>
        <v>410</v>
      </c>
      <c r="N36" s="43" t="str">
        <f>IF(tblResults[[#This Row],[Spending variance]]="","",IF(AND(ABS(tblResults[[#This Row],[Spending variance]])&gt;VarAmount,ABS(tblResults[[#This Row],[Spending variance %]])&gt;VarPct),IF(tblResults[[#This Row],[Spending variance]]&gt;0,"Out of limits","Check"),"Within limits"))</f>
        <v>Within limits</v>
      </c>
      <c r="O3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36" s="45" t="s">
        <v>122</v>
      </c>
    </row>
    <row r="37" spans="2:16">
      <c r="B37" s="29">
        <v>46082</v>
      </c>
      <c r="C37" s="28" t="s">
        <v>95</v>
      </c>
      <c r="D37" s="31">
        <v>48000</v>
      </c>
      <c r="E37" s="31">
        <v>48020</v>
      </c>
      <c r="F37" s="37" t="str">
        <f>IF(tblResults[[#This Row],[Month]]="","",IFERROR(INDEX(tblCostLines[Group],MATCH(tblResults[[#This Row],[Cost line]],tblCostLines[Cost line],0)),""))</f>
        <v>Labour</v>
      </c>
      <c r="G37" s="38">
        <f>IF(tblResults[[#This Row],[Month]]="","",IFERROR(INDEX(tblCostLines[Variable share],MATCH(tblResults[[#This Row],[Cost line]],tblCostLines[Cost line],0)),""))</f>
        <v>0</v>
      </c>
      <c r="H37" s="39">
        <f>IF(tblResults[[#This Row],[Month]]="","",IFERROR(INDEX(tblVolume[Volume ratio],MATCH(DATE(YEAR(tblResults[[#This Row],[Month]]),MONTH(tblResults[[#This Row],[Month]]),1),tblVolume[Month],0)),""))</f>
        <v>0.978947368421053</v>
      </c>
      <c r="I37" s="40">
        <f>IF(tblResults[[#This Row],[Month]]="","",IF(OR(tblResults[[#This Row],[Volume ratio]]="",tblResults[[#This Row],[Variable share]]=""),"",tblResults[[#This Row],[Budget]]*(1-tblResults[[#This Row],[Variable share]]+tblResults[[#This Row],[Variable share]]*tblResults[[#This Row],[Volume ratio]])))</f>
        <v>48000</v>
      </c>
      <c r="J37" s="41">
        <f>IF(tblResults[[#This Row],[Month]]="","",IF(OR(tblResults[[#This Row],[Flexed budget]]="",tblResults[[#This Row],[Actual]]=""),"",tblResults[[#This Row],[Actual]]-tblResults[[#This Row],[Flexed budget]]))</f>
        <v>20</v>
      </c>
      <c r="K37" s="42">
        <f>IF(tblResults[[#This Row],[Month]]="","",IF(OR(tblResults[[#This Row],[Spending variance]]="",tblResults[[#This Row],[Flexed budget]]=0),"",tblResults[[#This Row],[Spending variance]]/tblResults[[#This Row],[Flexed budget]]))</f>
        <v>0.000416666666666667</v>
      </c>
      <c r="L37" s="41">
        <f>IF(tblResults[[#This Row],[Month]]="","",IF(tblResults[[#This Row],[Flexed budget]]="","",tblResults[[#This Row],[Flexed budget]]-tblResults[[#This Row],[Budget]]))</f>
        <v>0</v>
      </c>
      <c r="M37" s="41">
        <f>IF(tblResults[[#This Row],[Month]]="","",IF(tblResults[[#This Row],[Actual]]="","",tblResults[[#This Row],[Actual]]-tblResults[[#This Row],[Budget]]))</f>
        <v>20</v>
      </c>
      <c r="N37" s="43" t="str">
        <f>IF(tblResults[[#This Row],[Spending variance]]="","",IF(AND(ABS(tblResults[[#This Row],[Spending variance]])&gt;VarAmount,ABS(tblResults[[#This Row],[Spending variance %]])&gt;VarPct),IF(tblResults[[#This Row],[Spending variance]]&gt;0,"Out of limits","Check"),"Within limits"))</f>
        <v>Within limits</v>
      </c>
      <c r="O3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37" s="45" t="s">
        <v>122</v>
      </c>
    </row>
    <row r="38" spans="2:16">
      <c r="B38" s="29">
        <v>46082</v>
      </c>
      <c r="C38" s="28" t="s">
        <v>97</v>
      </c>
      <c r="D38" s="31">
        <v>36200</v>
      </c>
      <c r="E38" s="31">
        <v>35950</v>
      </c>
      <c r="F38" s="37" t="str">
        <f>IF(tblResults[[#This Row],[Month]]="","",IFERROR(INDEX(tblCostLines[Group],MATCH(tblResults[[#This Row],[Cost line]],tblCostLines[Cost line],0)),""))</f>
        <v>Overheads</v>
      </c>
      <c r="G38" s="38">
        <f>IF(tblResults[[#This Row],[Month]]="","",IFERROR(INDEX(tblCostLines[Variable share],MATCH(tblResults[[#This Row],[Cost line]],tblCostLines[Cost line],0)),""))</f>
        <v>0.3</v>
      </c>
      <c r="H38" s="39">
        <f>IF(tblResults[[#This Row],[Month]]="","",IFERROR(INDEX(tblVolume[Volume ratio],MATCH(DATE(YEAR(tblResults[[#This Row],[Month]]),MONTH(tblResults[[#This Row],[Month]]),1),tblVolume[Month],0)),""))</f>
        <v>0.978947368421053</v>
      </c>
      <c r="I38" s="40">
        <f>IF(tblResults[[#This Row],[Month]]="","",IF(OR(tblResults[[#This Row],[Volume ratio]]="",tblResults[[#This Row],[Variable share]]=""),"",tblResults[[#This Row],[Budget]]*(1-tblResults[[#This Row],[Variable share]]+tblResults[[#This Row],[Variable share]]*tblResults[[#This Row],[Volume ratio]])))</f>
        <v>35971.3684210526</v>
      </c>
      <c r="J38" s="41">
        <f>IF(tblResults[[#This Row],[Month]]="","",IF(OR(tblResults[[#This Row],[Flexed budget]]="",tblResults[[#This Row],[Actual]]=""),"",tblResults[[#This Row],[Actual]]-tblResults[[#This Row],[Flexed budget]]))</f>
        <v>-21.3684210526262</v>
      </c>
      <c r="K38" s="42">
        <f>IF(tblResults[[#This Row],[Month]]="","",IF(OR(tblResults[[#This Row],[Spending variance]]="",tblResults[[#This Row],[Flexed budget]]=0),"",tblResults[[#This Row],[Spending variance]]/tblResults[[#This Row],[Flexed budget]]))</f>
        <v>-0.000594039704091995</v>
      </c>
      <c r="L38" s="41">
        <f>IF(tblResults[[#This Row],[Month]]="","",IF(tblResults[[#This Row],[Flexed budget]]="","",tblResults[[#This Row],[Flexed budget]]-tblResults[[#This Row],[Budget]]))</f>
        <v>-228.631578947374</v>
      </c>
      <c r="M38" s="41">
        <f>IF(tblResults[[#This Row],[Month]]="","",IF(tblResults[[#This Row],[Actual]]="","",tblResults[[#This Row],[Actual]]-tblResults[[#This Row],[Budget]]))</f>
        <v>-250</v>
      </c>
      <c r="N38" s="43" t="str">
        <f>IF(tblResults[[#This Row],[Spending variance]]="","",IF(AND(ABS(tblResults[[#This Row],[Spending variance]])&gt;VarAmount,ABS(tblResults[[#This Row],[Spending variance %]])&gt;VarPct),IF(tblResults[[#This Row],[Spending variance]]&gt;0,"Out of limits","Check"),"Within limits"))</f>
        <v>Within limits</v>
      </c>
      <c r="O3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38" s="45" t="s">
        <v>122</v>
      </c>
    </row>
    <row r="39" spans="2:16">
      <c r="B39" s="29">
        <v>46082</v>
      </c>
      <c r="C39" s="28" t="s">
        <v>100</v>
      </c>
      <c r="D39" s="31">
        <v>27300</v>
      </c>
      <c r="E39" s="31">
        <v>26590</v>
      </c>
      <c r="F39" s="37" t="str">
        <f>IF(tblResults[[#This Row],[Month]]="","",IFERROR(INDEX(tblCostLines[Group],MATCH(tblResults[[#This Row],[Cost line]],tblCostLines[Cost line],0)),""))</f>
        <v>Overheads</v>
      </c>
      <c r="G39" s="38">
        <f>IF(tblResults[[#This Row],[Month]]="","",IFERROR(INDEX(tblCostLines[Variable share],MATCH(tblResults[[#This Row],[Cost line]],tblCostLines[Cost line],0)),""))</f>
        <v>0.75</v>
      </c>
      <c r="H39" s="39">
        <f>IF(tblResults[[#This Row],[Month]]="","",IFERROR(INDEX(tblVolume[Volume ratio],MATCH(DATE(YEAR(tblResults[[#This Row],[Month]]),MONTH(tblResults[[#This Row],[Month]]),1),tblVolume[Month],0)),""))</f>
        <v>0.978947368421053</v>
      </c>
      <c r="I39" s="40">
        <f>IF(tblResults[[#This Row],[Month]]="","",IF(OR(tblResults[[#This Row],[Volume ratio]]="",tblResults[[#This Row],[Variable share]]=""),"",tblResults[[#This Row],[Budget]]*(1-tblResults[[#This Row],[Variable share]]+tblResults[[#This Row],[Variable share]]*tblResults[[#This Row],[Volume ratio]])))</f>
        <v>26868.9473684211</v>
      </c>
      <c r="J39" s="41">
        <f>IF(tblResults[[#This Row],[Month]]="","",IF(OR(tblResults[[#This Row],[Flexed budget]]="",tblResults[[#This Row],[Actual]]=""),"",tblResults[[#This Row],[Actual]]-tblResults[[#This Row],[Flexed budget]]))</f>
        <v>-278.947368421053</v>
      </c>
      <c r="K39" s="42">
        <f>IF(tblResults[[#This Row],[Month]]="","",IF(OR(tblResults[[#This Row],[Spending variance]]="",tblResults[[#This Row],[Flexed budget]]=0),"",tblResults[[#This Row],[Spending variance]]/tblResults[[#This Row],[Flexed budget]]))</f>
        <v>-0.0103817750876575</v>
      </c>
      <c r="L39" s="41">
        <f>IF(tblResults[[#This Row],[Month]]="","",IF(tblResults[[#This Row],[Flexed budget]]="","",tblResults[[#This Row],[Flexed budget]]-tblResults[[#This Row],[Budget]]))</f>
        <v>-431.052631578947</v>
      </c>
      <c r="M39" s="41">
        <f>IF(tblResults[[#This Row],[Month]]="","",IF(tblResults[[#This Row],[Actual]]="","",tblResults[[#This Row],[Actual]]-tblResults[[#This Row],[Budget]]))</f>
        <v>-710</v>
      </c>
      <c r="N39" s="43" t="str">
        <f>IF(tblResults[[#This Row],[Spending variance]]="","",IF(AND(ABS(tblResults[[#This Row],[Spending variance]])&gt;VarAmount,ABS(tblResults[[#This Row],[Spending variance %]])&gt;VarPct),IF(tblResults[[#This Row],[Spending variance]]&gt;0,"Out of limits","Check"),"Within limits"))</f>
        <v>Within limits</v>
      </c>
      <c r="O3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39" s="45" t="s">
        <v>122</v>
      </c>
    </row>
    <row r="40" spans="2:16">
      <c r="B40" s="29">
        <v>46082</v>
      </c>
      <c r="C40" s="28" t="s">
        <v>102</v>
      </c>
      <c r="D40" s="31">
        <v>15700</v>
      </c>
      <c r="E40" s="31">
        <v>15520</v>
      </c>
      <c r="F40" s="37" t="str">
        <f>IF(tblResults[[#This Row],[Month]]="","",IFERROR(INDEX(tblCostLines[Group],MATCH(tblResults[[#This Row],[Cost line]],tblCostLines[Cost line],0)),""))</f>
        <v>Overheads</v>
      </c>
      <c r="G40" s="38">
        <f>IF(tblResults[[#This Row],[Month]]="","",IFERROR(INDEX(tblCostLines[Variable share],MATCH(tblResults[[#This Row],[Cost line]],tblCostLines[Cost line],0)),""))</f>
        <v>0.85</v>
      </c>
      <c r="H40" s="39">
        <f>IF(tblResults[[#This Row],[Month]]="","",IFERROR(INDEX(tblVolume[Volume ratio],MATCH(DATE(YEAR(tblResults[[#This Row],[Month]]),MONTH(tblResults[[#This Row],[Month]]),1),tblVolume[Month],0)),""))</f>
        <v>0.978947368421053</v>
      </c>
      <c r="I40" s="40">
        <f>IF(tblResults[[#This Row],[Month]]="","",IF(OR(tblResults[[#This Row],[Volume ratio]]="",tblResults[[#This Row],[Variable share]]=""),"",tblResults[[#This Row],[Budget]]*(1-tblResults[[#This Row],[Variable share]]+tblResults[[#This Row],[Variable share]]*tblResults[[#This Row],[Volume ratio]])))</f>
        <v>15419.0526315789</v>
      </c>
      <c r="J40" s="41">
        <f>IF(tblResults[[#This Row],[Month]]="","",IF(OR(tblResults[[#This Row],[Flexed budget]]="",tblResults[[#This Row],[Actual]]=""),"",tblResults[[#This Row],[Actual]]-tblResults[[#This Row],[Flexed budget]]))</f>
        <v>100.947368421052</v>
      </c>
      <c r="K40" s="42">
        <f>IF(tblResults[[#This Row],[Month]]="","",IF(OR(tblResults[[#This Row],[Spending variance]]="",tblResults[[#This Row],[Flexed budget]]=0),"",tblResults[[#This Row],[Spending variance]]/tblResults[[#This Row],[Flexed budget]]))</f>
        <v>0.00654692417446624</v>
      </c>
      <c r="L40" s="41">
        <f>IF(tblResults[[#This Row],[Month]]="","",IF(tblResults[[#This Row],[Flexed budget]]="","",tblResults[[#This Row],[Flexed budget]]-tblResults[[#This Row],[Budget]]))</f>
        <v>-280.947368421052</v>
      </c>
      <c r="M40" s="41">
        <f>IF(tblResults[[#This Row],[Month]]="","",IF(tblResults[[#This Row],[Actual]]="","",tblResults[[#This Row],[Actual]]-tblResults[[#This Row],[Budget]]))</f>
        <v>-180</v>
      </c>
      <c r="N40" s="43" t="str">
        <f>IF(tblResults[[#This Row],[Spending variance]]="","",IF(AND(ABS(tblResults[[#This Row],[Spending variance]])&gt;VarAmount,ABS(tblResults[[#This Row],[Spending variance %]])&gt;VarPct),IF(tblResults[[#This Row],[Spending variance]]&gt;0,"Out of limits","Check"),"Within limits"))</f>
        <v>Within limits</v>
      </c>
      <c r="O4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40" s="45" t="s">
        <v>122</v>
      </c>
    </row>
    <row r="41" spans="2:16">
      <c r="B41" s="29">
        <v>46082</v>
      </c>
      <c r="C41" s="28" t="s">
        <v>104</v>
      </c>
      <c r="D41" s="31">
        <v>41000</v>
      </c>
      <c r="E41" s="31">
        <v>41040</v>
      </c>
      <c r="F41" s="37" t="str">
        <f>IF(tblResults[[#This Row],[Month]]="","",IFERROR(INDEX(tblCostLines[Group],MATCH(tblResults[[#This Row],[Cost line]],tblCostLines[Cost line],0)),""))</f>
        <v>Overheads</v>
      </c>
      <c r="G41" s="38">
        <f>IF(tblResults[[#This Row],[Month]]="","",IFERROR(INDEX(tblCostLines[Variable share],MATCH(tblResults[[#This Row],[Cost line]],tblCostLines[Cost line],0)),""))</f>
        <v>0</v>
      </c>
      <c r="H41" s="39">
        <f>IF(tblResults[[#This Row],[Month]]="","",IFERROR(INDEX(tblVolume[Volume ratio],MATCH(DATE(YEAR(tblResults[[#This Row],[Month]]),MONTH(tblResults[[#This Row],[Month]]),1),tblVolume[Month],0)),""))</f>
        <v>0.978947368421053</v>
      </c>
      <c r="I41" s="40">
        <f>IF(tblResults[[#This Row],[Month]]="","",IF(OR(tblResults[[#This Row],[Volume ratio]]="",tblResults[[#This Row],[Variable share]]=""),"",tblResults[[#This Row],[Budget]]*(1-tblResults[[#This Row],[Variable share]]+tblResults[[#This Row],[Variable share]]*tblResults[[#This Row],[Volume ratio]])))</f>
        <v>41000</v>
      </c>
      <c r="J41" s="41">
        <f>IF(tblResults[[#This Row],[Month]]="","",IF(OR(tblResults[[#This Row],[Flexed budget]]="",tblResults[[#This Row],[Actual]]=""),"",tblResults[[#This Row],[Actual]]-tblResults[[#This Row],[Flexed budget]]))</f>
        <v>40</v>
      </c>
      <c r="K41" s="42">
        <f>IF(tblResults[[#This Row],[Month]]="","",IF(OR(tblResults[[#This Row],[Spending variance]]="",tblResults[[#This Row],[Flexed budget]]=0),"",tblResults[[#This Row],[Spending variance]]/tblResults[[#This Row],[Flexed budget]]))</f>
        <v>0.000975609756097561</v>
      </c>
      <c r="L41" s="41">
        <f>IF(tblResults[[#This Row],[Month]]="","",IF(tblResults[[#This Row],[Flexed budget]]="","",tblResults[[#This Row],[Flexed budget]]-tblResults[[#This Row],[Budget]]))</f>
        <v>0</v>
      </c>
      <c r="M41" s="41">
        <f>IF(tblResults[[#This Row],[Month]]="","",IF(tblResults[[#This Row],[Actual]]="","",tblResults[[#This Row],[Actual]]-tblResults[[#This Row],[Budget]]))</f>
        <v>40</v>
      </c>
      <c r="N41" s="43" t="str">
        <f>IF(tblResults[[#This Row],[Spending variance]]="","",IF(AND(ABS(tblResults[[#This Row],[Spending variance]])&gt;VarAmount,ABS(tblResults[[#This Row],[Spending variance %]])&gt;VarPct),IF(tblResults[[#This Row],[Spending variance]]&gt;0,"Out of limits","Check"),"Within limits"))</f>
        <v>Within limits</v>
      </c>
      <c r="O4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41" s="45" t="s">
        <v>122</v>
      </c>
    </row>
    <row r="42" spans="2:16">
      <c r="B42" s="29">
        <v>46082</v>
      </c>
      <c r="C42" s="28" t="s">
        <v>106</v>
      </c>
      <c r="D42" s="31">
        <v>18500</v>
      </c>
      <c r="E42" s="31">
        <v>24510</v>
      </c>
      <c r="F42" s="37" t="str">
        <f>IF(tblResults[[#This Row],[Month]]="","",IFERROR(INDEX(tblCostLines[Group],MATCH(tblResults[[#This Row],[Cost line]],tblCostLines[Cost line],0)),""))</f>
        <v>Overheads</v>
      </c>
      <c r="G42" s="38">
        <f>IF(tblResults[[#This Row],[Month]]="","",IFERROR(INDEX(tblCostLines[Variable share],MATCH(tblResults[[#This Row],[Cost line]],tblCostLines[Cost line],0)),""))</f>
        <v>0</v>
      </c>
      <c r="H42" s="39">
        <f>IF(tblResults[[#This Row],[Month]]="","",IFERROR(INDEX(tblVolume[Volume ratio],MATCH(DATE(YEAR(tblResults[[#This Row],[Month]]),MONTH(tblResults[[#This Row],[Month]]),1),tblVolume[Month],0)),""))</f>
        <v>0.978947368421053</v>
      </c>
      <c r="I42" s="40">
        <f>IF(tblResults[[#This Row],[Month]]="","",IF(OR(tblResults[[#This Row],[Volume ratio]]="",tblResults[[#This Row],[Variable share]]=""),"",tblResults[[#This Row],[Budget]]*(1-tblResults[[#This Row],[Variable share]]+tblResults[[#This Row],[Variable share]]*tblResults[[#This Row],[Volume ratio]])))</f>
        <v>18500</v>
      </c>
      <c r="J42" s="41">
        <f>IF(tblResults[[#This Row],[Month]]="","",IF(OR(tblResults[[#This Row],[Flexed budget]]="",tblResults[[#This Row],[Actual]]=""),"",tblResults[[#This Row],[Actual]]-tblResults[[#This Row],[Flexed budget]]))</f>
        <v>6010</v>
      </c>
      <c r="K42" s="42">
        <f>IF(tblResults[[#This Row],[Month]]="","",IF(OR(tblResults[[#This Row],[Spending variance]]="",tblResults[[#This Row],[Flexed budget]]=0),"",tblResults[[#This Row],[Spending variance]]/tblResults[[#This Row],[Flexed budget]]))</f>
        <v>0.324864864864865</v>
      </c>
      <c r="L42" s="41">
        <f>IF(tblResults[[#This Row],[Month]]="","",IF(tblResults[[#This Row],[Flexed budget]]="","",tblResults[[#This Row],[Flexed budget]]-tblResults[[#This Row],[Budget]]))</f>
        <v>0</v>
      </c>
      <c r="M42" s="41">
        <f>IF(tblResults[[#This Row],[Month]]="","",IF(tblResults[[#This Row],[Actual]]="","",tblResults[[#This Row],[Actual]]-tblResults[[#This Row],[Budget]]))</f>
        <v>6010</v>
      </c>
      <c r="N42" s="43" t="str">
        <f>IF(tblResults[[#This Row],[Spending variance]]="","",IF(AND(ABS(tblResults[[#This Row],[Spending variance]])&gt;VarAmount,ABS(tblResults[[#This Row],[Spending variance %]])&gt;VarPct),IF(tblResults[[#This Row],[Spending variance]]&gt;0,"Out of limits","Check"),"Within limits"))</f>
        <v>Out of limits</v>
      </c>
      <c r="O4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42" s="45" t="s">
        <v>123</v>
      </c>
    </row>
    <row r="43" spans="2:16">
      <c r="B43" s="29">
        <v>46113</v>
      </c>
      <c r="C43" s="28" t="s">
        <v>80</v>
      </c>
      <c r="D43" s="31">
        <v>449500</v>
      </c>
      <c r="E43" s="31">
        <v>427910</v>
      </c>
      <c r="F43" s="37" t="str">
        <f>IF(tblResults[[#This Row],[Month]]="","",IFERROR(INDEX(tblCostLines[Group],MATCH(tblResults[[#This Row],[Cost line]],tblCostLines[Cost line],0)),""))</f>
        <v>Materials</v>
      </c>
      <c r="G43" s="38">
        <f>IF(tblResults[[#This Row],[Month]]="","",IFERROR(INDEX(tblCostLines[Variable share],MATCH(tblResults[[#This Row],[Cost line]],tblCostLines[Cost line],0)),""))</f>
        <v>1</v>
      </c>
      <c r="H43" s="39">
        <f>IF(tblResults[[#This Row],[Month]]="","",IFERROR(INDEX(tblVolume[Volume ratio],MATCH(DATE(YEAR(tblResults[[#This Row],[Month]]),MONTH(tblResults[[#This Row],[Month]]),1),tblVolume[Month],0)),""))</f>
        <v>0.958620689655172</v>
      </c>
      <c r="I43" s="40">
        <f>IF(tblResults[[#This Row],[Month]]="","",IF(OR(tblResults[[#This Row],[Volume ratio]]="",tblResults[[#This Row],[Variable share]]=""),"",tblResults[[#This Row],[Budget]]*(1-tblResults[[#This Row],[Variable share]]+tblResults[[#This Row],[Variable share]]*tblResults[[#This Row],[Volume ratio]])))</f>
        <v>430900</v>
      </c>
      <c r="J43" s="41">
        <f>IF(tblResults[[#This Row],[Month]]="","",IF(OR(tblResults[[#This Row],[Flexed budget]]="",tblResults[[#This Row],[Actual]]=""),"",tblResults[[#This Row],[Actual]]-tblResults[[#This Row],[Flexed budget]]))</f>
        <v>-2990</v>
      </c>
      <c r="K43" s="42">
        <f>IF(tblResults[[#This Row],[Month]]="","",IF(OR(tblResults[[#This Row],[Spending variance]]="",tblResults[[#This Row],[Flexed budget]]=0),"",tblResults[[#This Row],[Spending variance]]/tblResults[[#This Row],[Flexed budget]]))</f>
        <v>-0.0069389649570666</v>
      </c>
      <c r="L43" s="41">
        <f>IF(tblResults[[#This Row],[Month]]="","",IF(tblResults[[#This Row],[Flexed budget]]="","",tblResults[[#This Row],[Flexed budget]]-tblResults[[#This Row],[Budget]]))</f>
        <v>-18600</v>
      </c>
      <c r="M43" s="41">
        <f>IF(tblResults[[#This Row],[Month]]="","",IF(tblResults[[#This Row],[Actual]]="","",tblResults[[#This Row],[Actual]]-tblResults[[#This Row],[Budget]]))</f>
        <v>-21590</v>
      </c>
      <c r="N43" s="43" t="str">
        <f>IF(tblResults[[#This Row],[Spending variance]]="","",IF(AND(ABS(tblResults[[#This Row],[Spending variance]])&gt;VarAmount,ABS(tblResults[[#This Row],[Spending variance %]])&gt;VarPct),IF(tblResults[[#This Row],[Spending variance]]&gt;0,"Out of limits","Check"),"Within limits"))</f>
        <v>Within limits</v>
      </c>
      <c r="O4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43" s="45" t="s">
        <v>122</v>
      </c>
    </row>
    <row r="44" spans="2:16">
      <c r="B44" s="29">
        <v>46113</v>
      </c>
      <c r="C44" s="28" t="s">
        <v>83</v>
      </c>
      <c r="D44" s="31">
        <v>60900</v>
      </c>
      <c r="E44" s="31">
        <v>58120</v>
      </c>
      <c r="F44" s="37" t="str">
        <f>IF(tblResults[[#This Row],[Month]]="","",IFERROR(INDEX(tblCostLines[Group],MATCH(tblResults[[#This Row],[Cost line]],tblCostLines[Cost line],0)),""))</f>
        <v>Materials</v>
      </c>
      <c r="G44" s="38">
        <f>IF(tblResults[[#This Row],[Month]]="","",IFERROR(INDEX(tblCostLines[Variable share],MATCH(tblResults[[#This Row],[Cost line]],tblCostLines[Cost line],0)),""))</f>
        <v>1</v>
      </c>
      <c r="H44" s="39">
        <f>IF(tblResults[[#This Row],[Month]]="","",IFERROR(INDEX(tblVolume[Volume ratio],MATCH(DATE(YEAR(tblResults[[#This Row],[Month]]),MONTH(tblResults[[#This Row],[Month]]),1),tblVolume[Month],0)),""))</f>
        <v>0.958620689655172</v>
      </c>
      <c r="I44" s="40">
        <f>IF(tblResults[[#This Row],[Month]]="","",IF(OR(tblResults[[#This Row],[Volume ratio]]="",tblResults[[#This Row],[Variable share]]=""),"",tblResults[[#This Row],[Budget]]*(1-tblResults[[#This Row],[Variable share]]+tblResults[[#This Row],[Variable share]]*tblResults[[#This Row],[Volume ratio]])))</f>
        <v>58380</v>
      </c>
      <c r="J44" s="41">
        <f>IF(tblResults[[#This Row],[Month]]="","",IF(OR(tblResults[[#This Row],[Flexed budget]]="",tblResults[[#This Row],[Actual]]=""),"",tblResults[[#This Row],[Actual]]-tblResults[[#This Row],[Flexed budget]]))</f>
        <v>-260</v>
      </c>
      <c r="K44" s="42">
        <f>IF(tblResults[[#This Row],[Month]]="","",IF(OR(tblResults[[#This Row],[Spending variance]]="",tblResults[[#This Row],[Flexed budget]]=0),"",tblResults[[#This Row],[Spending variance]]/tblResults[[#This Row],[Flexed budget]]))</f>
        <v>-0.00445357999314834</v>
      </c>
      <c r="L44" s="41">
        <f>IF(tblResults[[#This Row],[Month]]="","",IF(tblResults[[#This Row],[Flexed budget]]="","",tblResults[[#This Row],[Flexed budget]]-tblResults[[#This Row],[Budget]]))</f>
        <v>-2520</v>
      </c>
      <c r="M44" s="41">
        <f>IF(tblResults[[#This Row],[Month]]="","",IF(tblResults[[#This Row],[Actual]]="","",tblResults[[#This Row],[Actual]]-tblResults[[#This Row],[Budget]]))</f>
        <v>-2780</v>
      </c>
      <c r="N44" s="43" t="str">
        <f>IF(tblResults[[#This Row],[Spending variance]]="","",IF(AND(ABS(tblResults[[#This Row],[Spending variance]])&gt;VarAmount,ABS(tblResults[[#This Row],[Spending variance %]])&gt;VarPct),IF(tblResults[[#This Row],[Spending variance]]&gt;0,"Out of limits","Check"),"Within limits"))</f>
        <v>Within limits</v>
      </c>
      <c r="O4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44" s="45" t="s">
        <v>122</v>
      </c>
    </row>
    <row r="45" spans="2:16">
      <c r="B45" s="29">
        <v>46113</v>
      </c>
      <c r="C45" s="28" t="s">
        <v>85</v>
      </c>
      <c r="D45" s="31">
        <v>81900</v>
      </c>
      <c r="E45" s="31">
        <v>78910</v>
      </c>
      <c r="F45" s="37" t="str">
        <f>IF(tblResults[[#This Row],[Month]]="","",IFERROR(INDEX(tblCostLines[Group],MATCH(tblResults[[#This Row],[Cost line]],tblCostLines[Cost line],0)),""))</f>
        <v>Materials</v>
      </c>
      <c r="G45" s="38">
        <f>IF(tblResults[[#This Row],[Month]]="","",IFERROR(INDEX(tblCostLines[Variable share],MATCH(tblResults[[#This Row],[Cost line]],tblCostLines[Cost line],0)),""))</f>
        <v>0.9</v>
      </c>
      <c r="H45" s="39">
        <f>IF(tblResults[[#This Row],[Month]]="","",IFERROR(INDEX(tblVolume[Volume ratio],MATCH(DATE(YEAR(tblResults[[#This Row],[Month]]),MONTH(tblResults[[#This Row],[Month]]),1),tblVolume[Month],0)),""))</f>
        <v>0.958620689655172</v>
      </c>
      <c r="I45" s="40">
        <f>IF(tblResults[[#This Row],[Month]]="","",IF(OR(tblResults[[#This Row],[Volume ratio]]="",tblResults[[#This Row],[Variable share]]=""),"",tblResults[[#This Row],[Budget]]*(1-tblResults[[#This Row],[Variable share]]+tblResults[[#This Row],[Variable share]]*tblResults[[#This Row],[Volume ratio]])))</f>
        <v>78849.9310344828</v>
      </c>
      <c r="J45" s="41">
        <f>IF(tblResults[[#This Row],[Month]]="","",IF(OR(tblResults[[#This Row],[Flexed budget]]="",tblResults[[#This Row],[Actual]]=""),"",tblResults[[#This Row],[Actual]]-tblResults[[#This Row],[Flexed budget]]))</f>
        <v>60.0689655172318</v>
      </c>
      <c r="K45" s="42">
        <f>IF(tblResults[[#This Row],[Month]]="","",IF(OR(tblResults[[#This Row],[Spending variance]]="",tblResults[[#This Row],[Flexed budget]]=0),"",tblResults[[#This Row],[Spending variance]]/tblResults[[#This Row],[Flexed budget]]))</f>
        <v>0.000761813799062962</v>
      </c>
      <c r="L45" s="41">
        <f>IF(tblResults[[#This Row],[Month]]="","",IF(tblResults[[#This Row],[Flexed budget]]="","",tblResults[[#This Row],[Flexed budget]]-tblResults[[#This Row],[Budget]]))</f>
        <v>-3050.06896551723</v>
      </c>
      <c r="M45" s="41">
        <f>IF(tblResults[[#This Row],[Month]]="","",IF(tblResults[[#This Row],[Actual]]="","",tblResults[[#This Row],[Actual]]-tblResults[[#This Row],[Budget]]))</f>
        <v>-2990</v>
      </c>
      <c r="N45" s="43" t="str">
        <f>IF(tblResults[[#This Row],[Spending variance]]="","",IF(AND(ABS(tblResults[[#This Row],[Spending variance]])&gt;VarAmount,ABS(tblResults[[#This Row],[Spending variance %]])&gt;VarPct),IF(tblResults[[#This Row],[Spending variance]]&gt;0,"Out of limits","Check"),"Within limits"))</f>
        <v>Within limits</v>
      </c>
      <c r="O4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45" s="45" t="s">
        <v>122</v>
      </c>
    </row>
    <row r="46" spans="2:16">
      <c r="B46" s="29">
        <v>46113</v>
      </c>
      <c r="C46" s="28" t="s">
        <v>87</v>
      </c>
      <c r="D46" s="31">
        <v>136000</v>
      </c>
      <c r="E46" s="31">
        <v>141330</v>
      </c>
      <c r="F46" s="37" t="str">
        <f>IF(tblResults[[#This Row],[Month]]="","",IFERROR(INDEX(tblCostLines[Group],MATCH(tblResults[[#This Row],[Cost line]],tblCostLines[Cost line],0)),""))</f>
        <v>Energy</v>
      </c>
      <c r="G46" s="38">
        <f>IF(tblResults[[#This Row],[Month]]="","",IFERROR(INDEX(tblCostLines[Variable share],MATCH(tblResults[[#This Row],[Cost line]],tblCostLines[Cost line],0)),""))</f>
        <v>0.85</v>
      </c>
      <c r="H46" s="39">
        <f>IF(tblResults[[#This Row],[Month]]="","",IFERROR(INDEX(tblVolume[Volume ratio],MATCH(DATE(YEAR(tblResults[[#This Row],[Month]]),MONTH(tblResults[[#This Row],[Month]]),1),tblVolume[Month],0)),""))</f>
        <v>0.958620689655172</v>
      </c>
      <c r="I46" s="40">
        <f>IF(tblResults[[#This Row],[Month]]="","",IF(OR(tblResults[[#This Row],[Volume ratio]]="",tblResults[[#This Row],[Variable share]]=""),"",tblResults[[#This Row],[Budget]]*(1-tblResults[[#This Row],[Variable share]]+tblResults[[#This Row],[Variable share]]*tblResults[[#This Row],[Volume ratio]])))</f>
        <v>131216.551724138</v>
      </c>
      <c r="J46" s="41">
        <f>IF(tblResults[[#This Row],[Month]]="","",IF(OR(tblResults[[#This Row],[Flexed budget]]="",tblResults[[#This Row],[Actual]]=""),"",tblResults[[#This Row],[Actual]]-tblResults[[#This Row],[Flexed budget]]))</f>
        <v>10113.4482758621</v>
      </c>
      <c r="K46" s="42">
        <f>IF(tblResults[[#This Row],[Month]]="","",IF(OR(tblResults[[#This Row],[Spending variance]]="",tblResults[[#This Row],[Flexed budget]]=0),"",tblResults[[#This Row],[Spending variance]]/tblResults[[#This Row],[Flexed budget]]))</f>
        <v>0.0770744859773787</v>
      </c>
      <c r="L46" s="41">
        <f>IF(tblResults[[#This Row],[Month]]="","",IF(tblResults[[#This Row],[Flexed budget]]="","",tblResults[[#This Row],[Flexed budget]]-tblResults[[#This Row],[Budget]]))</f>
        <v>-4783.44827586206</v>
      </c>
      <c r="M46" s="41">
        <f>IF(tblResults[[#This Row],[Month]]="","",IF(tblResults[[#This Row],[Actual]]="","",tblResults[[#This Row],[Actual]]-tblResults[[#This Row],[Budget]]))</f>
        <v>5330</v>
      </c>
      <c r="N46" s="43" t="str">
        <f>IF(tblResults[[#This Row],[Spending variance]]="","",IF(AND(ABS(tblResults[[#This Row],[Spending variance]])&gt;VarAmount,ABS(tblResults[[#This Row],[Spending variance %]])&gt;VarPct),IF(tblResults[[#This Row],[Spending variance]]&gt;0,"Out of limits","Check"),"Within limits"))</f>
        <v>Out of limits</v>
      </c>
      <c r="O4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46" s="45" t="s">
        <v>124</v>
      </c>
    </row>
    <row r="47" spans="2:16">
      <c r="B47" s="29">
        <v>46113</v>
      </c>
      <c r="C47" s="28" t="s">
        <v>90</v>
      </c>
      <c r="D47" s="31">
        <v>17700</v>
      </c>
      <c r="E47" s="31">
        <v>17160</v>
      </c>
      <c r="F47" s="37" t="str">
        <f>IF(tblResults[[#This Row],[Month]]="","",IFERROR(INDEX(tblCostLines[Group],MATCH(tblResults[[#This Row],[Cost line]],tblCostLines[Cost line],0)),""))</f>
        <v>Energy</v>
      </c>
      <c r="G47" s="38">
        <f>IF(tblResults[[#This Row],[Month]]="","",IFERROR(INDEX(tblCostLines[Variable share],MATCH(tblResults[[#This Row],[Cost line]],tblCostLines[Cost line],0)),""))</f>
        <v>0.5</v>
      </c>
      <c r="H47" s="39">
        <f>IF(tblResults[[#This Row],[Month]]="","",IFERROR(INDEX(tblVolume[Volume ratio],MATCH(DATE(YEAR(tblResults[[#This Row],[Month]]),MONTH(tblResults[[#This Row],[Month]]),1),tblVolume[Month],0)),""))</f>
        <v>0.958620689655172</v>
      </c>
      <c r="I47" s="40">
        <f>IF(tblResults[[#This Row],[Month]]="","",IF(OR(tblResults[[#This Row],[Volume ratio]]="",tblResults[[#This Row],[Variable share]]=""),"",tblResults[[#This Row],[Budget]]*(1-tblResults[[#This Row],[Variable share]]+tblResults[[#This Row],[Variable share]]*tblResults[[#This Row],[Volume ratio]])))</f>
        <v>17333.7931034483</v>
      </c>
      <c r="J47" s="41">
        <f>IF(tblResults[[#This Row],[Month]]="","",IF(OR(tblResults[[#This Row],[Flexed budget]]="",tblResults[[#This Row],[Actual]]=""),"",tblResults[[#This Row],[Actual]]-tblResults[[#This Row],[Flexed budget]]))</f>
        <v>-173.793103448275</v>
      </c>
      <c r="K47" s="42">
        <f>IF(tblResults[[#This Row],[Month]]="","",IF(OR(tblResults[[#This Row],[Spending variance]]="",tblResults[[#This Row],[Flexed budget]]=0),"",tblResults[[#This Row],[Spending variance]]/tblResults[[#This Row],[Flexed budget]]))</f>
        <v>-0.0100262592504177</v>
      </c>
      <c r="L47" s="41">
        <f>IF(tblResults[[#This Row],[Month]]="","",IF(tblResults[[#This Row],[Flexed budget]]="","",tblResults[[#This Row],[Flexed budget]]-tblResults[[#This Row],[Budget]]))</f>
        <v>-366.206896551725</v>
      </c>
      <c r="M47" s="41">
        <f>IF(tblResults[[#This Row],[Month]]="","",IF(tblResults[[#This Row],[Actual]]="","",tblResults[[#This Row],[Actual]]-tblResults[[#This Row],[Budget]]))</f>
        <v>-540</v>
      </c>
      <c r="N47" s="43" t="str">
        <f>IF(tblResults[[#This Row],[Spending variance]]="","",IF(AND(ABS(tblResults[[#This Row],[Spending variance]])&gt;VarAmount,ABS(tblResults[[#This Row],[Spending variance %]])&gt;VarPct),IF(tblResults[[#This Row],[Spending variance]]&gt;0,"Out of limits","Check"),"Within limits"))</f>
        <v>Within limits</v>
      </c>
      <c r="O4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47" s="45" t="s">
        <v>122</v>
      </c>
    </row>
    <row r="48" spans="2:16">
      <c r="B48" s="29">
        <v>46113</v>
      </c>
      <c r="C48" s="28" t="s">
        <v>92</v>
      </c>
      <c r="D48" s="31">
        <v>127200</v>
      </c>
      <c r="E48" s="31">
        <v>123360</v>
      </c>
      <c r="F48" s="37" t="str">
        <f>IF(tblResults[[#This Row],[Month]]="","",IFERROR(INDEX(tblCostLines[Group],MATCH(tblResults[[#This Row],[Cost line]],tblCostLines[Cost line],0)),""))</f>
        <v>Labour</v>
      </c>
      <c r="G48" s="38">
        <f>IF(tblResults[[#This Row],[Month]]="","",IFERROR(INDEX(tblCostLines[Variable share],MATCH(tblResults[[#This Row],[Cost line]],tblCostLines[Cost line],0)),""))</f>
        <v>0.5</v>
      </c>
      <c r="H48" s="39">
        <f>IF(tblResults[[#This Row],[Month]]="","",IFERROR(INDEX(tblVolume[Volume ratio],MATCH(DATE(YEAR(tblResults[[#This Row],[Month]]),MONTH(tblResults[[#This Row],[Month]]),1),tblVolume[Month],0)),""))</f>
        <v>0.958620689655172</v>
      </c>
      <c r="I48" s="40">
        <f>IF(tblResults[[#This Row],[Month]]="","",IF(OR(tblResults[[#This Row],[Volume ratio]]="",tblResults[[#This Row],[Variable share]]=""),"",tblResults[[#This Row],[Budget]]*(1-tblResults[[#This Row],[Variable share]]+tblResults[[#This Row],[Variable share]]*tblResults[[#This Row],[Volume ratio]])))</f>
        <v>124568.275862069</v>
      </c>
      <c r="J48" s="41">
        <f>IF(tblResults[[#This Row],[Month]]="","",IF(OR(tblResults[[#This Row],[Flexed budget]]="",tblResults[[#This Row],[Actual]]=""),"",tblResults[[#This Row],[Actual]]-tblResults[[#This Row],[Flexed budget]]))</f>
        <v>-1208.27586206896</v>
      </c>
      <c r="K48" s="42">
        <f>IF(tblResults[[#This Row],[Month]]="","",IF(OR(tblResults[[#This Row],[Spending variance]]="",tblResults[[#This Row],[Flexed budget]]=0),"",tblResults[[#This Row],[Spending variance]]/tblResults[[#This Row],[Flexed budget]]))</f>
        <v>-0.00969970768004245</v>
      </c>
      <c r="L48" s="41">
        <f>IF(tblResults[[#This Row],[Month]]="","",IF(tblResults[[#This Row],[Flexed budget]]="","",tblResults[[#This Row],[Flexed budget]]-tblResults[[#This Row],[Budget]]))</f>
        <v>-2631.72413793104</v>
      </c>
      <c r="M48" s="41">
        <f>IF(tblResults[[#This Row],[Month]]="","",IF(tblResults[[#This Row],[Actual]]="","",tblResults[[#This Row],[Actual]]-tblResults[[#This Row],[Budget]]))</f>
        <v>-3840</v>
      </c>
      <c r="N48" s="43" t="str">
        <f>IF(tblResults[[#This Row],[Spending variance]]="","",IF(AND(ABS(tblResults[[#This Row],[Spending variance]])&gt;VarAmount,ABS(tblResults[[#This Row],[Spending variance %]])&gt;VarPct),IF(tblResults[[#This Row],[Spending variance]]&gt;0,"Out of limits","Check"),"Within limits"))</f>
        <v>Within limits</v>
      </c>
      <c r="O4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48" s="45" t="s">
        <v>122</v>
      </c>
    </row>
    <row r="49" spans="2:16">
      <c r="B49" s="29">
        <v>46113</v>
      </c>
      <c r="C49" s="28" t="s">
        <v>95</v>
      </c>
      <c r="D49" s="31">
        <v>48000</v>
      </c>
      <c r="E49" s="31">
        <v>47330</v>
      </c>
      <c r="F49" s="37" t="str">
        <f>IF(tblResults[[#This Row],[Month]]="","",IFERROR(INDEX(tblCostLines[Group],MATCH(tblResults[[#This Row],[Cost line]],tblCostLines[Cost line],0)),""))</f>
        <v>Labour</v>
      </c>
      <c r="G49" s="38">
        <f>IF(tblResults[[#This Row],[Month]]="","",IFERROR(INDEX(tblCostLines[Variable share],MATCH(tblResults[[#This Row],[Cost line]],tblCostLines[Cost line],0)),""))</f>
        <v>0</v>
      </c>
      <c r="H49" s="39">
        <f>IF(tblResults[[#This Row],[Month]]="","",IFERROR(INDEX(tblVolume[Volume ratio],MATCH(DATE(YEAR(tblResults[[#This Row],[Month]]),MONTH(tblResults[[#This Row],[Month]]),1),tblVolume[Month],0)),""))</f>
        <v>0.958620689655172</v>
      </c>
      <c r="I49" s="40">
        <f>IF(tblResults[[#This Row],[Month]]="","",IF(OR(tblResults[[#This Row],[Volume ratio]]="",tblResults[[#This Row],[Variable share]]=""),"",tblResults[[#This Row],[Budget]]*(1-tblResults[[#This Row],[Variable share]]+tblResults[[#This Row],[Variable share]]*tblResults[[#This Row],[Volume ratio]])))</f>
        <v>48000</v>
      </c>
      <c r="J49" s="41">
        <f>IF(tblResults[[#This Row],[Month]]="","",IF(OR(tblResults[[#This Row],[Flexed budget]]="",tblResults[[#This Row],[Actual]]=""),"",tblResults[[#This Row],[Actual]]-tblResults[[#This Row],[Flexed budget]]))</f>
        <v>-670</v>
      </c>
      <c r="K49" s="42">
        <f>IF(tblResults[[#This Row],[Month]]="","",IF(OR(tblResults[[#This Row],[Spending variance]]="",tblResults[[#This Row],[Flexed budget]]=0),"",tblResults[[#This Row],[Spending variance]]/tblResults[[#This Row],[Flexed budget]]))</f>
        <v>-0.0139583333333333</v>
      </c>
      <c r="L49" s="41">
        <f>IF(tblResults[[#This Row],[Month]]="","",IF(tblResults[[#This Row],[Flexed budget]]="","",tblResults[[#This Row],[Flexed budget]]-tblResults[[#This Row],[Budget]]))</f>
        <v>0</v>
      </c>
      <c r="M49" s="41">
        <f>IF(tblResults[[#This Row],[Month]]="","",IF(tblResults[[#This Row],[Actual]]="","",tblResults[[#This Row],[Actual]]-tblResults[[#This Row],[Budget]]))</f>
        <v>-670</v>
      </c>
      <c r="N49" s="43" t="str">
        <f>IF(tblResults[[#This Row],[Spending variance]]="","",IF(AND(ABS(tblResults[[#This Row],[Spending variance]])&gt;VarAmount,ABS(tblResults[[#This Row],[Spending variance %]])&gt;VarPct),IF(tblResults[[#This Row],[Spending variance]]&gt;0,"Out of limits","Check"),"Within limits"))</f>
        <v>Within limits</v>
      </c>
      <c r="O4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49" s="45" t="s">
        <v>122</v>
      </c>
    </row>
    <row r="50" spans="2:16">
      <c r="B50" s="29">
        <v>46113</v>
      </c>
      <c r="C50" s="28" t="s">
        <v>97</v>
      </c>
      <c r="D50" s="31">
        <v>35600</v>
      </c>
      <c r="E50" s="31">
        <v>35010</v>
      </c>
      <c r="F50" s="37" t="str">
        <f>IF(tblResults[[#This Row],[Month]]="","",IFERROR(INDEX(tblCostLines[Group],MATCH(tblResults[[#This Row],[Cost line]],tblCostLines[Cost line],0)),""))</f>
        <v>Overheads</v>
      </c>
      <c r="G50" s="38">
        <f>IF(tblResults[[#This Row],[Month]]="","",IFERROR(INDEX(tblCostLines[Variable share],MATCH(tblResults[[#This Row],[Cost line]],tblCostLines[Cost line],0)),""))</f>
        <v>0.3</v>
      </c>
      <c r="H50" s="39">
        <f>IF(tblResults[[#This Row],[Month]]="","",IFERROR(INDEX(tblVolume[Volume ratio],MATCH(DATE(YEAR(tblResults[[#This Row],[Month]]),MONTH(tblResults[[#This Row],[Month]]),1),tblVolume[Month],0)),""))</f>
        <v>0.958620689655172</v>
      </c>
      <c r="I50" s="40">
        <f>IF(tblResults[[#This Row],[Month]]="","",IF(OR(tblResults[[#This Row],[Volume ratio]]="",tblResults[[#This Row],[Variable share]]=""),"",tblResults[[#This Row],[Budget]]*(1-tblResults[[#This Row],[Variable share]]+tblResults[[#This Row],[Variable share]]*tblResults[[#This Row],[Volume ratio]])))</f>
        <v>35158.0689655172</v>
      </c>
      <c r="J50" s="41">
        <f>IF(tblResults[[#This Row],[Month]]="","",IF(OR(tblResults[[#This Row],[Flexed budget]]="",tblResults[[#This Row],[Actual]]=""),"",tblResults[[#This Row],[Actual]]-tblResults[[#This Row],[Flexed budget]]))</f>
        <v>-148.068965517239</v>
      </c>
      <c r="K50" s="42">
        <f>IF(tblResults[[#This Row],[Month]]="","",IF(OR(tblResults[[#This Row],[Spending variance]]="",tblResults[[#This Row],[Flexed budget]]=0),"",tblResults[[#This Row],[Spending variance]]/tblResults[[#This Row],[Flexed budget]]))</f>
        <v>-0.00421152156173492</v>
      </c>
      <c r="L50" s="41">
        <f>IF(tblResults[[#This Row],[Month]]="","",IF(tblResults[[#This Row],[Flexed budget]]="","",tblResults[[#This Row],[Flexed budget]]-tblResults[[#This Row],[Budget]]))</f>
        <v>-441.931034482761</v>
      </c>
      <c r="M50" s="41">
        <f>IF(tblResults[[#This Row],[Month]]="","",IF(tblResults[[#This Row],[Actual]]="","",tblResults[[#This Row],[Actual]]-tblResults[[#This Row],[Budget]]))</f>
        <v>-590</v>
      </c>
      <c r="N50" s="43" t="str">
        <f>IF(tblResults[[#This Row],[Spending variance]]="","",IF(AND(ABS(tblResults[[#This Row],[Spending variance]])&gt;VarAmount,ABS(tblResults[[#This Row],[Spending variance %]])&gt;VarPct),IF(tblResults[[#This Row],[Spending variance]]&gt;0,"Out of limits","Check"),"Within limits"))</f>
        <v>Within limits</v>
      </c>
      <c r="O5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50" s="45" t="s">
        <v>122</v>
      </c>
    </row>
    <row r="51" spans="2:16">
      <c r="B51" s="29">
        <v>46113</v>
      </c>
      <c r="C51" s="28" t="s">
        <v>100</v>
      </c>
      <c r="D51" s="31">
        <v>26300</v>
      </c>
      <c r="E51" s="31">
        <v>25450</v>
      </c>
      <c r="F51" s="37" t="str">
        <f>IF(tblResults[[#This Row],[Month]]="","",IFERROR(INDEX(tblCostLines[Group],MATCH(tblResults[[#This Row],[Cost line]],tblCostLines[Cost line],0)),""))</f>
        <v>Overheads</v>
      </c>
      <c r="G51" s="38">
        <f>IF(tblResults[[#This Row],[Month]]="","",IFERROR(INDEX(tblCostLines[Variable share],MATCH(tblResults[[#This Row],[Cost line]],tblCostLines[Cost line],0)),""))</f>
        <v>0.75</v>
      </c>
      <c r="H51" s="39">
        <f>IF(tblResults[[#This Row],[Month]]="","",IFERROR(INDEX(tblVolume[Volume ratio],MATCH(DATE(YEAR(tblResults[[#This Row],[Month]]),MONTH(tblResults[[#This Row],[Month]]),1),tblVolume[Month],0)),""))</f>
        <v>0.958620689655172</v>
      </c>
      <c r="I51" s="40">
        <f>IF(tblResults[[#This Row],[Month]]="","",IF(OR(tblResults[[#This Row],[Volume ratio]]="",tblResults[[#This Row],[Variable share]]=""),"",tblResults[[#This Row],[Budget]]*(1-tblResults[[#This Row],[Variable share]]+tblResults[[#This Row],[Variable share]]*tblResults[[#This Row],[Volume ratio]])))</f>
        <v>25483.7931034483</v>
      </c>
      <c r="J51" s="41">
        <f>IF(tblResults[[#This Row],[Month]]="","",IF(OR(tblResults[[#This Row],[Flexed budget]]="",tblResults[[#This Row],[Actual]]=""),"",tblResults[[#This Row],[Actual]]-tblResults[[#This Row],[Flexed budget]]))</f>
        <v>-33.7931034482754</v>
      </c>
      <c r="K51" s="42">
        <f>IF(tblResults[[#This Row],[Month]]="","",IF(OR(tblResults[[#This Row],[Spending variance]]="",tblResults[[#This Row],[Flexed budget]]=0),"",tblResults[[#This Row],[Spending variance]]/tblResults[[#This Row],[Flexed budget]]))</f>
        <v>-0.00132606254143943</v>
      </c>
      <c r="L51" s="41">
        <f>IF(tblResults[[#This Row],[Month]]="","",IF(tblResults[[#This Row],[Flexed budget]]="","",tblResults[[#This Row],[Flexed budget]]-tblResults[[#This Row],[Budget]]))</f>
        <v>-816.206896551725</v>
      </c>
      <c r="M51" s="41">
        <f>IF(tblResults[[#This Row],[Month]]="","",IF(tblResults[[#This Row],[Actual]]="","",tblResults[[#This Row],[Actual]]-tblResults[[#This Row],[Budget]]))</f>
        <v>-850</v>
      </c>
      <c r="N51" s="43" t="str">
        <f>IF(tblResults[[#This Row],[Spending variance]]="","",IF(AND(ABS(tblResults[[#This Row],[Spending variance]])&gt;VarAmount,ABS(tblResults[[#This Row],[Spending variance %]])&gt;VarPct),IF(tblResults[[#This Row],[Spending variance]]&gt;0,"Out of limits","Check"),"Within limits"))</f>
        <v>Within limits</v>
      </c>
      <c r="O5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51" s="45" t="s">
        <v>122</v>
      </c>
    </row>
    <row r="52" spans="2:16">
      <c r="B52" s="29">
        <v>46113</v>
      </c>
      <c r="C52" s="28" t="s">
        <v>102</v>
      </c>
      <c r="D52" s="31">
        <v>15000</v>
      </c>
      <c r="E52" s="31">
        <v>14570</v>
      </c>
      <c r="F52" s="37" t="str">
        <f>IF(tblResults[[#This Row],[Month]]="","",IFERROR(INDEX(tblCostLines[Group],MATCH(tblResults[[#This Row],[Cost line]],tblCostLines[Cost line],0)),""))</f>
        <v>Overheads</v>
      </c>
      <c r="G52" s="38">
        <f>IF(tblResults[[#This Row],[Month]]="","",IFERROR(INDEX(tblCostLines[Variable share],MATCH(tblResults[[#This Row],[Cost line]],tblCostLines[Cost line],0)),""))</f>
        <v>0.85</v>
      </c>
      <c r="H52" s="39">
        <f>IF(tblResults[[#This Row],[Month]]="","",IFERROR(INDEX(tblVolume[Volume ratio],MATCH(DATE(YEAR(tblResults[[#This Row],[Month]]),MONTH(tblResults[[#This Row],[Month]]),1),tblVolume[Month],0)),""))</f>
        <v>0.958620689655172</v>
      </c>
      <c r="I52" s="40">
        <f>IF(tblResults[[#This Row],[Month]]="","",IF(OR(tblResults[[#This Row],[Volume ratio]]="",tblResults[[#This Row],[Variable share]]=""),"",tblResults[[#This Row],[Budget]]*(1-tblResults[[#This Row],[Variable share]]+tblResults[[#This Row],[Variable share]]*tblResults[[#This Row],[Volume ratio]])))</f>
        <v>14472.4137931035</v>
      </c>
      <c r="J52" s="41">
        <f>IF(tblResults[[#This Row],[Month]]="","",IF(OR(tblResults[[#This Row],[Flexed budget]]="",tblResults[[#This Row],[Actual]]=""),"",tblResults[[#This Row],[Actual]]-tblResults[[#This Row],[Flexed budget]]))</f>
        <v>97.5862068965507</v>
      </c>
      <c r="K52" s="42">
        <f>IF(tblResults[[#This Row],[Month]]="","",IF(OR(tblResults[[#This Row],[Spending variance]]="",tblResults[[#This Row],[Flexed budget]]=0),"",tblResults[[#This Row],[Spending variance]]/tblResults[[#This Row],[Flexed budget]]))</f>
        <v>0.00674291160352626</v>
      </c>
      <c r="L52" s="41">
        <f>IF(tblResults[[#This Row],[Month]]="","",IF(tblResults[[#This Row],[Flexed budget]]="","",tblResults[[#This Row],[Flexed budget]]-tblResults[[#This Row],[Budget]]))</f>
        <v>-527.586206896551</v>
      </c>
      <c r="M52" s="41">
        <f>IF(tblResults[[#This Row],[Month]]="","",IF(tblResults[[#This Row],[Actual]]="","",tblResults[[#This Row],[Actual]]-tblResults[[#This Row],[Budget]]))</f>
        <v>-430</v>
      </c>
      <c r="N52" s="43" t="str">
        <f>IF(tblResults[[#This Row],[Spending variance]]="","",IF(AND(ABS(tblResults[[#This Row],[Spending variance]])&gt;VarAmount,ABS(tblResults[[#This Row],[Spending variance %]])&gt;VarPct),IF(tblResults[[#This Row],[Spending variance]]&gt;0,"Out of limits","Check"),"Within limits"))</f>
        <v>Within limits</v>
      </c>
      <c r="O5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52" s="45" t="s">
        <v>122</v>
      </c>
    </row>
    <row r="53" spans="2:16">
      <c r="B53" s="29">
        <v>46113</v>
      </c>
      <c r="C53" s="28" t="s">
        <v>104</v>
      </c>
      <c r="D53" s="31">
        <v>41000</v>
      </c>
      <c r="E53" s="31">
        <v>41040</v>
      </c>
      <c r="F53" s="37" t="str">
        <f>IF(tblResults[[#This Row],[Month]]="","",IFERROR(INDEX(tblCostLines[Group],MATCH(tblResults[[#This Row],[Cost line]],tblCostLines[Cost line],0)),""))</f>
        <v>Overheads</v>
      </c>
      <c r="G53" s="38">
        <f>IF(tblResults[[#This Row],[Month]]="","",IFERROR(INDEX(tblCostLines[Variable share],MATCH(tblResults[[#This Row],[Cost line]],tblCostLines[Cost line],0)),""))</f>
        <v>0</v>
      </c>
      <c r="H53" s="39">
        <f>IF(tblResults[[#This Row],[Month]]="","",IFERROR(INDEX(tblVolume[Volume ratio],MATCH(DATE(YEAR(tblResults[[#This Row],[Month]]),MONTH(tblResults[[#This Row],[Month]]),1),tblVolume[Month],0)),""))</f>
        <v>0.958620689655172</v>
      </c>
      <c r="I53" s="40">
        <f>IF(tblResults[[#This Row],[Month]]="","",IF(OR(tblResults[[#This Row],[Volume ratio]]="",tblResults[[#This Row],[Variable share]]=""),"",tblResults[[#This Row],[Budget]]*(1-tblResults[[#This Row],[Variable share]]+tblResults[[#This Row],[Variable share]]*tblResults[[#This Row],[Volume ratio]])))</f>
        <v>41000</v>
      </c>
      <c r="J53" s="41">
        <f>IF(tblResults[[#This Row],[Month]]="","",IF(OR(tblResults[[#This Row],[Flexed budget]]="",tblResults[[#This Row],[Actual]]=""),"",tblResults[[#This Row],[Actual]]-tblResults[[#This Row],[Flexed budget]]))</f>
        <v>40</v>
      </c>
      <c r="K53" s="42">
        <f>IF(tblResults[[#This Row],[Month]]="","",IF(OR(tblResults[[#This Row],[Spending variance]]="",tblResults[[#This Row],[Flexed budget]]=0),"",tblResults[[#This Row],[Spending variance]]/tblResults[[#This Row],[Flexed budget]]))</f>
        <v>0.000975609756097561</v>
      </c>
      <c r="L53" s="41">
        <f>IF(tblResults[[#This Row],[Month]]="","",IF(tblResults[[#This Row],[Flexed budget]]="","",tblResults[[#This Row],[Flexed budget]]-tblResults[[#This Row],[Budget]]))</f>
        <v>0</v>
      </c>
      <c r="M53" s="41">
        <f>IF(tblResults[[#This Row],[Month]]="","",IF(tblResults[[#This Row],[Actual]]="","",tblResults[[#This Row],[Actual]]-tblResults[[#This Row],[Budget]]))</f>
        <v>40</v>
      </c>
      <c r="N53" s="43" t="str">
        <f>IF(tblResults[[#This Row],[Spending variance]]="","",IF(AND(ABS(tblResults[[#This Row],[Spending variance]])&gt;VarAmount,ABS(tblResults[[#This Row],[Spending variance %]])&gt;VarPct),IF(tblResults[[#This Row],[Spending variance]]&gt;0,"Out of limits","Check"),"Within limits"))</f>
        <v>Within limits</v>
      </c>
      <c r="O5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53" s="45" t="s">
        <v>122</v>
      </c>
    </row>
    <row r="54" spans="2:16">
      <c r="B54" s="29">
        <v>46113</v>
      </c>
      <c r="C54" s="28" t="s">
        <v>106</v>
      </c>
      <c r="D54" s="31">
        <v>18500</v>
      </c>
      <c r="E54" s="31">
        <v>18370</v>
      </c>
      <c r="F54" s="37" t="str">
        <f>IF(tblResults[[#This Row],[Month]]="","",IFERROR(INDEX(tblCostLines[Group],MATCH(tblResults[[#This Row],[Cost line]],tblCostLines[Cost line],0)),""))</f>
        <v>Overheads</v>
      </c>
      <c r="G54" s="38">
        <f>IF(tblResults[[#This Row],[Month]]="","",IFERROR(INDEX(tblCostLines[Variable share],MATCH(tblResults[[#This Row],[Cost line]],tblCostLines[Cost line],0)),""))</f>
        <v>0</v>
      </c>
      <c r="H54" s="39">
        <f>IF(tblResults[[#This Row],[Month]]="","",IFERROR(INDEX(tblVolume[Volume ratio],MATCH(DATE(YEAR(tblResults[[#This Row],[Month]]),MONTH(tblResults[[#This Row],[Month]]),1),tblVolume[Month],0)),""))</f>
        <v>0.958620689655172</v>
      </c>
      <c r="I54" s="40">
        <f>IF(tblResults[[#This Row],[Month]]="","",IF(OR(tblResults[[#This Row],[Volume ratio]]="",tblResults[[#This Row],[Variable share]]=""),"",tblResults[[#This Row],[Budget]]*(1-tblResults[[#This Row],[Variable share]]+tblResults[[#This Row],[Variable share]]*tblResults[[#This Row],[Volume ratio]])))</f>
        <v>18500</v>
      </c>
      <c r="J54" s="41">
        <f>IF(tblResults[[#This Row],[Month]]="","",IF(OR(tblResults[[#This Row],[Flexed budget]]="",tblResults[[#This Row],[Actual]]=""),"",tblResults[[#This Row],[Actual]]-tblResults[[#This Row],[Flexed budget]]))</f>
        <v>-130</v>
      </c>
      <c r="K54" s="42">
        <f>IF(tblResults[[#This Row],[Month]]="","",IF(OR(tblResults[[#This Row],[Spending variance]]="",tblResults[[#This Row],[Flexed budget]]=0),"",tblResults[[#This Row],[Spending variance]]/tblResults[[#This Row],[Flexed budget]]))</f>
        <v>-0.00702702702702703</v>
      </c>
      <c r="L54" s="41">
        <f>IF(tblResults[[#This Row],[Month]]="","",IF(tblResults[[#This Row],[Flexed budget]]="","",tblResults[[#This Row],[Flexed budget]]-tblResults[[#This Row],[Budget]]))</f>
        <v>0</v>
      </c>
      <c r="M54" s="41">
        <f>IF(tblResults[[#This Row],[Month]]="","",IF(tblResults[[#This Row],[Actual]]="","",tblResults[[#This Row],[Actual]]-tblResults[[#This Row],[Budget]]))</f>
        <v>-130</v>
      </c>
      <c r="N54" s="43" t="str">
        <f>IF(tblResults[[#This Row],[Spending variance]]="","",IF(AND(ABS(tblResults[[#This Row],[Spending variance]])&gt;VarAmount,ABS(tblResults[[#This Row],[Spending variance %]])&gt;VarPct),IF(tblResults[[#This Row],[Spending variance]]&gt;0,"Out of limits","Check"),"Within limits"))</f>
        <v>Within limits</v>
      </c>
      <c r="O5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54" s="45" t="s">
        <v>122</v>
      </c>
    </row>
    <row r="55" spans="2:16">
      <c r="B55" s="29">
        <v>46143</v>
      </c>
      <c r="C55" s="28" t="s">
        <v>80</v>
      </c>
      <c r="D55" s="31">
        <v>458800</v>
      </c>
      <c r="E55" s="31">
        <v>431550</v>
      </c>
      <c r="F55" s="37" t="str">
        <f>IF(tblResults[[#This Row],[Month]]="","",IFERROR(INDEX(tblCostLines[Group],MATCH(tblResults[[#This Row],[Cost line]],tblCostLines[Cost line],0)),""))</f>
        <v>Materials</v>
      </c>
      <c r="G55" s="38">
        <f>IF(tblResults[[#This Row],[Month]]="","",IFERROR(INDEX(tblCostLines[Variable share],MATCH(tblResults[[#This Row],[Cost line]],tblCostLines[Cost line],0)),""))</f>
        <v>1</v>
      </c>
      <c r="H55" s="39">
        <f>IF(tblResults[[#This Row],[Month]]="","",IFERROR(INDEX(tblVolume[Volume ratio],MATCH(DATE(YEAR(tblResults[[#This Row],[Month]]),MONTH(tblResults[[#This Row],[Month]]),1),tblVolume[Month],0)),""))</f>
        <v>0.922297297297297</v>
      </c>
      <c r="I55" s="40">
        <f>IF(tblResults[[#This Row],[Month]]="","",IF(OR(tblResults[[#This Row],[Volume ratio]]="",tblResults[[#This Row],[Variable share]]=""),"",tblResults[[#This Row],[Budget]]*(1-tblResults[[#This Row],[Variable share]]+tblResults[[#This Row],[Variable share]]*tblResults[[#This Row],[Volume ratio]])))</f>
        <v>423150</v>
      </c>
      <c r="J55" s="41">
        <f>IF(tblResults[[#This Row],[Month]]="","",IF(OR(tblResults[[#This Row],[Flexed budget]]="",tblResults[[#This Row],[Actual]]=""),"",tblResults[[#This Row],[Actual]]-tblResults[[#This Row],[Flexed budget]]))</f>
        <v>8400</v>
      </c>
      <c r="K55" s="42">
        <f>IF(tblResults[[#This Row],[Month]]="","",IF(OR(tblResults[[#This Row],[Spending variance]]="",tblResults[[#This Row],[Flexed budget]]=0),"",tblResults[[#This Row],[Spending variance]]/tblResults[[#This Row],[Flexed budget]]))</f>
        <v>0.0198511166253102</v>
      </c>
      <c r="L55" s="41">
        <f>IF(tblResults[[#This Row],[Month]]="","",IF(tblResults[[#This Row],[Flexed budget]]="","",tblResults[[#This Row],[Flexed budget]]-tblResults[[#This Row],[Budget]]))</f>
        <v>-35650</v>
      </c>
      <c r="M55" s="41">
        <f>IF(tblResults[[#This Row],[Month]]="","",IF(tblResults[[#This Row],[Actual]]="","",tblResults[[#This Row],[Actual]]-tblResults[[#This Row],[Budget]]))</f>
        <v>-27250</v>
      </c>
      <c r="N55" s="43" t="str">
        <f>IF(tblResults[[#This Row],[Spending variance]]="","",IF(AND(ABS(tblResults[[#This Row],[Spending variance]])&gt;VarAmount,ABS(tblResults[[#This Row],[Spending variance %]])&gt;VarPct),IF(tblResults[[#This Row],[Spending variance]]&gt;0,"Out of limits","Check"),"Within limits"))</f>
        <v>Within limits</v>
      </c>
      <c r="O5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55" s="45" t="s">
        <v>122</v>
      </c>
    </row>
    <row r="56" spans="2:16">
      <c r="B56" s="29">
        <v>46143</v>
      </c>
      <c r="C56" s="28" t="s">
        <v>83</v>
      </c>
      <c r="D56" s="31">
        <v>62200</v>
      </c>
      <c r="E56" s="31">
        <v>57030</v>
      </c>
      <c r="F56" s="37" t="str">
        <f>IF(tblResults[[#This Row],[Month]]="","",IFERROR(INDEX(tblCostLines[Group],MATCH(tblResults[[#This Row],[Cost line]],tblCostLines[Cost line],0)),""))</f>
        <v>Materials</v>
      </c>
      <c r="G56" s="38">
        <f>IF(tblResults[[#This Row],[Month]]="","",IFERROR(INDEX(tblCostLines[Variable share],MATCH(tblResults[[#This Row],[Cost line]],tblCostLines[Cost line],0)),""))</f>
        <v>1</v>
      </c>
      <c r="H56" s="39">
        <f>IF(tblResults[[#This Row],[Month]]="","",IFERROR(INDEX(tblVolume[Volume ratio],MATCH(DATE(YEAR(tblResults[[#This Row],[Month]]),MONTH(tblResults[[#This Row],[Month]]),1),tblVolume[Month],0)),""))</f>
        <v>0.922297297297297</v>
      </c>
      <c r="I56" s="40">
        <f>IF(tblResults[[#This Row],[Month]]="","",IF(OR(tblResults[[#This Row],[Volume ratio]]="",tblResults[[#This Row],[Variable share]]=""),"",tblResults[[#This Row],[Budget]]*(1-tblResults[[#This Row],[Variable share]]+tblResults[[#This Row],[Variable share]]*tblResults[[#This Row],[Volume ratio]])))</f>
        <v>57366.8918918919</v>
      </c>
      <c r="J56" s="41">
        <f>IF(tblResults[[#This Row],[Month]]="","",IF(OR(tblResults[[#This Row],[Flexed budget]]="",tblResults[[#This Row],[Actual]]=""),"",tblResults[[#This Row],[Actual]]-tblResults[[#This Row],[Flexed budget]]))</f>
        <v>-336.891891891886</v>
      </c>
      <c r="K56" s="42">
        <f>IF(tblResults[[#This Row],[Month]]="","",IF(OR(tblResults[[#This Row],[Spending variance]]="",tblResults[[#This Row],[Flexed budget]]=0),"",tblResults[[#This Row],[Spending variance]]/tblResults[[#This Row],[Flexed budget]]))</f>
        <v>-0.00587258400763214</v>
      </c>
      <c r="L56" s="41">
        <f>IF(tblResults[[#This Row],[Month]]="","",IF(tblResults[[#This Row],[Flexed budget]]="","",tblResults[[#This Row],[Flexed budget]]-tblResults[[#This Row],[Budget]]))</f>
        <v>-4833.10810810811</v>
      </c>
      <c r="M56" s="41">
        <f>IF(tblResults[[#This Row],[Month]]="","",IF(tblResults[[#This Row],[Actual]]="","",tblResults[[#This Row],[Actual]]-tblResults[[#This Row],[Budget]]))</f>
        <v>-5170</v>
      </c>
      <c r="N56" s="43" t="str">
        <f>IF(tblResults[[#This Row],[Spending variance]]="","",IF(AND(ABS(tblResults[[#This Row],[Spending variance]])&gt;VarAmount,ABS(tblResults[[#This Row],[Spending variance %]])&gt;VarPct),IF(tblResults[[#This Row],[Spending variance]]&gt;0,"Out of limits","Check"),"Within limits"))</f>
        <v>Within limits</v>
      </c>
      <c r="O5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56" s="45" t="s">
        <v>122</v>
      </c>
    </row>
    <row r="57" spans="2:16">
      <c r="B57" s="29">
        <v>46143</v>
      </c>
      <c r="C57" s="28" t="s">
        <v>85</v>
      </c>
      <c r="D57" s="31">
        <v>83500</v>
      </c>
      <c r="E57" s="31">
        <v>78020</v>
      </c>
      <c r="F57" s="37" t="str">
        <f>IF(tblResults[[#This Row],[Month]]="","",IFERROR(INDEX(tblCostLines[Group],MATCH(tblResults[[#This Row],[Cost line]],tblCostLines[Cost line],0)),""))</f>
        <v>Materials</v>
      </c>
      <c r="G57" s="38">
        <f>IF(tblResults[[#This Row],[Month]]="","",IFERROR(INDEX(tblCostLines[Variable share],MATCH(tblResults[[#This Row],[Cost line]],tblCostLines[Cost line],0)),""))</f>
        <v>0.9</v>
      </c>
      <c r="H57" s="39">
        <f>IF(tblResults[[#This Row],[Month]]="","",IFERROR(INDEX(tblVolume[Volume ratio],MATCH(DATE(YEAR(tblResults[[#This Row],[Month]]),MONTH(tblResults[[#This Row],[Month]]),1),tblVolume[Month],0)),""))</f>
        <v>0.922297297297297</v>
      </c>
      <c r="I57" s="40">
        <f>IF(tblResults[[#This Row],[Month]]="","",IF(OR(tblResults[[#This Row],[Volume ratio]]="",tblResults[[#This Row],[Variable share]]=""),"",tblResults[[#This Row],[Budget]]*(1-tblResults[[#This Row],[Variable share]]+tblResults[[#This Row],[Variable share]]*tblResults[[#This Row],[Volume ratio]])))</f>
        <v>77660.6418918919</v>
      </c>
      <c r="J57" s="41">
        <f>IF(tblResults[[#This Row],[Month]]="","",IF(OR(tblResults[[#This Row],[Flexed budget]]="",tblResults[[#This Row],[Actual]]=""),"",tblResults[[#This Row],[Actual]]-tblResults[[#This Row],[Flexed budget]]))</f>
        <v>359.358108108121</v>
      </c>
      <c r="K57" s="42">
        <f>IF(tblResults[[#This Row],[Month]]="","",IF(OR(tblResults[[#This Row],[Spending variance]]="",tblResults[[#This Row],[Flexed budget]]=0),"",tblResults[[#This Row],[Spending variance]]/tblResults[[#This Row],[Flexed budget]]))</f>
        <v>0.00462728737947297</v>
      </c>
      <c r="L57" s="41">
        <f>IF(tblResults[[#This Row],[Month]]="","",IF(tblResults[[#This Row],[Flexed budget]]="","",tblResults[[#This Row],[Flexed budget]]-tblResults[[#This Row],[Budget]]))</f>
        <v>-5839.35810810812</v>
      </c>
      <c r="M57" s="41">
        <f>IF(tblResults[[#This Row],[Month]]="","",IF(tblResults[[#This Row],[Actual]]="","",tblResults[[#This Row],[Actual]]-tblResults[[#This Row],[Budget]]))</f>
        <v>-5480</v>
      </c>
      <c r="N57" s="43" t="str">
        <f>IF(tblResults[[#This Row],[Spending variance]]="","",IF(AND(ABS(tblResults[[#This Row],[Spending variance]])&gt;VarAmount,ABS(tblResults[[#This Row],[Spending variance %]])&gt;VarPct),IF(tblResults[[#This Row],[Spending variance]]&gt;0,"Out of limits","Check"),"Within limits"))</f>
        <v>Within limits</v>
      </c>
      <c r="O5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57" s="45" t="s">
        <v>122</v>
      </c>
    </row>
    <row r="58" spans="2:16">
      <c r="B58" s="29">
        <v>46143</v>
      </c>
      <c r="C58" s="28" t="s">
        <v>87</v>
      </c>
      <c r="D58" s="31">
        <v>138400</v>
      </c>
      <c r="E58" s="31">
        <v>138370</v>
      </c>
      <c r="F58" s="37" t="str">
        <f>IF(tblResults[[#This Row],[Month]]="","",IFERROR(INDEX(tblCostLines[Group],MATCH(tblResults[[#This Row],[Cost line]],tblCostLines[Cost line],0)),""))</f>
        <v>Energy</v>
      </c>
      <c r="G58" s="38">
        <f>IF(tblResults[[#This Row],[Month]]="","",IFERROR(INDEX(tblCostLines[Variable share],MATCH(tblResults[[#This Row],[Cost line]],tblCostLines[Cost line],0)),""))</f>
        <v>0.85</v>
      </c>
      <c r="H58" s="39">
        <f>IF(tblResults[[#This Row],[Month]]="","",IFERROR(INDEX(tblVolume[Volume ratio],MATCH(DATE(YEAR(tblResults[[#This Row],[Month]]),MONTH(tblResults[[#This Row],[Month]]),1),tblVolume[Month],0)),""))</f>
        <v>0.922297297297297</v>
      </c>
      <c r="I58" s="40">
        <f>IF(tblResults[[#This Row],[Month]]="","",IF(OR(tblResults[[#This Row],[Volume ratio]]="",tblResults[[#This Row],[Variable share]]=""),"",tblResults[[#This Row],[Budget]]*(1-tblResults[[#This Row],[Variable share]]+tblResults[[#This Row],[Variable share]]*tblResults[[#This Row],[Volume ratio]])))</f>
        <v>129259.054054054</v>
      </c>
      <c r="J58" s="41">
        <f>IF(tblResults[[#This Row],[Month]]="","",IF(OR(tblResults[[#This Row],[Flexed budget]]="",tblResults[[#This Row],[Actual]]=""),"",tblResults[[#This Row],[Actual]]-tblResults[[#This Row],[Flexed budget]]))</f>
        <v>9110.94594594595</v>
      </c>
      <c r="K58" s="42">
        <f>IF(tblResults[[#This Row],[Month]]="","",IF(OR(tblResults[[#This Row],[Spending variance]]="",tblResults[[#This Row],[Flexed budget]]=0),"",tblResults[[#This Row],[Spending variance]]/tblResults[[#This Row],[Flexed budget]]))</f>
        <v>0.0704859401348852</v>
      </c>
      <c r="L58" s="41">
        <f>IF(tblResults[[#This Row],[Month]]="","",IF(tblResults[[#This Row],[Flexed budget]]="","",tblResults[[#This Row],[Flexed budget]]-tblResults[[#This Row],[Budget]]))</f>
        <v>-9140.94594594595</v>
      </c>
      <c r="M58" s="41">
        <f>IF(tblResults[[#This Row],[Month]]="","",IF(tblResults[[#This Row],[Actual]]="","",tblResults[[#This Row],[Actual]]-tblResults[[#This Row],[Budget]]))</f>
        <v>-30</v>
      </c>
      <c r="N58" s="43" t="str">
        <f>IF(tblResults[[#This Row],[Spending variance]]="","",IF(AND(ABS(tblResults[[#This Row],[Spending variance]])&gt;VarAmount,ABS(tblResults[[#This Row],[Spending variance %]])&gt;VarPct),IF(tblResults[[#This Row],[Spending variance]]&gt;0,"Out of limits","Check"),"Within limits"))</f>
        <v>Out of limits</v>
      </c>
      <c r="O5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58" s="45" t="s">
        <v>124</v>
      </c>
    </row>
    <row r="59" spans="2:16">
      <c r="B59" s="29">
        <v>46143</v>
      </c>
      <c r="C59" s="28" t="s">
        <v>90</v>
      </c>
      <c r="D59" s="31">
        <v>17900</v>
      </c>
      <c r="E59" s="31">
        <v>17070</v>
      </c>
      <c r="F59" s="37" t="str">
        <f>IF(tblResults[[#This Row],[Month]]="","",IFERROR(INDEX(tblCostLines[Group],MATCH(tblResults[[#This Row],[Cost line]],tblCostLines[Cost line],0)),""))</f>
        <v>Energy</v>
      </c>
      <c r="G59" s="38">
        <f>IF(tblResults[[#This Row],[Month]]="","",IFERROR(INDEX(tblCostLines[Variable share],MATCH(tblResults[[#This Row],[Cost line]],tblCostLines[Cost line],0)),""))</f>
        <v>0.5</v>
      </c>
      <c r="H59" s="39">
        <f>IF(tblResults[[#This Row],[Month]]="","",IFERROR(INDEX(tblVolume[Volume ratio],MATCH(DATE(YEAR(tblResults[[#This Row],[Month]]),MONTH(tblResults[[#This Row],[Month]]),1),tblVolume[Month],0)),""))</f>
        <v>0.922297297297297</v>
      </c>
      <c r="I59" s="40">
        <f>IF(tblResults[[#This Row],[Month]]="","",IF(OR(tblResults[[#This Row],[Volume ratio]]="",tblResults[[#This Row],[Variable share]]=""),"",tblResults[[#This Row],[Budget]]*(1-tblResults[[#This Row],[Variable share]]+tblResults[[#This Row],[Variable share]]*tblResults[[#This Row],[Volume ratio]])))</f>
        <v>17204.5608108108</v>
      </c>
      <c r="J59" s="41">
        <f>IF(tblResults[[#This Row],[Month]]="","",IF(OR(tblResults[[#This Row],[Flexed budget]]="",tblResults[[#This Row],[Actual]]=""),"",tblResults[[#This Row],[Actual]]-tblResults[[#This Row],[Flexed budget]]))</f>
        <v>-134.56081081081</v>
      </c>
      <c r="K59" s="42">
        <f>IF(tblResults[[#This Row],[Month]]="","",IF(OR(tblResults[[#This Row],[Spending variance]]="",tblResults[[#This Row],[Flexed budget]]=0),"",tblResults[[#This Row],[Spending variance]]/tblResults[[#This Row],[Flexed budget]]))</f>
        <v>-0.00782122905027928</v>
      </c>
      <c r="L59" s="41">
        <f>IF(tblResults[[#This Row],[Month]]="","",IF(tblResults[[#This Row],[Flexed budget]]="","",tblResults[[#This Row],[Flexed budget]]-tblResults[[#This Row],[Budget]]))</f>
        <v>-695.43918918919</v>
      </c>
      <c r="M59" s="41">
        <f>IF(tblResults[[#This Row],[Month]]="","",IF(tblResults[[#This Row],[Actual]]="","",tblResults[[#This Row],[Actual]]-tblResults[[#This Row],[Budget]]))</f>
        <v>-830</v>
      </c>
      <c r="N59" s="43" t="str">
        <f>IF(tblResults[[#This Row],[Spending variance]]="","",IF(AND(ABS(tblResults[[#This Row],[Spending variance]])&gt;VarAmount,ABS(tblResults[[#This Row],[Spending variance %]])&gt;VarPct),IF(tblResults[[#This Row],[Spending variance]]&gt;0,"Out of limits","Check"),"Within limits"))</f>
        <v>Within limits</v>
      </c>
      <c r="O5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59" s="45" t="s">
        <v>122</v>
      </c>
    </row>
    <row r="60" spans="2:16">
      <c r="B60" s="29">
        <v>46143</v>
      </c>
      <c r="C60" s="28" t="s">
        <v>92</v>
      </c>
      <c r="D60" s="31">
        <v>128600</v>
      </c>
      <c r="E60" s="31">
        <v>132890</v>
      </c>
      <c r="F60" s="37" t="str">
        <f>IF(tblResults[[#This Row],[Month]]="","",IFERROR(INDEX(tblCostLines[Group],MATCH(tblResults[[#This Row],[Cost line]],tblCostLines[Cost line],0)),""))</f>
        <v>Labour</v>
      </c>
      <c r="G60" s="38">
        <f>IF(tblResults[[#This Row],[Month]]="","",IFERROR(INDEX(tblCostLines[Variable share],MATCH(tblResults[[#This Row],[Cost line]],tblCostLines[Cost line],0)),""))</f>
        <v>0.5</v>
      </c>
      <c r="H60" s="39">
        <f>IF(tblResults[[#This Row],[Month]]="","",IFERROR(INDEX(tblVolume[Volume ratio],MATCH(DATE(YEAR(tblResults[[#This Row],[Month]]),MONTH(tblResults[[#This Row],[Month]]),1),tblVolume[Month],0)),""))</f>
        <v>0.922297297297297</v>
      </c>
      <c r="I60" s="40">
        <f>IF(tblResults[[#This Row],[Month]]="","",IF(OR(tblResults[[#This Row],[Volume ratio]]="",tblResults[[#This Row],[Variable share]]=""),"",tblResults[[#This Row],[Budget]]*(1-tblResults[[#This Row],[Variable share]]+tblResults[[#This Row],[Variable share]]*tblResults[[#This Row],[Volume ratio]])))</f>
        <v>123603.716216216</v>
      </c>
      <c r="J60" s="41">
        <f>IF(tblResults[[#This Row],[Month]]="","",IF(OR(tblResults[[#This Row],[Flexed budget]]="",tblResults[[#This Row],[Actual]]=""),"",tblResults[[#This Row],[Actual]]-tblResults[[#This Row],[Flexed budget]]))</f>
        <v>9286.28378378377</v>
      </c>
      <c r="K60" s="42">
        <f>IF(tblResults[[#This Row],[Month]]="","",IF(OR(tblResults[[#This Row],[Spending variance]]="",tblResults[[#This Row],[Flexed budget]]=0),"",tblResults[[#This Row],[Spending variance]]/tblResults[[#This Row],[Flexed budget]]))</f>
        <v>0.0751294869447093</v>
      </c>
      <c r="L60" s="41">
        <f>IF(tblResults[[#This Row],[Month]]="","",IF(tblResults[[#This Row],[Flexed budget]]="","",tblResults[[#This Row],[Flexed budget]]-tblResults[[#This Row],[Budget]]))</f>
        <v>-4996.28378378377</v>
      </c>
      <c r="M60" s="41">
        <f>IF(tblResults[[#This Row],[Month]]="","",IF(tblResults[[#This Row],[Actual]]="","",tblResults[[#This Row],[Actual]]-tblResults[[#This Row],[Budget]]))</f>
        <v>4290</v>
      </c>
      <c r="N60" s="43" t="str">
        <f>IF(tblResults[[#This Row],[Spending variance]]="","",IF(AND(ABS(tblResults[[#This Row],[Spending variance]])&gt;VarAmount,ABS(tblResults[[#This Row],[Spending variance %]])&gt;VarPct),IF(tblResults[[#This Row],[Spending variance]]&gt;0,"Out of limits","Check"),"Within limits"))</f>
        <v>Out of limits</v>
      </c>
      <c r="O6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60" s="45" t="s">
        <v>125</v>
      </c>
    </row>
    <row r="61" spans="2:16">
      <c r="B61" s="29">
        <v>46143</v>
      </c>
      <c r="C61" s="28" t="s">
        <v>95</v>
      </c>
      <c r="D61" s="31">
        <v>48000</v>
      </c>
      <c r="E61" s="31">
        <v>47380</v>
      </c>
      <c r="F61" s="37" t="str">
        <f>IF(tblResults[[#This Row],[Month]]="","",IFERROR(INDEX(tblCostLines[Group],MATCH(tblResults[[#This Row],[Cost line]],tblCostLines[Cost line],0)),""))</f>
        <v>Labour</v>
      </c>
      <c r="G61" s="38">
        <f>IF(tblResults[[#This Row],[Month]]="","",IFERROR(INDEX(tblCostLines[Variable share],MATCH(tblResults[[#This Row],[Cost line]],tblCostLines[Cost line],0)),""))</f>
        <v>0</v>
      </c>
      <c r="H61" s="39">
        <f>IF(tblResults[[#This Row],[Month]]="","",IFERROR(INDEX(tblVolume[Volume ratio],MATCH(DATE(YEAR(tblResults[[#This Row],[Month]]),MONTH(tblResults[[#This Row],[Month]]),1),tblVolume[Month],0)),""))</f>
        <v>0.922297297297297</v>
      </c>
      <c r="I61" s="40">
        <f>IF(tblResults[[#This Row],[Month]]="","",IF(OR(tblResults[[#This Row],[Volume ratio]]="",tblResults[[#This Row],[Variable share]]=""),"",tblResults[[#This Row],[Budget]]*(1-tblResults[[#This Row],[Variable share]]+tblResults[[#This Row],[Variable share]]*tblResults[[#This Row],[Volume ratio]])))</f>
        <v>48000</v>
      </c>
      <c r="J61" s="41">
        <f>IF(tblResults[[#This Row],[Month]]="","",IF(OR(tblResults[[#This Row],[Flexed budget]]="",tblResults[[#This Row],[Actual]]=""),"",tblResults[[#This Row],[Actual]]-tblResults[[#This Row],[Flexed budget]]))</f>
        <v>-620</v>
      </c>
      <c r="K61" s="42">
        <f>IF(tblResults[[#This Row],[Month]]="","",IF(OR(tblResults[[#This Row],[Spending variance]]="",tblResults[[#This Row],[Flexed budget]]=0),"",tblResults[[#This Row],[Spending variance]]/tblResults[[#This Row],[Flexed budget]]))</f>
        <v>-0.0129166666666667</v>
      </c>
      <c r="L61" s="41">
        <f>IF(tblResults[[#This Row],[Month]]="","",IF(tblResults[[#This Row],[Flexed budget]]="","",tblResults[[#This Row],[Flexed budget]]-tblResults[[#This Row],[Budget]]))</f>
        <v>0</v>
      </c>
      <c r="M61" s="41">
        <f>IF(tblResults[[#This Row],[Month]]="","",IF(tblResults[[#This Row],[Actual]]="","",tblResults[[#This Row],[Actual]]-tblResults[[#This Row],[Budget]]))</f>
        <v>-620</v>
      </c>
      <c r="N61" s="43" t="str">
        <f>IF(tblResults[[#This Row],[Spending variance]]="","",IF(AND(ABS(tblResults[[#This Row],[Spending variance]])&gt;VarAmount,ABS(tblResults[[#This Row],[Spending variance %]])&gt;VarPct),IF(tblResults[[#This Row],[Spending variance]]&gt;0,"Out of limits","Check"),"Within limits"))</f>
        <v>Within limits</v>
      </c>
      <c r="O6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61" s="45" t="s">
        <v>122</v>
      </c>
    </row>
    <row r="62" spans="2:16">
      <c r="B62" s="29">
        <v>46143</v>
      </c>
      <c r="C62" s="28" t="s">
        <v>97</v>
      </c>
      <c r="D62" s="31">
        <v>35800</v>
      </c>
      <c r="E62" s="31">
        <v>34780</v>
      </c>
      <c r="F62" s="37" t="str">
        <f>IF(tblResults[[#This Row],[Month]]="","",IFERROR(INDEX(tblCostLines[Group],MATCH(tblResults[[#This Row],[Cost line]],tblCostLines[Cost line],0)),""))</f>
        <v>Overheads</v>
      </c>
      <c r="G62" s="38">
        <f>IF(tblResults[[#This Row],[Month]]="","",IFERROR(INDEX(tblCostLines[Variable share],MATCH(tblResults[[#This Row],[Cost line]],tblCostLines[Cost line],0)),""))</f>
        <v>0.3</v>
      </c>
      <c r="H62" s="39">
        <f>IF(tblResults[[#This Row],[Month]]="","",IFERROR(INDEX(tblVolume[Volume ratio],MATCH(DATE(YEAR(tblResults[[#This Row],[Month]]),MONTH(tblResults[[#This Row],[Month]]),1),tblVolume[Month],0)),""))</f>
        <v>0.922297297297297</v>
      </c>
      <c r="I62" s="40">
        <f>IF(tblResults[[#This Row],[Month]]="","",IF(OR(tblResults[[#This Row],[Volume ratio]]="",tblResults[[#This Row],[Variable share]]=""),"",tblResults[[#This Row],[Budget]]*(1-tblResults[[#This Row],[Variable share]]+tblResults[[#This Row],[Variable share]]*tblResults[[#This Row],[Volume ratio]])))</f>
        <v>34965.472972973</v>
      </c>
      <c r="J62" s="41">
        <f>IF(tblResults[[#This Row],[Month]]="","",IF(OR(tblResults[[#This Row],[Flexed budget]]="",tblResults[[#This Row],[Actual]]=""),"",tblResults[[#This Row],[Actual]]-tblResults[[#This Row],[Flexed budget]]))</f>
        <v>-185.472972972973</v>
      </c>
      <c r="K62" s="42">
        <f>IF(tblResults[[#This Row],[Month]]="","",IF(OR(tblResults[[#This Row],[Spending variance]]="",tblResults[[#This Row],[Flexed budget]]=0),"",tblResults[[#This Row],[Spending variance]]/tblResults[[#This Row],[Flexed budget]]))</f>
        <v>-0.00530446057790602</v>
      </c>
      <c r="L62" s="41">
        <f>IF(tblResults[[#This Row],[Month]]="","",IF(tblResults[[#This Row],[Flexed budget]]="","",tblResults[[#This Row],[Flexed budget]]-tblResults[[#This Row],[Budget]]))</f>
        <v>-834.527027027027</v>
      </c>
      <c r="M62" s="41">
        <f>IF(tblResults[[#This Row],[Month]]="","",IF(tblResults[[#This Row],[Actual]]="","",tblResults[[#This Row],[Actual]]-tblResults[[#This Row],[Budget]]))</f>
        <v>-1020</v>
      </c>
      <c r="N62" s="43" t="str">
        <f>IF(tblResults[[#This Row],[Spending variance]]="","",IF(AND(ABS(tblResults[[#This Row],[Spending variance]])&gt;VarAmount,ABS(tblResults[[#This Row],[Spending variance %]])&gt;VarPct),IF(tblResults[[#This Row],[Spending variance]]&gt;0,"Out of limits","Check"),"Within limits"))</f>
        <v>Within limits</v>
      </c>
      <c r="O6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62" s="45" t="s">
        <v>122</v>
      </c>
    </row>
    <row r="63" spans="2:16">
      <c r="B63" s="29">
        <v>46143</v>
      </c>
      <c r="C63" s="28" t="s">
        <v>100</v>
      </c>
      <c r="D63" s="31">
        <v>26700</v>
      </c>
      <c r="E63" s="31">
        <v>25200</v>
      </c>
      <c r="F63" s="37" t="str">
        <f>IF(tblResults[[#This Row],[Month]]="","",IFERROR(INDEX(tblCostLines[Group],MATCH(tblResults[[#This Row],[Cost line]],tblCostLines[Cost line],0)),""))</f>
        <v>Overheads</v>
      </c>
      <c r="G63" s="38">
        <f>IF(tblResults[[#This Row],[Month]]="","",IFERROR(INDEX(tblCostLines[Variable share],MATCH(tblResults[[#This Row],[Cost line]],tblCostLines[Cost line],0)),""))</f>
        <v>0.75</v>
      </c>
      <c r="H63" s="39">
        <f>IF(tblResults[[#This Row],[Month]]="","",IFERROR(INDEX(tblVolume[Volume ratio],MATCH(DATE(YEAR(tblResults[[#This Row],[Month]]),MONTH(tblResults[[#This Row],[Month]]),1),tblVolume[Month],0)),""))</f>
        <v>0.922297297297297</v>
      </c>
      <c r="I63" s="40">
        <f>IF(tblResults[[#This Row],[Month]]="","",IF(OR(tblResults[[#This Row],[Volume ratio]]="",tblResults[[#This Row],[Variable share]]=""),"",tblResults[[#This Row],[Budget]]*(1-tblResults[[#This Row],[Variable share]]+tblResults[[#This Row],[Variable share]]*tblResults[[#This Row],[Volume ratio]])))</f>
        <v>25144.0033783784</v>
      </c>
      <c r="J63" s="41">
        <f>IF(tblResults[[#This Row],[Month]]="","",IF(OR(tblResults[[#This Row],[Flexed budget]]="",tblResults[[#This Row],[Actual]]=""),"",tblResults[[#This Row],[Actual]]-tblResults[[#This Row],[Flexed budget]]))</f>
        <v>55.9966216216235</v>
      </c>
      <c r="K63" s="42">
        <f>IF(tblResults[[#This Row],[Month]]="","",IF(OR(tblResults[[#This Row],[Spending variance]]="",tblResults[[#This Row],[Flexed budget]]=0),"",tblResults[[#This Row],[Spending variance]]/tblResults[[#This Row],[Flexed budget]]))</f>
        <v>0.00222703683176306</v>
      </c>
      <c r="L63" s="41">
        <f>IF(tblResults[[#This Row],[Month]]="","",IF(tblResults[[#This Row],[Flexed budget]]="","",tblResults[[#This Row],[Flexed budget]]-tblResults[[#This Row],[Budget]]))</f>
        <v>-1555.99662162162</v>
      </c>
      <c r="M63" s="41">
        <f>IF(tblResults[[#This Row],[Month]]="","",IF(tblResults[[#This Row],[Actual]]="","",tblResults[[#This Row],[Actual]]-tblResults[[#This Row],[Budget]]))</f>
        <v>-1500</v>
      </c>
      <c r="N63" s="43" t="str">
        <f>IF(tblResults[[#This Row],[Spending variance]]="","",IF(AND(ABS(tblResults[[#This Row],[Spending variance]])&gt;VarAmount,ABS(tblResults[[#This Row],[Spending variance %]])&gt;VarPct),IF(tblResults[[#This Row],[Spending variance]]&gt;0,"Out of limits","Check"),"Within limits"))</f>
        <v>Within limits</v>
      </c>
      <c r="O6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63" s="45" t="s">
        <v>122</v>
      </c>
    </row>
    <row r="64" spans="2:16">
      <c r="B64" s="29">
        <v>46143</v>
      </c>
      <c r="C64" s="28" t="s">
        <v>102</v>
      </c>
      <c r="D64" s="31">
        <v>15300</v>
      </c>
      <c r="E64" s="31">
        <v>14180</v>
      </c>
      <c r="F64" s="37" t="str">
        <f>IF(tblResults[[#This Row],[Month]]="","",IFERROR(INDEX(tblCostLines[Group],MATCH(tblResults[[#This Row],[Cost line]],tblCostLines[Cost line],0)),""))</f>
        <v>Overheads</v>
      </c>
      <c r="G64" s="38">
        <f>IF(tblResults[[#This Row],[Month]]="","",IFERROR(INDEX(tblCostLines[Variable share],MATCH(tblResults[[#This Row],[Cost line]],tblCostLines[Cost line],0)),""))</f>
        <v>0.85</v>
      </c>
      <c r="H64" s="39">
        <f>IF(tblResults[[#This Row],[Month]]="","",IFERROR(INDEX(tblVolume[Volume ratio],MATCH(DATE(YEAR(tblResults[[#This Row],[Month]]),MONTH(tblResults[[#This Row],[Month]]),1),tblVolume[Month],0)),""))</f>
        <v>0.922297297297297</v>
      </c>
      <c r="I64" s="40">
        <f>IF(tblResults[[#This Row],[Month]]="","",IF(OR(tblResults[[#This Row],[Volume ratio]]="",tblResults[[#This Row],[Variable share]]=""),"",tblResults[[#This Row],[Budget]]*(1-tblResults[[#This Row],[Variable share]]+tblResults[[#This Row],[Variable share]]*tblResults[[#This Row],[Volume ratio]])))</f>
        <v>14289.4763513514</v>
      </c>
      <c r="J64" s="41">
        <f>IF(tblResults[[#This Row],[Month]]="","",IF(OR(tblResults[[#This Row],[Flexed budget]]="",tblResults[[#This Row],[Actual]]=""),"",tblResults[[#This Row],[Actual]]-tblResults[[#This Row],[Flexed budget]]))</f>
        <v>-109.476351351352</v>
      </c>
      <c r="K64" s="42">
        <f>IF(tblResults[[#This Row],[Month]]="","",IF(OR(tblResults[[#This Row],[Spending variance]]="",tblResults[[#This Row],[Flexed budget]]=0),"",tblResults[[#This Row],[Spending variance]]/tblResults[[#This Row],[Flexed budget]]))</f>
        <v>-0.00766132702553502</v>
      </c>
      <c r="L64" s="41">
        <f>IF(tblResults[[#This Row],[Month]]="","",IF(tblResults[[#This Row],[Flexed budget]]="","",tblResults[[#This Row],[Flexed budget]]-tblResults[[#This Row],[Budget]]))</f>
        <v>-1010.52364864865</v>
      </c>
      <c r="M64" s="41">
        <f>IF(tblResults[[#This Row],[Month]]="","",IF(tblResults[[#This Row],[Actual]]="","",tblResults[[#This Row],[Actual]]-tblResults[[#This Row],[Budget]]))</f>
        <v>-1120</v>
      </c>
      <c r="N64" s="43" t="str">
        <f>IF(tblResults[[#This Row],[Spending variance]]="","",IF(AND(ABS(tblResults[[#This Row],[Spending variance]])&gt;VarAmount,ABS(tblResults[[#This Row],[Spending variance %]])&gt;VarPct),IF(tblResults[[#This Row],[Spending variance]]&gt;0,"Out of limits","Check"),"Within limits"))</f>
        <v>Within limits</v>
      </c>
      <c r="O6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64" s="45" t="s">
        <v>122</v>
      </c>
    </row>
    <row r="65" spans="2:16">
      <c r="B65" s="29">
        <v>46143</v>
      </c>
      <c r="C65" s="28" t="s">
        <v>104</v>
      </c>
      <c r="D65" s="31">
        <v>41000</v>
      </c>
      <c r="E65" s="31">
        <v>41420</v>
      </c>
      <c r="F65" s="37" t="str">
        <f>IF(tblResults[[#This Row],[Month]]="","",IFERROR(INDEX(tblCostLines[Group],MATCH(tblResults[[#This Row],[Cost line]],tblCostLines[Cost line],0)),""))</f>
        <v>Overheads</v>
      </c>
      <c r="G65" s="38">
        <f>IF(tblResults[[#This Row],[Month]]="","",IFERROR(INDEX(tblCostLines[Variable share],MATCH(tblResults[[#This Row],[Cost line]],tblCostLines[Cost line],0)),""))</f>
        <v>0</v>
      </c>
      <c r="H65" s="39">
        <f>IF(tblResults[[#This Row],[Month]]="","",IFERROR(INDEX(tblVolume[Volume ratio],MATCH(DATE(YEAR(tblResults[[#This Row],[Month]]),MONTH(tblResults[[#This Row],[Month]]),1),tblVolume[Month],0)),""))</f>
        <v>0.922297297297297</v>
      </c>
      <c r="I65" s="40">
        <f>IF(tblResults[[#This Row],[Month]]="","",IF(OR(tblResults[[#This Row],[Volume ratio]]="",tblResults[[#This Row],[Variable share]]=""),"",tblResults[[#This Row],[Budget]]*(1-tblResults[[#This Row],[Variable share]]+tblResults[[#This Row],[Variable share]]*tblResults[[#This Row],[Volume ratio]])))</f>
        <v>41000</v>
      </c>
      <c r="J65" s="41">
        <f>IF(tblResults[[#This Row],[Month]]="","",IF(OR(tblResults[[#This Row],[Flexed budget]]="",tblResults[[#This Row],[Actual]]=""),"",tblResults[[#This Row],[Actual]]-tblResults[[#This Row],[Flexed budget]]))</f>
        <v>420</v>
      </c>
      <c r="K65" s="42">
        <f>IF(tblResults[[#This Row],[Month]]="","",IF(OR(tblResults[[#This Row],[Spending variance]]="",tblResults[[#This Row],[Flexed budget]]=0),"",tblResults[[#This Row],[Spending variance]]/tblResults[[#This Row],[Flexed budget]]))</f>
        <v>0.0102439024390244</v>
      </c>
      <c r="L65" s="41">
        <f>IF(tblResults[[#This Row],[Month]]="","",IF(tblResults[[#This Row],[Flexed budget]]="","",tblResults[[#This Row],[Flexed budget]]-tblResults[[#This Row],[Budget]]))</f>
        <v>0</v>
      </c>
      <c r="M65" s="41">
        <f>IF(tblResults[[#This Row],[Month]]="","",IF(tblResults[[#This Row],[Actual]]="","",tblResults[[#This Row],[Actual]]-tblResults[[#This Row],[Budget]]))</f>
        <v>420</v>
      </c>
      <c r="N65" s="43" t="str">
        <f>IF(tblResults[[#This Row],[Spending variance]]="","",IF(AND(ABS(tblResults[[#This Row],[Spending variance]])&gt;VarAmount,ABS(tblResults[[#This Row],[Spending variance %]])&gt;VarPct),IF(tblResults[[#This Row],[Spending variance]]&gt;0,"Out of limits","Check"),"Within limits"))</f>
        <v>Within limits</v>
      </c>
      <c r="O6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65" s="45" t="s">
        <v>122</v>
      </c>
    </row>
    <row r="66" spans="2:16">
      <c r="B66" s="29">
        <v>46143</v>
      </c>
      <c r="C66" s="28" t="s">
        <v>106</v>
      </c>
      <c r="D66" s="31">
        <v>18500</v>
      </c>
      <c r="E66" s="31">
        <v>18680</v>
      </c>
      <c r="F66" s="37" t="str">
        <f>IF(tblResults[[#This Row],[Month]]="","",IFERROR(INDEX(tblCostLines[Group],MATCH(tblResults[[#This Row],[Cost line]],tblCostLines[Cost line],0)),""))</f>
        <v>Overheads</v>
      </c>
      <c r="G66" s="38">
        <f>IF(tblResults[[#This Row],[Month]]="","",IFERROR(INDEX(tblCostLines[Variable share],MATCH(tblResults[[#This Row],[Cost line]],tblCostLines[Cost line],0)),""))</f>
        <v>0</v>
      </c>
      <c r="H66" s="39">
        <f>IF(tblResults[[#This Row],[Month]]="","",IFERROR(INDEX(tblVolume[Volume ratio],MATCH(DATE(YEAR(tblResults[[#This Row],[Month]]),MONTH(tblResults[[#This Row],[Month]]),1),tblVolume[Month],0)),""))</f>
        <v>0.922297297297297</v>
      </c>
      <c r="I66" s="40">
        <f>IF(tblResults[[#This Row],[Month]]="","",IF(OR(tblResults[[#This Row],[Volume ratio]]="",tblResults[[#This Row],[Variable share]]=""),"",tblResults[[#This Row],[Budget]]*(1-tblResults[[#This Row],[Variable share]]+tblResults[[#This Row],[Variable share]]*tblResults[[#This Row],[Volume ratio]])))</f>
        <v>18500</v>
      </c>
      <c r="J66" s="41">
        <f>IF(tblResults[[#This Row],[Month]]="","",IF(OR(tblResults[[#This Row],[Flexed budget]]="",tblResults[[#This Row],[Actual]]=""),"",tblResults[[#This Row],[Actual]]-tblResults[[#This Row],[Flexed budget]]))</f>
        <v>180</v>
      </c>
      <c r="K66" s="42">
        <f>IF(tblResults[[#This Row],[Month]]="","",IF(OR(tblResults[[#This Row],[Spending variance]]="",tblResults[[#This Row],[Flexed budget]]=0),"",tblResults[[#This Row],[Spending variance]]/tblResults[[#This Row],[Flexed budget]]))</f>
        <v>0.00972972972972973</v>
      </c>
      <c r="L66" s="41">
        <f>IF(tblResults[[#This Row],[Month]]="","",IF(tblResults[[#This Row],[Flexed budget]]="","",tblResults[[#This Row],[Flexed budget]]-tblResults[[#This Row],[Budget]]))</f>
        <v>0</v>
      </c>
      <c r="M66" s="41">
        <f>IF(tblResults[[#This Row],[Month]]="","",IF(tblResults[[#This Row],[Actual]]="","",tblResults[[#This Row],[Actual]]-tblResults[[#This Row],[Budget]]))</f>
        <v>180</v>
      </c>
      <c r="N66" s="43" t="str">
        <f>IF(tblResults[[#This Row],[Spending variance]]="","",IF(AND(ABS(tblResults[[#This Row],[Spending variance]])&gt;VarAmount,ABS(tblResults[[#This Row],[Spending variance %]])&gt;VarPct),IF(tblResults[[#This Row],[Spending variance]]&gt;0,"Out of limits","Check"),"Within limits"))</f>
        <v>Within limits</v>
      </c>
      <c r="O6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66" s="45" t="s">
        <v>122</v>
      </c>
    </row>
    <row r="67" spans="2:16">
      <c r="B67" s="29">
        <v>46174</v>
      </c>
      <c r="C67" s="28" t="s">
        <v>80</v>
      </c>
      <c r="D67" s="31">
        <v>465000</v>
      </c>
      <c r="E67" s="31">
        <v>447400</v>
      </c>
      <c r="F67" s="37" t="str">
        <f>IF(tblResults[[#This Row],[Month]]="","",IFERROR(INDEX(tblCostLines[Group],MATCH(tblResults[[#This Row],[Cost line]],tblCostLines[Cost line],0)),""))</f>
        <v>Materials</v>
      </c>
      <c r="G67" s="38">
        <f>IF(tblResults[[#This Row],[Month]]="","",IFERROR(INDEX(tblCostLines[Variable share],MATCH(tblResults[[#This Row],[Cost line]],tblCostLines[Cost line],0)),""))</f>
        <v>1</v>
      </c>
      <c r="H67" s="39">
        <f>IF(tblResults[[#This Row],[Month]]="","",IFERROR(INDEX(tblVolume[Volume ratio],MATCH(DATE(YEAR(tblResults[[#This Row],[Month]]),MONTH(tblResults[[#This Row],[Month]]),1),tblVolume[Month],0)),""))</f>
        <v>0.934666666666667</v>
      </c>
      <c r="I67" s="40">
        <f>IF(tblResults[[#This Row],[Month]]="","",IF(OR(tblResults[[#This Row],[Volume ratio]]="",tblResults[[#This Row],[Variable share]]=""),"",tblResults[[#This Row],[Budget]]*(1-tblResults[[#This Row],[Variable share]]+tblResults[[#This Row],[Variable share]]*tblResults[[#This Row],[Volume ratio]])))</f>
        <v>434620</v>
      </c>
      <c r="J67" s="41">
        <f>IF(tblResults[[#This Row],[Month]]="","",IF(OR(tblResults[[#This Row],[Flexed budget]]="",tblResults[[#This Row],[Actual]]=""),"",tblResults[[#This Row],[Actual]]-tblResults[[#This Row],[Flexed budget]]))</f>
        <v>12780</v>
      </c>
      <c r="K67" s="42">
        <f>IF(tblResults[[#This Row],[Month]]="","",IF(OR(tblResults[[#This Row],[Spending variance]]="",tblResults[[#This Row],[Flexed budget]]=0),"",tblResults[[#This Row],[Spending variance]]/tblResults[[#This Row],[Flexed budget]]))</f>
        <v>0.0294049974690534</v>
      </c>
      <c r="L67" s="41">
        <f>IF(tblResults[[#This Row],[Month]]="","",IF(tblResults[[#This Row],[Flexed budget]]="","",tblResults[[#This Row],[Flexed budget]]-tblResults[[#This Row],[Budget]]))</f>
        <v>-30380</v>
      </c>
      <c r="M67" s="41">
        <f>IF(tblResults[[#This Row],[Month]]="","",IF(tblResults[[#This Row],[Actual]]="","",tblResults[[#This Row],[Actual]]-tblResults[[#This Row],[Budget]]))</f>
        <v>-17600</v>
      </c>
      <c r="N67" s="43" t="str">
        <f>IF(tblResults[[#This Row],[Spending variance]]="","",IF(AND(ABS(tblResults[[#This Row],[Spending variance]])&gt;VarAmount,ABS(tblResults[[#This Row],[Spending variance %]])&gt;VarPct),IF(tblResults[[#This Row],[Spending variance]]&gt;0,"Out of limits","Check"),"Within limits"))</f>
        <v>Within limits</v>
      </c>
      <c r="O6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67" s="45" t="s">
        <v>122</v>
      </c>
    </row>
    <row r="68" spans="2:16">
      <c r="B68" s="29">
        <v>46174</v>
      </c>
      <c r="C68" s="28" t="s">
        <v>83</v>
      </c>
      <c r="D68" s="31">
        <v>63000</v>
      </c>
      <c r="E68" s="31">
        <v>59120</v>
      </c>
      <c r="F68" s="37" t="str">
        <f>IF(tblResults[[#This Row],[Month]]="","",IFERROR(INDEX(tblCostLines[Group],MATCH(tblResults[[#This Row],[Cost line]],tblCostLines[Cost line],0)),""))</f>
        <v>Materials</v>
      </c>
      <c r="G68" s="38">
        <f>IF(tblResults[[#This Row],[Month]]="","",IFERROR(INDEX(tblCostLines[Variable share],MATCH(tblResults[[#This Row],[Cost line]],tblCostLines[Cost line],0)),""))</f>
        <v>1</v>
      </c>
      <c r="H68" s="39">
        <f>IF(tblResults[[#This Row],[Month]]="","",IFERROR(INDEX(tblVolume[Volume ratio],MATCH(DATE(YEAR(tblResults[[#This Row],[Month]]),MONTH(tblResults[[#This Row],[Month]]),1),tblVolume[Month],0)),""))</f>
        <v>0.934666666666667</v>
      </c>
      <c r="I68" s="40">
        <f>IF(tblResults[[#This Row],[Month]]="","",IF(OR(tblResults[[#This Row],[Volume ratio]]="",tblResults[[#This Row],[Variable share]]=""),"",tblResults[[#This Row],[Budget]]*(1-tblResults[[#This Row],[Variable share]]+tblResults[[#This Row],[Variable share]]*tblResults[[#This Row],[Volume ratio]])))</f>
        <v>58884</v>
      </c>
      <c r="J68" s="41">
        <f>IF(tblResults[[#This Row],[Month]]="","",IF(OR(tblResults[[#This Row],[Flexed budget]]="",tblResults[[#This Row],[Actual]]=""),"",tblResults[[#This Row],[Actual]]-tblResults[[#This Row],[Flexed budget]]))</f>
        <v>236</v>
      </c>
      <c r="K68" s="42">
        <f>IF(tblResults[[#This Row],[Month]]="","",IF(OR(tblResults[[#This Row],[Spending variance]]="",tblResults[[#This Row],[Flexed budget]]=0),"",tblResults[[#This Row],[Spending variance]]/tblResults[[#This Row],[Flexed budget]]))</f>
        <v>0.00400787989946335</v>
      </c>
      <c r="L68" s="41">
        <f>IF(tblResults[[#This Row],[Month]]="","",IF(tblResults[[#This Row],[Flexed budget]]="","",tblResults[[#This Row],[Flexed budget]]-tblResults[[#This Row],[Budget]]))</f>
        <v>-4116</v>
      </c>
      <c r="M68" s="41">
        <f>IF(tblResults[[#This Row],[Month]]="","",IF(tblResults[[#This Row],[Actual]]="","",tblResults[[#This Row],[Actual]]-tblResults[[#This Row],[Budget]]))</f>
        <v>-3880</v>
      </c>
      <c r="N68" s="43" t="str">
        <f>IF(tblResults[[#This Row],[Spending variance]]="","",IF(AND(ABS(tblResults[[#This Row],[Spending variance]])&gt;VarAmount,ABS(tblResults[[#This Row],[Spending variance %]])&gt;VarPct),IF(tblResults[[#This Row],[Spending variance]]&gt;0,"Out of limits","Check"),"Within limits"))</f>
        <v>Within limits</v>
      </c>
      <c r="O6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68" s="45" t="s">
        <v>122</v>
      </c>
    </row>
    <row r="69" spans="2:16">
      <c r="B69" s="29">
        <v>46174</v>
      </c>
      <c r="C69" s="28" t="s">
        <v>85</v>
      </c>
      <c r="D69" s="31">
        <v>84500</v>
      </c>
      <c r="E69" s="31">
        <v>80460</v>
      </c>
      <c r="F69" s="37" t="str">
        <f>IF(tblResults[[#This Row],[Month]]="","",IFERROR(INDEX(tblCostLines[Group],MATCH(tblResults[[#This Row],[Cost line]],tblCostLines[Cost line],0)),""))</f>
        <v>Materials</v>
      </c>
      <c r="G69" s="38">
        <f>IF(tblResults[[#This Row],[Month]]="","",IFERROR(INDEX(tblCostLines[Variable share],MATCH(tblResults[[#This Row],[Cost line]],tblCostLines[Cost line],0)),""))</f>
        <v>0.9</v>
      </c>
      <c r="H69" s="39">
        <f>IF(tblResults[[#This Row],[Month]]="","",IFERROR(INDEX(tblVolume[Volume ratio],MATCH(DATE(YEAR(tblResults[[#This Row],[Month]]),MONTH(tblResults[[#This Row],[Month]]),1),tblVolume[Month],0)),""))</f>
        <v>0.934666666666667</v>
      </c>
      <c r="I69" s="40">
        <f>IF(tblResults[[#This Row],[Month]]="","",IF(OR(tblResults[[#This Row],[Volume ratio]]="",tblResults[[#This Row],[Variable share]]=""),"",tblResults[[#This Row],[Budget]]*(1-tblResults[[#This Row],[Variable share]]+tblResults[[#This Row],[Variable share]]*tblResults[[#This Row],[Volume ratio]])))</f>
        <v>79531.4</v>
      </c>
      <c r="J69" s="41">
        <f>IF(tblResults[[#This Row],[Month]]="","",IF(OR(tblResults[[#This Row],[Flexed budget]]="",tblResults[[#This Row],[Actual]]=""),"",tblResults[[#This Row],[Actual]]-tblResults[[#This Row],[Flexed budget]]))</f>
        <v>928.600000000006</v>
      </c>
      <c r="K69" s="42">
        <f>IF(tblResults[[#This Row],[Month]]="","",IF(OR(tblResults[[#This Row],[Spending variance]]="",tblResults[[#This Row],[Flexed budget]]=0),"",tblResults[[#This Row],[Spending variance]]/tblResults[[#This Row],[Flexed budget]]))</f>
        <v>0.0116758915346644</v>
      </c>
      <c r="L69" s="41">
        <f>IF(tblResults[[#This Row],[Month]]="","",IF(tblResults[[#This Row],[Flexed budget]]="","",tblResults[[#This Row],[Flexed budget]]-tblResults[[#This Row],[Budget]]))</f>
        <v>-4968.60000000001</v>
      </c>
      <c r="M69" s="41">
        <f>IF(tblResults[[#This Row],[Month]]="","",IF(tblResults[[#This Row],[Actual]]="","",tblResults[[#This Row],[Actual]]-tblResults[[#This Row],[Budget]]))</f>
        <v>-4040</v>
      </c>
      <c r="N69" s="43" t="str">
        <f>IF(tblResults[[#This Row],[Spending variance]]="","",IF(AND(ABS(tblResults[[#This Row],[Spending variance]])&gt;VarAmount,ABS(tblResults[[#This Row],[Spending variance %]])&gt;VarPct),IF(tblResults[[#This Row],[Spending variance]]&gt;0,"Out of limits","Check"),"Within limits"))</f>
        <v>Within limits</v>
      </c>
      <c r="O6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69" s="45" t="s">
        <v>122</v>
      </c>
    </row>
    <row r="70" spans="2:16">
      <c r="B70" s="29">
        <v>46174</v>
      </c>
      <c r="C70" s="28" t="s">
        <v>87</v>
      </c>
      <c r="D70" s="31">
        <v>140000</v>
      </c>
      <c r="E70" s="31">
        <v>142470</v>
      </c>
      <c r="F70" s="37" t="str">
        <f>IF(tblResults[[#This Row],[Month]]="","",IFERROR(INDEX(tblCostLines[Group],MATCH(tblResults[[#This Row],[Cost line]],tblCostLines[Cost line],0)),""))</f>
        <v>Energy</v>
      </c>
      <c r="G70" s="38">
        <f>IF(tblResults[[#This Row],[Month]]="","",IFERROR(INDEX(tblCostLines[Variable share],MATCH(tblResults[[#This Row],[Cost line]],tblCostLines[Cost line],0)),""))</f>
        <v>0.85</v>
      </c>
      <c r="H70" s="39">
        <f>IF(tblResults[[#This Row],[Month]]="","",IFERROR(INDEX(tblVolume[Volume ratio],MATCH(DATE(YEAR(tblResults[[#This Row],[Month]]),MONTH(tblResults[[#This Row],[Month]]),1),tblVolume[Month],0)),""))</f>
        <v>0.934666666666667</v>
      </c>
      <c r="I70" s="40">
        <f>IF(tblResults[[#This Row],[Month]]="","",IF(OR(tblResults[[#This Row],[Volume ratio]]="",tblResults[[#This Row],[Variable share]]=""),"",tblResults[[#This Row],[Budget]]*(1-tblResults[[#This Row],[Variable share]]+tblResults[[#This Row],[Variable share]]*tblResults[[#This Row],[Volume ratio]])))</f>
        <v>132225.333333333</v>
      </c>
      <c r="J70" s="41">
        <f>IF(tblResults[[#This Row],[Month]]="","",IF(OR(tblResults[[#This Row],[Flexed budget]]="",tblResults[[#This Row],[Actual]]=""),"",tblResults[[#This Row],[Actual]]-tblResults[[#This Row],[Flexed budget]]))</f>
        <v>10244.6666666667</v>
      </c>
      <c r="K70" s="42">
        <f>IF(tblResults[[#This Row],[Month]]="","",IF(OR(tblResults[[#This Row],[Spending variance]]="",tblResults[[#This Row],[Flexed budget]]=0),"",tblResults[[#This Row],[Spending variance]]/tblResults[[#This Row],[Flexed budget]]))</f>
        <v>0.0774788492371607</v>
      </c>
      <c r="L70" s="41">
        <f>IF(tblResults[[#This Row],[Month]]="","",IF(tblResults[[#This Row],[Flexed budget]]="","",tblResults[[#This Row],[Flexed budget]]-tblResults[[#This Row],[Budget]]))</f>
        <v>-7774.66666666666</v>
      </c>
      <c r="M70" s="41">
        <f>IF(tblResults[[#This Row],[Month]]="","",IF(tblResults[[#This Row],[Actual]]="","",tblResults[[#This Row],[Actual]]-tblResults[[#This Row],[Budget]]))</f>
        <v>2470</v>
      </c>
      <c r="N70" s="43" t="str">
        <f>IF(tblResults[[#This Row],[Spending variance]]="","",IF(AND(ABS(tblResults[[#This Row],[Spending variance]])&gt;VarAmount,ABS(tblResults[[#This Row],[Spending variance %]])&gt;VarPct),IF(tblResults[[#This Row],[Spending variance]]&gt;0,"Out of limits","Check"),"Within limits"))</f>
        <v>Out of limits</v>
      </c>
      <c r="O7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0" s="45" t="s">
        <v>124</v>
      </c>
    </row>
    <row r="71" spans="2:16">
      <c r="B71" s="29">
        <v>46174</v>
      </c>
      <c r="C71" s="28" t="s">
        <v>90</v>
      </c>
      <c r="D71" s="31">
        <v>18000</v>
      </c>
      <c r="E71" s="31">
        <v>17310</v>
      </c>
      <c r="F71" s="37" t="str">
        <f>IF(tblResults[[#This Row],[Month]]="","",IFERROR(INDEX(tblCostLines[Group],MATCH(tblResults[[#This Row],[Cost line]],tblCostLines[Cost line],0)),""))</f>
        <v>Energy</v>
      </c>
      <c r="G71" s="38">
        <f>IF(tblResults[[#This Row],[Month]]="","",IFERROR(INDEX(tblCostLines[Variable share],MATCH(tblResults[[#This Row],[Cost line]],tblCostLines[Cost line],0)),""))</f>
        <v>0.5</v>
      </c>
      <c r="H71" s="39">
        <f>IF(tblResults[[#This Row],[Month]]="","",IFERROR(INDEX(tblVolume[Volume ratio],MATCH(DATE(YEAR(tblResults[[#This Row],[Month]]),MONTH(tblResults[[#This Row],[Month]]),1),tblVolume[Month],0)),""))</f>
        <v>0.934666666666667</v>
      </c>
      <c r="I71" s="40">
        <f>IF(tblResults[[#This Row],[Month]]="","",IF(OR(tblResults[[#This Row],[Volume ratio]]="",tblResults[[#This Row],[Variable share]]=""),"",tblResults[[#This Row],[Budget]]*(1-tblResults[[#This Row],[Variable share]]+tblResults[[#This Row],[Variable share]]*tblResults[[#This Row],[Volume ratio]])))</f>
        <v>17412</v>
      </c>
      <c r="J71" s="41">
        <f>IF(tblResults[[#This Row],[Month]]="","",IF(OR(tblResults[[#This Row],[Flexed budget]]="",tblResults[[#This Row],[Actual]]=""),"",tblResults[[#This Row],[Actual]]-tblResults[[#This Row],[Flexed budget]]))</f>
        <v>-102</v>
      </c>
      <c r="K71" s="42">
        <f>IF(tblResults[[#This Row],[Month]]="","",IF(OR(tblResults[[#This Row],[Spending variance]]="",tblResults[[#This Row],[Flexed budget]]=0),"",tblResults[[#This Row],[Spending variance]]/tblResults[[#This Row],[Flexed budget]]))</f>
        <v>-0.00585802894555479</v>
      </c>
      <c r="L71" s="41">
        <f>IF(tblResults[[#This Row],[Month]]="","",IF(tblResults[[#This Row],[Flexed budget]]="","",tblResults[[#This Row],[Flexed budget]]-tblResults[[#This Row],[Budget]]))</f>
        <v>-588</v>
      </c>
      <c r="M71" s="41">
        <f>IF(tblResults[[#This Row],[Month]]="","",IF(tblResults[[#This Row],[Actual]]="","",tblResults[[#This Row],[Actual]]-tblResults[[#This Row],[Budget]]))</f>
        <v>-690</v>
      </c>
      <c r="N71" s="43" t="str">
        <f>IF(tblResults[[#This Row],[Spending variance]]="","",IF(AND(ABS(tblResults[[#This Row],[Spending variance]])&gt;VarAmount,ABS(tblResults[[#This Row],[Spending variance %]])&gt;VarPct),IF(tblResults[[#This Row],[Spending variance]]&gt;0,"Out of limits","Check"),"Within limits"))</f>
        <v>Within limits</v>
      </c>
      <c r="O7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1" s="45" t="s">
        <v>122</v>
      </c>
    </row>
    <row r="72" spans="2:16">
      <c r="B72" s="29">
        <v>46174</v>
      </c>
      <c r="C72" s="28" t="s">
        <v>92</v>
      </c>
      <c r="D72" s="31">
        <v>129500</v>
      </c>
      <c r="E72" s="31">
        <v>133600</v>
      </c>
      <c r="F72" s="37" t="str">
        <f>IF(tblResults[[#This Row],[Month]]="","",IFERROR(INDEX(tblCostLines[Group],MATCH(tblResults[[#This Row],[Cost line]],tblCostLines[Cost line],0)),""))</f>
        <v>Labour</v>
      </c>
      <c r="G72" s="38">
        <f>IF(tblResults[[#This Row],[Month]]="","",IFERROR(INDEX(tblCostLines[Variable share],MATCH(tblResults[[#This Row],[Cost line]],tblCostLines[Cost line],0)),""))</f>
        <v>0.5</v>
      </c>
      <c r="H72" s="39">
        <f>IF(tblResults[[#This Row],[Month]]="","",IFERROR(INDEX(tblVolume[Volume ratio],MATCH(DATE(YEAR(tblResults[[#This Row],[Month]]),MONTH(tblResults[[#This Row],[Month]]),1),tblVolume[Month],0)),""))</f>
        <v>0.934666666666667</v>
      </c>
      <c r="I72" s="40">
        <f>IF(tblResults[[#This Row],[Month]]="","",IF(OR(tblResults[[#This Row],[Volume ratio]]="",tblResults[[#This Row],[Variable share]]=""),"",tblResults[[#This Row],[Budget]]*(1-tblResults[[#This Row],[Variable share]]+tblResults[[#This Row],[Variable share]]*tblResults[[#This Row],[Volume ratio]])))</f>
        <v>125269.666666667</v>
      </c>
      <c r="J72" s="41">
        <f>IF(tblResults[[#This Row],[Month]]="","",IF(OR(tblResults[[#This Row],[Flexed budget]]="",tblResults[[#This Row],[Actual]]=""),"",tblResults[[#This Row],[Actual]]-tblResults[[#This Row],[Flexed budget]]))</f>
        <v>8330.33333333333</v>
      </c>
      <c r="K72" s="42">
        <f>IF(tblResults[[#This Row],[Month]]="","",IF(OR(tblResults[[#This Row],[Spending variance]]="",tblResults[[#This Row],[Flexed budget]]=0),"",tblResults[[#This Row],[Spending variance]]/tblResults[[#This Row],[Flexed budget]]))</f>
        <v>0.0664992057135406</v>
      </c>
      <c r="L72" s="41">
        <f>IF(tblResults[[#This Row],[Month]]="","",IF(tblResults[[#This Row],[Flexed budget]]="","",tblResults[[#This Row],[Flexed budget]]-tblResults[[#This Row],[Budget]]))</f>
        <v>-4230.33333333333</v>
      </c>
      <c r="M72" s="41">
        <f>IF(tblResults[[#This Row],[Month]]="","",IF(tblResults[[#This Row],[Actual]]="","",tblResults[[#This Row],[Actual]]-tblResults[[#This Row],[Budget]]))</f>
        <v>4100</v>
      </c>
      <c r="N72" s="43" t="str">
        <f>IF(tblResults[[#This Row],[Spending variance]]="","",IF(AND(ABS(tblResults[[#This Row],[Spending variance]])&gt;VarAmount,ABS(tblResults[[#This Row],[Spending variance %]])&gt;VarPct),IF(tblResults[[#This Row],[Spending variance]]&gt;0,"Out of limits","Check"),"Within limits"))</f>
        <v>Out of limits</v>
      </c>
      <c r="O7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2" s="45" t="s">
        <v>125</v>
      </c>
    </row>
    <row r="73" spans="2:16">
      <c r="B73" s="29">
        <v>46174</v>
      </c>
      <c r="C73" s="28" t="s">
        <v>95</v>
      </c>
      <c r="D73" s="31">
        <v>48000</v>
      </c>
      <c r="E73" s="31">
        <v>48550</v>
      </c>
      <c r="F73" s="37" t="str">
        <f>IF(tblResults[[#This Row],[Month]]="","",IFERROR(INDEX(tblCostLines[Group],MATCH(tblResults[[#This Row],[Cost line]],tblCostLines[Cost line],0)),""))</f>
        <v>Labour</v>
      </c>
      <c r="G73" s="38">
        <f>IF(tblResults[[#This Row],[Month]]="","",IFERROR(INDEX(tblCostLines[Variable share],MATCH(tblResults[[#This Row],[Cost line]],tblCostLines[Cost line],0)),""))</f>
        <v>0</v>
      </c>
      <c r="H73" s="39">
        <f>IF(tblResults[[#This Row],[Month]]="","",IFERROR(INDEX(tblVolume[Volume ratio],MATCH(DATE(YEAR(tblResults[[#This Row],[Month]]),MONTH(tblResults[[#This Row],[Month]]),1),tblVolume[Month],0)),""))</f>
        <v>0.934666666666667</v>
      </c>
      <c r="I73" s="40">
        <f>IF(tblResults[[#This Row],[Month]]="","",IF(OR(tblResults[[#This Row],[Volume ratio]]="",tblResults[[#This Row],[Variable share]]=""),"",tblResults[[#This Row],[Budget]]*(1-tblResults[[#This Row],[Variable share]]+tblResults[[#This Row],[Variable share]]*tblResults[[#This Row],[Volume ratio]])))</f>
        <v>48000</v>
      </c>
      <c r="J73" s="41">
        <f>IF(tblResults[[#This Row],[Month]]="","",IF(OR(tblResults[[#This Row],[Flexed budget]]="",tblResults[[#This Row],[Actual]]=""),"",tblResults[[#This Row],[Actual]]-tblResults[[#This Row],[Flexed budget]]))</f>
        <v>550</v>
      </c>
      <c r="K73" s="42">
        <f>IF(tblResults[[#This Row],[Month]]="","",IF(OR(tblResults[[#This Row],[Spending variance]]="",tblResults[[#This Row],[Flexed budget]]=0),"",tblResults[[#This Row],[Spending variance]]/tblResults[[#This Row],[Flexed budget]]))</f>
        <v>0.0114583333333333</v>
      </c>
      <c r="L73" s="41">
        <f>IF(tblResults[[#This Row],[Month]]="","",IF(tblResults[[#This Row],[Flexed budget]]="","",tblResults[[#This Row],[Flexed budget]]-tblResults[[#This Row],[Budget]]))</f>
        <v>0</v>
      </c>
      <c r="M73" s="41">
        <f>IF(tblResults[[#This Row],[Month]]="","",IF(tblResults[[#This Row],[Actual]]="","",tblResults[[#This Row],[Actual]]-tblResults[[#This Row],[Budget]]))</f>
        <v>550</v>
      </c>
      <c r="N73" s="43" t="str">
        <f>IF(tblResults[[#This Row],[Spending variance]]="","",IF(AND(ABS(tblResults[[#This Row],[Spending variance]])&gt;VarAmount,ABS(tblResults[[#This Row],[Spending variance %]])&gt;VarPct),IF(tblResults[[#This Row],[Spending variance]]&gt;0,"Out of limits","Check"),"Within limits"))</f>
        <v>Within limits</v>
      </c>
      <c r="O7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3" s="45" t="s">
        <v>122</v>
      </c>
    </row>
    <row r="74" spans="2:16">
      <c r="B74" s="29">
        <v>46174</v>
      </c>
      <c r="C74" s="28" t="s">
        <v>97</v>
      </c>
      <c r="D74" s="31">
        <v>36000</v>
      </c>
      <c r="E74" s="31">
        <v>72780</v>
      </c>
      <c r="F74" s="37" t="str">
        <f>IF(tblResults[[#This Row],[Month]]="","",IFERROR(INDEX(tblCostLines[Group],MATCH(tblResults[[#This Row],[Cost line]],tblCostLines[Cost line],0)),""))</f>
        <v>Overheads</v>
      </c>
      <c r="G74" s="38">
        <f>IF(tblResults[[#This Row],[Month]]="","",IFERROR(INDEX(tblCostLines[Variable share],MATCH(tblResults[[#This Row],[Cost line]],tblCostLines[Cost line],0)),""))</f>
        <v>0.3</v>
      </c>
      <c r="H74" s="39">
        <f>IF(tblResults[[#This Row],[Month]]="","",IFERROR(INDEX(tblVolume[Volume ratio],MATCH(DATE(YEAR(tblResults[[#This Row],[Month]]),MONTH(tblResults[[#This Row],[Month]]),1),tblVolume[Month],0)),""))</f>
        <v>0.934666666666667</v>
      </c>
      <c r="I74" s="40">
        <f>IF(tblResults[[#This Row],[Month]]="","",IF(OR(tblResults[[#This Row],[Volume ratio]]="",tblResults[[#This Row],[Variable share]]=""),"",tblResults[[#This Row],[Budget]]*(1-tblResults[[#This Row],[Variable share]]+tblResults[[#This Row],[Variable share]]*tblResults[[#This Row],[Volume ratio]])))</f>
        <v>35294.4</v>
      </c>
      <c r="J74" s="41">
        <f>IF(tblResults[[#This Row],[Month]]="","",IF(OR(tblResults[[#This Row],[Flexed budget]]="",tblResults[[#This Row],[Actual]]=""),"",tblResults[[#This Row],[Actual]]-tblResults[[#This Row],[Flexed budget]]))</f>
        <v>37485.6</v>
      </c>
      <c r="K74" s="42">
        <f>IF(tblResults[[#This Row],[Month]]="","",IF(OR(tblResults[[#This Row],[Spending variance]]="",tblResults[[#This Row],[Flexed budget]]=0),"",tblResults[[#This Row],[Spending variance]]/tblResults[[#This Row],[Flexed budget]]))</f>
        <v>1.06208350333197</v>
      </c>
      <c r="L74" s="41">
        <f>IF(tblResults[[#This Row],[Month]]="","",IF(tblResults[[#This Row],[Flexed budget]]="","",tblResults[[#This Row],[Flexed budget]]-tblResults[[#This Row],[Budget]]))</f>
        <v>-705.600000000006</v>
      </c>
      <c r="M74" s="41">
        <f>IF(tblResults[[#This Row],[Month]]="","",IF(tblResults[[#This Row],[Actual]]="","",tblResults[[#This Row],[Actual]]-tblResults[[#This Row],[Budget]]))</f>
        <v>36780</v>
      </c>
      <c r="N74" s="43" t="str">
        <f>IF(tblResults[[#This Row],[Spending variance]]="","",IF(AND(ABS(tblResults[[#This Row],[Spending variance]])&gt;VarAmount,ABS(tblResults[[#This Row],[Spending variance %]])&gt;VarPct),IF(tblResults[[#This Row],[Spending variance]]&gt;0,"Out of limits","Check"),"Within limits"))</f>
        <v>Out of limits</v>
      </c>
      <c r="O7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4" s="45" t="s">
        <v>126</v>
      </c>
    </row>
    <row r="75" spans="2:16">
      <c r="B75" s="29">
        <v>46174</v>
      </c>
      <c r="C75" s="28" t="s">
        <v>100</v>
      </c>
      <c r="D75" s="31">
        <v>27000</v>
      </c>
      <c r="E75" s="31">
        <v>25270</v>
      </c>
      <c r="F75" s="37" t="str">
        <f>IF(tblResults[[#This Row],[Month]]="","",IFERROR(INDEX(tblCostLines[Group],MATCH(tblResults[[#This Row],[Cost line]],tblCostLines[Cost line],0)),""))</f>
        <v>Overheads</v>
      </c>
      <c r="G75" s="38">
        <f>IF(tblResults[[#This Row],[Month]]="","",IFERROR(INDEX(tblCostLines[Variable share],MATCH(tblResults[[#This Row],[Cost line]],tblCostLines[Cost line],0)),""))</f>
        <v>0.75</v>
      </c>
      <c r="H75" s="39">
        <f>IF(tblResults[[#This Row],[Month]]="","",IFERROR(INDEX(tblVolume[Volume ratio],MATCH(DATE(YEAR(tblResults[[#This Row],[Month]]),MONTH(tblResults[[#This Row],[Month]]),1),tblVolume[Month],0)),""))</f>
        <v>0.934666666666667</v>
      </c>
      <c r="I75" s="40">
        <f>IF(tblResults[[#This Row],[Month]]="","",IF(OR(tblResults[[#This Row],[Volume ratio]]="",tblResults[[#This Row],[Variable share]]=""),"",tblResults[[#This Row],[Budget]]*(1-tblResults[[#This Row],[Variable share]]+tblResults[[#This Row],[Variable share]]*tblResults[[#This Row],[Volume ratio]])))</f>
        <v>25677</v>
      </c>
      <c r="J75" s="41">
        <f>IF(tblResults[[#This Row],[Month]]="","",IF(OR(tblResults[[#This Row],[Flexed budget]]="",tblResults[[#This Row],[Actual]]=""),"",tblResults[[#This Row],[Actual]]-tblResults[[#This Row],[Flexed budget]]))</f>
        <v>-407</v>
      </c>
      <c r="K75" s="42">
        <f>IF(tblResults[[#This Row],[Month]]="","",IF(OR(tblResults[[#This Row],[Spending variance]]="",tblResults[[#This Row],[Flexed budget]]=0),"",tblResults[[#This Row],[Spending variance]]/tblResults[[#This Row],[Flexed budget]]))</f>
        <v>-0.0158507613817814</v>
      </c>
      <c r="L75" s="41">
        <f>IF(tblResults[[#This Row],[Month]]="","",IF(tblResults[[#This Row],[Flexed budget]]="","",tblResults[[#This Row],[Flexed budget]]-tblResults[[#This Row],[Budget]]))</f>
        <v>-1323</v>
      </c>
      <c r="M75" s="41">
        <f>IF(tblResults[[#This Row],[Month]]="","",IF(tblResults[[#This Row],[Actual]]="","",tblResults[[#This Row],[Actual]]-tblResults[[#This Row],[Budget]]))</f>
        <v>-1730</v>
      </c>
      <c r="N75" s="43" t="str">
        <f>IF(tblResults[[#This Row],[Spending variance]]="","",IF(AND(ABS(tblResults[[#This Row],[Spending variance]])&gt;VarAmount,ABS(tblResults[[#This Row],[Spending variance %]])&gt;VarPct),IF(tblResults[[#This Row],[Spending variance]]&gt;0,"Out of limits","Check"),"Within limits"))</f>
        <v>Within limits</v>
      </c>
      <c r="O7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5" s="45" t="s">
        <v>122</v>
      </c>
    </row>
    <row r="76" spans="2:16">
      <c r="B76" s="29">
        <v>46174</v>
      </c>
      <c r="C76" s="28" t="s">
        <v>102</v>
      </c>
      <c r="D76" s="31">
        <v>15500</v>
      </c>
      <c r="E76" s="31">
        <v>14470</v>
      </c>
      <c r="F76" s="37" t="str">
        <f>IF(tblResults[[#This Row],[Month]]="","",IFERROR(INDEX(tblCostLines[Group],MATCH(tblResults[[#This Row],[Cost line]],tblCostLines[Cost line],0)),""))</f>
        <v>Overheads</v>
      </c>
      <c r="G76" s="38">
        <f>IF(tblResults[[#This Row],[Month]]="","",IFERROR(INDEX(tblCostLines[Variable share],MATCH(tblResults[[#This Row],[Cost line]],tblCostLines[Cost line],0)),""))</f>
        <v>0.85</v>
      </c>
      <c r="H76" s="39">
        <f>IF(tblResults[[#This Row],[Month]]="","",IFERROR(INDEX(tblVolume[Volume ratio],MATCH(DATE(YEAR(tblResults[[#This Row],[Month]]),MONTH(tblResults[[#This Row],[Month]]),1),tblVolume[Month],0)),""))</f>
        <v>0.934666666666667</v>
      </c>
      <c r="I76" s="40">
        <f>IF(tblResults[[#This Row],[Month]]="","",IF(OR(tblResults[[#This Row],[Volume ratio]]="",tblResults[[#This Row],[Variable share]]=""),"",tblResults[[#This Row],[Budget]]*(1-tblResults[[#This Row],[Variable share]]+tblResults[[#This Row],[Variable share]]*tblResults[[#This Row],[Volume ratio]])))</f>
        <v>14639.2333333333</v>
      </c>
      <c r="J76" s="41">
        <f>IF(tblResults[[#This Row],[Month]]="","",IF(OR(tblResults[[#This Row],[Flexed budget]]="",tblResults[[#This Row],[Actual]]=""),"",tblResults[[#This Row],[Actual]]-tblResults[[#This Row],[Flexed budget]]))</f>
        <v>-169.233333333334</v>
      </c>
      <c r="K76" s="42">
        <f>IF(tblResults[[#This Row],[Month]]="","",IF(OR(tblResults[[#This Row],[Spending variance]]="",tblResults[[#This Row],[Flexed budget]]=0),"",tblResults[[#This Row],[Spending variance]]/tblResults[[#This Row],[Flexed budget]]))</f>
        <v>-0.0115602593031967</v>
      </c>
      <c r="L76" s="41">
        <f>IF(tblResults[[#This Row],[Month]]="","",IF(tblResults[[#This Row],[Flexed budget]]="","",tblResults[[#This Row],[Flexed budget]]-tblResults[[#This Row],[Budget]]))</f>
        <v>-860.766666666666</v>
      </c>
      <c r="M76" s="41">
        <f>IF(tblResults[[#This Row],[Month]]="","",IF(tblResults[[#This Row],[Actual]]="","",tblResults[[#This Row],[Actual]]-tblResults[[#This Row],[Budget]]))</f>
        <v>-1030</v>
      </c>
      <c r="N76" s="43" t="str">
        <f>IF(tblResults[[#This Row],[Spending variance]]="","",IF(AND(ABS(tblResults[[#This Row],[Spending variance]])&gt;VarAmount,ABS(tblResults[[#This Row],[Spending variance %]])&gt;VarPct),IF(tblResults[[#This Row],[Spending variance]]&gt;0,"Out of limits","Check"),"Within limits"))</f>
        <v>Within limits</v>
      </c>
      <c r="O7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6" s="45" t="s">
        <v>122</v>
      </c>
    </row>
    <row r="77" spans="2:16">
      <c r="B77" s="29">
        <v>46174</v>
      </c>
      <c r="C77" s="28" t="s">
        <v>104</v>
      </c>
      <c r="D77" s="31">
        <v>41000</v>
      </c>
      <c r="E77" s="31">
        <v>40720</v>
      </c>
      <c r="F77" s="37" t="str">
        <f>IF(tblResults[[#This Row],[Month]]="","",IFERROR(INDEX(tblCostLines[Group],MATCH(tblResults[[#This Row],[Cost line]],tblCostLines[Cost line],0)),""))</f>
        <v>Overheads</v>
      </c>
      <c r="G77" s="38">
        <f>IF(tblResults[[#This Row],[Month]]="","",IFERROR(INDEX(tblCostLines[Variable share],MATCH(tblResults[[#This Row],[Cost line]],tblCostLines[Cost line],0)),""))</f>
        <v>0</v>
      </c>
      <c r="H77" s="39">
        <f>IF(tblResults[[#This Row],[Month]]="","",IFERROR(INDEX(tblVolume[Volume ratio],MATCH(DATE(YEAR(tblResults[[#This Row],[Month]]),MONTH(tblResults[[#This Row],[Month]]),1),tblVolume[Month],0)),""))</f>
        <v>0.934666666666667</v>
      </c>
      <c r="I77" s="40">
        <f>IF(tblResults[[#This Row],[Month]]="","",IF(OR(tblResults[[#This Row],[Volume ratio]]="",tblResults[[#This Row],[Variable share]]=""),"",tblResults[[#This Row],[Budget]]*(1-tblResults[[#This Row],[Variable share]]+tblResults[[#This Row],[Variable share]]*tblResults[[#This Row],[Volume ratio]])))</f>
        <v>41000</v>
      </c>
      <c r="J77" s="41">
        <f>IF(tblResults[[#This Row],[Month]]="","",IF(OR(tblResults[[#This Row],[Flexed budget]]="",tblResults[[#This Row],[Actual]]=""),"",tblResults[[#This Row],[Actual]]-tblResults[[#This Row],[Flexed budget]]))</f>
        <v>-280</v>
      </c>
      <c r="K77" s="42">
        <f>IF(tblResults[[#This Row],[Month]]="","",IF(OR(tblResults[[#This Row],[Spending variance]]="",tblResults[[#This Row],[Flexed budget]]=0),"",tblResults[[#This Row],[Spending variance]]/tblResults[[#This Row],[Flexed budget]]))</f>
        <v>-0.00682926829268293</v>
      </c>
      <c r="L77" s="41">
        <f>IF(tblResults[[#This Row],[Month]]="","",IF(tblResults[[#This Row],[Flexed budget]]="","",tblResults[[#This Row],[Flexed budget]]-tblResults[[#This Row],[Budget]]))</f>
        <v>0</v>
      </c>
      <c r="M77" s="41">
        <f>IF(tblResults[[#This Row],[Month]]="","",IF(tblResults[[#This Row],[Actual]]="","",tblResults[[#This Row],[Actual]]-tblResults[[#This Row],[Budget]]))</f>
        <v>-280</v>
      </c>
      <c r="N77" s="43" t="str">
        <f>IF(tblResults[[#This Row],[Spending variance]]="","",IF(AND(ABS(tblResults[[#This Row],[Spending variance]])&gt;VarAmount,ABS(tblResults[[#This Row],[Spending variance %]])&gt;VarPct),IF(tblResults[[#This Row],[Spending variance]]&gt;0,"Out of limits","Check"),"Within limits"))</f>
        <v>Within limits</v>
      </c>
      <c r="O7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7" s="45" t="s">
        <v>122</v>
      </c>
    </row>
    <row r="78" spans="2:16">
      <c r="B78" s="29">
        <v>46174</v>
      </c>
      <c r="C78" s="28" t="s">
        <v>106</v>
      </c>
      <c r="D78" s="31">
        <v>18500</v>
      </c>
      <c r="E78" s="31">
        <v>18440</v>
      </c>
      <c r="F78" s="37" t="str">
        <f>IF(tblResults[[#This Row],[Month]]="","",IFERROR(INDEX(tblCostLines[Group],MATCH(tblResults[[#This Row],[Cost line]],tblCostLines[Cost line],0)),""))</f>
        <v>Overheads</v>
      </c>
      <c r="G78" s="38">
        <f>IF(tblResults[[#This Row],[Month]]="","",IFERROR(INDEX(tblCostLines[Variable share],MATCH(tblResults[[#This Row],[Cost line]],tblCostLines[Cost line],0)),""))</f>
        <v>0</v>
      </c>
      <c r="H78" s="39">
        <f>IF(tblResults[[#This Row],[Month]]="","",IFERROR(INDEX(tblVolume[Volume ratio],MATCH(DATE(YEAR(tblResults[[#This Row],[Month]]),MONTH(tblResults[[#This Row],[Month]]),1),tblVolume[Month],0)),""))</f>
        <v>0.934666666666667</v>
      </c>
      <c r="I78" s="40">
        <f>IF(tblResults[[#This Row],[Month]]="","",IF(OR(tblResults[[#This Row],[Volume ratio]]="",tblResults[[#This Row],[Variable share]]=""),"",tblResults[[#This Row],[Budget]]*(1-tblResults[[#This Row],[Variable share]]+tblResults[[#This Row],[Variable share]]*tblResults[[#This Row],[Volume ratio]])))</f>
        <v>18500</v>
      </c>
      <c r="J78" s="41">
        <f>IF(tblResults[[#This Row],[Month]]="","",IF(OR(tblResults[[#This Row],[Flexed budget]]="",tblResults[[#This Row],[Actual]]=""),"",tblResults[[#This Row],[Actual]]-tblResults[[#This Row],[Flexed budget]]))</f>
        <v>-60</v>
      </c>
      <c r="K78" s="42">
        <f>IF(tblResults[[#This Row],[Month]]="","",IF(OR(tblResults[[#This Row],[Spending variance]]="",tblResults[[#This Row],[Flexed budget]]=0),"",tblResults[[#This Row],[Spending variance]]/tblResults[[#This Row],[Flexed budget]]))</f>
        <v>-0.00324324324324324</v>
      </c>
      <c r="L78" s="41">
        <f>IF(tblResults[[#This Row],[Month]]="","",IF(tblResults[[#This Row],[Flexed budget]]="","",tblResults[[#This Row],[Flexed budget]]-tblResults[[#This Row],[Budget]]))</f>
        <v>0</v>
      </c>
      <c r="M78" s="41">
        <f>IF(tblResults[[#This Row],[Month]]="","",IF(tblResults[[#This Row],[Actual]]="","",tblResults[[#This Row],[Actual]]-tblResults[[#This Row],[Budget]]))</f>
        <v>-60</v>
      </c>
      <c r="N78" s="43" t="str">
        <f>IF(tblResults[[#This Row],[Spending variance]]="","",IF(AND(ABS(tblResults[[#This Row],[Spending variance]])&gt;VarAmount,ABS(tblResults[[#This Row],[Spending variance %]])&gt;VarPct),IF(tblResults[[#This Row],[Spending variance]]&gt;0,"Out of limits","Check"),"Within limits"))</f>
        <v>Within limits</v>
      </c>
      <c r="O7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8" s="45" t="s">
        <v>122</v>
      </c>
    </row>
    <row r="79" spans="2:16">
      <c r="B79" s="29">
        <v>46204</v>
      </c>
      <c r="C79" s="28" t="s">
        <v>80</v>
      </c>
      <c r="D79" s="31">
        <v>440200</v>
      </c>
      <c r="E79" s="31">
        <v>419890</v>
      </c>
      <c r="F79" s="37" t="str">
        <f>IF(tblResults[[#This Row],[Month]]="","",IFERROR(INDEX(tblCostLines[Group],MATCH(tblResults[[#This Row],[Cost line]],tblCostLines[Cost line],0)),""))</f>
        <v>Materials</v>
      </c>
      <c r="G79" s="38">
        <f>IF(tblResults[[#This Row],[Month]]="","",IFERROR(INDEX(tblCostLines[Variable share],MATCH(tblResults[[#This Row],[Cost line]],tblCostLines[Cost line],0)),""))</f>
        <v>1</v>
      </c>
      <c r="H79" s="39">
        <f>IF(tblResults[[#This Row],[Month]]="","",IFERROR(INDEX(tblVolume[Volume ratio],MATCH(DATE(YEAR(tblResults[[#This Row],[Month]]),MONTH(tblResults[[#This Row],[Month]]),1),tblVolume[Month],0)),""))</f>
        <v>0.916197183098592</v>
      </c>
      <c r="I79" s="40">
        <f>IF(tblResults[[#This Row],[Month]]="","",IF(OR(tblResults[[#This Row],[Volume ratio]]="",tblResults[[#This Row],[Variable share]]=""),"",tblResults[[#This Row],[Budget]]*(1-tblResults[[#This Row],[Variable share]]+tblResults[[#This Row],[Variable share]]*tblResults[[#This Row],[Volume ratio]])))</f>
        <v>403310</v>
      </c>
      <c r="J79" s="41">
        <f>IF(tblResults[[#This Row],[Month]]="","",IF(OR(tblResults[[#This Row],[Flexed budget]]="",tblResults[[#This Row],[Actual]]=""),"",tblResults[[#This Row],[Actual]]-tblResults[[#This Row],[Flexed budget]]))</f>
        <v>16580</v>
      </c>
      <c r="K79" s="42">
        <f>IF(tblResults[[#This Row],[Month]]="","",IF(OR(tblResults[[#This Row],[Spending variance]]="",tblResults[[#This Row],[Flexed budget]]=0),"",tblResults[[#This Row],[Spending variance]]/tblResults[[#This Row],[Flexed budget]]))</f>
        <v>0.0411098162703627</v>
      </c>
      <c r="L79" s="41">
        <f>IF(tblResults[[#This Row],[Month]]="","",IF(tblResults[[#This Row],[Flexed budget]]="","",tblResults[[#This Row],[Flexed budget]]-tblResults[[#This Row],[Budget]]))</f>
        <v>-36890</v>
      </c>
      <c r="M79" s="41">
        <f>IF(tblResults[[#This Row],[Month]]="","",IF(tblResults[[#This Row],[Actual]]="","",tblResults[[#This Row],[Actual]]-tblResults[[#This Row],[Budget]]))</f>
        <v>-20310</v>
      </c>
      <c r="N79" s="43" t="str">
        <f>IF(tblResults[[#This Row],[Spending variance]]="","",IF(AND(ABS(tblResults[[#This Row],[Spending variance]])&gt;VarAmount,ABS(tblResults[[#This Row],[Spending variance %]])&gt;VarPct),IF(tblResults[[#This Row],[Spending variance]]&gt;0,"Out of limits","Check"),"Within limits"))</f>
        <v>Within limits</v>
      </c>
      <c r="O7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79" s="45" t="s">
        <v>122</v>
      </c>
    </row>
    <row r="80" spans="2:16">
      <c r="B80" s="29">
        <v>46204</v>
      </c>
      <c r="C80" s="28" t="s">
        <v>83</v>
      </c>
      <c r="D80" s="31">
        <v>59600</v>
      </c>
      <c r="E80" s="31">
        <v>53880</v>
      </c>
      <c r="F80" s="37" t="str">
        <f>IF(tblResults[[#This Row],[Month]]="","",IFERROR(INDEX(tblCostLines[Group],MATCH(tblResults[[#This Row],[Cost line]],tblCostLines[Cost line],0)),""))</f>
        <v>Materials</v>
      </c>
      <c r="G80" s="38">
        <f>IF(tblResults[[#This Row],[Month]]="","",IFERROR(INDEX(tblCostLines[Variable share],MATCH(tblResults[[#This Row],[Cost line]],tblCostLines[Cost line],0)),""))</f>
        <v>1</v>
      </c>
      <c r="H80" s="39">
        <f>IF(tblResults[[#This Row],[Month]]="","",IFERROR(INDEX(tblVolume[Volume ratio],MATCH(DATE(YEAR(tblResults[[#This Row],[Month]]),MONTH(tblResults[[#This Row],[Month]]),1),tblVolume[Month],0)),""))</f>
        <v>0.916197183098592</v>
      </c>
      <c r="I80" s="40">
        <f>IF(tblResults[[#This Row],[Month]]="","",IF(OR(tblResults[[#This Row],[Volume ratio]]="",tblResults[[#This Row],[Variable share]]=""),"",tblResults[[#This Row],[Budget]]*(1-tblResults[[#This Row],[Variable share]]+tblResults[[#This Row],[Variable share]]*tblResults[[#This Row],[Volume ratio]])))</f>
        <v>54605.3521126761</v>
      </c>
      <c r="J80" s="41">
        <f>IF(tblResults[[#This Row],[Month]]="","",IF(OR(tblResults[[#This Row],[Flexed budget]]="",tblResults[[#This Row],[Actual]]=""),"",tblResults[[#This Row],[Actual]]-tblResults[[#This Row],[Flexed budget]]))</f>
        <v>-725.352112676053</v>
      </c>
      <c r="K80" s="42">
        <f>IF(tblResults[[#This Row],[Month]]="","",IF(OR(tblResults[[#This Row],[Spending variance]]="",tblResults[[#This Row],[Flexed budget]]=0),"",tblResults[[#This Row],[Spending variance]]/tblResults[[#This Row],[Flexed budget]]))</f>
        <v>-0.0132835351226985</v>
      </c>
      <c r="L80" s="41">
        <f>IF(tblResults[[#This Row],[Month]]="","",IF(tblResults[[#This Row],[Flexed budget]]="","",tblResults[[#This Row],[Flexed budget]]-tblResults[[#This Row],[Budget]]))</f>
        <v>-4994.64788732395</v>
      </c>
      <c r="M80" s="41">
        <f>IF(tblResults[[#This Row],[Month]]="","",IF(tblResults[[#This Row],[Actual]]="","",tblResults[[#This Row],[Actual]]-tblResults[[#This Row],[Budget]]))</f>
        <v>-5720</v>
      </c>
      <c r="N80" s="43" t="str">
        <f>IF(tblResults[[#This Row],[Spending variance]]="","",IF(AND(ABS(tblResults[[#This Row],[Spending variance]])&gt;VarAmount,ABS(tblResults[[#This Row],[Spending variance %]])&gt;VarPct),IF(tblResults[[#This Row],[Spending variance]]&gt;0,"Out of limits","Check"),"Within limits"))</f>
        <v>Within limits</v>
      </c>
      <c r="O8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0" s="45" t="s">
        <v>122</v>
      </c>
    </row>
    <row r="81" spans="2:16">
      <c r="B81" s="29">
        <v>46204</v>
      </c>
      <c r="C81" s="28" t="s">
        <v>85</v>
      </c>
      <c r="D81" s="31">
        <v>80300</v>
      </c>
      <c r="E81" s="31">
        <v>74840</v>
      </c>
      <c r="F81" s="37" t="str">
        <f>IF(tblResults[[#This Row],[Month]]="","",IFERROR(INDEX(tblCostLines[Group],MATCH(tblResults[[#This Row],[Cost line]],tblCostLines[Cost line],0)),""))</f>
        <v>Materials</v>
      </c>
      <c r="G81" s="38">
        <f>IF(tblResults[[#This Row],[Month]]="","",IFERROR(INDEX(tblCostLines[Variable share],MATCH(tblResults[[#This Row],[Cost line]],tblCostLines[Cost line],0)),""))</f>
        <v>0.9</v>
      </c>
      <c r="H81" s="39">
        <f>IF(tblResults[[#This Row],[Month]]="","",IFERROR(INDEX(tblVolume[Volume ratio],MATCH(DATE(YEAR(tblResults[[#This Row],[Month]]),MONTH(tblResults[[#This Row],[Month]]),1),tblVolume[Month],0)),""))</f>
        <v>0.916197183098592</v>
      </c>
      <c r="I81" s="40">
        <f>IF(tblResults[[#This Row],[Month]]="","",IF(OR(tblResults[[#This Row],[Volume ratio]]="",tblResults[[#This Row],[Variable share]]=""),"",tblResults[[#This Row],[Budget]]*(1-tblResults[[#This Row],[Variable share]]+tblResults[[#This Row],[Variable share]]*tblResults[[#This Row],[Volume ratio]])))</f>
        <v>74243.5704225352</v>
      </c>
      <c r="J81" s="41">
        <f>IF(tblResults[[#This Row],[Month]]="","",IF(OR(tblResults[[#This Row],[Flexed budget]]="",tblResults[[#This Row],[Actual]]=""),"",tblResults[[#This Row],[Actual]]-tblResults[[#This Row],[Flexed budget]]))</f>
        <v>596.429577464791</v>
      </c>
      <c r="K81" s="42">
        <f>IF(tblResults[[#This Row],[Month]]="","",IF(OR(tblResults[[#This Row],[Spending variance]]="",tblResults[[#This Row],[Flexed budget]]=0),"",tblResults[[#This Row],[Spending variance]]/tblResults[[#This Row],[Flexed budget]]))</f>
        <v>0.0080334172248235</v>
      </c>
      <c r="L81" s="41">
        <f>IF(tblResults[[#This Row],[Month]]="","",IF(tblResults[[#This Row],[Flexed budget]]="","",tblResults[[#This Row],[Flexed budget]]-tblResults[[#This Row],[Budget]]))</f>
        <v>-6056.42957746479</v>
      </c>
      <c r="M81" s="41">
        <f>IF(tblResults[[#This Row],[Month]]="","",IF(tblResults[[#This Row],[Actual]]="","",tblResults[[#This Row],[Actual]]-tblResults[[#This Row],[Budget]]))</f>
        <v>-5460</v>
      </c>
      <c r="N81" s="43" t="str">
        <f>IF(tblResults[[#This Row],[Spending variance]]="","",IF(AND(ABS(tblResults[[#This Row],[Spending variance]])&gt;VarAmount,ABS(tblResults[[#This Row],[Spending variance %]])&gt;VarPct),IF(tblResults[[#This Row],[Spending variance]]&gt;0,"Out of limits","Check"),"Within limits"))</f>
        <v>Within limits</v>
      </c>
      <c r="O8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1" s="45" t="s">
        <v>122</v>
      </c>
    </row>
    <row r="82" spans="2:16">
      <c r="B82" s="29">
        <v>46204</v>
      </c>
      <c r="C82" s="28" t="s">
        <v>87</v>
      </c>
      <c r="D82" s="31">
        <v>133600</v>
      </c>
      <c r="E82" s="31">
        <v>135050</v>
      </c>
      <c r="F82" s="37" t="str">
        <f>IF(tblResults[[#This Row],[Month]]="","",IFERROR(INDEX(tblCostLines[Group],MATCH(tblResults[[#This Row],[Cost line]],tblCostLines[Cost line],0)),""))</f>
        <v>Energy</v>
      </c>
      <c r="G82" s="38">
        <f>IF(tblResults[[#This Row],[Month]]="","",IFERROR(INDEX(tblCostLines[Variable share],MATCH(tblResults[[#This Row],[Cost line]],tblCostLines[Cost line],0)),""))</f>
        <v>0.85</v>
      </c>
      <c r="H82" s="39">
        <f>IF(tblResults[[#This Row],[Month]]="","",IFERROR(INDEX(tblVolume[Volume ratio],MATCH(DATE(YEAR(tblResults[[#This Row],[Month]]),MONTH(tblResults[[#This Row],[Month]]),1),tblVolume[Month],0)),""))</f>
        <v>0.916197183098592</v>
      </c>
      <c r="I82" s="40">
        <f>IF(tblResults[[#This Row],[Month]]="","",IF(OR(tblResults[[#This Row],[Volume ratio]]="",tblResults[[#This Row],[Variable share]]=""),"",tblResults[[#This Row],[Budget]]*(1-tblResults[[#This Row],[Variable share]]+tblResults[[#This Row],[Variable share]]*tblResults[[#This Row],[Volume ratio]])))</f>
        <v>124083.352112676</v>
      </c>
      <c r="J82" s="41">
        <f>IF(tblResults[[#This Row],[Month]]="","",IF(OR(tblResults[[#This Row],[Flexed budget]]="",tblResults[[#This Row],[Actual]]=""),"",tblResults[[#This Row],[Actual]]-tblResults[[#This Row],[Flexed budget]]))</f>
        <v>10966.647887324</v>
      </c>
      <c r="K82" s="42">
        <f>IF(tblResults[[#This Row],[Month]]="","",IF(OR(tblResults[[#This Row],[Spending variance]]="",tblResults[[#This Row],[Flexed budget]]=0),"",tblResults[[#This Row],[Spending variance]]/tblResults[[#This Row],[Flexed budget]]))</f>
        <v>0.0883812993492108</v>
      </c>
      <c r="L82" s="41">
        <f>IF(tblResults[[#This Row],[Month]]="","",IF(tblResults[[#This Row],[Flexed budget]]="","",tblResults[[#This Row],[Flexed budget]]-tblResults[[#This Row],[Budget]]))</f>
        <v>-9516.64788732395</v>
      </c>
      <c r="M82" s="41">
        <f>IF(tblResults[[#This Row],[Month]]="","",IF(tblResults[[#This Row],[Actual]]="","",tblResults[[#This Row],[Actual]]-tblResults[[#This Row],[Budget]]))</f>
        <v>1450</v>
      </c>
      <c r="N82" s="43" t="str">
        <f>IF(tblResults[[#This Row],[Spending variance]]="","",IF(AND(ABS(tblResults[[#This Row],[Spending variance]])&gt;VarAmount,ABS(tblResults[[#This Row],[Spending variance %]])&gt;VarPct),IF(tblResults[[#This Row],[Spending variance]]&gt;0,"Out of limits","Check"),"Within limits"))</f>
        <v>Out of limits</v>
      </c>
      <c r="O8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2" s="45" t="s">
        <v>124</v>
      </c>
    </row>
    <row r="83" spans="2:16">
      <c r="B83" s="29">
        <v>46204</v>
      </c>
      <c r="C83" s="28" t="s">
        <v>90</v>
      </c>
      <c r="D83" s="31">
        <v>17500</v>
      </c>
      <c r="E83" s="31">
        <v>16590</v>
      </c>
      <c r="F83" s="37" t="str">
        <f>IF(tblResults[[#This Row],[Month]]="","",IFERROR(INDEX(tblCostLines[Group],MATCH(tblResults[[#This Row],[Cost line]],tblCostLines[Cost line],0)),""))</f>
        <v>Energy</v>
      </c>
      <c r="G83" s="38">
        <f>IF(tblResults[[#This Row],[Month]]="","",IFERROR(INDEX(tblCostLines[Variable share],MATCH(tblResults[[#This Row],[Cost line]],tblCostLines[Cost line],0)),""))</f>
        <v>0.5</v>
      </c>
      <c r="H83" s="39">
        <f>IF(tblResults[[#This Row],[Month]]="","",IFERROR(INDEX(tblVolume[Volume ratio],MATCH(DATE(YEAR(tblResults[[#This Row],[Month]]),MONTH(tblResults[[#This Row],[Month]]),1),tblVolume[Month],0)),""))</f>
        <v>0.916197183098592</v>
      </c>
      <c r="I83" s="40">
        <f>IF(tblResults[[#This Row],[Month]]="","",IF(OR(tblResults[[#This Row],[Volume ratio]]="",tblResults[[#This Row],[Variable share]]=""),"",tblResults[[#This Row],[Budget]]*(1-tblResults[[#This Row],[Variable share]]+tblResults[[#This Row],[Variable share]]*tblResults[[#This Row],[Volume ratio]])))</f>
        <v>16766.7253521127</v>
      </c>
      <c r="J83" s="41">
        <f>IF(tblResults[[#This Row],[Month]]="","",IF(OR(tblResults[[#This Row],[Flexed budget]]="",tblResults[[#This Row],[Actual]]=""),"",tblResults[[#This Row],[Actual]]-tblResults[[#This Row],[Flexed budget]]))</f>
        <v>-176.725352112677</v>
      </c>
      <c r="K83" s="42">
        <f>IF(tblResults[[#This Row],[Month]]="","",IF(OR(tblResults[[#This Row],[Spending variance]]="",tblResults[[#This Row],[Flexed budget]]=0),"",tblResults[[#This Row],[Spending variance]]/tblResults[[#This Row],[Flexed budget]]))</f>
        <v>-0.0105402425578832</v>
      </c>
      <c r="L83" s="41">
        <f>IF(tblResults[[#This Row],[Month]]="","",IF(tblResults[[#This Row],[Flexed budget]]="","",tblResults[[#This Row],[Flexed budget]]-tblResults[[#This Row],[Budget]]))</f>
        <v>-733.274647887323</v>
      </c>
      <c r="M83" s="41">
        <f>IF(tblResults[[#This Row],[Month]]="","",IF(tblResults[[#This Row],[Actual]]="","",tblResults[[#This Row],[Actual]]-tblResults[[#This Row],[Budget]]))</f>
        <v>-910</v>
      </c>
      <c r="N83" s="43" t="str">
        <f>IF(tblResults[[#This Row],[Spending variance]]="","",IF(AND(ABS(tblResults[[#This Row],[Spending variance]])&gt;VarAmount,ABS(tblResults[[#This Row],[Spending variance %]])&gt;VarPct),IF(tblResults[[#This Row],[Spending variance]]&gt;0,"Out of limits","Check"),"Within limits"))</f>
        <v>Within limits</v>
      </c>
      <c r="O8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3" s="45" t="s">
        <v>122</v>
      </c>
    </row>
    <row r="84" spans="2:16">
      <c r="B84" s="29">
        <v>46204</v>
      </c>
      <c r="C84" s="28" t="s">
        <v>92</v>
      </c>
      <c r="D84" s="31">
        <v>125900</v>
      </c>
      <c r="E84" s="31">
        <v>119930</v>
      </c>
      <c r="F84" s="37" t="str">
        <f>IF(tblResults[[#This Row],[Month]]="","",IFERROR(INDEX(tblCostLines[Group],MATCH(tblResults[[#This Row],[Cost line]],tblCostLines[Cost line],0)),""))</f>
        <v>Labour</v>
      </c>
      <c r="G84" s="38">
        <f>IF(tblResults[[#This Row],[Month]]="","",IFERROR(INDEX(tblCostLines[Variable share],MATCH(tblResults[[#This Row],[Cost line]],tblCostLines[Cost line],0)),""))</f>
        <v>0.5</v>
      </c>
      <c r="H84" s="39">
        <f>IF(tblResults[[#This Row],[Month]]="","",IFERROR(INDEX(tblVolume[Volume ratio],MATCH(DATE(YEAR(tblResults[[#This Row],[Month]]),MONTH(tblResults[[#This Row],[Month]]),1),tblVolume[Month],0)),""))</f>
        <v>0.916197183098592</v>
      </c>
      <c r="I84" s="40">
        <f>IF(tblResults[[#This Row],[Month]]="","",IF(OR(tblResults[[#This Row],[Volume ratio]]="",tblResults[[#This Row],[Variable share]]=""),"",tblResults[[#This Row],[Budget]]*(1-tblResults[[#This Row],[Variable share]]+tblResults[[#This Row],[Variable share]]*tblResults[[#This Row],[Volume ratio]])))</f>
        <v>120624.612676056</v>
      </c>
      <c r="J84" s="41">
        <f>IF(tblResults[[#This Row],[Month]]="","",IF(OR(tblResults[[#This Row],[Flexed budget]]="",tblResults[[#This Row],[Actual]]=""),"",tblResults[[#This Row],[Actual]]-tblResults[[#This Row],[Flexed budget]]))</f>
        <v>-694.612676056335</v>
      </c>
      <c r="K84" s="42">
        <f>IF(tblResults[[#This Row],[Month]]="","",IF(OR(tblResults[[#This Row],[Spending variance]]="",tblResults[[#This Row],[Flexed budget]]=0),"",tblResults[[#This Row],[Spending variance]]/tblResults[[#This Row],[Flexed budget]]))</f>
        <v>-0.00575846554568223</v>
      </c>
      <c r="L84" s="41">
        <f>IF(tblResults[[#This Row],[Month]]="","",IF(tblResults[[#This Row],[Flexed budget]]="","",tblResults[[#This Row],[Flexed budget]]-tblResults[[#This Row],[Budget]]))</f>
        <v>-5275.38732394367</v>
      </c>
      <c r="M84" s="41">
        <f>IF(tblResults[[#This Row],[Month]]="","",IF(tblResults[[#This Row],[Actual]]="","",tblResults[[#This Row],[Actual]]-tblResults[[#This Row],[Budget]]))</f>
        <v>-5970</v>
      </c>
      <c r="N84" s="43" t="str">
        <f>IF(tblResults[[#This Row],[Spending variance]]="","",IF(AND(ABS(tblResults[[#This Row],[Spending variance]])&gt;VarAmount,ABS(tblResults[[#This Row],[Spending variance %]])&gt;VarPct),IF(tblResults[[#This Row],[Spending variance]]&gt;0,"Out of limits","Check"),"Within limits"))</f>
        <v>Within limits</v>
      </c>
      <c r="O8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4" s="45" t="s">
        <v>122</v>
      </c>
    </row>
    <row r="85" spans="2:16">
      <c r="B85" s="29">
        <v>46204</v>
      </c>
      <c r="C85" s="28" t="s">
        <v>95</v>
      </c>
      <c r="D85" s="31">
        <v>48000</v>
      </c>
      <c r="E85" s="31">
        <v>47300</v>
      </c>
      <c r="F85" s="37" t="str">
        <f>IF(tblResults[[#This Row],[Month]]="","",IFERROR(INDEX(tblCostLines[Group],MATCH(tblResults[[#This Row],[Cost line]],tblCostLines[Cost line],0)),""))</f>
        <v>Labour</v>
      </c>
      <c r="G85" s="38">
        <f>IF(tblResults[[#This Row],[Month]]="","",IFERROR(INDEX(tblCostLines[Variable share],MATCH(tblResults[[#This Row],[Cost line]],tblCostLines[Cost line],0)),""))</f>
        <v>0</v>
      </c>
      <c r="H85" s="39">
        <f>IF(tblResults[[#This Row],[Month]]="","",IFERROR(INDEX(tblVolume[Volume ratio],MATCH(DATE(YEAR(tblResults[[#This Row],[Month]]),MONTH(tblResults[[#This Row],[Month]]),1),tblVolume[Month],0)),""))</f>
        <v>0.916197183098592</v>
      </c>
      <c r="I85" s="40">
        <f>IF(tblResults[[#This Row],[Month]]="","",IF(OR(tblResults[[#This Row],[Volume ratio]]="",tblResults[[#This Row],[Variable share]]=""),"",tblResults[[#This Row],[Budget]]*(1-tblResults[[#This Row],[Variable share]]+tblResults[[#This Row],[Variable share]]*tblResults[[#This Row],[Volume ratio]])))</f>
        <v>48000</v>
      </c>
      <c r="J85" s="41">
        <f>IF(tblResults[[#This Row],[Month]]="","",IF(OR(tblResults[[#This Row],[Flexed budget]]="",tblResults[[#This Row],[Actual]]=""),"",tblResults[[#This Row],[Actual]]-tblResults[[#This Row],[Flexed budget]]))</f>
        <v>-700</v>
      </c>
      <c r="K85" s="42">
        <f>IF(tblResults[[#This Row],[Month]]="","",IF(OR(tblResults[[#This Row],[Spending variance]]="",tblResults[[#This Row],[Flexed budget]]=0),"",tblResults[[#This Row],[Spending variance]]/tblResults[[#This Row],[Flexed budget]]))</f>
        <v>-0.0145833333333333</v>
      </c>
      <c r="L85" s="41">
        <f>IF(tblResults[[#This Row],[Month]]="","",IF(tblResults[[#This Row],[Flexed budget]]="","",tblResults[[#This Row],[Flexed budget]]-tblResults[[#This Row],[Budget]]))</f>
        <v>0</v>
      </c>
      <c r="M85" s="41">
        <f>IF(tblResults[[#This Row],[Month]]="","",IF(tblResults[[#This Row],[Actual]]="","",tblResults[[#This Row],[Actual]]-tblResults[[#This Row],[Budget]]))</f>
        <v>-700</v>
      </c>
      <c r="N85" s="43" t="str">
        <f>IF(tblResults[[#This Row],[Spending variance]]="","",IF(AND(ABS(tblResults[[#This Row],[Spending variance]])&gt;VarAmount,ABS(tblResults[[#This Row],[Spending variance %]])&gt;VarPct),IF(tblResults[[#This Row],[Spending variance]]&gt;0,"Out of limits","Check"),"Within limits"))</f>
        <v>Within limits</v>
      </c>
      <c r="O8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5" s="45" t="s">
        <v>122</v>
      </c>
    </row>
    <row r="86" spans="2:16">
      <c r="B86" s="29">
        <v>46204</v>
      </c>
      <c r="C86" s="28" t="s">
        <v>97</v>
      </c>
      <c r="D86" s="31">
        <v>35400</v>
      </c>
      <c r="E86" s="31">
        <v>33940</v>
      </c>
      <c r="F86" s="37" t="str">
        <f>IF(tblResults[[#This Row],[Month]]="","",IFERROR(INDEX(tblCostLines[Group],MATCH(tblResults[[#This Row],[Cost line]],tblCostLines[Cost line],0)),""))</f>
        <v>Overheads</v>
      </c>
      <c r="G86" s="38">
        <f>IF(tblResults[[#This Row],[Month]]="","",IFERROR(INDEX(tblCostLines[Variable share],MATCH(tblResults[[#This Row],[Cost line]],tblCostLines[Cost line],0)),""))</f>
        <v>0.3</v>
      </c>
      <c r="H86" s="39">
        <f>IF(tblResults[[#This Row],[Month]]="","",IFERROR(INDEX(tblVolume[Volume ratio],MATCH(DATE(YEAR(tblResults[[#This Row],[Month]]),MONTH(tblResults[[#This Row],[Month]]),1),tblVolume[Month],0)),""))</f>
        <v>0.916197183098592</v>
      </c>
      <c r="I86" s="40">
        <f>IF(tblResults[[#This Row],[Month]]="","",IF(OR(tblResults[[#This Row],[Volume ratio]]="",tblResults[[#This Row],[Variable share]]=""),"",tblResults[[#This Row],[Budget]]*(1-tblResults[[#This Row],[Variable share]]+tblResults[[#This Row],[Variable share]]*tblResults[[#This Row],[Volume ratio]])))</f>
        <v>34510.014084507</v>
      </c>
      <c r="J86" s="41">
        <f>IF(tblResults[[#This Row],[Month]]="","",IF(OR(tblResults[[#This Row],[Flexed budget]]="",tblResults[[#This Row],[Actual]]=""),"",tblResults[[#This Row],[Actual]]-tblResults[[#This Row],[Flexed budget]]))</f>
        <v>-570.014084507042</v>
      </c>
      <c r="K86" s="42">
        <f>IF(tblResults[[#This Row],[Month]]="","",IF(OR(tblResults[[#This Row],[Spending variance]]="",tblResults[[#This Row],[Flexed budget]]=0),"",tblResults[[#This Row],[Spending variance]]/tblResults[[#This Row],[Flexed budget]]))</f>
        <v>-0.0165173529953135</v>
      </c>
      <c r="L86" s="41">
        <f>IF(tblResults[[#This Row],[Month]]="","",IF(tblResults[[#This Row],[Flexed budget]]="","",tblResults[[#This Row],[Flexed budget]]-tblResults[[#This Row],[Budget]]))</f>
        <v>-889.985915492958</v>
      </c>
      <c r="M86" s="41">
        <f>IF(tblResults[[#This Row],[Month]]="","",IF(tblResults[[#This Row],[Actual]]="","",tblResults[[#This Row],[Actual]]-tblResults[[#This Row],[Budget]]))</f>
        <v>-1460</v>
      </c>
      <c r="N86" s="43" t="str">
        <f>IF(tblResults[[#This Row],[Spending variance]]="","",IF(AND(ABS(tblResults[[#This Row],[Spending variance]])&gt;VarAmount,ABS(tblResults[[#This Row],[Spending variance %]])&gt;VarPct),IF(tblResults[[#This Row],[Spending variance]]&gt;0,"Out of limits","Check"),"Within limits"))</f>
        <v>Within limits</v>
      </c>
      <c r="O8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6" s="45" t="s">
        <v>122</v>
      </c>
    </row>
    <row r="87" spans="2:16">
      <c r="B87" s="29">
        <v>46204</v>
      </c>
      <c r="C87" s="28" t="s">
        <v>100</v>
      </c>
      <c r="D87" s="31">
        <v>25900</v>
      </c>
      <c r="E87" s="31">
        <v>24010</v>
      </c>
      <c r="F87" s="37" t="str">
        <f>IF(tblResults[[#This Row],[Month]]="","",IFERROR(INDEX(tblCostLines[Group],MATCH(tblResults[[#This Row],[Cost line]],tblCostLines[Cost line],0)),""))</f>
        <v>Overheads</v>
      </c>
      <c r="G87" s="38">
        <f>IF(tblResults[[#This Row],[Month]]="","",IFERROR(INDEX(tblCostLines[Variable share],MATCH(tblResults[[#This Row],[Cost line]],tblCostLines[Cost line],0)),""))</f>
        <v>0.75</v>
      </c>
      <c r="H87" s="39">
        <f>IF(tblResults[[#This Row],[Month]]="","",IFERROR(INDEX(tblVolume[Volume ratio],MATCH(DATE(YEAR(tblResults[[#This Row],[Month]]),MONTH(tblResults[[#This Row],[Month]]),1),tblVolume[Month],0)),""))</f>
        <v>0.916197183098592</v>
      </c>
      <c r="I87" s="40">
        <f>IF(tblResults[[#This Row],[Month]]="","",IF(OR(tblResults[[#This Row],[Volume ratio]]="",tblResults[[#This Row],[Variable share]]=""),"",tblResults[[#This Row],[Budget]]*(1-tblResults[[#This Row],[Variable share]]+tblResults[[#This Row],[Variable share]]*tblResults[[#This Row],[Volume ratio]])))</f>
        <v>24272.1302816901</v>
      </c>
      <c r="J87" s="41">
        <f>IF(tblResults[[#This Row],[Month]]="","",IF(OR(tblResults[[#This Row],[Flexed budget]]="",tblResults[[#This Row],[Actual]]=""),"",tblResults[[#This Row],[Actual]]-tblResults[[#This Row],[Flexed budget]]))</f>
        <v>-262.130281690141</v>
      </c>
      <c r="K87" s="42">
        <f>IF(tblResults[[#This Row],[Month]]="","",IF(OR(tblResults[[#This Row],[Spending variance]]="",tblResults[[#This Row],[Flexed budget]]=0),"",tblResults[[#This Row],[Spending variance]]/tblResults[[#This Row],[Flexed budget]]))</f>
        <v>-0.0107996405197232</v>
      </c>
      <c r="L87" s="41">
        <f>IF(tblResults[[#This Row],[Month]]="","",IF(tblResults[[#This Row],[Flexed budget]]="","",tblResults[[#This Row],[Flexed budget]]-tblResults[[#This Row],[Budget]]))</f>
        <v>-1627.86971830986</v>
      </c>
      <c r="M87" s="41">
        <f>IF(tblResults[[#This Row],[Month]]="","",IF(tblResults[[#This Row],[Actual]]="","",tblResults[[#This Row],[Actual]]-tblResults[[#This Row],[Budget]]))</f>
        <v>-1890</v>
      </c>
      <c r="N87" s="43" t="str">
        <f>IF(tblResults[[#This Row],[Spending variance]]="","",IF(AND(ABS(tblResults[[#This Row],[Spending variance]])&gt;VarAmount,ABS(tblResults[[#This Row],[Spending variance %]])&gt;VarPct),IF(tblResults[[#This Row],[Spending variance]]&gt;0,"Out of limits","Check"),"Within limits"))</f>
        <v>Within limits</v>
      </c>
      <c r="O8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7" s="45" t="s">
        <v>122</v>
      </c>
    </row>
    <row r="88" spans="2:16">
      <c r="B88" s="29">
        <v>46204</v>
      </c>
      <c r="C88" s="28" t="s">
        <v>102</v>
      </c>
      <c r="D88" s="31">
        <v>14800</v>
      </c>
      <c r="E88" s="31">
        <v>13900</v>
      </c>
      <c r="F88" s="37" t="str">
        <f>IF(tblResults[[#This Row],[Month]]="","",IFERROR(INDEX(tblCostLines[Group],MATCH(tblResults[[#This Row],[Cost line]],tblCostLines[Cost line],0)),""))</f>
        <v>Overheads</v>
      </c>
      <c r="G88" s="38">
        <f>IF(tblResults[[#This Row],[Month]]="","",IFERROR(INDEX(tblCostLines[Variable share],MATCH(tblResults[[#This Row],[Cost line]],tblCostLines[Cost line],0)),""))</f>
        <v>0.85</v>
      </c>
      <c r="H88" s="39">
        <f>IF(tblResults[[#This Row],[Month]]="","",IFERROR(INDEX(tblVolume[Volume ratio],MATCH(DATE(YEAR(tblResults[[#This Row],[Month]]),MONTH(tblResults[[#This Row],[Month]]),1),tblVolume[Month],0)),""))</f>
        <v>0.916197183098592</v>
      </c>
      <c r="I88" s="40">
        <f>IF(tblResults[[#This Row],[Month]]="","",IF(OR(tblResults[[#This Row],[Volume ratio]]="",tblResults[[#This Row],[Variable share]]=""),"",tblResults[[#This Row],[Budget]]*(1-tblResults[[#This Row],[Variable share]]+tblResults[[#This Row],[Variable share]]*tblResults[[#This Row],[Volume ratio]])))</f>
        <v>13745.7605633803</v>
      </c>
      <c r="J88" s="41">
        <f>IF(tblResults[[#This Row],[Month]]="","",IF(OR(tblResults[[#This Row],[Flexed budget]]="",tblResults[[#This Row],[Actual]]=""),"",tblResults[[#This Row],[Actual]]-tblResults[[#This Row],[Flexed budget]]))</f>
        <v>154.239436619719</v>
      </c>
      <c r="K88" s="42">
        <f>IF(tblResults[[#This Row],[Month]]="","",IF(OR(tblResults[[#This Row],[Spending variance]]="",tblResults[[#This Row],[Flexed budget]]=0),"",tblResults[[#This Row],[Spending variance]]/tblResults[[#This Row],[Flexed budget]]))</f>
        <v>0.011220873221859</v>
      </c>
      <c r="L88" s="41">
        <f>IF(tblResults[[#This Row],[Month]]="","",IF(tblResults[[#This Row],[Flexed budget]]="","",tblResults[[#This Row],[Flexed budget]]-tblResults[[#This Row],[Budget]]))</f>
        <v>-1054.23943661972</v>
      </c>
      <c r="M88" s="41">
        <f>IF(tblResults[[#This Row],[Month]]="","",IF(tblResults[[#This Row],[Actual]]="","",tblResults[[#This Row],[Actual]]-tblResults[[#This Row],[Budget]]))</f>
        <v>-900</v>
      </c>
      <c r="N88" s="43" t="str">
        <f>IF(tblResults[[#This Row],[Spending variance]]="","",IF(AND(ABS(tblResults[[#This Row],[Spending variance]])&gt;VarAmount,ABS(tblResults[[#This Row],[Spending variance %]])&gt;VarPct),IF(tblResults[[#This Row],[Spending variance]]&gt;0,"Out of limits","Check"),"Within limits"))</f>
        <v>Within limits</v>
      </c>
      <c r="O8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8" s="45" t="s">
        <v>122</v>
      </c>
    </row>
    <row r="89" spans="2:16">
      <c r="B89" s="29">
        <v>46204</v>
      </c>
      <c r="C89" s="28" t="s">
        <v>104</v>
      </c>
      <c r="D89" s="31">
        <v>41000</v>
      </c>
      <c r="E89" s="31">
        <v>41200</v>
      </c>
      <c r="F89" s="37" t="str">
        <f>IF(tblResults[[#This Row],[Month]]="","",IFERROR(INDEX(tblCostLines[Group],MATCH(tblResults[[#This Row],[Cost line]],tblCostLines[Cost line],0)),""))</f>
        <v>Overheads</v>
      </c>
      <c r="G89" s="38">
        <f>IF(tblResults[[#This Row],[Month]]="","",IFERROR(INDEX(tblCostLines[Variable share],MATCH(tblResults[[#This Row],[Cost line]],tblCostLines[Cost line],0)),""))</f>
        <v>0</v>
      </c>
      <c r="H89" s="39">
        <f>IF(tblResults[[#This Row],[Month]]="","",IFERROR(INDEX(tblVolume[Volume ratio],MATCH(DATE(YEAR(tblResults[[#This Row],[Month]]),MONTH(tblResults[[#This Row],[Month]]),1),tblVolume[Month],0)),""))</f>
        <v>0.916197183098592</v>
      </c>
      <c r="I89" s="40">
        <f>IF(tblResults[[#This Row],[Month]]="","",IF(OR(tblResults[[#This Row],[Volume ratio]]="",tblResults[[#This Row],[Variable share]]=""),"",tblResults[[#This Row],[Budget]]*(1-tblResults[[#This Row],[Variable share]]+tblResults[[#This Row],[Variable share]]*tblResults[[#This Row],[Volume ratio]])))</f>
        <v>41000</v>
      </c>
      <c r="J89" s="41">
        <f>IF(tblResults[[#This Row],[Month]]="","",IF(OR(tblResults[[#This Row],[Flexed budget]]="",tblResults[[#This Row],[Actual]]=""),"",tblResults[[#This Row],[Actual]]-tblResults[[#This Row],[Flexed budget]]))</f>
        <v>200</v>
      </c>
      <c r="K89" s="42">
        <f>IF(tblResults[[#This Row],[Month]]="","",IF(OR(tblResults[[#This Row],[Spending variance]]="",tblResults[[#This Row],[Flexed budget]]=0),"",tblResults[[#This Row],[Spending variance]]/tblResults[[#This Row],[Flexed budget]]))</f>
        <v>0.00487804878048781</v>
      </c>
      <c r="L89" s="41">
        <f>IF(tblResults[[#This Row],[Month]]="","",IF(tblResults[[#This Row],[Flexed budget]]="","",tblResults[[#This Row],[Flexed budget]]-tblResults[[#This Row],[Budget]]))</f>
        <v>0</v>
      </c>
      <c r="M89" s="41">
        <f>IF(tblResults[[#This Row],[Month]]="","",IF(tblResults[[#This Row],[Actual]]="","",tblResults[[#This Row],[Actual]]-tblResults[[#This Row],[Budget]]))</f>
        <v>200</v>
      </c>
      <c r="N89" s="43" t="str">
        <f>IF(tblResults[[#This Row],[Spending variance]]="","",IF(AND(ABS(tblResults[[#This Row],[Spending variance]])&gt;VarAmount,ABS(tblResults[[#This Row],[Spending variance %]])&gt;VarPct),IF(tblResults[[#This Row],[Spending variance]]&gt;0,"Out of limits","Check"),"Within limits"))</f>
        <v>Within limits</v>
      </c>
      <c r="O8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89" s="45" t="s">
        <v>122</v>
      </c>
    </row>
    <row r="90" spans="2:16">
      <c r="B90" s="29">
        <v>46204</v>
      </c>
      <c r="C90" s="28" t="s">
        <v>106</v>
      </c>
      <c r="D90" s="31">
        <v>18500</v>
      </c>
      <c r="E90" s="31">
        <v>13040</v>
      </c>
      <c r="F90" s="37" t="str">
        <f>IF(tblResults[[#This Row],[Month]]="","",IFERROR(INDEX(tblCostLines[Group],MATCH(tblResults[[#This Row],[Cost line]],tblCostLines[Cost line],0)),""))</f>
        <v>Overheads</v>
      </c>
      <c r="G90" s="38">
        <f>IF(tblResults[[#This Row],[Month]]="","",IFERROR(INDEX(tblCostLines[Variable share],MATCH(tblResults[[#This Row],[Cost line]],tblCostLines[Cost line],0)),""))</f>
        <v>0</v>
      </c>
      <c r="H90" s="39">
        <f>IF(tblResults[[#This Row],[Month]]="","",IFERROR(INDEX(tblVolume[Volume ratio],MATCH(DATE(YEAR(tblResults[[#This Row],[Month]]),MONTH(tblResults[[#This Row],[Month]]),1),tblVolume[Month],0)),""))</f>
        <v>0.916197183098592</v>
      </c>
      <c r="I90" s="40">
        <f>IF(tblResults[[#This Row],[Month]]="","",IF(OR(tblResults[[#This Row],[Volume ratio]]="",tblResults[[#This Row],[Variable share]]=""),"",tblResults[[#This Row],[Budget]]*(1-tblResults[[#This Row],[Variable share]]+tblResults[[#This Row],[Variable share]]*tblResults[[#This Row],[Volume ratio]])))</f>
        <v>18500</v>
      </c>
      <c r="J90" s="41">
        <f>IF(tblResults[[#This Row],[Month]]="","",IF(OR(tblResults[[#This Row],[Flexed budget]]="",tblResults[[#This Row],[Actual]]=""),"",tblResults[[#This Row],[Actual]]-tblResults[[#This Row],[Flexed budget]]))</f>
        <v>-5460</v>
      </c>
      <c r="K90" s="42">
        <f>IF(tblResults[[#This Row],[Month]]="","",IF(OR(tblResults[[#This Row],[Spending variance]]="",tblResults[[#This Row],[Flexed budget]]=0),"",tblResults[[#This Row],[Spending variance]]/tblResults[[#This Row],[Flexed budget]]))</f>
        <v>-0.295135135135135</v>
      </c>
      <c r="L90" s="41">
        <f>IF(tblResults[[#This Row],[Month]]="","",IF(tblResults[[#This Row],[Flexed budget]]="","",tblResults[[#This Row],[Flexed budget]]-tblResults[[#This Row],[Budget]]))</f>
        <v>0</v>
      </c>
      <c r="M90" s="41">
        <f>IF(tblResults[[#This Row],[Month]]="","",IF(tblResults[[#This Row],[Actual]]="","",tblResults[[#This Row],[Actual]]-tblResults[[#This Row],[Budget]]))</f>
        <v>-5460</v>
      </c>
      <c r="N90" s="43" t="str">
        <f>IF(tblResults[[#This Row],[Spending variance]]="","",IF(AND(ABS(tblResults[[#This Row],[Spending variance]])&gt;VarAmount,ABS(tblResults[[#This Row],[Spending variance %]])&gt;VarPct),IF(tblResults[[#This Row],[Spending variance]]&gt;0,"Out of limits","Check"),"Within limits"))</f>
        <v>Check</v>
      </c>
      <c r="O9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0" s="45" t="s">
        <v>127</v>
      </c>
    </row>
    <row r="91" spans="2:16">
      <c r="B91" s="29">
        <v>46235</v>
      </c>
      <c r="C91" s="28" t="s">
        <v>80</v>
      </c>
      <c r="D91" s="31">
        <v>303800</v>
      </c>
      <c r="E91" s="31">
        <v>289300</v>
      </c>
      <c r="F91" s="37" t="str">
        <f>IF(tblResults[[#This Row],[Month]]="","",IFERROR(INDEX(tblCostLines[Group],MATCH(tblResults[[#This Row],[Cost line]],tblCostLines[Cost line],0)),""))</f>
        <v>Materials</v>
      </c>
      <c r="G91" s="38">
        <f>IF(tblResults[[#This Row],[Month]]="","",IFERROR(INDEX(tblCostLines[Variable share],MATCH(tblResults[[#This Row],[Cost line]],tblCostLines[Cost line],0)),""))</f>
        <v>1</v>
      </c>
      <c r="H91" s="39">
        <f>IF(tblResults[[#This Row],[Month]]="","",IFERROR(INDEX(tblVolume[Volume ratio],MATCH(DATE(YEAR(tblResults[[#This Row],[Month]]),MONTH(tblResults[[#This Row],[Month]]),1),tblVolume[Month],0)),""))</f>
        <v>0.923469387755102</v>
      </c>
      <c r="I91" s="40">
        <f>IF(tblResults[[#This Row],[Month]]="","",IF(OR(tblResults[[#This Row],[Volume ratio]]="",tblResults[[#This Row],[Variable share]]=""),"",tblResults[[#This Row],[Budget]]*(1-tblResults[[#This Row],[Variable share]]+tblResults[[#This Row],[Variable share]]*tblResults[[#This Row],[Volume ratio]])))</f>
        <v>280550</v>
      </c>
      <c r="J91" s="41">
        <f>IF(tblResults[[#This Row],[Month]]="","",IF(OR(tblResults[[#This Row],[Flexed budget]]="",tblResults[[#This Row],[Actual]]=""),"",tblResults[[#This Row],[Actual]]-tblResults[[#This Row],[Flexed budget]]))</f>
        <v>8750</v>
      </c>
      <c r="K91" s="42">
        <f>IF(tblResults[[#This Row],[Month]]="","",IF(OR(tblResults[[#This Row],[Spending variance]]="",tblResults[[#This Row],[Flexed budget]]=0),"",tblResults[[#This Row],[Spending variance]]/tblResults[[#This Row],[Flexed budget]]))</f>
        <v>0.031188736410622</v>
      </c>
      <c r="L91" s="41">
        <f>IF(tblResults[[#This Row],[Month]]="","",IF(tblResults[[#This Row],[Flexed budget]]="","",tblResults[[#This Row],[Flexed budget]]-tblResults[[#This Row],[Budget]]))</f>
        <v>-23250</v>
      </c>
      <c r="M91" s="41">
        <f>IF(tblResults[[#This Row],[Month]]="","",IF(tblResults[[#This Row],[Actual]]="","",tblResults[[#This Row],[Actual]]-tblResults[[#This Row],[Budget]]))</f>
        <v>-14500</v>
      </c>
      <c r="N91" s="43" t="str">
        <f>IF(tblResults[[#This Row],[Spending variance]]="","",IF(AND(ABS(tblResults[[#This Row],[Spending variance]])&gt;VarAmount,ABS(tblResults[[#This Row],[Spending variance %]])&gt;VarPct),IF(tblResults[[#This Row],[Spending variance]]&gt;0,"Out of limits","Check"),"Within limits"))</f>
        <v>Within limits</v>
      </c>
      <c r="O9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1" s="45" t="s">
        <v>122</v>
      </c>
    </row>
    <row r="92" spans="2:16">
      <c r="B92" s="29">
        <v>46235</v>
      </c>
      <c r="C92" s="28" t="s">
        <v>83</v>
      </c>
      <c r="D92" s="31">
        <v>41200</v>
      </c>
      <c r="E92" s="31">
        <v>37910</v>
      </c>
      <c r="F92" s="37" t="str">
        <f>IF(tblResults[[#This Row],[Month]]="","",IFERROR(INDEX(tblCostLines[Group],MATCH(tblResults[[#This Row],[Cost line]],tblCostLines[Cost line],0)),""))</f>
        <v>Materials</v>
      </c>
      <c r="G92" s="38">
        <f>IF(tblResults[[#This Row],[Month]]="","",IFERROR(INDEX(tblCostLines[Variable share],MATCH(tblResults[[#This Row],[Cost line]],tblCostLines[Cost line],0)),""))</f>
        <v>1</v>
      </c>
      <c r="H92" s="39">
        <f>IF(tblResults[[#This Row],[Month]]="","",IFERROR(INDEX(tblVolume[Volume ratio],MATCH(DATE(YEAR(tblResults[[#This Row],[Month]]),MONTH(tblResults[[#This Row],[Month]]),1),tblVolume[Month],0)),""))</f>
        <v>0.923469387755102</v>
      </c>
      <c r="I92" s="40">
        <f>IF(tblResults[[#This Row],[Month]]="","",IF(OR(tblResults[[#This Row],[Volume ratio]]="",tblResults[[#This Row],[Variable share]]=""),"",tblResults[[#This Row],[Budget]]*(1-tblResults[[#This Row],[Variable share]]+tblResults[[#This Row],[Variable share]]*tblResults[[#This Row],[Volume ratio]])))</f>
        <v>38046.9387755102</v>
      </c>
      <c r="J92" s="41">
        <f>IF(tblResults[[#This Row],[Month]]="","",IF(OR(tblResults[[#This Row],[Flexed budget]]="",tblResults[[#This Row],[Actual]]=""),"",tblResults[[#This Row],[Actual]]-tblResults[[#This Row],[Flexed budget]]))</f>
        <v>-136.9387755102</v>
      </c>
      <c r="K92" s="42">
        <f>IF(tblResults[[#This Row],[Month]]="","",IF(OR(tblResults[[#This Row],[Spending variance]]="",tblResults[[#This Row],[Flexed budget]]=0),"",tblResults[[#This Row],[Spending variance]]/tblResults[[#This Row],[Flexed budget]]))</f>
        <v>-0.00359920613635133</v>
      </c>
      <c r="L92" s="41">
        <f>IF(tblResults[[#This Row],[Month]]="","",IF(tblResults[[#This Row],[Flexed budget]]="","",tblResults[[#This Row],[Flexed budget]]-tblResults[[#This Row],[Budget]]))</f>
        <v>-3153.0612244898</v>
      </c>
      <c r="M92" s="41">
        <f>IF(tblResults[[#This Row],[Month]]="","",IF(tblResults[[#This Row],[Actual]]="","",tblResults[[#This Row],[Actual]]-tblResults[[#This Row],[Budget]]))</f>
        <v>-3290</v>
      </c>
      <c r="N92" s="43" t="str">
        <f>IF(tblResults[[#This Row],[Spending variance]]="","",IF(AND(ABS(tblResults[[#This Row],[Spending variance]])&gt;VarAmount,ABS(tblResults[[#This Row],[Spending variance %]])&gt;VarPct),IF(tblResults[[#This Row],[Spending variance]]&gt;0,"Out of limits","Check"),"Within limits"))</f>
        <v>Within limits</v>
      </c>
      <c r="O9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2" s="45" t="s">
        <v>122</v>
      </c>
    </row>
    <row r="93" spans="2:16">
      <c r="B93" s="29">
        <v>46235</v>
      </c>
      <c r="C93" s="28" t="s">
        <v>85</v>
      </c>
      <c r="D93" s="31">
        <v>57500</v>
      </c>
      <c r="E93" s="31">
        <v>54120</v>
      </c>
      <c r="F93" s="37" t="str">
        <f>IF(tblResults[[#This Row],[Month]]="","",IFERROR(INDEX(tblCostLines[Group],MATCH(tblResults[[#This Row],[Cost line]],tblCostLines[Cost line],0)),""))</f>
        <v>Materials</v>
      </c>
      <c r="G93" s="38">
        <f>IF(tblResults[[#This Row],[Month]]="","",IFERROR(INDEX(tblCostLines[Variable share],MATCH(tblResults[[#This Row],[Cost line]],tblCostLines[Cost line],0)),""))</f>
        <v>0.9</v>
      </c>
      <c r="H93" s="39">
        <f>IF(tblResults[[#This Row],[Month]]="","",IFERROR(INDEX(tblVolume[Volume ratio],MATCH(DATE(YEAR(tblResults[[#This Row],[Month]]),MONTH(tblResults[[#This Row],[Month]]),1),tblVolume[Month],0)),""))</f>
        <v>0.923469387755102</v>
      </c>
      <c r="I93" s="40">
        <f>IF(tblResults[[#This Row],[Month]]="","",IF(OR(tblResults[[#This Row],[Volume ratio]]="",tblResults[[#This Row],[Variable share]]=""),"",tblResults[[#This Row],[Budget]]*(1-tblResults[[#This Row],[Variable share]]+tblResults[[#This Row],[Variable share]]*tblResults[[#This Row],[Volume ratio]])))</f>
        <v>53539.5408163265</v>
      </c>
      <c r="J93" s="41">
        <f>IF(tblResults[[#This Row],[Month]]="","",IF(OR(tblResults[[#This Row],[Flexed budget]]="",tblResults[[#This Row],[Actual]]=""),"",tblResults[[#This Row],[Actual]]-tblResults[[#This Row],[Flexed budget]]))</f>
        <v>580.459183673469</v>
      </c>
      <c r="K93" s="42">
        <f>IF(tblResults[[#This Row],[Month]]="","",IF(OR(tblResults[[#This Row],[Spending variance]]="",tblResults[[#This Row],[Flexed budget]]=0),"",tblResults[[#This Row],[Spending variance]]/tblResults[[#This Row],[Flexed budget]]))</f>
        <v>0.0108416914830256</v>
      </c>
      <c r="L93" s="41">
        <f>IF(tblResults[[#This Row],[Month]]="","",IF(tblResults[[#This Row],[Flexed budget]]="","",tblResults[[#This Row],[Flexed budget]]-tblResults[[#This Row],[Budget]]))</f>
        <v>-3960.45918367347</v>
      </c>
      <c r="M93" s="41">
        <f>IF(tblResults[[#This Row],[Month]]="","",IF(tblResults[[#This Row],[Actual]]="","",tblResults[[#This Row],[Actual]]-tblResults[[#This Row],[Budget]]))</f>
        <v>-3380</v>
      </c>
      <c r="N93" s="43" t="str">
        <f>IF(tblResults[[#This Row],[Spending variance]]="","",IF(AND(ABS(tblResults[[#This Row],[Spending variance]])&gt;VarAmount,ABS(tblResults[[#This Row],[Spending variance %]])&gt;VarPct),IF(tblResults[[#This Row],[Spending variance]]&gt;0,"Out of limits","Check"),"Within limits"))</f>
        <v>Within limits</v>
      </c>
      <c r="O9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3" s="45" t="s">
        <v>122</v>
      </c>
    </row>
    <row r="94" spans="2:16">
      <c r="B94" s="29">
        <v>46235</v>
      </c>
      <c r="C94" s="28" t="s">
        <v>87</v>
      </c>
      <c r="D94" s="31">
        <v>98400</v>
      </c>
      <c r="E94" s="31">
        <v>98430</v>
      </c>
      <c r="F94" s="37" t="str">
        <f>IF(tblResults[[#This Row],[Month]]="","",IFERROR(INDEX(tblCostLines[Group],MATCH(tblResults[[#This Row],[Cost line]],tblCostLines[Cost line],0)),""))</f>
        <v>Energy</v>
      </c>
      <c r="G94" s="38">
        <f>IF(tblResults[[#This Row],[Month]]="","",IFERROR(INDEX(tblCostLines[Variable share],MATCH(tblResults[[#This Row],[Cost line]],tblCostLines[Cost line],0)),""))</f>
        <v>0.85</v>
      </c>
      <c r="H94" s="39">
        <f>IF(tblResults[[#This Row],[Month]]="","",IFERROR(INDEX(tblVolume[Volume ratio],MATCH(DATE(YEAR(tblResults[[#This Row],[Month]]),MONTH(tblResults[[#This Row],[Month]]),1),tblVolume[Month],0)),""))</f>
        <v>0.923469387755102</v>
      </c>
      <c r="I94" s="40">
        <f>IF(tblResults[[#This Row],[Month]]="","",IF(OR(tblResults[[#This Row],[Volume ratio]]="",tblResults[[#This Row],[Variable share]]=""),"",tblResults[[#This Row],[Budget]]*(1-tblResults[[#This Row],[Variable share]]+tblResults[[#This Row],[Variable share]]*tblResults[[#This Row],[Volume ratio]])))</f>
        <v>91998.9795918367</v>
      </c>
      <c r="J94" s="41">
        <f>IF(tblResults[[#This Row],[Month]]="","",IF(OR(tblResults[[#This Row],[Flexed budget]]="",tblResults[[#This Row],[Actual]]=""),"",tblResults[[#This Row],[Actual]]-tblResults[[#This Row],[Flexed budget]]))</f>
        <v>6431.02040816327</v>
      </c>
      <c r="K94" s="42">
        <f>IF(tblResults[[#This Row],[Month]]="","",IF(OR(tblResults[[#This Row],[Spending variance]]="",tblResults[[#This Row],[Flexed budget]]=0),"",tblResults[[#This Row],[Spending variance]]/tblResults[[#This Row],[Flexed budget]]))</f>
        <v>0.0699031710644529</v>
      </c>
      <c r="L94" s="41">
        <f>IF(tblResults[[#This Row],[Month]]="","",IF(tblResults[[#This Row],[Flexed budget]]="","",tblResults[[#This Row],[Flexed budget]]-tblResults[[#This Row],[Budget]]))</f>
        <v>-6401.02040816327</v>
      </c>
      <c r="M94" s="41">
        <f>IF(tblResults[[#This Row],[Month]]="","",IF(tblResults[[#This Row],[Actual]]="","",tblResults[[#This Row],[Actual]]-tblResults[[#This Row],[Budget]]))</f>
        <v>30</v>
      </c>
      <c r="N94" s="43" t="str">
        <f>IF(tblResults[[#This Row],[Spending variance]]="","",IF(AND(ABS(tblResults[[#This Row],[Spending variance]])&gt;VarAmount,ABS(tblResults[[#This Row],[Spending variance %]])&gt;VarPct),IF(tblResults[[#This Row],[Spending variance]]&gt;0,"Out of limits","Check"),"Within limits"))</f>
        <v>Out of limits</v>
      </c>
      <c r="O9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4" s="45" t="s">
        <v>124</v>
      </c>
    </row>
    <row r="95" spans="2:16">
      <c r="B95" s="29">
        <v>46235</v>
      </c>
      <c r="C95" s="28" t="s">
        <v>90</v>
      </c>
      <c r="D95" s="31">
        <v>14900</v>
      </c>
      <c r="E95" s="31">
        <v>14540</v>
      </c>
      <c r="F95" s="37" t="str">
        <f>IF(tblResults[[#This Row],[Month]]="","",IFERROR(INDEX(tblCostLines[Group],MATCH(tblResults[[#This Row],[Cost line]],tblCostLines[Cost line],0)),""))</f>
        <v>Energy</v>
      </c>
      <c r="G95" s="38">
        <f>IF(tblResults[[#This Row],[Month]]="","",IFERROR(INDEX(tblCostLines[Variable share],MATCH(tblResults[[#This Row],[Cost line]],tblCostLines[Cost line],0)),""))</f>
        <v>0.5</v>
      </c>
      <c r="H95" s="39">
        <f>IF(tblResults[[#This Row],[Month]]="","",IFERROR(INDEX(tblVolume[Volume ratio],MATCH(DATE(YEAR(tblResults[[#This Row],[Month]]),MONTH(tblResults[[#This Row],[Month]]),1),tblVolume[Month],0)),""))</f>
        <v>0.923469387755102</v>
      </c>
      <c r="I95" s="40">
        <f>IF(tblResults[[#This Row],[Month]]="","",IF(OR(tblResults[[#This Row],[Volume ratio]]="",tblResults[[#This Row],[Variable share]]=""),"",tblResults[[#This Row],[Budget]]*(1-tblResults[[#This Row],[Variable share]]+tblResults[[#This Row],[Variable share]]*tblResults[[#This Row],[Volume ratio]])))</f>
        <v>14329.8469387755</v>
      </c>
      <c r="J95" s="41">
        <f>IF(tblResults[[#This Row],[Month]]="","",IF(OR(tblResults[[#This Row],[Flexed budget]]="",tblResults[[#This Row],[Actual]]=""),"",tblResults[[#This Row],[Actual]]-tblResults[[#This Row],[Flexed budget]]))</f>
        <v>210.15306122449</v>
      </c>
      <c r="K95" s="42">
        <f>IF(tblResults[[#This Row],[Month]]="","",IF(OR(tblResults[[#This Row],[Spending variance]]="",tblResults[[#This Row],[Flexed budget]]=0),"",tblResults[[#This Row],[Spending variance]]/tblResults[[#This Row],[Flexed budget]]))</f>
        <v>0.014665408648283</v>
      </c>
      <c r="L95" s="41">
        <f>IF(tblResults[[#This Row],[Month]]="","",IF(tblResults[[#This Row],[Flexed budget]]="","",tblResults[[#This Row],[Flexed budget]]-tblResults[[#This Row],[Budget]]))</f>
        <v>-570.15306122449</v>
      </c>
      <c r="M95" s="41">
        <f>IF(tblResults[[#This Row],[Month]]="","",IF(tblResults[[#This Row],[Actual]]="","",tblResults[[#This Row],[Actual]]-tblResults[[#This Row],[Budget]]))</f>
        <v>-360</v>
      </c>
      <c r="N95" s="43" t="str">
        <f>IF(tblResults[[#This Row],[Spending variance]]="","",IF(AND(ABS(tblResults[[#This Row],[Spending variance]])&gt;VarAmount,ABS(tblResults[[#This Row],[Spending variance %]])&gt;VarPct),IF(tblResults[[#This Row],[Spending variance]]&gt;0,"Out of limits","Check"),"Within limits"))</f>
        <v>Within limits</v>
      </c>
      <c r="O9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5" s="45" t="s">
        <v>122</v>
      </c>
    </row>
    <row r="96" spans="2:16">
      <c r="B96" s="29">
        <v>46235</v>
      </c>
      <c r="C96" s="28" t="s">
        <v>92</v>
      </c>
      <c r="D96" s="31">
        <v>106100</v>
      </c>
      <c r="E96" s="31">
        <v>103730</v>
      </c>
      <c r="F96" s="37" t="str">
        <f>IF(tblResults[[#This Row],[Month]]="","",IFERROR(INDEX(tblCostLines[Group],MATCH(tblResults[[#This Row],[Cost line]],tblCostLines[Cost line],0)),""))</f>
        <v>Labour</v>
      </c>
      <c r="G96" s="38">
        <f>IF(tblResults[[#This Row],[Month]]="","",IFERROR(INDEX(tblCostLines[Variable share],MATCH(tblResults[[#This Row],[Cost line]],tblCostLines[Cost line],0)),""))</f>
        <v>0.5</v>
      </c>
      <c r="H96" s="39">
        <f>IF(tblResults[[#This Row],[Month]]="","",IFERROR(INDEX(tblVolume[Volume ratio],MATCH(DATE(YEAR(tblResults[[#This Row],[Month]]),MONTH(tblResults[[#This Row],[Month]]),1),tblVolume[Month],0)),""))</f>
        <v>0.923469387755102</v>
      </c>
      <c r="I96" s="40">
        <f>IF(tblResults[[#This Row],[Month]]="","",IF(OR(tblResults[[#This Row],[Volume ratio]]="",tblResults[[#This Row],[Variable share]]=""),"",tblResults[[#This Row],[Budget]]*(1-tblResults[[#This Row],[Variable share]]+tblResults[[#This Row],[Variable share]]*tblResults[[#This Row],[Volume ratio]])))</f>
        <v>102040.051020408</v>
      </c>
      <c r="J96" s="41">
        <f>IF(tblResults[[#This Row],[Month]]="","",IF(OR(tblResults[[#This Row],[Flexed budget]]="",tblResults[[#This Row],[Actual]]=""),"",tblResults[[#This Row],[Actual]]-tblResults[[#This Row],[Flexed budget]]))</f>
        <v>1689.94897959183</v>
      </c>
      <c r="K96" s="42">
        <f>IF(tblResults[[#This Row],[Month]]="","",IF(OR(tblResults[[#This Row],[Spending variance]]="",tblResults[[#This Row],[Flexed budget]]=0),"",tblResults[[#This Row],[Spending variance]]/tblResults[[#This Row],[Flexed budget]]))</f>
        <v>0.0165616242121816</v>
      </c>
      <c r="L96" s="41">
        <f>IF(tblResults[[#This Row],[Month]]="","",IF(tblResults[[#This Row],[Flexed budget]]="","",tblResults[[#This Row],[Flexed budget]]-tblResults[[#This Row],[Budget]]))</f>
        <v>-4059.94897959183</v>
      </c>
      <c r="M96" s="41">
        <f>IF(tblResults[[#This Row],[Month]]="","",IF(tblResults[[#This Row],[Actual]]="","",tblResults[[#This Row],[Actual]]-tblResults[[#This Row],[Budget]]))</f>
        <v>-2370</v>
      </c>
      <c r="N96" s="43" t="str">
        <f>IF(tblResults[[#This Row],[Spending variance]]="","",IF(AND(ABS(tblResults[[#This Row],[Spending variance]])&gt;VarAmount,ABS(tblResults[[#This Row],[Spending variance %]])&gt;VarPct),IF(tblResults[[#This Row],[Spending variance]]&gt;0,"Out of limits","Check"),"Within limits"))</f>
        <v>Within limits</v>
      </c>
      <c r="O9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6" s="45" t="s">
        <v>122</v>
      </c>
    </row>
    <row r="97" spans="2:16">
      <c r="B97" s="29">
        <v>46235</v>
      </c>
      <c r="C97" s="28" t="s">
        <v>95</v>
      </c>
      <c r="D97" s="31">
        <v>48000</v>
      </c>
      <c r="E97" s="31">
        <v>48610</v>
      </c>
      <c r="F97" s="37" t="str">
        <f>IF(tblResults[[#This Row],[Month]]="","",IFERROR(INDEX(tblCostLines[Group],MATCH(tblResults[[#This Row],[Cost line]],tblCostLines[Cost line],0)),""))</f>
        <v>Labour</v>
      </c>
      <c r="G97" s="38">
        <f>IF(tblResults[[#This Row],[Month]]="","",IFERROR(INDEX(tblCostLines[Variable share],MATCH(tblResults[[#This Row],[Cost line]],tblCostLines[Cost line],0)),""))</f>
        <v>0</v>
      </c>
      <c r="H97" s="39">
        <f>IF(tblResults[[#This Row],[Month]]="","",IFERROR(INDEX(tblVolume[Volume ratio],MATCH(DATE(YEAR(tblResults[[#This Row],[Month]]),MONTH(tblResults[[#This Row],[Month]]),1),tblVolume[Month],0)),""))</f>
        <v>0.923469387755102</v>
      </c>
      <c r="I97" s="40">
        <f>IF(tblResults[[#This Row],[Month]]="","",IF(OR(tblResults[[#This Row],[Volume ratio]]="",tblResults[[#This Row],[Variable share]]=""),"",tblResults[[#This Row],[Budget]]*(1-tblResults[[#This Row],[Variable share]]+tblResults[[#This Row],[Variable share]]*tblResults[[#This Row],[Volume ratio]])))</f>
        <v>48000</v>
      </c>
      <c r="J97" s="41">
        <f>IF(tblResults[[#This Row],[Month]]="","",IF(OR(tblResults[[#This Row],[Flexed budget]]="",tblResults[[#This Row],[Actual]]=""),"",tblResults[[#This Row],[Actual]]-tblResults[[#This Row],[Flexed budget]]))</f>
        <v>610</v>
      </c>
      <c r="K97" s="42">
        <f>IF(tblResults[[#This Row],[Month]]="","",IF(OR(tblResults[[#This Row],[Spending variance]]="",tblResults[[#This Row],[Flexed budget]]=0),"",tblResults[[#This Row],[Spending variance]]/tblResults[[#This Row],[Flexed budget]]))</f>
        <v>0.0127083333333333</v>
      </c>
      <c r="L97" s="41">
        <f>IF(tblResults[[#This Row],[Month]]="","",IF(tblResults[[#This Row],[Flexed budget]]="","",tblResults[[#This Row],[Flexed budget]]-tblResults[[#This Row],[Budget]]))</f>
        <v>0</v>
      </c>
      <c r="M97" s="41">
        <f>IF(tblResults[[#This Row],[Month]]="","",IF(tblResults[[#This Row],[Actual]]="","",tblResults[[#This Row],[Actual]]-tblResults[[#This Row],[Budget]]))</f>
        <v>610</v>
      </c>
      <c r="N97" s="43" t="str">
        <f>IF(tblResults[[#This Row],[Spending variance]]="","",IF(AND(ABS(tblResults[[#This Row],[Spending variance]])&gt;VarAmount,ABS(tblResults[[#This Row],[Spending variance %]])&gt;VarPct),IF(tblResults[[#This Row],[Spending variance]]&gt;0,"Out of limits","Check"),"Within limits"))</f>
        <v>Within limits</v>
      </c>
      <c r="O9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7" s="45" t="s">
        <v>122</v>
      </c>
    </row>
    <row r="98" spans="2:16">
      <c r="B98" s="29">
        <v>46235</v>
      </c>
      <c r="C98" s="28" t="s">
        <v>97</v>
      </c>
      <c r="D98" s="31">
        <v>31800</v>
      </c>
      <c r="E98" s="31">
        <v>30820</v>
      </c>
      <c r="F98" s="37" t="str">
        <f>IF(tblResults[[#This Row],[Month]]="","",IFERROR(INDEX(tblCostLines[Group],MATCH(tblResults[[#This Row],[Cost line]],tblCostLines[Cost line],0)),""))</f>
        <v>Overheads</v>
      </c>
      <c r="G98" s="38">
        <f>IF(tblResults[[#This Row],[Month]]="","",IFERROR(INDEX(tblCostLines[Variable share],MATCH(tblResults[[#This Row],[Cost line]],tblCostLines[Cost line],0)),""))</f>
        <v>0.3</v>
      </c>
      <c r="H98" s="39">
        <f>IF(tblResults[[#This Row],[Month]]="","",IFERROR(INDEX(tblVolume[Volume ratio],MATCH(DATE(YEAR(tblResults[[#This Row],[Month]]),MONTH(tblResults[[#This Row],[Month]]),1),tblVolume[Month],0)),""))</f>
        <v>0.923469387755102</v>
      </c>
      <c r="I98" s="40">
        <f>IF(tblResults[[#This Row],[Month]]="","",IF(OR(tblResults[[#This Row],[Volume ratio]]="",tblResults[[#This Row],[Variable share]]=""),"",tblResults[[#This Row],[Budget]]*(1-tblResults[[#This Row],[Variable share]]+tblResults[[#This Row],[Variable share]]*tblResults[[#This Row],[Volume ratio]])))</f>
        <v>31069.8979591837</v>
      </c>
      <c r="J98" s="41">
        <f>IF(tblResults[[#This Row],[Month]]="","",IF(OR(tblResults[[#This Row],[Flexed budget]]="",tblResults[[#This Row],[Actual]]=""),"",tblResults[[#This Row],[Actual]]-tblResults[[#This Row],[Flexed budget]]))</f>
        <v>-249.897959183669</v>
      </c>
      <c r="K98" s="42">
        <f>IF(tblResults[[#This Row],[Month]]="","",IF(OR(tblResults[[#This Row],[Spending variance]]="",tblResults[[#This Row],[Flexed budget]]=0),"",tblResults[[#This Row],[Spending variance]]/tblResults[[#This Row],[Flexed budget]]))</f>
        <v>-0.00804308915053272</v>
      </c>
      <c r="L98" s="41">
        <f>IF(tblResults[[#This Row],[Month]]="","",IF(tblResults[[#This Row],[Flexed budget]]="","",tblResults[[#This Row],[Flexed budget]]-tblResults[[#This Row],[Budget]]))</f>
        <v>-730.102040816331</v>
      </c>
      <c r="M98" s="41">
        <f>IF(tblResults[[#This Row],[Month]]="","",IF(tblResults[[#This Row],[Actual]]="","",tblResults[[#This Row],[Actual]]-tblResults[[#This Row],[Budget]]))</f>
        <v>-980</v>
      </c>
      <c r="N98" s="43" t="str">
        <f>IF(tblResults[[#This Row],[Spending variance]]="","",IF(AND(ABS(tblResults[[#This Row],[Spending variance]])&gt;VarAmount,ABS(tblResults[[#This Row],[Spending variance %]])&gt;VarPct),IF(tblResults[[#This Row],[Spending variance]]&gt;0,"Out of limits","Check"),"Within limits"))</f>
        <v>Within limits</v>
      </c>
      <c r="O9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8" s="45" t="s">
        <v>122</v>
      </c>
    </row>
    <row r="99" spans="2:16">
      <c r="B99" s="29">
        <v>46235</v>
      </c>
      <c r="C99" s="28" t="s">
        <v>100</v>
      </c>
      <c r="D99" s="31">
        <v>19700</v>
      </c>
      <c r="E99" s="31">
        <v>18720</v>
      </c>
      <c r="F99" s="37" t="str">
        <f>IF(tblResults[[#This Row],[Month]]="","",IFERROR(INDEX(tblCostLines[Group],MATCH(tblResults[[#This Row],[Cost line]],tblCostLines[Cost line],0)),""))</f>
        <v>Overheads</v>
      </c>
      <c r="G99" s="38">
        <f>IF(tblResults[[#This Row],[Month]]="","",IFERROR(INDEX(tblCostLines[Variable share],MATCH(tblResults[[#This Row],[Cost line]],tblCostLines[Cost line],0)),""))</f>
        <v>0.75</v>
      </c>
      <c r="H99" s="39">
        <f>IF(tblResults[[#This Row],[Month]]="","",IFERROR(INDEX(tblVolume[Volume ratio],MATCH(DATE(YEAR(tblResults[[#This Row],[Month]]),MONTH(tblResults[[#This Row],[Month]]),1),tblVolume[Month],0)),""))</f>
        <v>0.923469387755102</v>
      </c>
      <c r="I99" s="40">
        <f>IF(tblResults[[#This Row],[Month]]="","",IF(OR(tblResults[[#This Row],[Volume ratio]]="",tblResults[[#This Row],[Variable share]]=""),"",tblResults[[#This Row],[Budget]]*(1-tblResults[[#This Row],[Variable share]]+tblResults[[#This Row],[Variable share]]*tblResults[[#This Row],[Volume ratio]])))</f>
        <v>18569.2602040816</v>
      </c>
      <c r="J99" s="41">
        <f>IF(tblResults[[#This Row],[Month]]="","",IF(OR(tblResults[[#This Row],[Flexed budget]]="",tblResults[[#This Row],[Actual]]=""),"",tblResults[[#This Row],[Actual]]-tblResults[[#This Row],[Flexed budget]]))</f>
        <v>150.739795918369</v>
      </c>
      <c r="K99" s="42">
        <f>IF(tblResults[[#This Row],[Month]]="","",IF(OR(tblResults[[#This Row],[Spending variance]]="",tblResults[[#This Row],[Flexed budget]]=0),"",tblResults[[#This Row],[Spending variance]]/tblResults[[#This Row],[Flexed budget]]))</f>
        <v>0.00811770605084394</v>
      </c>
      <c r="L99" s="41">
        <f>IF(tblResults[[#This Row],[Month]]="","",IF(tblResults[[#This Row],[Flexed budget]]="","",tblResults[[#This Row],[Flexed budget]]-tblResults[[#This Row],[Budget]]))</f>
        <v>-1130.73979591837</v>
      </c>
      <c r="M99" s="41">
        <f>IF(tblResults[[#This Row],[Month]]="","",IF(tblResults[[#This Row],[Actual]]="","",tblResults[[#This Row],[Actual]]-tblResults[[#This Row],[Budget]]))</f>
        <v>-980</v>
      </c>
      <c r="N99" s="43" t="str">
        <f>IF(tblResults[[#This Row],[Spending variance]]="","",IF(AND(ABS(tblResults[[#This Row],[Spending variance]])&gt;VarAmount,ABS(tblResults[[#This Row],[Spending variance %]])&gt;VarPct),IF(tblResults[[#This Row],[Spending variance]]&gt;0,"Out of limits","Check"),"Within limits"))</f>
        <v>Within limits</v>
      </c>
      <c r="O9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99" s="45" t="s">
        <v>122</v>
      </c>
    </row>
    <row r="100" spans="2:16">
      <c r="B100" s="29">
        <v>46235</v>
      </c>
      <c r="C100" s="28" t="s">
        <v>102</v>
      </c>
      <c r="D100" s="31">
        <v>10800</v>
      </c>
      <c r="E100" s="31">
        <v>10100</v>
      </c>
      <c r="F100" s="37" t="str">
        <f>IF(tblResults[[#This Row],[Month]]="","",IFERROR(INDEX(tblCostLines[Group],MATCH(tblResults[[#This Row],[Cost line]],tblCostLines[Cost line],0)),""))</f>
        <v>Overheads</v>
      </c>
      <c r="G100" s="38">
        <f>IF(tblResults[[#This Row],[Month]]="","",IFERROR(INDEX(tblCostLines[Variable share],MATCH(tblResults[[#This Row],[Cost line]],tblCostLines[Cost line],0)),""))</f>
        <v>0.85</v>
      </c>
      <c r="H100" s="39">
        <f>IF(tblResults[[#This Row],[Month]]="","",IFERROR(INDEX(tblVolume[Volume ratio],MATCH(DATE(YEAR(tblResults[[#This Row],[Month]]),MONTH(tblResults[[#This Row],[Month]]),1),tblVolume[Month],0)),""))</f>
        <v>0.923469387755102</v>
      </c>
      <c r="I100" s="40">
        <f>IF(tblResults[[#This Row],[Month]]="","",IF(OR(tblResults[[#This Row],[Volume ratio]]="",tblResults[[#This Row],[Variable share]]=""),"",tblResults[[#This Row],[Budget]]*(1-tblResults[[#This Row],[Variable share]]+tblResults[[#This Row],[Variable share]]*tblResults[[#This Row],[Volume ratio]])))</f>
        <v>10097.4489795918</v>
      </c>
      <c r="J100" s="41">
        <f>IF(tblResults[[#This Row],[Month]]="","",IF(OR(tblResults[[#This Row],[Flexed budget]]="",tblResults[[#This Row],[Actual]]=""),"",tblResults[[#This Row],[Actual]]-tblResults[[#This Row],[Flexed budget]]))</f>
        <v>2.55102040816382</v>
      </c>
      <c r="K100" s="42">
        <f>IF(tblResults[[#This Row],[Month]]="","",IF(OR(tblResults[[#This Row],[Spending variance]]="",tblResults[[#This Row],[Flexed budget]]=0),"",tblResults[[#This Row],[Spending variance]]/tblResults[[#This Row],[Flexed budget]]))</f>
        <v>0.000252640088929366</v>
      </c>
      <c r="L100" s="41">
        <f>IF(tblResults[[#This Row],[Month]]="","",IF(tblResults[[#This Row],[Flexed budget]]="","",tblResults[[#This Row],[Flexed budget]]-tblResults[[#This Row],[Budget]]))</f>
        <v>-702.551020408164</v>
      </c>
      <c r="M100" s="41">
        <f>IF(tblResults[[#This Row],[Month]]="","",IF(tblResults[[#This Row],[Actual]]="","",tblResults[[#This Row],[Actual]]-tblResults[[#This Row],[Budget]]))</f>
        <v>-700</v>
      </c>
      <c r="N100" s="43" t="str">
        <f>IF(tblResults[[#This Row],[Spending variance]]="","",IF(AND(ABS(tblResults[[#This Row],[Spending variance]])&gt;VarAmount,ABS(tblResults[[#This Row],[Spending variance %]])&gt;VarPct),IF(tblResults[[#This Row],[Spending variance]]&gt;0,"Out of limits","Check"),"Within limits"))</f>
        <v>Within limits</v>
      </c>
      <c r="O10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0" s="45" t="s">
        <v>122</v>
      </c>
    </row>
    <row r="101" spans="2:16">
      <c r="B101" s="29">
        <v>46235</v>
      </c>
      <c r="C101" s="28" t="s">
        <v>104</v>
      </c>
      <c r="D101" s="31">
        <v>41000</v>
      </c>
      <c r="E101" s="31">
        <v>41420</v>
      </c>
      <c r="F101" s="37" t="str">
        <f>IF(tblResults[[#This Row],[Month]]="","",IFERROR(INDEX(tblCostLines[Group],MATCH(tblResults[[#This Row],[Cost line]],tblCostLines[Cost line],0)),""))</f>
        <v>Overheads</v>
      </c>
      <c r="G101" s="38">
        <f>IF(tblResults[[#This Row],[Month]]="","",IFERROR(INDEX(tblCostLines[Variable share],MATCH(tblResults[[#This Row],[Cost line]],tblCostLines[Cost line],0)),""))</f>
        <v>0</v>
      </c>
      <c r="H101" s="39">
        <f>IF(tblResults[[#This Row],[Month]]="","",IFERROR(INDEX(tblVolume[Volume ratio],MATCH(DATE(YEAR(tblResults[[#This Row],[Month]]),MONTH(tblResults[[#This Row],[Month]]),1),tblVolume[Month],0)),""))</f>
        <v>0.923469387755102</v>
      </c>
      <c r="I101" s="40">
        <f>IF(tblResults[[#This Row],[Month]]="","",IF(OR(tblResults[[#This Row],[Volume ratio]]="",tblResults[[#This Row],[Variable share]]=""),"",tblResults[[#This Row],[Budget]]*(1-tblResults[[#This Row],[Variable share]]+tblResults[[#This Row],[Variable share]]*tblResults[[#This Row],[Volume ratio]])))</f>
        <v>41000</v>
      </c>
      <c r="J101" s="41">
        <f>IF(tblResults[[#This Row],[Month]]="","",IF(OR(tblResults[[#This Row],[Flexed budget]]="",tblResults[[#This Row],[Actual]]=""),"",tblResults[[#This Row],[Actual]]-tblResults[[#This Row],[Flexed budget]]))</f>
        <v>420</v>
      </c>
      <c r="K101" s="42">
        <f>IF(tblResults[[#This Row],[Month]]="","",IF(OR(tblResults[[#This Row],[Spending variance]]="",tblResults[[#This Row],[Flexed budget]]=0),"",tblResults[[#This Row],[Spending variance]]/tblResults[[#This Row],[Flexed budget]]))</f>
        <v>0.0102439024390244</v>
      </c>
      <c r="L101" s="41">
        <f>IF(tblResults[[#This Row],[Month]]="","",IF(tblResults[[#This Row],[Flexed budget]]="","",tblResults[[#This Row],[Flexed budget]]-tblResults[[#This Row],[Budget]]))</f>
        <v>0</v>
      </c>
      <c r="M101" s="41">
        <f>IF(tblResults[[#This Row],[Month]]="","",IF(tblResults[[#This Row],[Actual]]="","",tblResults[[#This Row],[Actual]]-tblResults[[#This Row],[Budget]]))</f>
        <v>420</v>
      </c>
      <c r="N101" s="43" t="str">
        <f>IF(tblResults[[#This Row],[Spending variance]]="","",IF(AND(ABS(tblResults[[#This Row],[Spending variance]])&gt;VarAmount,ABS(tblResults[[#This Row],[Spending variance %]])&gt;VarPct),IF(tblResults[[#This Row],[Spending variance]]&gt;0,"Out of limits","Check"),"Within limits"))</f>
        <v>Within limits</v>
      </c>
      <c r="O10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1" s="45" t="s">
        <v>122</v>
      </c>
    </row>
    <row r="102" spans="2:16">
      <c r="B102" s="29">
        <v>46235</v>
      </c>
      <c r="C102" s="28" t="s">
        <v>106</v>
      </c>
      <c r="D102" s="31">
        <v>18500</v>
      </c>
      <c r="E102" s="31">
        <v>18420</v>
      </c>
      <c r="F102" s="37" t="str">
        <f>IF(tblResults[[#This Row],[Month]]="","",IFERROR(INDEX(tblCostLines[Group],MATCH(tblResults[[#This Row],[Cost line]],tblCostLines[Cost line],0)),""))</f>
        <v>Overheads</v>
      </c>
      <c r="G102" s="38">
        <f>IF(tblResults[[#This Row],[Month]]="","",IFERROR(INDEX(tblCostLines[Variable share],MATCH(tblResults[[#This Row],[Cost line]],tblCostLines[Cost line],0)),""))</f>
        <v>0</v>
      </c>
      <c r="H102" s="39">
        <f>IF(tblResults[[#This Row],[Month]]="","",IFERROR(INDEX(tblVolume[Volume ratio],MATCH(DATE(YEAR(tblResults[[#This Row],[Month]]),MONTH(tblResults[[#This Row],[Month]]),1),tblVolume[Month],0)),""))</f>
        <v>0.923469387755102</v>
      </c>
      <c r="I102" s="40">
        <f>IF(tblResults[[#This Row],[Month]]="","",IF(OR(tblResults[[#This Row],[Volume ratio]]="",tblResults[[#This Row],[Variable share]]=""),"",tblResults[[#This Row],[Budget]]*(1-tblResults[[#This Row],[Variable share]]+tblResults[[#This Row],[Variable share]]*tblResults[[#This Row],[Volume ratio]])))</f>
        <v>18500</v>
      </c>
      <c r="J102" s="41">
        <f>IF(tblResults[[#This Row],[Month]]="","",IF(OR(tblResults[[#This Row],[Flexed budget]]="",tblResults[[#This Row],[Actual]]=""),"",tblResults[[#This Row],[Actual]]-tblResults[[#This Row],[Flexed budget]]))</f>
        <v>-80</v>
      </c>
      <c r="K102" s="42">
        <f>IF(tblResults[[#This Row],[Month]]="","",IF(OR(tblResults[[#This Row],[Spending variance]]="",tblResults[[#This Row],[Flexed budget]]=0),"",tblResults[[#This Row],[Spending variance]]/tblResults[[#This Row],[Flexed budget]]))</f>
        <v>-0.00432432432432432</v>
      </c>
      <c r="L102" s="41">
        <f>IF(tblResults[[#This Row],[Month]]="","",IF(tblResults[[#This Row],[Flexed budget]]="","",tblResults[[#This Row],[Flexed budget]]-tblResults[[#This Row],[Budget]]))</f>
        <v>0</v>
      </c>
      <c r="M102" s="41">
        <f>IF(tblResults[[#This Row],[Month]]="","",IF(tblResults[[#This Row],[Actual]]="","",tblResults[[#This Row],[Actual]]-tblResults[[#This Row],[Budget]]))</f>
        <v>-80</v>
      </c>
      <c r="N102" s="43" t="str">
        <f>IF(tblResults[[#This Row],[Spending variance]]="","",IF(AND(ABS(tblResults[[#This Row],[Spending variance]])&gt;VarAmount,ABS(tblResults[[#This Row],[Spending variance %]])&gt;VarPct),IF(tblResults[[#This Row],[Spending variance]]&gt;0,"Out of limits","Check"),"Within limits"))</f>
        <v>Within limits</v>
      </c>
      <c r="O10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2" s="45" t="s">
        <v>122</v>
      </c>
    </row>
    <row r="103" spans="2:16">
      <c r="B103" s="29">
        <v>46266</v>
      </c>
      <c r="C103" s="28" t="s">
        <v>80</v>
      </c>
      <c r="D103" s="31">
        <v>452600</v>
      </c>
      <c r="E103" s="31">
        <v>425050</v>
      </c>
      <c r="F103" s="37" t="str">
        <f>IF(tblResults[[#This Row],[Month]]="","",IFERROR(INDEX(tblCostLines[Group],MATCH(tblResults[[#This Row],[Cost line]],tblCostLines[Cost line],0)),""))</f>
        <v>Materials</v>
      </c>
      <c r="G103" s="38">
        <f>IF(tblResults[[#This Row],[Month]]="","",IFERROR(INDEX(tblCostLines[Variable share],MATCH(tblResults[[#This Row],[Cost line]],tblCostLines[Cost line],0)),""))</f>
        <v>1</v>
      </c>
      <c r="H103" s="39">
        <f>IF(tblResults[[#This Row],[Month]]="","",IFERROR(INDEX(tblVolume[Volume ratio],MATCH(DATE(YEAR(tblResults[[#This Row],[Month]]),MONTH(tblResults[[#This Row],[Month]]),1),tblVolume[Month],0)),""))</f>
        <v>0.920547945205479</v>
      </c>
      <c r="I103" s="40">
        <f>IF(tblResults[[#This Row],[Month]]="","",IF(OR(tblResults[[#This Row],[Volume ratio]]="",tblResults[[#This Row],[Variable share]]=""),"",tblResults[[#This Row],[Budget]]*(1-tblResults[[#This Row],[Variable share]]+tblResults[[#This Row],[Variable share]]*tblResults[[#This Row],[Volume ratio]])))</f>
        <v>416640</v>
      </c>
      <c r="J103" s="41">
        <f>IF(tblResults[[#This Row],[Month]]="","",IF(OR(tblResults[[#This Row],[Flexed budget]]="",tblResults[[#This Row],[Actual]]=""),"",tblResults[[#This Row],[Actual]]-tblResults[[#This Row],[Flexed budget]]))</f>
        <v>8410</v>
      </c>
      <c r="K103" s="42">
        <f>IF(tblResults[[#This Row],[Month]]="","",IF(OR(tblResults[[#This Row],[Spending variance]]="",tblResults[[#This Row],[Flexed budget]]=0),"",tblResults[[#This Row],[Spending variance]]/tblResults[[#This Row],[Flexed budget]]))</f>
        <v>0.020185291858679</v>
      </c>
      <c r="L103" s="41">
        <f>IF(tblResults[[#This Row],[Month]]="","",IF(tblResults[[#This Row],[Flexed budget]]="","",tblResults[[#This Row],[Flexed budget]]-tblResults[[#This Row],[Budget]]))</f>
        <v>-35960</v>
      </c>
      <c r="M103" s="41">
        <f>IF(tblResults[[#This Row],[Month]]="","",IF(tblResults[[#This Row],[Actual]]="","",tblResults[[#This Row],[Actual]]-tblResults[[#This Row],[Budget]]))</f>
        <v>-27550</v>
      </c>
      <c r="N103" s="43" t="str">
        <f>IF(tblResults[[#This Row],[Spending variance]]="","",IF(AND(ABS(tblResults[[#This Row],[Spending variance]])&gt;VarAmount,ABS(tblResults[[#This Row],[Spending variance %]])&gt;VarPct),IF(tblResults[[#This Row],[Spending variance]]&gt;0,"Out of limits","Check"),"Within limits"))</f>
        <v>Within limits</v>
      </c>
      <c r="O10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3" s="45" t="s">
        <v>122</v>
      </c>
    </row>
    <row r="104" spans="2:16">
      <c r="B104" s="29">
        <v>46266</v>
      </c>
      <c r="C104" s="28" t="s">
        <v>83</v>
      </c>
      <c r="D104" s="31">
        <v>61300</v>
      </c>
      <c r="E104" s="31">
        <v>55790</v>
      </c>
      <c r="F104" s="37" t="str">
        <f>IF(tblResults[[#This Row],[Month]]="","",IFERROR(INDEX(tblCostLines[Group],MATCH(tblResults[[#This Row],[Cost line]],tblCostLines[Cost line],0)),""))</f>
        <v>Materials</v>
      </c>
      <c r="G104" s="38">
        <f>IF(tblResults[[#This Row],[Month]]="","",IFERROR(INDEX(tblCostLines[Variable share],MATCH(tblResults[[#This Row],[Cost line]],tblCostLines[Cost line],0)),""))</f>
        <v>1</v>
      </c>
      <c r="H104" s="39">
        <f>IF(tblResults[[#This Row],[Month]]="","",IFERROR(INDEX(tblVolume[Volume ratio],MATCH(DATE(YEAR(tblResults[[#This Row],[Month]]),MONTH(tblResults[[#This Row],[Month]]),1),tblVolume[Month],0)),""))</f>
        <v>0.920547945205479</v>
      </c>
      <c r="I104" s="40">
        <f>IF(tblResults[[#This Row],[Month]]="","",IF(OR(tblResults[[#This Row],[Volume ratio]]="",tblResults[[#This Row],[Variable share]]=""),"",tblResults[[#This Row],[Budget]]*(1-tblResults[[#This Row],[Variable share]]+tblResults[[#This Row],[Variable share]]*tblResults[[#This Row],[Volume ratio]])))</f>
        <v>56429.5890410959</v>
      </c>
      <c r="J104" s="41">
        <f>IF(tblResults[[#This Row],[Month]]="","",IF(OR(tblResults[[#This Row],[Flexed budget]]="",tblResults[[#This Row],[Actual]]=""),"",tblResults[[#This Row],[Actual]]-tblResults[[#This Row],[Flexed budget]]))</f>
        <v>-639.589041095889</v>
      </c>
      <c r="K104" s="42">
        <f>IF(tblResults[[#This Row],[Month]]="","",IF(OR(tblResults[[#This Row],[Spending variance]]="",tblResults[[#This Row],[Flexed budget]]=0),"",tblResults[[#This Row],[Spending variance]]/tblResults[[#This Row],[Flexed budget]]))</f>
        <v>-0.011334284937466</v>
      </c>
      <c r="L104" s="41">
        <f>IF(tblResults[[#This Row],[Month]]="","",IF(tblResults[[#This Row],[Flexed budget]]="","",tblResults[[#This Row],[Flexed budget]]-tblResults[[#This Row],[Budget]]))</f>
        <v>-4870.41095890411</v>
      </c>
      <c r="M104" s="41">
        <f>IF(tblResults[[#This Row],[Month]]="","",IF(tblResults[[#This Row],[Actual]]="","",tblResults[[#This Row],[Actual]]-tblResults[[#This Row],[Budget]]))</f>
        <v>-5510</v>
      </c>
      <c r="N104" s="43" t="str">
        <f>IF(tblResults[[#This Row],[Spending variance]]="","",IF(AND(ABS(tblResults[[#This Row],[Spending variance]])&gt;VarAmount,ABS(tblResults[[#This Row],[Spending variance %]])&gt;VarPct),IF(tblResults[[#This Row],[Spending variance]]&gt;0,"Out of limits","Check"),"Within limits"))</f>
        <v>Within limits</v>
      </c>
      <c r="O10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4" s="45" t="s">
        <v>122</v>
      </c>
    </row>
    <row r="105" spans="2:16">
      <c r="B105" s="29">
        <v>46266</v>
      </c>
      <c r="C105" s="28" t="s">
        <v>85</v>
      </c>
      <c r="D105" s="31">
        <v>82400</v>
      </c>
      <c r="E105" s="31">
        <v>75390</v>
      </c>
      <c r="F105" s="37" t="str">
        <f>IF(tblResults[[#This Row],[Month]]="","",IFERROR(INDEX(tblCostLines[Group],MATCH(tblResults[[#This Row],[Cost line]],tblCostLines[Cost line],0)),""))</f>
        <v>Materials</v>
      </c>
      <c r="G105" s="38">
        <f>IF(tblResults[[#This Row],[Month]]="","",IFERROR(INDEX(tblCostLines[Variable share],MATCH(tblResults[[#This Row],[Cost line]],tblCostLines[Cost line],0)),""))</f>
        <v>0.9</v>
      </c>
      <c r="H105" s="39">
        <f>IF(tblResults[[#This Row],[Month]]="","",IFERROR(INDEX(tblVolume[Volume ratio],MATCH(DATE(YEAR(tblResults[[#This Row],[Month]]),MONTH(tblResults[[#This Row],[Month]]),1),tblVolume[Month],0)),""))</f>
        <v>0.920547945205479</v>
      </c>
      <c r="I105" s="40">
        <f>IF(tblResults[[#This Row],[Month]]="","",IF(OR(tblResults[[#This Row],[Volume ratio]]="",tblResults[[#This Row],[Variable share]]=""),"",tblResults[[#This Row],[Budget]]*(1-tblResults[[#This Row],[Variable share]]+tblResults[[#This Row],[Variable share]]*tblResults[[#This Row],[Volume ratio]])))</f>
        <v>76507.8356164384</v>
      </c>
      <c r="J105" s="41">
        <f>IF(tblResults[[#This Row],[Month]]="","",IF(OR(tblResults[[#This Row],[Flexed budget]]="",tblResults[[#This Row],[Actual]]=""),"",tblResults[[#This Row],[Actual]]-tblResults[[#This Row],[Flexed budget]]))</f>
        <v>-1117.83561643836</v>
      </c>
      <c r="K105" s="42">
        <f>IF(tblResults[[#This Row],[Month]]="","",IF(OR(tblResults[[#This Row],[Spending variance]]="",tblResults[[#This Row],[Flexed budget]]=0),"",tblResults[[#This Row],[Spending variance]]/tblResults[[#This Row],[Flexed budget]]))</f>
        <v>-0.0146107337559838</v>
      </c>
      <c r="L105" s="41">
        <f>IF(tblResults[[#This Row],[Month]]="","",IF(tblResults[[#This Row],[Flexed budget]]="","",tblResults[[#This Row],[Flexed budget]]-tblResults[[#This Row],[Budget]]))</f>
        <v>-5892.16438356164</v>
      </c>
      <c r="M105" s="41">
        <f>IF(tblResults[[#This Row],[Month]]="","",IF(tblResults[[#This Row],[Actual]]="","",tblResults[[#This Row],[Actual]]-tblResults[[#This Row],[Budget]]))</f>
        <v>-7010</v>
      </c>
      <c r="N105" s="43" t="str">
        <f>IF(tblResults[[#This Row],[Spending variance]]="","",IF(AND(ABS(tblResults[[#This Row],[Spending variance]])&gt;VarAmount,ABS(tblResults[[#This Row],[Spending variance %]])&gt;VarPct),IF(tblResults[[#This Row],[Spending variance]]&gt;0,"Out of limits","Check"),"Within limits"))</f>
        <v>Within limits</v>
      </c>
      <c r="O10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5" s="45" t="s">
        <v>122</v>
      </c>
    </row>
    <row r="106" spans="2:16">
      <c r="B106" s="29">
        <v>46266</v>
      </c>
      <c r="C106" s="28" t="s">
        <v>87</v>
      </c>
      <c r="D106" s="31">
        <v>136800</v>
      </c>
      <c r="E106" s="31">
        <v>138460</v>
      </c>
      <c r="F106" s="37" t="str">
        <f>IF(tblResults[[#This Row],[Month]]="","",IFERROR(INDEX(tblCostLines[Group],MATCH(tblResults[[#This Row],[Cost line]],tblCostLines[Cost line],0)),""))</f>
        <v>Energy</v>
      </c>
      <c r="G106" s="38">
        <f>IF(tblResults[[#This Row],[Month]]="","",IFERROR(INDEX(tblCostLines[Variable share],MATCH(tblResults[[#This Row],[Cost line]],tblCostLines[Cost line],0)),""))</f>
        <v>0.85</v>
      </c>
      <c r="H106" s="39">
        <f>IF(tblResults[[#This Row],[Month]]="","",IFERROR(INDEX(tblVolume[Volume ratio],MATCH(DATE(YEAR(tblResults[[#This Row],[Month]]),MONTH(tblResults[[#This Row],[Month]]),1),tblVolume[Month],0)),""))</f>
        <v>0.920547945205479</v>
      </c>
      <c r="I106" s="40">
        <f>IF(tblResults[[#This Row],[Month]]="","",IF(OR(tblResults[[#This Row],[Volume ratio]]="",tblResults[[#This Row],[Variable share]]=""),"",tblResults[[#This Row],[Budget]]*(1-tblResults[[#This Row],[Variable share]]+tblResults[[#This Row],[Variable share]]*tblResults[[#This Row],[Volume ratio]])))</f>
        <v>127561.315068493</v>
      </c>
      <c r="J106" s="41">
        <f>IF(tblResults[[#This Row],[Month]]="","",IF(OR(tblResults[[#This Row],[Flexed budget]]="",tblResults[[#This Row],[Actual]]=""),"",tblResults[[#This Row],[Actual]]-tblResults[[#This Row],[Flexed budget]]))</f>
        <v>10898.6849315069</v>
      </c>
      <c r="K106" s="42">
        <f>IF(tblResults[[#This Row],[Month]]="","",IF(OR(tblResults[[#This Row],[Spending variance]]="",tblResults[[#This Row],[Flexed budget]]=0),"",tblResults[[#This Row],[Spending variance]]/tblResults[[#This Row],[Flexed budget]]))</f>
        <v>0.0854387940862391</v>
      </c>
      <c r="L106" s="41">
        <f>IF(tblResults[[#This Row],[Month]]="","",IF(tblResults[[#This Row],[Flexed budget]]="","",tblResults[[#This Row],[Flexed budget]]-tblResults[[#This Row],[Budget]]))</f>
        <v>-9238.68493150685</v>
      </c>
      <c r="M106" s="41">
        <f>IF(tblResults[[#This Row],[Month]]="","",IF(tblResults[[#This Row],[Actual]]="","",tblResults[[#This Row],[Actual]]-tblResults[[#This Row],[Budget]]))</f>
        <v>1660</v>
      </c>
      <c r="N106" s="43" t="str">
        <f>IF(tblResults[[#This Row],[Spending variance]]="","",IF(AND(ABS(tblResults[[#This Row],[Spending variance]])&gt;VarAmount,ABS(tblResults[[#This Row],[Spending variance %]])&gt;VarPct),IF(tblResults[[#This Row],[Spending variance]]&gt;0,"Out of limits","Check"),"Within limits"))</f>
        <v>Out of limits</v>
      </c>
      <c r="O10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6" s="45" t="s">
        <v>124</v>
      </c>
    </row>
    <row r="107" spans="2:16">
      <c r="B107" s="29">
        <v>46266</v>
      </c>
      <c r="C107" s="28" t="s">
        <v>90</v>
      </c>
      <c r="D107" s="31">
        <v>17800</v>
      </c>
      <c r="E107" s="31">
        <v>17110</v>
      </c>
      <c r="F107" s="37" t="str">
        <f>IF(tblResults[[#This Row],[Month]]="","",IFERROR(INDEX(tblCostLines[Group],MATCH(tblResults[[#This Row],[Cost line]],tblCostLines[Cost line],0)),""))</f>
        <v>Energy</v>
      </c>
      <c r="G107" s="38">
        <f>IF(tblResults[[#This Row],[Month]]="","",IFERROR(INDEX(tblCostLines[Variable share],MATCH(tblResults[[#This Row],[Cost line]],tblCostLines[Cost line],0)),""))</f>
        <v>0.5</v>
      </c>
      <c r="H107" s="39">
        <f>IF(tblResults[[#This Row],[Month]]="","",IFERROR(INDEX(tblVolume[Volume ratio],MATCH(DATE(YEAR(tblResults[[#This Row],[Month]]),MONTH(tblResults[[#This Row],[Month]]),1),tblVolume[Month],0)),""))</f>
        <v>0.920547945205479</v>
      </c>
      <c r="I107" s="40">
        <f>IF(tblResults[[#This Row],[Month]]="","",IF(OR(tblResults[[#This Row],[Volume ratio]]="",tblResults[[#This Row],[Variable share]]=""),"",tblResults[[#This Row],[Budget]]*(1-tblResults[[#This Row],[Variable share]]+tblResults[[#This Row],[Variable share]]*tblResults[[#This Row],[Volume ratio]])))</f>
        <v>17092.8767123288</v>
      </c>
      <c r="J107" s="41">
        <f>IF(tblResults[[#This Row],[Month]]="","",IF(OR(tblResults[[#This Row],[Flexed budget]]="",tblResults[[#This Row],[Actual]]=""),"",tblResults[[#This Row],[Actual]]-tblResults[[#This Row],[Flexed budget]]))</f>
        <v>17.1232876712347</v>
      </c>
      <c r="K107" s="42">
        <f>IF(tblResults[[#This Row],[Month]]="","",IF(OR(tblResults[[#This Row],[Spending variance]]="",tblResults[[#This Row],[Flexed budget]]=0),"",tblResults[[#This Row],[Spending variance]]/tblResults[[#This Row],[Flexed budget]]))</f>
        <v>0.00100177915978789</v>
      </c>
      <c r="L107" s="41">
        <f>IF(tblResults[[#This Row],[Month]]="","",IF(tblResults[[#This Row],[Flexed budget]]="","",tblResults[[#This Row],[Flexed budget]]-tblResults[[#This Row],[Budget]]))</f>
        <v>-707.123287671235</v>
      </c>
      <c r="M107" s="41">
        <f>IF(tblResults[[#This Row],[Month]]="","",IF(tblResults[[#This Row],[Actual]]="","",tblResults[[#This Row],[Actual]]-tblResults[[#This Row],[Budget]]))</f>
        <v>-690</v>
      </c>
      <c r="N107" s="43" t="str">
        <f>IF(tblResults[[#This Row],[Spending variance]]="","",IF(AND(ABS(tblResults[[#This Row],[Spending variance]])&gt;VarAmount,ABS(tblResults[[#This Row],[Spending variance %]])&gt;VarPct),IF(tblResults[[#This Row],[Spending variance]]&gt;0,"Out of limits","Check"),"Within limits"))</f>
        <v>Within limits</v>
      </c>
      <c r="O10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7" s="45" t="s">
        <v>122</v>
      </c>
    </row>
    <row r="108" spans="2:16">
      <c r="B108" s="29">
        <v>46266</v>
      </c>
      <c r="C108" s="28" t="s">
        <v>92</v>
      </c>
      <c r="D108" s="31">
        <v>127700</v>
      </c>
      <c r="E108" s="31">
        <v>121270</v>
      </c>
      <c r="F108" s="37" t="str">
        <f>IF(tblResults[[#This Row],[Month]]="","",IFERROR(INDEX(tblCostLines[Group],MATCH(tblResults[[#This Row],[Cost line]],tblCostLines[Cost line],0)),""))</f>
        <v>Labour</v>
      </c>
      <c r="G108" s="38">
        <f>IF(tblResults[[#This Row],[Month]]="","",IFERROR(INDEX(tblCostLines[Variable share],MATCH(tblResults[[#This Row],[Cost line]],tblCostLines[Cost line],0)),""))</f>
        <v>0.5</v>
      </c>
      <c r="H108" s="39">
        <f>IF(tblResults[[#This Row],[Month]]="","",IFERROR(INDEX(tblVolume[Volume ratio],MATCH(DATE(YEAR(tblResults[[#This Row],[Month]]),MONTH(tblResults[[#This Row],[Month]]),1),tblVolume[Month],0)),""))</f>
        <v>0.920547945205479</v>
      </c>
      <c r="I108" s="40">
        <f>IF(tblResults[[#This Row],[Month]]="","",IF(OR(tblResults[[#This Row],[Volume ratio]]="",tblResults[[#This Row],[Variable share]]=""),"",tblResults[[#This Row],[Budget]]*(1-tblResults[[#This Row],[Variable share]]+tblResults[[#This Row],[Variable share]]*tblResults[[#This Row],[Volume ratio]])))</f>
        <v>122626.98630137</v>
      </c>
      <c r="J108" s="41">
        <f>IF(tblResults[[#This Row],[Month]]="","",IF(OR(tblResults[[#This Row],[Flexed budget]]="",tblResults[[#This Row],[Actual]]=""),"",tblResults[[#This Row],[Actual]]-tblResults[[#This Row],[Flexed budget]]))</f>
        <v>-1356.98630136986</v>
      </c>
      <c r="K108" s="42">
        <f>IF(tblResults[[#This Row],[Month]]="","",IF(OR(tblResults[[#This Row],[Spending variance]]="",tblResults[[#This Row],[Flexed budget]]=0),"",tblResults[[#This Row],[Spending variance]]/tblResults[[#This Row],[Flexed budget]]))</f>
        <v>-0.0110659679594091</v>
      </c>
      <c r="L108" s="41">
        <f>IF(tblResults[[#This Row],[Month]]="","",IF(tblResults[[#This Row],[Flexed budget]]="","",tblResults[[#This Row],[Flexed budget]]-tblResults[[#This Row],[Budget]]))</f>
        <v>-5073.01369863014</v>
      </c>
      <c r="M108" s="41">
        <f>IF(tblResults[[#This Row],[Month]]="","",IF(tblResults[[#This Row],[Actual]]="","",tblResults[[#This Row],[Actual]]-tblResults[[#This Row],[Budget]]))</f>
        <v>-6430</v>
      </c>
      <c r="N108" s="43" t="str">
        <f>IF(tblResults[[#This Row],[Spending variance]]="","",IF(AND(ABS(tblResults[[#This Row],[Spending variance]])&gt;VarAmount,ABS(tblResults[[#This Row],[Spending variance %]])&gt;VarPct),IF(tblResults[[#This Row],[Spending variance]]&gt;0,"Out of limits","Check"),"Within limits"))</f>
        <v>Within limits</v>
      </c>
      <c r="O10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8" s="45" t="s">
        <v>122</v>
      </c>
    </row>
    <row r="109" spans="2:16">
      <c r="B109" s="29">
        <v>46266</v>
      </c>
      <c r="C109" s="28" t="s">
        <v>95</v>
      </c>
      <c r="D109" s="31">
        <v>48000</v>
      </c>
      <c r="E109" s="31">
        <v>48070</v>
      </c>
      <c r="F109" s="37" t="str">
        <f>IF(tblResults[[#This Row],[Month]]="","",IFERROR(INDEX(tblCostLines[Group],MATCH(tblResults[[#This Row],[Cost line]],tblCostLines[Cost line],0)),""))</f>
        <v>Labour</v>
      </c>
      <c r="G109" s="38">
        <f>IF(tblResults[[#This Row],[Month]]="","",IFERROR(INDEX(tblCostLines[Variable share],MATCH(tblResults[[#This Row],[Cost line]],tblCostLines[Cost line],0)),""))</f>
        <v>0</v>
      </c>
      <c r="H109" s="39">
        <f>IF(tblResults[[#This Row],[Month]]="","",IFERROR(INDEX(tblVolume[Volume ratio],MATCH(DATE(YEAR(tblResults[[#This Row],[Month]]),MONTH(tblResults[[#This Row],[Month]]),1),tblVolume[Month],0)),""))</f>
        <v>0.920547945205479</v>
      </c>
      <c r="I109" s="40">
        <f>IF(tblResults[[#This Row],[Month]]="","",IF(OR(tblResults[[#This Row],[Volume ratio]]="",tblResults[[#This Row],[Variable share]]=""),"",tblResults[[#This Row],[Budget]]*(1-tblResults[[#This Row],[Variable share]]+tblResults[[#This Row],[Variable share]]*tblResults[[#This Row],[Volume ratio]])))</f>
        <v>48000</v>
      </c>
      <c r="J109" s="41">
        <f>IF(tblResults[[#This Row],[Month]]="","",IF(OR(tblResults[[#This Row],[Flexed budget]]="",tblResults[[#This Row],[Actual]]=""),"",tblResults[[#This Row],[Actual]]-tblResults[[#This Row],[Flexed budget]]))</f>
        <v>70</v>
      </c>
      <c r="K109" s="42">
        <f>IF(tblResults[[#This Row],[Month]]="","",IF(OR(tblResults[[#This Row],[Spending variance]]="",tblResults[[#This Row],[Flexed budget]]=0),"",tblResults[[#This Row],[Spending variance]]/tblResults[[#This Row],[Flexed budget]]))</f>
        <v>0.00145833333333333</v>
      </c>
      <c r="L109" s="41">
        <f>IF(tblResults[[#This Row],[Month]]="","",IF(tblResults[[#This Row],[Flexed budget]]="","",tblResults[[#This Row],[Flexed budget]]-tblResults[[#This Row],[Budget]]))</f>
        <v>0</v>
      </c>
      <c r="M109" s="41">
        <f>IF(tblResults[[#This Row],[Month]]="","",IF(tblResults[[#This Row],[Actual]]="","",tblResults[[#This Row],[Actual]]-tblResults[[#This Row],[Budget]]))</f>
        <v>70</v>
      </c>
      <c r="N109" s="43" t="str">
        <f>IF(tblResults[[#This Row],[Spending variance]]="","",IF(AND(ABS(tblResults[[#This Row],[Spending variance]])&gt;VarAmount,ABS(tblResults[[#This Row],[Spending variance %]])&gt;VarPct),IF(tblResults[[#This Row],[Spending variance]]&gt;0,"Out of limits","Check"),"Within limits"))</f>
        <v>Within limits</v>
      </c>
      <c r="O10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09" s="45" t="s">
        <v>122</v>
      </c>
    </row>
    <row r="110" spans="2:16">
      <c r="B110" s="29">
        <v>46266</v>
      </c>
      <c r="C110" s="28" t="s">
        <v>97</v>
      </c>
      <c r="D110" s="31">
        <v>35700</v>
      </c>
      <c r="E110" s="31">
        <v>34780</v>
      </c>
      <c r="F110" s="37" t="str">
        <f>IF(tblResults[[#This Row],[Month]]="","",IFERROR(INDEX(tblCostLines[Group],MATCH(tblResults[[#This Row],[Cost line]],tblCostLines[Cost line],0)),""))</f>
        <v>Overheads</v>
      </c>
      <c r="G110" s="38">
        <f>IF(tblResults[[#This Row],[Month]]="","",IFERROR(INDEX(tblCostLines[Variable share],MATCH(tblResults[[#This Row],[Cost line]],tblCostLines[Cost line],0)),""))</f>
        <v>0.3</v>
      </c>
      <c r="H110" s="39">
        <f>IF(tblResults[[#This Row],[Month]]="","",IFERROR(INDEX(tblVolume[Volume ratio],MATCH(DATE(YEAR(tblResults[[#This Row],[Month]]),MONTH(tblResults[[#This Row],[Month]]),1),tblVolume[Month],0)),""))</f>
        <v>0.920547945205479</v>
      </c>
      <c r="I110" s="40">
        <f>IF(tblResults[[#This Row],[Month]]="","",IF(OR(tblResults[[#This Row],[Volume ratio]]="",tblResults[[#This Row],[Variable share]]=""),"",tblResults[[#This Row],[Budget]]*(1-tblResults[[#This Row],[Variable share]]+tblResults[[#This Row],[Variable share]]*tblResults[[#This Row],[Volume ratio]])))</f>
        <v>34849.0684931507</v>
      </c>
      <c r="J110" s="41">
        <f>IF(tblResults[[#This Row],[Month]]="","",IF(OR(tblResults[[#This Row],[Flexed budget]]="",tblResults[[#This Row],[Actual]]=""),"",tblResults[[#This Row],[Actual]]-tblResults[[#This Row],[Flexed budget]]))</f>
        <v>-69.0684931506839</v>
      </c>
      <c r="K110" s="42">
        <f>IF(tblResults[[#This Row],[Month]]="","",IF(OR(tblResults[[#This Row],[Spending variance]]="",tblResults[[#This Row],[Flexed budget]]=0),"",tblResults[[#This Row],[Spending variance]]/tblResults[[#This Row],[Flexed budget]]))</f>
        <v>-0.00198193226209931</v>
      </c>
      <c r="L110" s="41">
        <f>IF(tblResults[[#This Row],[Month]]="","",IF(tblResults[[#This Row],[Flexed budget]]="","",tblResults[[#This Row],[Flexed budget]]-tblResults[[#This Row],[Budget]]))</f>
        <v>-850.931506849316</v>
      </c>
      <c r="M110" s="41">
        <f>IF(tblResults[[#This Row],[Month]]="","",IF(tblResults[[#This Row],[Actual]]="","",tblResults[[#This Row],[Actual]]-tblResults[[#This Row],[Budget]]))</f>
        <v>-920</v>
      </c>
      <c r="N110" s="43" t="str">
        <f>IF(tblResults[[#This Row],[Spending variance]]="","",IF(AND(ABS(tblResults[[#This Row],[Spending variance]])&gt;VarAmount,ABS(tblResults[[#This Row],[Spending variance %]])&gt;VarPct),IF(tblResults[[#This Row],[Spending variance]]&gt;0,"Out of limits","Check"),"Within limits"))</f>
        <v>Within limits</v>
      </c>
      <c r="O11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0" s="45" t="s">
        <v>122</v>
      </c>
    </row>
    <row r="111" spans="2:16">
      <c r="B111" s="29">
        <v>46266</v>
      </c>
      <c r="C111" s="28" t="s">
        <v>100</v>
      </c>
      <c r="D111" s="31">
        <v>26400</v>
      </c>
      <c r="E111" s="31">
        <v>24740</v>
      </c>
      <c r="F111" s="37" t="str">
        <f>IF(tblResults[[#This Row],[Month]]="","",IFERROR(INDEX(tblCostLines[Group],MATCH(tblResults[[#This Row],[Cost line]],tblCostLines[Cost line],0)),""))</f>
        <v>Overheads</v>
      </c>
      <c r="G111" s="38">
        <f>IF(tblResults[[#This Row],[Month]]="","",IFERROR(INDEX(tblCostLines[Variable share],MATCH(tblResults[[#This Row],[Cost line]],tblCostLines[Cost line],0)),""))</f>
        <v>0.75</v>
      </c>
      <c r="H111" s="39">
        <f>IF(tblResults[[#This Row],[Month]]="","",IFERROR(INDEX(tblVolume[Volume ratio],MATCH(DATE(YEAR(tblResults[[#This Row],[Month]]),MONTH(tblResults[[#This Row],[Month]]),1),tblVolume[Month],0)),""))</f>
        <v>0.920547945205479</v>
      </c>
      <c r="I111" s="40">
        <f>IF(tblResults[[#This Row],[Month]]="","",IF(OR(tblResults[[#This Row],[Volume ratio]]="",tblResults[[#This Row],[Variable share]]=""),"",tblResults[[#This Row],[Budget]]*(1-tblResults[[#This Row],[Variable share]]+tblResults[[#This Row],[Variable share]]*tblResults[[#This Row],[Volume ratio]])))</f>
        <v>24826.8493150685</v>
      </c>
      <c r="J111" s="41">
        <f>IF(tblResults[[#This Row],[Month]]="","",IF(OR(tblResults[[#This Row],[Flexed budget]]="",tblResults[[#This Row],[Actual]]=""),"",tblResults[[#This Row],[Actual]]-tblResults[[#This Row],[Flexed budget]]))</f>
        <v>-86.8493150684953</v>
      </c>
      <c r="K111" s="42">
        <f>IF(tblResults[[#This Row],[Month]]="","",IF(OR(tblResults[[#This Row],[Spending variance]]="",tblResults[[#This Row],[Flexed budget]]=0),"",tblResults[[#This Row],[Spending variance]]/tblResults[[#This Row],[Flexed budget]]))</f>
        <v>-0.00349820124037176</v>
      </c>
      <c r="L111" s="41">
        <f>IF(tblResults[[#This Row],[Month]]="","",IF(tblResults[[#This Row],[Flexed budget]]="","",tblResults[[#This Row],[Flexed budget]]-tblResults[[#This Row],[Budget]]))</f>
        <v>-1573.1506849315</v>
      </c>
      <c r="M111" s="41">
        <f>IF(tblResults[[#This Row],[Month]]="","",IF(tblResults[[#This Row],[Actual]]="","",tblResults[[#This Row],[Actual]]-tblResults[[#This Row],[Budget]]))</f>
        <v>-1660</v>
      </c>
      <c r="N111" s="43" t="str">
        <f>IF(tblResults[[#This Row],[Spending variance]]="","",IF(AND(ABS(tblResults[[#This Row],[Spending variance]])&gt;VarAmount,ABS(tblResults[[#This Row],[Spending variance %]])&gt;VarPct),IF(tblResults[[#This Row],[Spending variance]]&gt;0,"Out of limits","Check"),"Within limits"))</f>
        <v>Within limits</v>
      </c>
      <c r="O11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1" s="45" t="s">
        <v>122</v>
      </c>
    </row>
    <row r="112" spans="2:16">
      <c r="B112" s="29">
        <v>46266</v>
      </c>
      <c r="C112" s="28" t="s">
        <v>102</v>
      </c>
      <c r="D112" s="31">
        <v>15100</v>
      </c>
      <c r="E112" s="31">
        <v>14220</v>
      </c>
      <c r="F112" s="37" t="str">
        <f>IF(tblResults[[#This Row],[Month]]="","",IFERROR(INDEX(tblCostLines[Group],MATCH(tblResults[[#This Row],[Cost line]],tblCostLines[Cost line],0)),""))</f>
        <v>Overheads</v>
      </c>
      <c r="G112" s="38">
        <f>IF(tblResults[[#This Row],[Month]]="","",IFERROR(INDEX(tblCostLines[Variable share],MATCH(tblResults[[#This Row],[Cost line]],tblCostLines[Cost line],0)),""))</f>
        <v>0.85</v>
      </c>
      <c r="H112" s="39">
        <f>IF(tblResults[[#This Row],[Month]]="","",IFERROR(INDEX(tblVolume[Volume ratio],MATCH(DATE(YEAR(tblResults[[#This Row],[Month]]),MONTH(tblResults[[#This Row],[Month]]),1),tblVolume[Month],0)),""))</f>
        <v>0.920547945205479</v>
      </c>
      <c r="I112" s="40">
        <f>IF(tblResults[[#This Row],[Month]]="","",IF(OR(tblResults[[#This Row],[Volume ratio]]="",tblResults[[#This Row],[Variable share]]=""),"",tblResults[[#This Row],[Budget]]*(1-tblResults[[#This Row],[Variable share]]+tblResults[[#This Row],[Variable share]]*tblResults[[#This Row],[Volume ratio]])))</f>
        <v>14080.2328767123</v>
      </c>
      <c r="J112" s="41">
        <f>IF(tblResults[[#This Row],[Month]]="","",IF(OR(tblResults[[#This Row],[Flexed budget]]="",tblResults[[#This Row],[Actual]]=""),"",tblResults[[#This Row],[Actual]]-tblResults[[#This Row],[Flexed budget]]))</f>
        <v>139.767123287671</v>
      </c>
      <c r="K112" s="42">
        <f>IF(tblResults[[#This Row],[Month]]="","",IF(OR(tblResults[[#This Row],[Spending variance]]="",tblResults[[#This Row],[Flexed budget]]=0),"",tblResults[[#This Row],[Spending variance]]/tblResults[[#This Row],[Flexed budget]]))</f>
        <v>0.00992647809957998</v>
      </c>
      <c r="L112" s="41">
        <f>IF(tblResults[[#This Row],[Month]]="","",IF(tblResults[[#This Row],[Flexed budget]]="","",tblResults[[#This Row],[Flexed budget]]-tblResults[[#This Row],[Budget]]))</f>
        <v>-1019.76712328767</v>
      </c>
      <c r="M112" s="41">
        <f>IF(tblResults[[#This Row],[Month]]="","",IF(tblResults[[#This Row],[Actual]]="","",tblResults[[#This Row],[Actual]]-tblResults[[#This Row],[Budget]]))</f>
        <v>-880</v>
      </c>
      <c r="N112" s="43" t="str">
        <f>IF(tblResults[[#This Row],[Spending variance]]="","",IF(AND(ABS(tblResults[[#This Row],[Spending variance]])&gt;VarAmount,ABS(tblResults[[#This Row],[Spending variance %]])&gt;VarPct),IF(tblResults[[#This Row],[Spending variance]]&gt;0,"Out of limits","Check"),"Within limits"))</f>
        <v>Within limits</v>
      </c>
      <c r="O11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2" s="45" t="s">
        <v>122</v>
      </c>
    </row>
    <row r="113" spans="2:16">
      <c r="B113" s="29">
        <v>46266</v>
      </c>
      <c r="C113" s="28" t="s">
        <v>104</v>
      </c>
      <c r="D113" s="31">
        <v>41000</v>
      </c>
      <c r="E113" s="31">
        <v>41460</v>
      </c>
      <c r="F113" s="37" t="str">
        <f>IF(tblResults[[#This Row],[Month]]="","",IFERROR(INDEX(tblCostLines[Group],MATCH(tblResults[[#This Row],[Cost line]],tblCostLines[Cost line],0)),""))</f>
        <v>Overheads</v>
      </c>
      <c r="G113" s="38">
        <f>IF(tblResults[[#This Row],[Month]]="","",IFERROR(INDEX(tblCostLines[Variable share],MATCH(tblResults[[#This Row],[Cost line]],tblCostLines[Cost line],0)),""))</f>
        <v>0</v>
      </c>
      <c r="H113" s="39">
        <f>IF(tblResults[[#This Row],[Month]]="","",IFERROR(INDEX(tblVolume[Volume ratio],MATCH(DATE(YEAR(tblResults[[#This Row],[Month]]),MONTH(tblResults[[#This Row],[Month]]),1),tblVolume[Month],0)),""))</f>
        <v>0.920547945205479</v>
      </c>
      <c r="I113" s="40">
        <f>IF(tblResults[[#This Row],[Month]]="","",IF(OR(tblResults[[#This Row],[Volume ratio]]="",tblResults[[#This Row],[Variable share]]=""),"",tblResults[[#This Row],[Budget]]*(1-tblResults[[#This Row],[Variable share]]+tblResults[[#This Row],[Variable share]]*tblResults[[#This Row],[Volume ratio]])))</f>
        <v>41000</v>
      </c>
      <c r="J113" s="41">
        <f>IF(tblResults[[#This Row],[Month]]="","",IF(OR(tblResults[[#This Row],[Flexed budget]]="",tblResults[[#This Row],[Actual]]=""),"",tblResults[[#This Row],[Actual]]-tblResults[[#This Row],[Flexed budget]]))</f>
        <v>460</v>
      </c>
      <c r="K113" s="42">
        <f>IF(tblResults[[#This Row],[Month]]="","",IF(OR(tblResults[[#This Row],[Spending variance]]="",tblResults[[#This Row],[Flexed budget]]=0),"",tblResults[[#This Row],[Spending variance]]/tblResults[[#This Row],[Flexed budget]]))</f>
        <v>0.011219512195122</v>
      </c>
      <c r="L113" s="41">
        <f>IF(tblResults[[#This Row],[Month]]="","",IF(tblResults[[#This Row],[Flexed budget]]="","",tblResults[[#This Row],[Flexed budget]]-tblResults[[#This Row],[Budget]]))</f>
        <v>0</v>
      </c>
      <c r="M113" s="41">
        <f>IF(tblResults[[#This Row],[Month]]="","",IF(tblResults[[#This Row],[Actual]]="","",tblResults[[#This Row],[Actual]]-tblResults[[#This Row],[Budget]]))</f>
        <v>460</v>
      </c>
      <c r="N113" s="43" t="str">
        <f>IF(tblResults[[#This Row],[Spending variance]]="","",IF(AND(ABS(tblResults[[#This Row],[Spending variance]])&gt;VarAmount,ABS(tblResults[[#This Row],[Spending variance %]])&gt;VarPct),IF(tblResults[[#This Row],[Spending variance]]&gt;0,"Out of limits","Check"),"Within limits"))</f>
        <v>Within limits</v>
      </c>
      <c r="O11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3" s="45" t="s">
        <v>122</v>
      </c>
    </row>
    <row r="114" spans="2:16">
      <c r="B114" s="29">
        <v>46266</v>
      </c>
      <c r="C114" s="28" t="s">
        <v>106</v>
      </c>
      <c r="D114" s="31">
        <v>18500</v>
      </c>
      <c r="E114" s="31">
        <v>18760</v>
      </c>
      <c r="F114" s="37" t="str">
        <f>IF(tblResults[[#This Row],[Month]]="","",IFERROR(INDEX(tblCostLines[Group],MATCH(tblResults[[#This Row],[Cost line]],tblCostLines[Cost line],0)),""))</f>
        <v>Overheads</v>
      </c>
      <c r="G114" s="38">
        <f>IF(tblResults[[#This Row],[Month]]="","",IFERROR(INDEX(tblCostLines[Variable share],MATCH(tblResults[[#This Row],[Cost line]],tblCostLines[Cost line],0)),""))</f>
        <v>0</v>
      </c>
      <c r="H114" s="39">
        <f>IF(tblResults[[#This Row],[Month]]="","",IFERROR(INDEX(tblVolume[Volume ratio],MATCH(DATE(YEAR(tblResults[[#This Row],[Month]]),MONTH(tblResults[[#This Row],[Month]]),1),tblVolume[Month],0)),""))</f>
        <v>0.920547945205479</v>
      </c>
      <c r="I114" s="40">
        <f>IF(tblResults[[#This Row],[Month]]="","",IF(OR(tblResults[[#This Row],[Volume ratio]]="",tblResults[[#This Row],[Variable share]]=""),"",tblResults[[#This Row],[Budget]]*(1-tblResults[[#This Row],[Variable share]]+tblResults[[#This Row],[Variable share]]*tblResults[[#This Row],[Volume ratio]])))</f>
        <v>18500</v>
      </c>
      <c r="J114" s="41">
        <f>IF(tblResults[[#This Row],[Month]]="","",IF(OR(tblResults[[#This Row],[Flexed budget]]="",tblResults[[#This Row],[Actual]]=""),"",tblResults[[#This Row],[Actual]]-tblResults[[#This Row],[Flexed budget]]))</f>
        <v>260</v>
      </c>
      <c r="K114" s="42">
        <f>IF(tblResults[[#This Row],[Month]]="","",IF(OR(tblResults[[#This Row],[Spending variance]]="",tblResults[[#This Row],[Flexed budget]]=0),"",tblResults[[#This Row],[Spending variance]]/tblResults[[#This Row],[Flexed budget]]))</f>
        <v>0.0140540540540541</v>
      </c>
      <c r="L114" s="41">
        <f>IF(tblResults[[#This Row],[Month]]="","",IF(tblResults[[#This Row],[Flexed budget]]="","",tblResults[[#This Row],[Flexed budget]]-tblResults[[#This Row],[Budget]]))</f>
        <v>0</v>
      </c>
      <c r="M114" s="41">
        <f>IF(tblResults[[#This Row],[Month]]="","",IF(tblResults[[#This Row],[Actual]]="","",tblResults[[#This Row],[Actual]]-tblResults[[#This Row],[Budget]]))</f>
        <v>260</v>
      </c>
      <c r="N114" s="43" t="str">
        <f>IF(tblResults[[#This Row],[Spending variance]]="","",IF(AND(ABS(tblResults[[#This Row],[Spending variance]])&gt;VarAmount,ABS(tblResults[[#This Row],[Spending variance %]])&gt;VarPct),IF(tblResults[[#This Row],[Spending variance]]&gt;0,"Out of limits","Check"),"Within limits"))</f>
        <v>Within limits</v>
      </c>
      <c r="O11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4" s="45" t="s">
        <v>122</v>
      </c>
    </row>
    <row r="115" spans="2:16">
      <c r="B115" s="29">
        <v>46296</v>
      </c>
      <c r="C115" s="28" t="s">
        <v>80</v>
      </c>
      <c r="D115" s="31">
        <v>465000</v>
      </c>
      <c r="E115" s="31"/>
      <c r="F115" s="37" t="str">
        <f>IF(tblResults[[#This Row],[Month]]="","",IFERROR(INDEX(tblCostLines[Group],MATCH(tblResults[[#This Row],[Cost line]],tblCostLines[Cost line],0)),""))</f>
        <v>Materials</v>
      </c>
      <c r="G115" s="38">
        <f>IF(tblResults[[#This Row],[Month]]="","",IFERROR(INDEX(tblCostLines[Variable share],MATCH(tblResults[[#This Row],[Cost line]],tblCostLines[Cost line],0)),""))</f>
        <v>1</v>
      </c>
      <c r="H115" s="39">
        <f>IF(tblResults[[#This Row],[Month]]="","",IFERROR(INDEX(tblVolume[Volume ratio],MATCH(DATE(YEAR(tblResults[[#This Row],[Month]]),MONTH(tblResults[[#This Row],[Month]]),1),tblVolume[Month],0)),""))</f>
        <v/>
      </c>
      <c r="I115" s="40">
        <f>IF(tblResults[[#This Row],[Month]]="","",IF(OR(tblResults[[#This Row],[Volume ratio]]="",tblResults[[#This Row],[Variable share]]=""),"",tblResults[[#This Row],[Budget]]*(1-tblResults[[#This Row],[Variable share]]+tblResults[[#This Row],[Variable share]]*tblResults[[#This Row],[Volume ratio]])))</f>
        <v/>
      </c>
      <c r="J115" s="41">
        <f>IF(tblResults[[#This Row],[Month]]="","",IF(OR(tblResults[[#This Row],[Flexed budget]]="",tblResults[[#This Row],[Actual]]=""),"",tblResults[[#This Row],[Actual]]-tblResults[[#This Row],[Flexed budget]]))</f>
        <v/>
      </c>
      <c r="K115" s="42">
        <f>IF(tblResults[[#This Row],[Month]]="","",IF(OR(tblResults[[#This Row],[Spending variance]]="",tblResults[[#This Row],[Flexed budget]]=0),"",tblResults[[#This Row],[Spending variance]]/tblResults[[#This Row],[Flexed budget]]))</f>
        <v/>
      </c>
      <c r="L115" s="41">
        <f>IF(tblResults[[#This Row],[Month]]="","",IF(tblResults[[#This Row],[Flexed budget]]="","",tblResults[[#This Row],[Flexed budget]]-tblResults[[#This Row],[Budget]]))</f>
        <v/>
      </c>
      <c r="M115" s="41">
        <f>IF(tblResults[[#This Row],[Month]]="","",IF(tblResults[[#This Row],[Actual]]="","",tblResults[[#This Row],[Actual]]-tblResults[[#This Row],[Budget]]))</f>
        <v/>
      </c>
      <c r="N115" s="43">
        <f>IF(tblResults[[#This Row],[Spending variance]]="","",IF(AND(ABS(tblResults[[#This Row],[Spending variance]])&gt;VarAmount,ABS(tblResults[[#This Row],[Spending variance %]])&gt;VarPct),IF(tblResults[[#This Row],[Spending variance]]&gt;0,"Out of limits","Check"),"Within limits"))</f>
        <v/>
      </c>
      <c r="O11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5" s="45" t="s">
        <v>122</v>
      </c>
    </row>
    <row r="116" spans="2:16">
      <c r="B116" s="29">
        <v>46296</v>
      </c>
      <c r="C116" s="28" t="s">
        <v>83</v>
      </c>
      <c r="D116" s="31">
        <v>63000</v>
      </c>
      <c r="E116" s="31"/>
      <c r="F116" s="37" t="str">
        <f>IF(tblResults[[#This Row],[Month]]="","",IFERROR(INDEX(tblCostLines[Group],MATCH(tblResults[[#This Row],[Cost line]],tblCostLines[Cost line],0)),""))</f>
        <v>Materials</v>
      </c>
      <c r="G116" s="38">
        <f>IF(tblResults[[#This Row],[Month]]="","",IFERROR(INDEX(tblCostLines[Variable share],MATCH(tblResults[[#This Row],[Cost line]],tblCostLines[Cost line],0)),""))</f>
        <v>1</v>
      </c>
      <c r="H116" s="39">
        <f>IF(tblResults[[#This Row],[Month]]="","",IFERROR(INDEX(tblVolume[Volume ratio],MATCH(DATE(YEAR(tblResults[[#This Row],[Month]]),MONTH(tblResults[[#This Row],[Month]]),1),tblVolume[Month],0)),""))</f>
        <v/>
      </c>
      <c r="I116" s="40">
        <f>IF(tblResults[[#This Row],[Month]]="","",IF(OR(tblResults[[#This Row],[Volume ratio]]="",tblResults[[#This Row],[Variable share]]=""),"",tblResults[[#This Row],[Budget]]*(1-tblResults[[#This Row],[Variable share]]+tblResults[[#This Row],[Variable share]]*tblResults[[#This Row],[Volume ratio]])))</f>
        <v/>
      </c>
      <c r="J116" s="41">
        <f>IF(tblResults[[#This Row],[Month]]="","",IF(OR(tblResults[[#This Row],[Flexed budget]]="",tblResults[[#This Row],[Actual]]=""),"",tblResults[[#This Row],[Actual]]-tblResults[[#This Row],[Flexed budget]]))</f>
        <v/>
      </c>
      <c r="K116" s="42">
        <f>IF(tblResults[[#This Row],[Month]]="","",IF(OR(tblResults[[#This Row],[Spending variance]]="",tblResults[[#This Row],[Flexed budget]]=0),"",tblResults[[#This Row],[Spending variance]]/tblResults[[#This Row],[Flexed budget]]))</f>
        <v/>
      </c>
      <c r="L116" s="41">
        <f>IF(tblResults[[#This Row],[Month]]="","",IF(tblResults[[#This Row],[Flexed budget]]="","",tblResults[[#This Row],[Flexed budget]]-tblResults[[#This Row],[Budget]]))</f>
        <v/>
      </c>
      <c r="M116" s="41">
        <f>IF(tblResults[[#This Row],[Month]]="","",IF(tblResults[[#This Row],[Actual]]="","",tblResults[[#This Row],[Actual]]-tblResults[[#This Row],[Budget]]))</f>
        <v/>
      </c>
      <c r="N116" s="43">
        <f>IF(tblResults[[#This Row],[Spending variance]]="","",IF(AND(ABS(tblResults[[#This Row],[Spending variance]])&gt;VarAmount,ABS(tblResults[[#This Row],[Spending variance %]])&gt;VarPct),IF(tblResults[[#This Row],[Spending variance]]&gt;0,"Out of limits","Check"),"Within limits"))</f>
        <v/>
      </c>
      <c r="O11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6" s="45" t="s">
        <v>122</v>
      </c>
    </row>
    <row r="117" spans="2:16">
      <c r="B117" s="29">
        <v>46296</v>
      </c>
      <c r="C117" s="28" t="s">
        <v>85</v>
      </c>
      <c r="D117" s="31">
        <v>84500</v>
      </c>
      <c r="E117" s="31"/>
      <c r="F117" s="37" t="str">
        <f>IF(tblResults[[#This Row],[Month]]="","",IFERROR(INDEX(tblCostLines[Group],MATCH(tblResults[[#This Row],[Cost line]],tblCostLines[Cost line],0)),""))</f>
        <v>Materials</v>
      </c>
      <c r="G117" s="38">
        <f>IF(tblResults[[#This Row],[Month]]="","",IFERROR(INDEX(tblCostLines[Variable share],MATCH(tblResults[[#This Row],[Cost line]],tblCostLines[Cost line],0)),""))</f>
        <v>0.9</v>
      </c>
      <c r="H117" s="39">
        <f>IF(tblResults[[#This Row],[Month]]="","",IFERROR(INDEX(tblVolume[Volume ratio],MATCH(DATE(YEAR(tblResults[[#This Row],[Month]]),MONTH(tblResults[[#This Row],[Month]]),1),tblVolume[Month],0)),""))</f>
        <v/>
      </c>
      <c r="I117" s="40">
        <f>IF(tblResults[[#This Row],[Month]]="","",IF(OR(tblResults[[#This Row],[Volume ratio]]="",tblResults[[#This Row],[Variable share]]=""),"",tblResults[[#This Row],[Budget]]*(1-tblResults[[#This Row],[Variable share]]+tblResults[[#This Row],[Variable share]]*tblResults[[#This Row],[Volume ratio]])))</f>
        <v/>
      </c>
      <c r="J117" s="41">
        <f>IF(tblResults[[#This Row],[Month]]="","",IF(OR(tblResults[[#This Row],[Flexed budget]]="",tblResults[[#This Row],[Actual]]=""),"",tblResults[[#This Row],[Actual]]-tblResults[[#This Row],[Flexed budget]]))</f>
        <v/>
      </c>
      <c r="K117" s="42">
        <f>IF(tblResults[[#This Row],[Month]]="","",IF(OR(tblResults[[#This Row],[Spending variance]]="",tblResults[[#This Row],[Flexed budget]]=0),"",tblResults[[#This Row],[Spending variance]]/tblResults[[#This Row],[Flexed budget]]))</f>
        <v/>
      </c>
      <c r="L117" s="41">
        <f>IF(tblResults[[#This Row],[Month]]="","",IF(tblResults[[#This Row],[Flexed budget]]="","",tblResults[[#This Row],[Flexed budget]]-tblResults[[#This Row],[Budget]]))</f>
        <v/>
      </c>
      <c r="M117" s="41">
        <f>IF(tblResults[[#This Row],[Month]]="","",IF(tblResults[[#This Row],[Actual]]="","",tblResults[[#This Row],[Actual]]-tblResults[[#This Row],[Budget]]))</f>
        <v/>
      </c>
      <c r="N117" s="43">
        <f>IF(tblResults[[#This Row],[Spending variance]]="","",IF(AND(ABS(tblResults[[#This Row],[Spending variance]])&gt;VarAmount,ABS(tblResults[[#This Row],[Spending variance %]])&gt;VarPct),IF(tblResults[[#This Row],[Spending variance]]&gt;0,"Out of limits","Check"),"Within limits"))</f>
        <v/>
      </c>
      <c r="O11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7" s="45" t="s">
        <v>122</v>
      </c>
    </row>
    <row r="118" spans="2:16">
      <c r="B118" s="29">
        <v>46296</v>
      </c>
      <c r="C118" s="28" t="s">
        <v>87</v>
      </c>
      <c r="D118" s="31">
        <v>140000</v>
      </c>
      <c r="E118" s="31"/>
      <c r="F118" s="37" t="str">
        <f>IF(tblResults[[#This Row],[Month]]="","",IFERROR(INDEX(tblCostLines[Group],MATCH(tblResults[[#This Row],[Cost line]],tblCostLines[Cost line],0)),""))</f>
        <v>Energy</v>
      </c>
      <c r="G118" s="38">
        <f>IF(tblResults[[#This Row],[Month]]="","",IFERROR(INDEX(tblCostLines[Variable share],MATCH(tblResults[[#This Row],[Cost line]],tblCostLines[Cost line],0)),""))</f>
        <v>0.85</v>
      </c>
      <c r="H118" s="39">
        <f>IF(tblResults[[#This Row],[Month]]="","",IFERROR(INDEX(tblVolume[Volume ratio],MATCH(DATE(YEAR(tblResults[[#This Row],[Month]]),MONTH(tblResults[[#This Row],[Month]]),1),tblVolume[Month],0)),""))</f>
        <v/>
      </c>
      <c r="I118" s="40">
        <f>IF(tblResults[[#This Row],[Month]]="","",IF(OR(tblResults[[#This Row],[Volume ratio]]="",tblResults[[#This Row],[Variable share]]=""),"",tblResults[[#This Row],[Budget]]*(1-tblResults[[#This Row],[Variable share]]+tblResults[[#This Row],[Variable share]]*tblResults[[#This Row],[Volume ratio]])))</f>
        <v/>
      </c>
      <c r="J118" s="41">
        <f>IF(tblResults[[#This Row],[Month]]="","",IF(OR(tblResults[[#This Row],[Flexed budget]]="",tblResults[[#This Row],[Actual]]=""),"",tblResults[[#This Row],[Actual]]-tblResults[[#This Row],[Flexed budget]]))</f>
        <v/>
      </c>
      <c r="K118" s="42">
        <f>IF(tblResults[[#This Row],[Month]]="","",IF(OR(tblResults[[#This Row],[Spending variance]]="",tblResults[[#This Row],[Flexed budget]]=0),"",tblResults[[#This Row],[Spending variance]]/tblResults[[#This Row],[Flexed budget]]))</f>
        <v/>
      </c>
      <c r="L118" s="41">
        <f>IF(tblResults[[#This Row],[Month]]="","",IF(tblResults[[#This Row],[Flexed budget]]="","",tblResults[[#This Row],[Flexed budget]]-tblResults[[#This Row],[Budget]]))</f>
        <v/>
      </c>
      <c r="M118" s="41">
        <f>IF(tblResults[[#This Row],[Month]]="","",IF(tblResults[[#This Row],[Actual]]="","",tblResults[[#This Row],[Actual]]-tblResults[[#This Row],[Budget]]))</f>
        <v/>
      </c>
      <c r="N118" s="43">
        <f>IF(tblResults[[#This Row],[Spending variance]]="","",IF(AND(ABS(tblResults[[#This Row],[Spending variance]])&gt;VarAmount,ABS(tblResults[[#This Row],[Spending variance %]])&gt;VarPct),IF(tblResults[[#This Row],[Spending variance]]&gt;0,"Out of limits","Check"),"Within limits"))</f>
        <v/>
      </c>
      <c r="O11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8" s="45" t="s">
        <v>122</v>
      </c>
    </row>
    <row r="119" spans="2:16">
      <c r="B119" s="29">
        <v>46296</v>
      </c>
      <c r="C119" s="28" t="s">
        <v>90</v>
      </c>
      <c r="D119" s="31">
        <v>18000</v>
      </c>
      <c r="E119" s="31"/>
      <c r="F119" s="37" t="str">
        <f>IF(tblResults[[#This Row],[Month]]="","",IFERROR(INDEX(tblCostLines[Group],MATCH(tblResults[[#This Row],[Cost line]],tblCostLines[Cost line],0)),""))</f>
        <v>Energy</v>
      </c>
      <c r="G119" s="38">
        <f>IF(tblResults[[#This Row],[Month]]="","",IFERROR(INDEX(tblCostLines[Variable share],MATCH(tblResults[[#This Row],[Cost line]],tblCostLines[Cost line],0)),""))</f>
        <v>0.5</v>
      </c>
      <c r="H119" s="39">
        <f>IF(tblResults[[#This Row],[Month]]="","",IFERROR(INDEX(tblVolume[Volume ratio],MATCH(DATE(YEAR(tblResults[[#This Row],[Month]]),MONTH(tblResults[[#This Row],[Month]]),1),tblVolume[Month],0)),""))</f>
        <v/>
      </c>
      <c r="I119" s="40">
        <f>IF(tblResults[[#This Row],[Month]]="","",IF(OR(tblResults[[#This Row],[Volume ratio]]="",tblResults[[#This Row],[Variable share]]=""),"",tblResults[[#This Row],[Budget]]*(1-tblResults[[#This Row],[Variable share]]+tblResults[[#This Row],[Variable share]]*tblResults[[#This Row],[Volume ratio]])))</f>
        <v/>
      </c>
      <c r="J119" s="41">
        <f>IF(tblResults[[#This Row],[Month]]="","",IF(OR(tblResults[[#This Row],[Flexed budget]]="",tblResults[[#This Row],[Actual]]=""),"",tblResults[[#This Row],[Actual]]-tblResults[[#This Row],[Flexed budget]]))</f>
        <v/>
      </c>
      <c r="K119" s="42">
        <f>IF(tblResults[[#This Row],[Month]]="","",IF(OR(tblResults[[#This Row],[Spending variance]]="",tblResults[[#This Row],[Flexed budget]]=0),"",tblResults[[#This Row],[Spending variance]]/tblResults[[#This Row],[Flexed budget]]))</f>
        <v/>
      </c>
      <c r="L119" s="41">
        <f>IF(tblResults[[#This Row],[Month]]="","",IF(tblResults[[#This Row],[Flexed budget]]="","",tblResults[[#This Row],[Flexed budget]]-tblResults[[#This Row],[Budget]]))</f>
        <v/>
      </c>
      <c r="M119" s="41">
        <f>IF(tblResults[[#This Row],[Month]]="","",IF(tblResults[[#This Row],[Actual]]="","",tblResults[[#This Row],[Actual]]-tblResults[[#This Row],[Budget]]))</f>
        <v/>
      </c>
      <c r="N119" s="43">
        <f>IF(tblResults[[#This Row],[Spending variance]]="","",IF(AND(ABS(tblResults[[#This Row],[Spending variance]])&gt;VarAmount,ABS(tblResults[[#This Row],[Spending variance %]])&gt;VarPct),IF(tblResults[[#This Row],[Spending variance]]&gt;0,"Out of limits","Check"),"Within limits"))</f>
        <v/>
      </c>
      <c r="O11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19" s="45" t="s">
        <v>122</v>
      </c>
    </row>
    <row r="120" spans="2:16">
      <c r="B120" s="29">
        <v>46296</v>
      </c>
      <c r="C120" s="28" t="s">
        <v>92</v>
      </c>
      <c r="D120" s="31">
        <v>129500</v>
      </c>
      <c r="E120" s="31"/>
      <c r="F120" s="37" t="str">
        <f>IF(tblResults[[#This Row],[Month]]="","",IFERROR(INDEX(tblCostLines[Group],MATCH(tblResults[[#This Row],[Cost line]],tblCostLines[Cost line],0)),""))</f>
        <v>Labour</v>
      </c>
      <c r="G120" s="38">
        <f>IF(tblResults[[#This Row],[Month]]="","",IFERROR(INDEX(tblCostLines[Variable share],MATCH(tblResults[[#This Row],[Cost line]],tblCostLines[Cost line],0)),""))</f>
        <v>0.5</v>
      </c>
      <c r="H120" s="39">
        <f>IF(tblResults[[#This Row],[Month]]="","",IFERROR(INDEX(tblVolume[Volume ratio],MATCH(DATE(YEAR(tblResults[[#This Row],[Month]]),MONTH(tblResults[[#This Row],[Month]]),1),tblVolume[Month],0)),""))</f>
        <v/>
      </c>
      <c r="I120" s="40">
        <f>IF(tblResults[[#This Row],[Month]]="","",IF(OR(tblResults[[#This Row],[Volume ratio]]="",tblResults[[#This Row],[Variable share]]=""),"",tblResults[[#This Row],[Budget]]*(1-tblResults[[#This Row],[Variable share]]+tblResults[[#This Row],[Variable share]]*tblResults[[#This Row],[Volume ratio]])))</f>
        <v/>
      </c>
      <c r="J120" s="41">
        <f>IF(tblResults[[#This Row],[Month]]="","",IF(OR(tblResults[[#This Row],[Flexed budget]]="",tblResults[[#This Row],[Actual]]=""),"",tblResults[[#This Row],[Actual]]-tblResults[[#This Row],[Flexed budget]]))</f>
        <v/>
      </c>
      <c r="K120" s="42">
        <f>IF(tblResults[[#This Row],[Month]]="","",IF(OR(tblResults[[#This Row],[Spending variance]]="",tblResults[[#This Row],[Flexed budget]]=0),"",tblResults[[#This Row],[Spending variance]]/tblResults[[#This Row],[Flexed budget]]))</f>
        <v/>
      </c>
      <c r="L120" s="41">
        <f>IF(tblResults[[#This Row],[Month]]="","",IF(tblResults[[#This Row],[Flexed budget]]="","",tblResults[[#This Row],[Flexed budget]]-tblResults[[#This Row],[Budget]]))</f>
        <v/>
      </c>
      <c r="M120" s="41">
        <f>IF(tblResults[[#This Row],[Month]]="","",IF(tblResults[[#This Row],[Actual]]="","",tblResults[[#This Row],[Actual]]-tblResults[[#This Row],[Budget]]))</f>
        <v/>
      </c>
      <c r="N120" s="43">
        <f>IF(tblResults[[#This Row],[Spending variance]]="","",IF(AND(ABS(tblResults[[#This Row],[Spending variance]])&gt;VarAmount,ABS(tblResults[[#This Row],[Spending variance %]])&gt;VarPct),IF(tblResults[[#This Row],[Spending variance]]&gt;0,"Out of limits","Check"),"Within limits"))</f>
        <v/>
      </c>
      <c r="O12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0" s="45" t="s">
        <v>122</v>
      </c>
    </row>
    <row r="121" spans="2:16">
      <c r="B121" s="29">
        <v>46296</v>
      </c>
      <c r="C121" s="28" t="s">
        <v>95</v>
      </c>
      <c r="D121" s="31">
        <v>48000</v>
      </c>
      <c r="E121" s="31"/>
      <c r="F121" s="37" t="str">
        <f>IF(tblResults[[#This Row],[Month]]="","",IFERROR(INDEX(tblCostLines[Group],MATCH(tblResults[[#This Row],[Cost line]],tblCostLines[Cost line],0)),""))</f>
        <v>Labour</v>
      </c>
      <c r="G121" s="38">
        <f>IF(tblResults[[#This Row],[Month]]="","",IFERROR(INDEX(tblCostLines[Variable share],MATCH(tblResults[[#This Row],[Cost line]],tblCostLines[Cost line],0)),""))</f>
        <v>0</v>
      </c>
      <c r="H121" s="39">
        <f>IF(tblResults[[#This Row],[Month]]="","",IFERROR(INDEX(tblVolume[Volume ratio],MATCH(DATE(YEAR(tblResults[[#This Row],[Month]]),MONTH(tblResults[[#This Row],[Month]]),1),tblVolume[Month],0)),""))</f>
        <v/>
      </c>
      <c r="I121" s="40">
        <f>IF(tblResults[[#This Row],[Month]]="","",IF(OR(tblResults[[#This Row],[Volume ratio]]="",tblResults[[#This Row],[Variable share]]=""),"",tblResults[[#This Row],[Budget]]*(1-tblResults[[#This Row],[Variable share]]+tblResults[[#This Row],[Variable share]]*tblResults[[#This Row],[Volume ratio]])))</f>
        <v/>
      </c>
      <c r="J121" s="41">
        <f>IF(tblResults[[#This Row],[Month]]="","",IF(OR(tblResults[[#This Row],[Flexed budget]]="",tblResults[[#This Row],[Actual]]=""),"",tblResults[[#This Row],[Actual]]-tblResults[[#This Row],[Flexed budget]]))</f>
        <v/>
      </c>
      <c r="K121" s="42">
        <f>IF(tblResults[[#This Row],[Month]]="","",IF(OR(tblResults[[#This Row],[Spending variance]]="",tblResults[[#This Row],[Flexed budget]]=0),"",tblResults[[#This Row],[Spending variance]]/tblResults[[#This Row],[Flexed budget]]))</f>
        <v/>
      </c>
      <c r="L121" s="41">
        <f>IF(tblResults[[#This Row],[Month]]="","",IF(tblResults[[#This Row],[Flexed budget]]="","",tblResults[[#This Row],[Flexed budget]]-tblResults[[#This Row],[Budget]]))</f>
        <v/>
      </c>
      <c r="M121" s="41">
        <f>IF(tblResults[[#This Row],[Month]]="","",IF(tblResults[[#This Row],[Actual]]="","",tblResults[[#This Row],[Actual]]-tblResults[[#This Row],[Budget]]))</f>
        <v/>
      </c>
      <c r="N121" s="43">
        <f>IF(tblResults[[#This Row],[Spending variance]]="","",IF(AND(ABS(tblResults[[#This Row],[Spending variance]])&gt;VarAmount,ABS(tblResults[[#This Row],[Spending variance %]])&gt;VarPct),IF(tblResults[[#This Row],[Spending variance]]&gt;0,"Out of limits","Check"),"Within limits"))</f>
        <v/>
      </c>
      <c r="O12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1" s="45" t="s">
        <v>122</v>
      </c>
    </row>
    <row r="122" spans="2:16">
      <c r="B122" s="29">
        <v>46296</v>
      </c>
      <c r="C122" s="28" t="s">
        <v>97</v>
      </c>
      <c r="D122" s="31">
        <v>36000</v>
      </c>
      <c r="E122" s="31"/>
      <c r="F122" s="37" t="str">
        <f>IF(tblResults[[#This Row],[Month]]="","",IFERROR(INDEX(tblCostLines[Group],MATCH(tblResults[[#This Row],[Cost line]],tblCostLines[Cost line],0)),""))</f>
        <v>Overheads</v>
      </c>
      <c r="G122" s="38">
        <f>IF(tblResults[[#This Row],[Month]]="","",IFERROR(INDEX(tblCostLines[Variable share],MATCH(tblResults[[#This Row],[Cost line]],tblCostLines[Cost line],0)),""))</f>
        <v>0.3</v>
      </c>
      <c r="H122" s="39">
        <f>IF(tblResults[[#This Row],[Month]]="","",IFERROR(INDEX(tblVolume[Volume ratio],MATCH(DATE(YEAR(tblResults[[#This Row],[Month]]),MONTH(tblResults[[#This Row],[Month]]),1),tblVolume[Month],0)),""))</f>
        <v/>
      </c>
      <c r="I122" s="40">
        <f>IF(tblResults[[#This Row],[Month]]="","",IF(OR(tblResults[[#This Row],[Volume ratio]]="",tblResults[[#This Row],[Variable share]]=""),"",tblResults[[#This Row],[Budget]]*(1-tblResults[[#This Row],[Variable share]]+tblResults[[#This Row],[Variable share]]*tblResults[[#This Row],[Volume ratio]])))</f>
        <v/>
      </c>
      <c r="J122" s="41">
        <f>IF(tblResults[[#This Row],[Month]]="","",IF(OR(tblResults[[#This Row],[Flexed budget]]="",tblResults[[#This Row],[Actual]]=""),"",tblResults[[#This Row],[Actual]]-tblResults[[#This Row],[Flexed budget]]))</f>
        <v/>
      </c>
      <c r="K122" s="42">
        <f>IF(tblResults[[#This Row],[Month]]="","",IF(OR(tblResults[[#This Row],[Spending variance]]="",tblResults[[#This Row],[Flexed budget]]=0),"",tblResults[[#This Row],[Spending variance]]/tblResults[[#This Row],[Flexed budget]]))</f>
        <v/>
      </c>
      <c r="L122" s="41">
        <f>IF(tblResults[[#This Row],[Month]]="","",IF(tblResults[[#This Row],[Flexed budget]]="","",tblResults[[#This Row],[Flexed budget]]-tblResults[[#This Row],[Budget]]))</f>
        <v/>
      </c>
      <c r="M122" s="41">
        <f>IF(tblResults[[#This Row],[Month]]="","",IF(tblResults[[#This Row],[Actual]]="","",tblResults[[#This Row],[Actual]]-tblResults[[#This Row],[Budget]]))</f>
        <v/>
      </c>
      <c r="N122" s="43">
        <f>IF(tblResults[[#This Row],[Spending variance]]="","",IF(AND(ABS(tblResults[[#This Row],[Spending variance]])&gt;VarAmount,ABS(tblResults[[#This Row],[Spending variance %]])&gt;VarPct),IF(tblResults[[#This Row],[Spending variance]]&gt;0,"Out of limits","Check"),"Within limits"))</f>
        <v/>
      </c>
      <c r="O12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2" s="45" t="s">
        <v>122</v>
      </c>
    </row>
    <row r="123" spans="2:16">
      <c r="B123" s="29">
        <v>46296</v>
      </c>
      <c r="C123" s="28" t="s">
        <v>100</v>
      </c>
      <c r="D123" s="31">
        <v>27000</v>
      </c>
      <c r="E123" s="31"/>
      <c r="F123" s="37" t="str">
        <f>IF(tblResults[[#This Row],[Month]]="","",IFERROR(INDEX(tblCostLines[Group],MATCH(tblResults[[#This Row],[Cost line]],tblCostLines[Cost line],0)),""))</f>
        <v>Overheads</v>
      </c>
      <c r="G123" s="38">
        <f>IF(tblResults[[#This Row],[Month]]="","",IFERROR(INDEX(tblCostLines[Variable share],MATCH(tblResults[[#This Row],[Cost line]],tblCostLines[Cost line],0)),""))</f>
        <v>0.75</v>
      </c>
      <c r="H123" s="39">
        <f>IF(tblResults[[#This Row],[Month]]="","",IFERROR(INDEX(tblVolume[Volume ratio],MATCH(DATE(YEAR(tblResults[[#This Row],[Month]]),MONTH(tblResults[[#This Row],[Month]]),1),tblVolume[Month],0)),""))</f>
        <v/>
      </c>
      <c r="I123" s="40">
        <f>IF(tblResults[[#This Row],[Month]]="","",IF(OR(tblResults[[#This Row],[Volume ratio]]="",tblResults[[#This Row],[Variable share]]=""),"",tblResults[[#This Row],[Budget]]*(1-tblResults[[#This Row],[Variable share]]+tblResults[[#This Row],[Variable share]]*tblResults[[#This Row],[Volume ratio]])))</f>
        <v/>
      </c>
      <c r="J123" s="41">
        <f>IF(tblResults[[#This Row],[Month]]="","",IF(OR(tblResults[[#This Row],[Flexed budget]]="",tblResults[[#This Row],[Actual]]=""),"",tblResults[[#This Row],[Actual]]-tblResults[[#This Row],[Flexed budget]]))</f>
        <v/>
      </c>
      <c r="K123" s="42">
        <f>IF(tblResults[[#This Row],[Month]]="","",IF(OR(tblResults[[#This Row],[Spending variance]]="",tblResults[[#This Row],[Flexed budget]]=0),"",tblResults[[#This Row],[Spending variance]]/tblResults[[#This Row],[Flexed budget]]))</f>
        <v/>
      </c>
      <c r="L123" s="41">
        <f>IF(tblResults[[#This Row],[Month]]="","",IF(tblResults[[#This Row],[Flexed budget]]="","",tblResults[[#This Row],[Flexed budget]]-tblResults[[#This Row],[Budget]]))</f>
        <v/>
      </c>
      <c r="M123" s="41">
        <f>IF(tblResults[[#This Row],[Month]]="","",IF(tblResults[[#This Row],[Actual]]="","",tblResults[[#This Row],[Actual]]-tblResults[[#This Row],[Budget]]))</f>
        <v/>
      </c>
      <c r="N123" s="43">
        <f>IF(tblResults[[#This Row],[Spending variance]]="","",IF(AND(ABS(tblResults[[#This Row],[Spending variance]])&gt;VarAmount,ABS(tblResults[[#This Row],[Spending variance %]])&gt;VarPct),IF(tblResults[[#This Row],[Spending variance]]&gt;0,"Out of limits","Check"),"Within limits"))</f>
        <v/>
      </c>
      <c r="O12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3" s="45" t="s">
        <v>122</v>
      </c>
    </row>
    <row r="124" spans="2:16">
      <c r="B124" s="29">
        <v>46296</v>
      </c>
      <c r="C124" s="28" t="s">
        <v>102</v>
      </c>
      <c r="D124" s="31">
        <v>15500</v>
      </c>
      <c r="E124" s="31"/>
      <c r="F124" s="37" t="str">
        <f>IF(tblResults[[#This Row],[Month]]="","",IFERROR(INDEX(tblCostLines[Group],MATCH(tblResults[[#This Row],[Cost line]],tblCostLines[Cost line],0)),""))</f>
        <v>Overheads</v>
      </c>
      <c r="G124" s="38">
        <f>IF(tblResults[[#This Row],[Month]]="","",IFERROR(INDEX(tblCostLines[Variable share],MATCH(tblResults[[#This Row],[Cost line]],tblCostLines[Cost line],0)),""))</f>
        <v>0.85</v>
      </c>
      <c r="H124" s="39">
        <f>IF(tblResults[[#This Row],[Month]]="","",IFERROR(INDEX(tblVolume[Volume ratio],MATCH(DATE(YEAR(tblResults[[#This Row],[Month]]),MONTH(tblResults[[#This Row],[Month]]),1),tblVolume[Month],0)),""))</f>
        <v/>
      </c>
      <c r="I124" s="40">
        <f>IF(tblResults[[#This Row],[Month]]="","",IF(OR(tblResults[[#This Row],[Volume ratio]]="",tblResults[[#This Row],[Variable share]]=""),"",tblResults[[#This Row],[Budget]]*(1-tblResults[[#This Row],[Variable share]]+tblResults[[#This Row],[Variable share]]*tblResults[[#This Row],[Volume ratio]])))</f>
        <v/>
      </c>
      <c r="J124" s="41">
        <f>IF(tblResults[[#This Row],[Month]]="","",IF(OR(tblResults[[#This Row],[Flexed budget]]="",tblResults[[#This Row],[Actual]]=""),"",tblResults[[#This Row],[Actual]]-tblResults[[#This Row],[Flexed budget]]))</f>
        <v/>
      </c>
      <c r="K124" s="42">
        <f>IF(tblResults[[#This Row],[Month]]="","",IF(OR(tblResults[[#This Row],[Spending variance]]="",tblResults[[#This Row],[Flexed budget]]=0),"",tblResults[[#This Row],[Spending variance]]/tblResults[[#This Row],[Flexed budget]]))</f>
        <v/>
      </c>
      <c r="L124" s="41">
        <f>IF(tblResults[[#This Row],[Month]]="","",IF(tblResults[[#This Row],[Flexed budget]]="","",tblResults[[#This Row],[Flexed budget]]-tblResults[[#This Row],[Budget]]))</f>
        <v/>
      </c>
      <c r="M124" s="41">
        <f>IF(tblResults[[#This Row],[Month]]="","",IF(tblResults[[#This Row],[Actual]]="","",tblResults[[#This Row],[Actual]]-tblResults[[#This Row],[Budget]]))</f>
        <v/>
      </c>
      <c r="N124" s="43">
        <f>IF(tblResults[[#This Row],[Spending variance]]="","",IF(AND(ABS(tblResults[[#This Row],[Spending variance]])&gt;VarAmount,ABS(tblResults[[#This Row],[Spending variance %]])&gt;VarPct),IF(tblResults[[#This Row],[Spending variance]]&gt;0,"Out of limits","Check"),"Within limits"))</f>
        <v/>
      </c>
      <c r="O12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4" s="45" t="s">
        <v>122</v>
      </c>
    </row>
    <row r="125" spans="2:16">
      <c r="B125" s="29">
        <v>46296</v>
      </c>
      <c r="C125" s="28" t="s">
        <v>104</v>
      </c>
      <c r="D125" s="31">
        <v>41000</v>
      </c>
      <c r="E125" s="31"/>
      <c r="F125" s="37" t="str">
        <f>IF(tblResults[[#This Row],[Month]]="","",IFERROR(INDEX(tblCostLines[Group],MATCH(tblResults[[#This Row],[Cost line]],tblCostLines[Cost line],0)),""))</f>
        <v>Overheads</v>
      </c>
      <c r="G125" s="38">
        <f>IF(tblResults[[#This Row],[Month]]="","",IFERROR(INDEX(tblCostLines[Variable share],MATCH(tblResults[[#This Row],[Cost line]],tblCostLines[Cost line],0)),""))</f>
        <v>0</v>
      </c>
      <c r="H125" s="39">
        <f>IF(tblResults[[#This Row],[Month]]="","",IFERROR(INDEX(tblVolume[Volume ratio],MATCH(DATE(YEAR(tblResults[[#This Row],[Month]]),MONTH(tblResults[[#This Row],[Month]]),1),tblVolume[Month],0)),""))</f>
        <v/>
      </c>
      <c r="I125" s="40">
        <f>IF(tblResults[[#This Row],[Month]]="","",IF(OR(tblResults[[#This Row],[Volume ratio]]="",tblResults[[#This Row],[Variable share]]=""),"",tblResults[[#This Row],[Budget]]*(1-tblResults[[#This Row],[Variable share]]+tblResults[[#This Row],[Variable share]]*tblResults[[#This Row],[Volume ratio]])))</f>
        <v/>
      </c>
      <c r="J125" s="41">
        <f>IF(tblResults[[#This Row],[Month]]="","",IF(OR(tblResults[[#This Row],[Flexed budget]]="",tblResults[[#This Row],[Actual]]=""),"",tblResults[[#This Row],[Actual]]-tblResults[[#This Row],[Flexed budget]]))</f>
        <v/>
      </c>
      <c r="K125" s="42">
        <f>IF(tblResults[[#This Row],[Month]]="","",IF(OR(tblResults[[#This Row],[Spending variance]]="",tblResults[[#This Row],[Flexed budget]]=0),"",tblResults[[#This Row],[Spending variance]]/tblResults[[#This Row],[Flexed budget]]))</f>
        <v/>
      </c>
      <c r="L125" s="41">
        <f>IF(tblResults[[#This Row],[Month]]="","",IF(tblResults[[#This Row],[Flexed budget]]="","",tblResults[[#This Row],[Flexed budget]]-tblResults[[#This Row],[Budget]]))</f>
        <v/>
      </c>
      <c r="M125" s="41">
        <f>IF(tblResults[[#This Row],[Month]]="","",IF(tblResults[[#This Row],[Actual]]="","",tblResults[[#This Row],[Actual]]-tblResults[[#This Row],[Budget]]))</f>
        <v/>
      </c>
      <c r="N125" s="43">
        <f>IF(tblResults[[#This Row],[Spending variance]]="","",IF(AND(ABS(tblResults[[#This Row],[Spending variance]])&gt;VarAmount,ABS(tblResults[[#This Row],[Spending variance %]])&gt;VarPct),IF(tblResults[[#This Row],[Spending variance]]&gt;0,"Out of limits","Check"),"Within limits"))</f>
        <v/>
      </c>
      <c r="O12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5" s="45" t="s">
        <v>122</v>
      </c>
    </row>
    <row r="126" spans="2:16">
      <c r="B126" s="29">
        <v>46296</v>
      </c>
      <c r="C126" s="28" t="s">
        <v>106</v>
      </c>
      <c r="D126" s="31">
        <v>18500</v>
      </c>
      <c r="E126" s="31"/>
      <c r="F126" s="37" t="str">
        <f>IF(tblResults[[#This Row],[Month]]="","",IFERROR(INDEX(tblCostLines[Group],MATCH(tblResults[[#This Row],[Cost line]],tblCostLines[Cost line],0)),""))</f>
        <v>Overheads</v>
      </c>
      <c r="G126" s="38">
        <f>IF(tblResults[[#This Row],[Month]]="","",IFERROR(INDEX(tblCostLines[Variable share],MATCH(tblResults[[#This Row],[Cost line]],tblCostLines[Cost line],0)),""))</f>
        <v>0</v>
      </c>
      <c r="H126" s="39">
        <f>IF(tblResults[[#This Row],[Month]]="","",IFERROR(INDEX(tblVolume[Volume ratio],MATCH(DATE(YEAR(tblResults[[#This Row],[Month]]),MONTH(tblResults[[#This Row],[Month]]),1),tblVolume[Month],0)),""))</f>
        <v/>
      </c>
      <c r="I126" s="40">
        <f>IF(tblResults[[#This Row],[Month]]="","",IF(OR(tblResults[[#This Row],[Volume ratio]]="",tblResults[[#This Row],[Variable share]]=""),"",tblResults[[#This Row],[Budget]]*(1-tblResults[[#This Row],[Variable share]]+tblResults[[#This Row],[Variable share]]*tblResults[[#This Row],[Volume ratio]])))</f>
        <v/>
      </c>
      <c r="J126" s="41">
        <f>IF(tblResults[[#This Row],[Month]]="","",IF(OR(tblResults[[#This Row],[Flexed budget]]="",tblResults[[#This Row],[Actual]]=""),"",tblResults[[#This Row],[Actual]]-tblResults[[#This Row],[Flexed budget]]))</f>
        <v/>
      </c>
      <c r="K126" s="42">
        <f>IF(tblResults[[#This Row],[Month]]="","",IF(OR(tblResults[[#This Row],[Spending variance]]="",tblResults[[#This Row],[Flexed budget]]=0),"",tblResults[[#This Row],[Spending variance]]/tblResults[[#This Row],[Flexed budget]]))</f>
        <v/>
      </c>
      <c r="L126" s="41">
        <f>IF(tblResults[[#This Row],[Month]]="","",IF(tblResults[[#This Row],[Flexed budget]]="","",tblResults[[#This Row],[Flexed budget]]-tblResults[[#This Row],[Budget]]))</f>
        <v/>
      </c>
      <c r="M126" s="41">
        <f>IF(tblResults[[#This Row],[Month]]="","",IF(tblResults[[#This Row],[Actual]]="","",tblResults[[#This Row],[Actual]]-tblResults[[#This Row],[Budget]]))</f>
        <v/>
      </c>
      <c r="N126" s="43">
        <f>IF(tblResults[[#This Row],[Spending variance]]="","",IF(AND(ABS(tblResults[[#This Row],[Spending variance]])&gt;VarAmount,ABS(tblResults[[#This Row],[Spending variance %]])&gt;VarPct),IF(tblResults[[#This Row],[Spending variance]]&gt;0,"Out of limits","Check"),"Within limits"))</f>
        <v/>
      </c>
      <c r="O12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6" s="45" t="s">
        <v>122</v>
      </c>
    </row>
    <row r="127" spans="2:16">
      <c r="B127" s="29">
        <v>46327</v>
      </c>
      <c r="C127" s="28" t="s">
        <v>80</v>
      </c>
      <c r="D127" s="31">
        <v>455700</v>
      </c>
      <c r="E127" s="31"/>
      <c r="F127" s="37" t="str">
        <f>IF(tblResults[[#This Row],[Month]]="","",IFERROR(INDEX(tblCostLines[Group],MATCH(tblResults[[#This Row],[Cost line]],tblCostLines[Cost line],0)),""))</f>
        <v>Materials</v>
      </c>
      <c r="G127" s="38">
        <f>IF(tblResults[[#This Row],[Month]]="","",IFERROR(INDEX(tblCostLines[Variable share],MATCH(tblResults[[#This Row],[Cost line]],tblCostLines[Cost line],0)),""))</f>
        <v>1</v>
      </c>
      <c r="H127" s="39">
        <f>IF(tblResults[[#This Row],[Month]]="","",IFERROR(INDEX(tblVolume[Volume ratio],MATCH(DATE(YEAR(tblResults[[#This Row],[Month]]),MONTH(tblResults[[#This Row],[Month]]),1),tblVolume[Month],0)),""))</f>
        <v/>
      </c>
      <c r="I127" s="40">
        <f>IF(tblResults[[#This Row],[Month]]="","",IF(OR(tblResults[[#This Row],[Volume ratio]]="",tblResults[[#This Row],[Variable share]]=""),"",tblResults[[#This Row],[Budget]]*(1-tblResults[[#This Row],[Variable share]]+tblResults[[#This Row],[Variable share]]*tblResults[[#This Row],[Volume ratio]])))</f>
        <v/>
      </c>
      <c r="J127" s="41">
        <f>IF(tblResults[[#This Row],[Month]]="","",IF(OR(tblResults[[#This Row],[Flexed budget]]="",tblResults[[#This Row],[Actual]]=""),"",tblResults[[#This Row],[Actual]]-tblResults[[#This Row],[Flexed budget]]))</f>
        <v/>
      </c>
      <c r="K127" s="42">
        <f>IF(tblResults[[#This Row],[Month]]="","",IF(OR(tblResults[[#This Row],[Spending variance]]="",tblResults[[#This Row],[Flexed budget]]=0),"",tblResults[[#This Row],[Spending variance]]/tblResults[[#This Row],[Flexed budget]]))</f>
        <v/>
      </c>
      <c r="L127" s="41">
        <f>IF(tblResults[[#This Row],[Month]]="","",IF(tblResults[[#This Row],[Flexed budget]]="","",tblResults[[#This Row],[Flexed budget]]-tblResults[[#This Row],[Budget]]))</f>
        <v/>
      </c>
      <c r="M127" s="41">
        <f>IF(tblResults[[#This Row],[Month]]="","",IF(tblResults[[#This Row],[Actual]]="","",tblResults[[#This Row],[Actual]]-tblResults[[#This Row],[Budget]]))</f>
        <v/>
      </c>
      <c r="N127" s="43">
        <f>IF(tblResults[[#This Row],[Spending variance]]="","",IF(AND(ABS(tblResults[[#This Row],[Spending variance]])&gt;VarAmount,ABS(tblResults[[#This Row],[Spending variance %]])&gt;VarPct),IF(tblResults[[#This Row],[Spending variance]]&gt;0,"Out of limits","Check"),"Within limits"))</f>
        <v/>
      </c>
      <c r="O12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7" s="45" t="s">
        <v>122</v>
      </c>
    </row>
    <row r="128" spans="2:16">
      <c r="B128" s="29">
        <v>46327</v>
      </c>
      <c r="C128" s="28" t="s">
        <v>83</v>
      </c>
      <c r="D128" s="31">
        <v>61700</v>
      </c>
      <c r="E128" s="31"/>
      <c r="F128" s="37" t="str">
        <f>IF(tblResults[[#This Row],[Month]]="","",IFERROR(INDEX(tblCostLines[Group],MATCH(tblResults[[#This Row],[Cost line]],tblCostLines[Cost line],0)),""))</f>
        <v>Materials</v>
      </c>
      <c r="G128" s="38">
        <f>IF(tblResults[[#This Row],[Month]]="","",IFERROR(INDEX(tblCostLines[Variable share],MATCH(tblResults[[#This Row],[Cost line]],tblCostLines[Cost line],0)),""))</f>
        <v>1</v>
      </c>
      <c r="H128" s="39">
        <f>IF(tblResults[[#This Row],[Month]]="","",IFERROR(INDEX(tblVolume[Volume ratio],MATCH(DATE(YEAR(tblResults[[#This Row],[Month]]),MONTH(tblResults[[#This Row],[Month]]),1),tblVolume[Month],0)),""))</f>
        <v/>
      </c>
      <c r="I128" s="40">
        <f>IF(tblResults[[#This Row],[Month]]="","",IF(OR(tblResults[[#This Row],[Volume ratio]]="",tblResults[[#This Row],[Variable share]]=""),"",tblResults[[#This Row],[Budget]]*(1-tblResults[[#This Row],[Variable share]]+tblResults[[#This Row],[Variable share]]*tblResults[[#This Row],[Volume ratio]])))</f>
        <v/>
      </c>
      <c r="J128" s="41">
        <f>IF(tblResults[[#This Row],[Month]]="","",IF(OR(tblResults[[#This Row],[Flexed budget]]="",tblResults[[#This Row],[Actual]]=""),"",tblResults[[#This Row],[Actual]]-tblResults[[#This Row],[Flexed budget]]))</f>
        <v/>
      </c>
      <c r="K128" s="42">
        <f>IF(tblResults[[#This Row],[Month]]="","",IF(OR(tblResults[[#This Row],[Spending variance]]="",tblResults[[#This Row],[Flexed budget]]=0),"",tblResults[[#This Row],[Spending variance]]/tblResults[[#This Row],[Flexed budget]]))</f>
        <v/>
      </c>
      <c r="L128" s="41">
        <f>IF(tblResults[[#This Row],[Month]]="","",IF(tblResults[[#This Row],[Flexed budget]]="","",tblResults[[#This Row],[Flexed budget]]-tblResults[[#This Row],[Budget]]))</f>
        <v/>
      </c>
      <c r="M128" s="41">
        <f>IF(tblResults[[#This Row],[Month]]="","",IF(tblResults[[#This Row],[Actual]]="","",tblResults[[#This Row],[Actual]]-tblResults[[#This Row],[Budget]]))</f>
        <v/>
      </c>
      <c r="N128" s="43">
        <f>IF(tblResults[[#This Row],[Spending variance]]="","",IF(AND(ABS(tblResults[[#This Row],[Spending variance]])&gt;VarAmount,ABS(tblResults[[#This Row],[Spending variance %]])&gt;VarPct),IF(tblResults[[#This Row],[Spending variance]]&gt;0,"Out of limits","Check"),"Within limits"))</f>
        <v/>
      </c>
      <c r="O12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8" s="45" t="s">
        <v>122</v>
      </c>
    </row>
    <row r="129" spans="2:16">
      <c r="B129" s="29">
        <v>46327</v>
      </c>
      <c r="C129" s="28" t="s">
        <v>85</v>
      </c>
      <c r="D129" s="31">
        <v>82900</v>
      </c>
      <c r="E129" s="31"/>
      <c r="F129" s="37" t="str">
        <f>IF(tblResults[[#This Row],[Month]]="","",IFERROR(INDEX(tblCostLines[Group],MATCH(tblResults[[#This Row],[Cost line]],tblCostLines[Cost line],0)),""))</f>
        <v>Materials</v>
      </c>
      <c r="G129" s="38">
        <f>IF(tblResults[[#This Row],[Month]]="","",IFERROR(INDEX(tblCostLines[Variable share],MATCH(tblResults[[#This Row],[Cost line]],tblCostLines[Cost line],0)),""))</f>
        <v>0.9</v>
      </c>
      <c r="H129" s="39">
        <f>IF(tblResults[[#This Row],[Month]]="","",IFERROR(INDEX(tblVolume[Volume ratio],MATCH(DATE(YEAR(tblResults[[#This Row],[Month]]),MONTH(tblResults[[#This Row],[Month]]),1),tblVolume[Month],0)),""))</f>
        <v/>
      </c>
      <c r="I129" s="40">
        <f>IF(tblResults[[#This Row],[Month]]="","",IF(OR(tblResults[[#This Row],[Volume ratio]]="",tblResults[[#This Row],[Variable share]]=""),"",tblResults[[#This Row],[Budget]]*(1-tblResults[[#This Row],[Variable share]]+tblResults[[#This Row],[Variable share]]*tblResults[[#This Row],[Volume ratio]])))</f>
        <v/>
      </c>
      <c r="J129" s="41">
        <f>IF(tblResults[[#This Row],[Month]]="","",IF(OR(tblResults[[#This Row],[Flexed budget]]="",tblResults[[#This Row],[Actual]]=""),"",tblResults[[#This Row],[Actual]]-tblResults[[#This Row],[Flexed budget]]))</f>
        <v/>
      </c>
      <c r="K129" s="42">
        <f>IF(tblResults[[#This Row],[Month]]="","",IF(OR(tblResults[[#This Row],[Spending variance]]="",tblResults[[#This Row],[Flexed budget]]=0),"",tblResults[[#This Row],[Spending variance]]/tblResults[[#This Row],[Flexed budget]]))</f>
        <v/>
      </c>
      <c r="L129" s="41">
        <f>IF(tblResults[[#This Row],[Month]]="","",IF(tblResults[[#This Row],[Flexed budget]]="","",tblResults[[#This Row],[Flexed budget]]-tblResults[[#This Row],[Budget]]))</f>
        <v/>
      </c>
      <c r="M129" s="41">
        <f>IF(tblResults[[#This Row],[Month]]="","",IF(tblResults[[#This Row],[Actual]]="","",tblResults[[#This Row],[Actual]]-tblResults[[#This Row],[Budget]]))</f>
        <v/>
      </c>
      <c r="N129" s="43">
        <f>IF(tblResults[[#This Row],[Spending variance]]="","",IF(AND(ABS(tblResults[[#This Row],[Spending variance]])&gt;VarAmount,ABS(tblResults[[#This Row],[Spending variance %]])&gt;VarPct),IF(tblResults[[#This Row],[Spending variance]]&gt;0,"Out of limits","Check"),"Within limits"))</f>
        <v/>
      </c>
      <c r="O12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29" s="45" t="s">
        <v>122</v>
      </c>
    </row>
    <row r="130" spans="2:16">
      <c r="B130" s="29">
        <v>46327</v>
      </c>
      <c r="C130" s="28" t="s">
        <v>87</v>
      </c>
      <c r="D130" s="31">
        <v>137600</v>
      </c>
      <c r="E130" s="31"/>
      <c r="F130" s="37" t="str">
        <f>IF(tblResults[[#This Row],[Month]]="","",IFERROR(INDEX(tblCostLines[Group],MATCH(tblResults[[#This Row],[Cost line]],tblCostLines[Cost line],0)),""))</f>
        <v>Energy</v>
      </c>
      <c r="G130" s="38">
        <f>IF(tblResults[[#This Row],[Month]]="","",IFERROR(INDEX(tblCostLines[Variable share],MATCH(tblResults[[#This Row],[Cost line]],tblCostLines[Cost line],0)),""))</f>
        <v>0.85</v>
      </c>
      <c r="H130" s="39">
        <f>IF(tblResults[[#This Row],[Month]]="","",IFERROR(INDEX(tblVolume[Volume ratio],MATCH(DATE(YEAR(tblResults[[#This Row],[Month]]),MONTH(tblResults[[#This Row],[Month]]),1),tblVolume[Month],0)),""))</f>
        <v/>
      </c>
      <c r="I130" s="40">
        <f>IF(tblResults[[#This Row],[Month]]="","",IF(OR(tblResults[[#This Row],[Volume ratio]]="",tblResults[[#This Row],[Variable share]]=""),"",tblResults[[#This Row],[Budget]]*(1-tblResults[[#This Row],[Variable share]]+tblResults[[#This Row],[Variable share]]*tblResults[[#This Row],[Volume ratio]])))</f>
        <v/>
      </c>
      <c r="J130" s="41">
        <f>IF(tblResults[[#This Row],[Month]]="","",IF(OR(tblResults[[#This Row],[Flexed budget]]="",tblResults[[#This Row],[Actual]]=""),"",tblResults[[#This Row],[Actual]]-tblResults[[#This Row],[Flexed budget]]))</f>
        <v/>
      </c>
      <c r="K130" s="42">
        <f>IF(tblResults[[#This Row],[Month]]="","",IF(OR(tblResults[[#This Row],[Spending variance]]="",tblResults[[#This Row],[Flexed budget]]=0),"",tblResults[[#This Row],[Spending variance]]/tblResults[[#This Row],[Flexed budget]]))</f>
        <v/>
      </c>
      <c r="L130" s="41">
        <f>IF(tblResults[[#This Row],[Month]]="","",IF(tblResults[[#This Row],[Flexed budget]]="","",tblResults[[#This Row],[Flexed budget]]-tblResults[[#This Row],[Budget]]))</f>
        <v/>
      </c>
      <c r="M130" s="41">
        <f>IF(tblResults[[#This Row],[Month]]="","",IF(tblResults[[#This Row],[Actual]]="","",tblResults[[#This Row],[Actual]]-tblResults[[#This Row],[Budget]]))</f>
        <v/>
      </c>
      <c r="N130" s="43">
        <f>IF(tblResults[[#This Row],[Spending variance]]="","",IF(AND(ABS(tblResults[[#This Row],[Spending variance]])&gt;VarAmount,ABS(tblResults[[#This Row],[Spending variance %]])&gt;VarPct),IF(tblResults[[#This Row],[Spending variance]]&gt;0,"Out of limits","Check"),"Within limits"))</f>
        <v/>
      </c>
      <c r="O13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0" s="45" t="s">
        <v>122</v>
      </c>
    </row>
    <row r="131" spans="2:16">
      <c r="B131" s="29">
        <v>46327</v>
      </c>
      <c r="C131" s="28" t="s">
        <v>90</v>
      </c>
      <c r="D131" s="31">
        <v>17800</v>
      </c>
      <c r="E131" s="31"/>
      <c r="F131" s="37" t="str">
        <f>IF(tblResults[[#This Row],[Month]]="","",IFERROR(INDEX(tblCostLines[Group],MATCH(tblResults[[#This Row],[Cost line]],tblCostLines[Cost line],0)),""))</f>
        <v>Energy</v>
      </c>
      <c r="G131" s="38">
        <f>IF(tblResults[[#This Row],[Month]]="","",IFERROR(INDEX(tblCostLines[Variable share],MATCH(tblResults[[#This Row],[Cost line]],tblCostLines[Cost line],0)),""))</f>
        <v>0.5</v>
      </c>
      <c r="H131" s="39">
        <f>IF(tblResults[[#This Row],[Month]]="","",IFERROR(INDEX(tblVolume[Volume ratio],MATCH(DATE(YEAR(tblResults[[#This Row],[Month]]),MONTH(tblResults[[#This Row],[Month]]),1),tblVolume[Month],0)),""))</f>
        <v/>
      </c>
      <c r="I131" s="40">
        <f>IF(tblResults[[#This Row],[Month]]="","",IF(OR(tblResults[[#This Row],[Volume ratio]]="",tblResults[[#This Row],[Variable share]]=""),"",tblResults[[#This Row],[Budget]]*(1-tblResults[[#This Row],[Variable share]]+tblResults[[#This Row],[Variable share]]*tblResults[[#This Row],[Volume ratio]])))</f>
        <v/>
      </c>
      <c r="J131" s="41">
        <f>IF(tblResults[[#This Row],[Month]]="","",IF(OR(tblResults[[#This Row],[Flexed budget]]="",tblResults[[#This Row],[Actual]]=""),"",tblResults[[#This Row],[Actual]]-tblResults[[#This Row],[Flexed budget]]))</f>
        <v/>
      </c>
      <c r="K131" s="42">
        <f>IF(tblResults[[#This Row],[Month]]="","",IF(OR(tblResults[[#This Row],[Spending variance]]="",tblResults[[#This Row],[Flexed budget]]=0),"",tblResults[[#This Row],[Spending variance]]/tblResults[[#This Row],[Flexed budget]]))</f>
        <v/>
      </c>
      <c r="L131" s="41">
        <f>IF(tblResults[[#This Row],[Month]]="","",IF(tblResults[[#This Row],[Flexed budget]]="","",tblResults[[#This Row],[Flexed budget]]-tblResults[[#This Row],[Budget]]))</f>
        <v/>
      </c>
      <c r="M131" s="41">
        <f>IF(tblResults[[#This Row],[Month]]="","",IF(tblResults[[#This Row],[Actual]]="","",tblResults[[#This Row],[Actual]]-tblResults[[#This Row],[Budget]]))</f>
        <v/>
      </c>
      <c r="N131" s="43">
        <f>IF(tblResults[[#This Row],[Spending variance]]="","",IF(AND(ABS(tblResults[[#This Row],[Spending variance]])&gt;VarAmount,ABS(tblResults[[#This Row],[Spending variance %]])&gt;VarPct),IF(tblResults[[#This Row],[Spending variance]]&gt;0,"Out of limits","Check"),"Within limits"))</f>
        <v/>
      </c>
      <c r="O13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1" s="45" t="s">
        <v>122</v>
      </c>
    </row>
    <row r="132" spans="2:16">
      <c r="B132" s="29">
        <v>46327</v>
      </c>
      <c r="C132" s="28" t="s">
        <v>92</v>
      </c>
      <c r="D132" s="31">
        <v>128200</v>
      </c>
      <c r="E132" s="31"/>
      <c r="F132" s="37" t="str">
        <f>IF(tblResults[[#This Row],[Month]]="","",IFERROR(INDEX(tblCostLines[Group],MATCH(tblResults[[#This Row],[Cost line]],tblCostLines[Cost line],0)),""))</f>
        <v>Labour</v>
      </c>
      <c r="G132" s="38">
        <f>IF(tblResults[[#This Row],[Month]]="","",IFERROR(INDEX(tblCostLines[Variable share],MATCH(tblResults[[#This Row],[Cost line]],tblCostLines[Cost line],0)),""))</f>
        <v>0.5</v>
      </c>
      <c r="H132" s="39">
        <f>IF(tblResults[[#This Row],[Month]]="","",IFERROR(INDEX(tblVolume[Volume ratio],MATCH(DATE(YEAR(tblResults[[#This Row],[Month]]),MONTH(tblResults[[#This Row],[Month]]),1),tblVolume[Month],0)),""))</f>
        <v/>
      </c>
      <c r="I132" s="40">
        <f>IF(tblResults[[#This Row],[Month]]="","",IF(OR(tblResults[[#This Row],[Volume ratio]]="",tblResults[[#This Row],[Variable share]]=""),"",tblResults[[#This Row],[Budget]]*(1-tblResults[[#This Row],[Variable share]]+tblResults[[#This Row],[Variable share]]*tblResults[[#This Row],[Volume ratio]])))</f>
        <v/>
      </c>
      <c r="J132" s="41">
        <f>IF(tblResults[[#This Row],[Month]]="","",IF(OR(tblResults[[#This Row],[Flexed budget]]="",tblResults[[#This Row],[Actual]]=""),"",tblResults[[#This Row],[Actual]]-tblResults[[#This Row],[Flexed budget]]))</f>
        <v/>
      </c>
      <c r="K132" s="42">
        <f>IF(tblResults[[#This Row],[Month]]="","",IF(OR(tblResults[[#This Row],[Spending variance]]="",tblResults[[#This Row],[Flexed budget]]=0),"",tblResults[[#This Row],[Spending variance]]/tblResults[[#This Row],[Flexed budget]]))</f>
        <v/>
      </c>
      <c r="L132" s="41">
        <f>IF(tblResults[[#This Row],[Month]]="","",IF(tblResults[[#This Row],[Flexed budget]]="","",tblResults[[#This Row],[Flexed budget]]-tblResults[[#This Row],[Budget]]))</f>
        <v/>
      </c>
      <c r="M132" s="41">
        <f>IF(tblResults[[#This Row],[Month]]="","",IF(tblResults[[#This Row],[Actual]]="","",tblResults[[#This Row],[Actual]]-tblResults[[#This Row],[Budget]]))</f>
        <v/>
      </c>
      <c r="N132" s="43">
        <f>IF(tblResults[[#This Row],[Spending variance]]="","",IF(AND(ABS(tblResults[[#This Row],[Spending variance]])&gt;VarAmount,ABS(tblResults[[#This Row],[Spending variance %]])&gt;VarPct),IF(tblResults[[#This Row],[Spending variance]]&gt;0,"Out of limits","Check"),"Within limits"))</f>
        <v/>
      </c>
      <c r="O13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2" s="45" t="s">
        <v>122</v>
      </c>
    </row>
    <row r="133" spans="2:16">
      <c r="B133" s="29">
        <v>46327</v>
      </c>
      <c r="C133" s="28" t="s">
        <v>95</v>
      </c>
      <c r="D133" s="31">
        <v>48000</v>
      </c>
      <c r="E133" s="31"/>
      <c r="F133" s="37" t="str">
        <f>IF(tblResults[[#This Row],[Month]]="","",IFERROR(INDEX(tblCostLines[Group],MATCH(tblResults[[#This Row],[Cost line]],tblCostLines[Cost line],0)),""))</f>
        <v>Labour</v>
      </c>
      <c r="G133" s="38">
        <f>IF(tblResults[[#This Row],[Month]]="","",IFERROR(INDEX(tblCostLines[Variable share],MATCH(tblResults[[#This Row],[Cost line]],tblCostLines[Cost line],0)),""))</f>
        <v>0</v>
      </c>
      <c r="H133" s="39">
        <f>IF(tblResults[[#This Row],[Month]]="","",IFERROR(INDEX(tblVolume[Volume ratio],MATCH(DATE(YEAR(tblResults[[#This Row],[Month]]),MONTH(tblResults[[#This Row],[Month]]),1),tblVolume[Month],0)),""))</f>
        <v/>
      </c>
      <c r="I133" s="40">
        <f>IF(tblResults[[#This Row],[Month]]="","",IF(OR(tblResults[[#This Row],[Volume ratio]]="",tblResults[[#This Row],[Variable share]]=""),"",tblResults[[#This Row],[Budget]]*(1-tblResults[[#This Row],[Variable share]]+tblResults[[#This Row],[Variable share]]*tblResults[[#This Row],[Volume ratio]])))</f>
        <v/>
      </c>
      <c r="J133" s="41">
        <f>IF(tblResults[[#This Row],[Month]]="","",IF(OR(tblResults[[#This Row],[Flexed budget]]="",tblResults[[#This Row],[Actual]]=""),"",tblResults[[#This Row],[Actual]]-tblResults[[#This Row],[Flexed budget]]))</f>
        <v/>
      </c>
      <c r="K133" s="42">
        <f>IF(tblResults[[#This Row],[Month]]="","",IF(OR(tblResults[[#This Row],[Spending variance]]="",tblResults[[#This Row],[Flexed budget]]=0),"",tblResults[[#This Row],[Spending variance]]/tblResults[[#This Row],[Flexed budget]]))</f>
        <v/>
      </c>
      <c r="L133" s="41">
        <f>IF(tblResults[[#This Row],[Month]]="","",IF(tblResults[[#This Row],[Flexed budget]]="","",tblResults[[#This Row],[Flexed budget]]-tblResults[[#This Row],[Budget]]))</f>
        <v/>
      </c>
      <c r="M133" s="41">
        <f>IF(tblResults[[#This Row],[Month]]="","",IF(tblResults[[#This Row],[Actual]]="","",tblResults[[#This Row],[Actual]]-tblResults[[#This Row],[Budget]]))</f>
        <v/>
      </c>
      <c r="N133" s="43">
        <f>IF(tblResults[[#This Row],[Spending variance]]="","",IF(AND(ABS(tblResults[[#This Row],[Spending variance]])&gt;VarAmount,ABS(tblResults[[#This Row],[Spending variance %]])&gt;VarPct),IF(tblResults[[#This Row],[Spending variance]]&gt;0,"Out of limits","Check"),"Within limits"))</f>
        <v/>
      </c>
      <c r="O13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3" s="45" t="s">
        <v>122</v>
      </c>
    </row>
    <row r="134" spans="2:16">
      <c r="B134" s="29">
        <v>46327</v>
      </c>
      <c r="C134" s="28" t="s">
        <v>97</v>
      </c>
      <c r="D134" s="31">
        <v>35800</v>
      </c>
      <c r="E134" s="31"/>
      <c r="F134" s="37" t="str">
        <f>IF(tblResults[[#This Row],[Month]]="","",IFERROR(INDEX(tblCostLines[Group],MATCH(tblResults[[#This Row],[Cost line]],tblCostLines[Cost line],0)),""))</f>
        <v>Overheads</v>
      </c>
      <c r="G134" s="38">
        <f>IF(tblResults[[#This Row],[Month]]="","",IFERROR(INDEX(tblCostLines[Variable share],MATCH(tblResults[[#This Row],[Cost line]],tblCostLines[Cost line],0)),""))</f>
        <v>0.3</v>
      </c>
      <c r="H134" s="39">
        <f>IF(tblResults[[#This Row],[Month]]="","",IFERROR(INDEX(tblVolume[Volume ratio],MATCH(DATE(YEAR(tblResults[[#This Row],[Month]]),MONTH(tblResults[[#This Row],[Month]]),1),tblVolume[Month],0)),""))</f>
        <v/>
      </c>
      <c r="I134" s="40">
        <f>IF(tblResults[[#This Row],[Month]]="","",IF(OR(tblResults[[#This Row],[Volume ratio]]="",tblResults[[#This Row],[Variable share]]=""),"",tblResults[[#This Row],[Budget]]*(1-tblResults[[#This Row],[Variable share]]+tblResults[[#This Row],[Variable share]]*tblResults[[#This Row],[Volume ratio]])))</f>
        <v/>
      </c>
      <c r="J134" s="41">
        <f>IF(tblResults[[#This Row],[Month]]="","",IF(OR(tblResults[[#This Row],[Flexed budget]]="",tblResults[[#This Row],[Actual]]=""),"",tblResults[[#This Row],[Actual]]-tblResults[[#This Row],[Flexed budget]]))</f>
        <v/>
      </c>
      <c r="K134" s="42">
        <f>IF(tblResults[[#This Row],[Month]]="","",IF(OR(tblResults[[#This Row],[Spending variance]]="",tblResults[[#This Row],[Flexed budget]]=0),"",tblResults[[#This Row],[Spending variance]]/tblResults[[#This Row],[Flexed budget]]))</f>
        <v/>
      </c>
      <c r="L134" s="41">
        <f>IF(tblResults[[#This Row],[Month]]="","",IF(tblResults[[#This Row],[Flexed budget]]="","",tblResults[[#This Row],[Flexed budget]]-tblResults[[#This Row],[Budget]]))</f>
        <v/>
      </c>
      <c r="M134" s="41">
        <f>IF(tblResults[[#This Row],[Month]]="","",IF(tblResults[[#This Row],[Actual]]="","",tblResults[[#This Row],[Actual]]-tblResults[[#This Row],[Budget]]))</f>
        <v/>
      </c>
      <c r="N134" s="43">
        <f>IF(tblResults[[#This Row],[Spending variance]]="","",IF(AND(ABS(tblResults[[#This Row],[Spending variance]])&gt;VarAmount,ABS(tblResults[[#This Row],[Spending variance %]])&gt;VarPct),IF(tblResults[[#This Row],[Spending variance]]&gt;0,"Out of limits","Check"),"Within limits"))</f>
        <v/>
      </c>
      <c r="O13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4" s="45" t="s">
        <v>122</v>
      </c>
    </row>
    <row r="135" spans="2:16">
      <c r="B135" s="29">
        <v>46327</v>
      </c>
      <c r="C135" s="28" t="s">
        <v>100</v>
      </c>
      <c r="D135" s="31">
        <v>26600</v>
      </c>
      <c r="E135" s="31"/>
      <c r="F135" s="37" t="str">
        <f>IF(tblResults[[#This Row],[Month]]="","",IFERROR(INDEX(tblCostLines[Group],MATCH(tblResults[[#This Row],[Cost line]],tblCostLines[Cost line],0)),""))</f>
        <v>Overheads</v>
      </c>
      <c r="G135" s="38">
        <f>IF(tblResults[[#This Row],[Month]]="","",IFERROR(INDEX(tblCostLines[Variable share],MATCH(tblResults[[#This Row],[Cost line]],tblCostLines[Cost line],0)),""))</f>
        <v>0.75</v>
      </c>
      <c r="H135" s="39">
        <f>IF(tblResults[[#This Row],[Month]]="","",IFERROR(INDEX(tblVolume[Volume ratio],MATCH(DATE(YEAR(tblResults[[#This Row],[Month]]),MONTH(tblResults[[#This Row],[Month]]),1),tblVolume[Month],0)),""))</f>
        <v/>
      </c>
      <c r="I135" s="40">
        <f>IF(tblResults[[#This Row],[Month]]="","",IF(OR(tblResults[[#This Row],[Volume ratio]]="",tblResults[[#This Row],[Variable share]]=""),"",tblResults[[#This Row],[Budget]]*(1-tblResults[[#This Row],[Variable share]]+tblResults[[#This Row],[Variable share]]*tblResults[[#This Row],[Volume ratio]])))</f>
        <v/>
      </c>
      <c r="J135" s="41">
        <f>IF(tblResults[[#This Row],[Month]]="","",IF(OR(tblResults[[#This Row],[Flexed budget]]="",tblResults[[#This Row],[Actual]]=""),"",tblResults[[#This Row],[Actual]]-tblResults[[#This Row],[Flexed budget]]))</f>
        <v/>
      </c>
      <c r="K135" s="42">
        <f>IF(tblResults[[#This Row],[Month]]="","",IF(OR(tblResults[[#This Row],[Spending variance]]="",tblResults[[#This Row],[Flexed budget]]=0),"",tblResults[[#This Row],[Spending variance]]/tblResults[[#This Row],[Flexed budget]]))</f>
        <v/>
      </c>
      <c r="L135" s="41">
        <f>IF(tblResults[[#This Row],[Month]]="","",IF(tblResults[[#This Row],[Flexed budget]]="","",tblResults[[#This Row],[Flexed budget]]-tblResults[[#This Row],[Budget]]))</f>
        <v/>
      </c>
      <c r="M135" s="41">
        <f>IF(tblResults[[#This Row],[Month]]="","",IF(tblResults[[#This Row],[Actual]]="","",tblResults[[#This Row],[Actual]]-tblResults[[#This Row],[Budget]]))</f>
        <v/>
      </c>
      <c r="N135" s="43">
        <f>IF(tblResults[[#This Row],[Spending variance]]="","",IF(AND(ABS(tblResults[[#This Row],[Spending variance]])&gt;VarAmount,ABS(tblResults[[#This Row],[Spending variance %]])&gt;VarPct),IF(tblResults[[#This Row],[Spending variance]]&gt;0,"Out of limits","Check"),"Within limits"))</f>
        <v/>
      </c>
      <c r="O13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5" s="45" t="s">
        <v>122</v>
      </c>
    </row>
    <row r="136" spans="2:16">
      <c r="B136" s="29">
        <v>46327</v>
      </c>
      <c r="C136" s="28" t="s">
        <v>102</v>
      </c>
      <c r="D136" s="31">
        <v>15200</v>
      </c>
      <c r="E136" s="31"/>
      <c r="F136" s="37" t="str">
        <f>IF(tblResults[[#This Row],[Month]]="","",IFERROR(INDEX(tblCostLines[Group],MATCH(tblResults[[#This Row],[Cost line]],tblCostLines[Cost line],0)),""))</f>
        <v>Overheads</v>
      </c>
      <c r="G136" s="38">
        <f>IF(tblResults[[#This Row],[Month]]="","",IFERROR(INDEX(tblCostLines[Variable share],MATCH(tblResults[[#This Row],[Cost line]],tblCostLines[Cost line],0)),""))</f>
        <v>0.85</v>
      </c>
      <c r="H136" s="39">
        <f>IF(tblResults[[#This Row],[Month]]="","",IFERROR(INDEX(tblVolume[Volume ratio],MATCH(DATE(YEAR(tblResults[[#This Row],[Month]]),MONTH(tblResults[[#This Row],[Month]]),1),tblVolume[Month],0)),""))</f>
        <v/>
      </c>
      <c r="I136" s="40">
        <f>IF(tblResults[[#This Row],[Month]]="","",IF(OR(tblResults[[#This Row],[Volume ratio]]="",tblResults[[#This Row],[Variable share]]=""),"",tblResults[[#This Row],[Budget]]*(1-tblResults[[#This Row],[Variable share]]+tblResults[[#This Row],[Variable share]]*tblResults[[#This Row],[Volume ratio]])))</f>
        <v/>
      </c>
      <c r="J136" s="41">
        <f>IF(tblResults[[#This Row],[Month]]="","",IF(OR(tblResults[[#This Row],[Flexed budget]]="",tblResults[[#This Row],[Actual]]=""),"",tblResults[[#This Row],[Actual]]-tblResults[[#This Row],[Flexed budget]]))</f>
        <v/>
      </c>
      <c r="K136" s="42">
        <f>IF(tblResults[[#This Row],[Month]]="","",IF(OR(tblResults[[#This Row],[Spending variance]]="",tblResults[[#This Row],[Flexed budget]]=0),"",tblResults[[#This Row],[Spending variance]]/tblResults[[#This Row],[Flexed budget]]))</f>
        <v/>
      </c>
      <c r="L136" s="41">
        <f>IF(tblResults[[#This Row],[Month]]="","",IF(tblResults[[#This Row],[Flexed budget]]="","",tblResults[[#This Row],[Flexed budget]]-tblResults[[#This Row],[Budget]]))</f>
        <v/>
      </c>
      <c r="M136" s="41">
        <f>IF(tblResults[[#This Row],[Month]]="","",IF(tblResults[[#This Row],[Actual]]="","",tblResults[[#This Row],[Actual]]-tblResults[[#This Row],[Budget]]))</f>
        <v/>
      </c>
      <c r="N136" s="43">
        <f>IF(tblResults[[#This Row],[Spending variance]]="","",IF(AND(ABS(tblResults[[#This Row],[Spending variance]])&gt;VarAmount,ABS(tblResults[[#This Row],[Spending variance %]])&gt;VarPct),IF(tblResults[[#This Row],[Spending variance]]&gt;0,"Out of limits","Check"),"Within limits"))</f>
        <v/>
      </c>
      <c r="O13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6" s="45" t="s">
        <v>122</v>
      </c>
    </row>
    <row r="137" spans="2:16">
      <c r="B137" s="29">
        <v>46327</v>
      </c>
      <c r="C137" s="28" t="s">
        <v>104</v>
      </c>
      <c r="D137" s="31">
        <v>41000</v>
      </c>
      <c r="E137" s="31"/>
      <c r="F137" s="37" t="str">
        <f>IF(tblResults[[#This Row],[Month]]="","",IFERROR(INDEX(tblCostLines[Group],MATCH(tblResults[[#This Row],[Cost line]],tblCostLines[Cost line],0)),""))</f>
        <v>Overheads</v>
      </c>
      <c r="G137" s="38">
        <f>IF(tblResults[[#This Row],[Month]]="","",IFERROR(INDEX(tblCostLines[Variable share],MATCH(tblResults[[#This Row],[Cost line]],tblCostLines[Cost line],0)),""))</f>
        <v>0</v>
      </c>
      <c r="H137" s="39">
        <f>IF(tblResults[[#This Row],[Month]]="","",IFERROR(INDEX(tblVolume[Volume ratio],MATCH(DATE(YEAR(tblResults[[#This Row],[Month]]),MONTH(tblResults[[#This Row],[Month]]),1),tblVolume[Month],0)),""))</f>
        <v/>
      </c>
      <c r="I137" s="40">
        <f>IF(tblResults[[#This Row],[Month]]="","",IF(OR(tblResults[[#This Row],[Volume ratio]]="",tblResults[[#This Row],[Variable share]]=""),"",tblResults[[#This Row],[Budget]]*(1-tblResults[[#This Row],[Variable share]]+tblResults[[#This Row],[Variable share]]*tblResults[[#This Row],[Volume ratio]])))</f>
        <v/>
      </c>
      <c r="J137" s="41">
        <f>IF(tblResults[[#This Row],[Month]]="","",IF(OR(tblResults[[#This Row],[Flexed budget]]="",tblResults[[#This Row],[Actual]]=""),"",tblResults[[#This Row],[Actual]]-tblResults[[#This Row],[Flexed budget]]))</f>
        <v/>
      </c>
      <c r="K137" s="42">
        <f>IF(tblResults[[#This Row],[Month]]="","",IF(OR(tblResults[[#This Row],[Spending variance]]="",tblResults[[#This Row],[Flexed budget]]=0),"",tblResults[[#This Row],[Spending variance]]/tblResults[[#This Row],[Flexed budget]]))</f>
        <v/>
      </c>
      <c r="L137" s="41">
        <f>IF(tblResults[[#This Row],[Month]]="","",IF(tblResults[[#This Row],[Flexed budget]]="","",tblResults[[#This Row],[Flexed budget]]-tblResults[[#This Row],[Budget]]))</f>
        <v/>
      </c>
      <c r="M137" s="41">
        <f>IF(tblResults[[#This Row],[Month]]="","",IF(tblResults[[#This Row],[Actual]]="","",tblResults[[#This Row],[Actual]]-tblResults[[#This Row],[Budget]]))</f>
        <v/>
      </c>
      <c r="N137" s="43">
        <f>IF(tblResults[[#This Row],[Spending variance]]="","",IF(AND(ABS(tblResults[[#This Row],[Spending variance]])&gt;VarAmount,ABS(tblResults[[#This Row],[Spending variance %]])&gt;VarPct),IF(tblResults[[#This Row],[Spending variance]]&gt;0,"Out of limits","Check"),"Within limits"))</f>
        <v/>
      </c>
      <c r="O13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7" s="45" t="s">
        <v>122</v>
      </c>
    </row>
    <row r="138" spans="2:16">
      <c r="B138" s="29">
        <v>46327</v>
      </c>
      <c r="C138" s="28" t="s">
        <v>106</v>
      </c>
      <c r="D138" s="31">
        <v>18500</v>
      </c>
      <c r="E138" s="31"/>
      <c r="F138" s="37" t="str">
        <f>IF(tblResults[[#This Row],[Month]]="","",IFERROR(INDEX(tblCostLines[Group],MATCH(tblResults[[#This Row],[Cost line]],tblCostLines[Cost line],0)),""))</f>
        <v>Overheads</v>
      </c>
      <c r="G138" s="38">
        <f>IF(tblResults[[#This Row],[Month]]="","",IFERROR(INDEX(tblCostLines[Variable share],MATCH(tblResults[[#This Row],[Cost line]],tblCostLines[Cost line],0)),""))</f>
        <v>0</v>
      </c>
      <c r="H138" s="39">
        <f>IF(tblResults[[#This Row],[Month]]="","",IFERROR(INDEX(tblVolume[Volume ratio],MATCH(DATE(YEAR(tblResults[[#This Row],[Month]]),MONTH(tblResults[[#This Row],[Month]]),1),tblVolume[Month],0)),""))</f>
        <v/>
      </c>
      <c r="I138" s="40">
        <f>IF(tblResults[[#This Row],[Month]]="","",IF(OR(tblResults[[#This Row],[Volume ratio]]="",tblResults[[#This Row],[Variable share]]=""),"",tblResults[[#This Row],[Budget]]*(1-tblResults[[#This Row],[Variable share]]+tblResults[[#This Row],[Variable share]]*tblResults[[#This Row],[Volume ratio]])))</f>
        <v/>
      </c>
      <c r="J138" s="41">
        <f>IF(tblResults[[#This Row],[Month]]="","",IF(OR(tblResults[[#This Row],[Flexed budget]]="",tblResults[[#This Row],[Actual]]=""),"",tblResults[[#This Row],[Actual]]-tblResults[[#This Row],[Flexed budget]]))</f>
        <v/>
      </c>
      <c r="K138" s="42">
        <f>IF(tblResults[[#This Row],[Month]]="","",IF(OR(tblResults[[#This Row],[Spending variance]]="",tblResults[[#This Row],[Flexed budget]]=0),"",tblResults[[#This Row],[Spending variance]]/tblResults[[#This Row],[Flexed budget]]))</f>
        <v/>
      </c>
      <c r="L138" s="41">
        <f>IF(tblResults[[#This Row],[Month]]="","",IF(tblResults[[#This Row],[Flexed budget]]="","",tblResults[[#This Row],[Flexed budget]]-tblResults[[#This Row],[Budget]]))</f>
        <v/>
      </c>
      <c r="M138" s="41">
        <f>IF(tblResults[[#This Row],[Month]]="","",IF(tblResults[[#This Row],[Actual]]="","",tblResults[[#This Row],[Actual]]-tblResults[[#This Row],[Budget]]))</f>
        <v/>
      </c>
      <c r="N138" s="43">
        <f>IF(tblResults[[#This Row],[Spending variance]]="","",IF(AND(ABS(tblResults[[#This Row],[Spending variance]])&gt;VarAmount,ABS(tblResults[[#This Row],[Spending variance %]])&gt;VarPct),IF(tblResults[[#This Row],[Spending variance]]&gt;0,"Out of limits","Check"),"Within limits"))</f>
        <v/>
      </c>
      <c r="O13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8" s="45" t="s">
        <v>122</v>
      </c>
    </row>
    <row r="139" spans="2:16">
      <c r="B139" s="29">
        <v>46357</v>
      </c>
      <c r="C139" s="28" t="s">
        <v>80</v>
      </c>
      <c r="D139" s="31">
        <v>347200</v>
      </c>
      <c r="E139" s="31"/>
      <c r="F139" s="37" t="str">
        <f>IF(tblResults[[#This Row],[Month]]="","",IFERROR(INDEX(tblCostLines[Group],MATCH(tblResults[[#This Row],[Cost line]],tblCostLines[Cost line],0)),""))</f>
        <v>Materials</v>
      </c>
      <c r="G139" s="38">
        <f>IF(tblResults[[#This Row],[Month]]="","",IFERROR(INDEX(tblCostLines[Variable share],MATCH(tblResults[[#This Row],[Cost line]],tblCostLines[Cost line],0)),""))</f>
        <v>1</v>
      </c>
      <c r="H139" s="39">
        <f>IF(tblResults[[#This Row],[Month]]="","",IFERROR(INDEX(tblVolume[Volume ratio],MATCH(DATE(YEAR(tblResults[[#This Row],[Month]]),MONTH(tblResults[[#This Row],[Month]]),1),tblVolume[Month],0)),""))</f>
        <v/>
      </c>
      <c r="I139" s="40">
        <f>IF(tblResults[[#This Row],[Month]]="","",IF(OR(tblResults[[#This Row],[Volume ratio]]="",tblResults[[#This Row],[Variable share]]=""),"",tblResults[[#This Row],[Budget]]*(1-tblResults[[#This Row],[Variable share]]+tblResults[[#This Row],[Variable share]]*tblResults[[#This Row],[Volume ratio]])))</f>
        <v/>
      </c>
      <c r="J139" s="41">
        <f>IF(tblResults[[#This Row],[Month]]="","",IF(OR(tblResults[[#This Row],[Flexed budget]]="",tblResults[[#This Row],[Actual]]=""),"",tblResults[[#This Row],[Actual]]-tblResults[[#This Row],[Flexed budget]]))</f>
        <v/>
      </c>
      <c r="K139" s="42">
        <f>IF(tblResults[[#This Row],[Month]]="","",IF(OR(tblResults[[#This Row],[Spending variance]]="",tblResults[[#This Row],[Flexed budget]]=0),"",tblResults[[#This Row],[Spending variance]]/tblResults[[#This Row],[Flexed budget]]))</f>
        <v/>
      </c>
      <c r="L139" s="41">
        <f>IF(tblResults[[#This Row],[Month]]="","",IF(tblResults[[#This Row],[Flexed budget]]="","",tblResults[[#This Row],[Flexed budget]]-tblResults[[#This Row],[Budget]]))</f>
        <v/>
      </c>
      <c r="M139" s="41">
        <f>IF(tblResults[[#This Row],[Month]]="","",IF(tblResults[[#This Row],[Actual]]="","",tblResults[[#This Row],[Actual]]-tblResults[[#This Row],[Budget]]))</f>
        <v/>
      </c>
      <c r="N139" s="43">
        <f>IF(tblResults[[#This Row],[Spending variance]]="","",IF(AND(ABS(tblResults[[#This Row],[Spending variance]])&gt;VarAmount,ABS(tblResults[[#This Row],[Spending variance %]])&gt;VarPct),IF(tblResults[[#This Row],[Spending variance]]&gt;0,"Out of limits","Check"),"Within limits"))</f>
        <v/>
      </c>
      <c r="O13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39" s="45" t="s">
        <v>122</v>
      </c>
    </row>
    <row r="140" spans="2:16">
      <c r="B140" s="29">
        <v>46357</v>
      </c>
      <c r="C140" s="28" t="s">
        <v>83</v>
      </c>
      <c r="D140" s="31">
        <v>47000</v>
      </c>
      <c r="E140" s="31"/>
      <c r="F140" s="37" t="str">
        <f>IF(tblResults[[#This Row],[Month]]="","",IFERROR(INDEX(tblCostLines[Group],MATCH(tblResults[[#This Row],[Cost line]],tblCostLines[Cost line],0)),""))</f>
        <v>Materials</v>
      </c>
      <c r="G140" s="38">
        <f>IF(tblResults[[#This Row],[Month]]="","",IFERROR(INDEX(tblCostLines[Variable share],MATCH(tblResults[[#This Row],[Cost line]],tblCostLines[Cost line],0)),""))</f>
        <v>1</v>
      </c>
      <c r="H140" s="39">
        <f>IF(tblResults[[#This Row],[Month]]="","",IFERROR(INDEX(tblVolume[Volume ratio],MATCH(DATE(YEAR(tblResults[[#This Row],[Month]]),MONTH(tblResults[[#This Row],[Month]]),1),tblVolume[Month],0)),""))</f>
        <v/>
      </c>
      <c r="I140" s="40">
        <f>IF(tblResults[[#This Row],[Month]]="","",IF(OR(tblResults[[#This Row],[Volume ratio]]="",tblResults[[#This Row],[Variable share]]=""),"",tblResults[[#This Row],[Budget]]*(1-tblResults[[#This Row],[Variable share]]+tblResults[[#This Row],[Variable share]]*tblResults[[#This Row],[Volume ratio]])))</f>
        <v/>
      </c>
      <c r="J140" s="41">
        <f>IF(tblResults[[#This Row],[Month]]="","",IF(OR(tblResults[[#This Row],[Flexed budget]]="",tblResults[[#This Row],[Actual]]=""),"",tblResults[[#This Row],[Actual]]-tblResults[[#This Row],[Flexed budget]]))</f>
        <v/>
      </c>
      <c r="K140" s="42">
        <f>IF(tblResults[[#This Row],[Month]]="","",IF(OR(tblResults[[#This Row],[Spending variance]]="",tblResults[[#This Row],[Flexed budget]]=0),"",tblResults[[#This Row],[Spending variance]]/tblResults[[#This Row],[Flexed budget]]))</f>
        <v/>
      </c>
      <c r="L140" s="41">
        <f>IF(tblResults[[#This Row],[Month]]="","",IF(tblResults[[#This Row],[Flexed budget]]="","",tblResults[[#This Row],[Flexed budget]]-tblResults[[#This Row],[Budget]]))</f>
        <v/>
      </c>
      <c r="M140" s="41">
        <f>IF(tblResults[[#This Row],[Month]]="","",IF(tblResults[[#This Row],[Actual]]="","",tblResults[[#This Row],[Actual]]-tblResults[[#This Row],[Budget]]))</f>
        <v/>
      </c>
      <c r="N140" s="43">
        <f>IF(tblResults[[#This Row],[Spending variance]]="","",IF(AND(ABS(tblResults[[#This Row],[Spending variance]])&gt;VarAmount,ABS(tblResults[[#This Row],[Spending variance %]])&gt;VarPct),IF(tblResults[[#This Row],[Spending variance]]&gt;0,"Out of limits","Check"),"Within limits"))</f>
        <v/>
      </c>
      <c r="O14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0" s="45" t="s">
        <v>122</v>
      </c>
    </row>
    <row r="141" spans="2:16">
      <c r="B141" s="29">
        <v>46357</v>
      </c>
      <c r="C141" s="28" t="s">
        <v>85</v>
      </c>
      <c r="D141" s="31">
        <v>64700</v>
      </c>
      <c r="E141" s="31"/>
      <c r="F141" s="37" t="str">
        <f>IF(tblResults[[#This Row],[Month]]="","",IFERROR(INDEX(tblCostLines[Group],MATCH(tblResults[[#This Row],[Cost line]],tblCostLines[Cost line],0)),""))</f>
        <v>Materials</v>
      </c>
      <c r="G141" s="38">
        <f>IF(tblResults[[#This Row],[Month]]="","",IFERROR(INDEX(tblCostLines[Variable share],MATCH(tblResults[[#This Row],[Cost line]],tblCostLines[Cost line],0)),""))</f>
        <v>0.9</v>
      </c>
      <c r="H141" s="39">
        <f>IF(tblResults[[#This Row],[Month]]="","",IFERROR(INDEX(tblVolume[Volume ratio],MATCH(DATE(YEAR(tblResults[[#This Row],[Month]]),MONTH(tblResults[[#This Row],[Month]]),1),tblVolume[Month],0)),""))</f>
        <v/>
      </c>
      <c r="I141" s="40">
        <f>IF(tblResults[[#This Row],[Month]]="","",IF(OR(tblResults[[#This Row],[Volume ratio]]="",tblResults[[#This Row],[Variable share]]=""),"",tblResults[[#This Row],[Budget]]*(1-tblResults[[#This Row],[Variable share]]+tblResults[[#This Row],[Variable share]]*tblResults[[#This Row],[Volume ratio]])))</f>
        <v/>
      </c>
      <c r="J141" s="41">
        <f>IF(tblResults[[#This Row],[Month]]="","",IF(OR(tblResults[[#This Row],[Flexed budget]]="",tblResults[[#This Row],[Actual]]=""),"",tblResults[[#This Row],[Actual]]-tblResults[[#This Row],[Flexed budget]]))</f>
        <v/>
      </c>
      <c r="K141" s="42">
        <f>IF(tblResults[[#This Row],[Month]]="","",IF(OR(tblResults[[#This Row],[Spending variance]]="",tblResults[[#This Row],[Flexed budget]]=0),"",tblResults[[#This Row],[Spending variance]]/tblResults[[#This Row],[Flexed budget]]))</f>
        <v/>
      </c>
      <c r="L141" s="41">
        <f>IF(tblResults[[#This Row],[Month]]="","",IF(tblResults[[#This Row],[Flexed budget]]="","",tblResults[[#This Row],[Flexed budget]]-tblResults[[#This Row],[Budget]]))</f>
        <v/>
      </c>
      <c r="M141" s="41">
        <f>IF(tblResults[[#This Row],[Month]]="","",IF(tblResults[[#This Row],[Actual]]="","",tblResults[[#This Row],[Actual]]-tblResults[[#This Row],[Budget]]))</f>
        <v/>
      </c>
      <c r="N141" s="43">
        <f>IF(tblResults[[#This Row],[Spending variance]]="","",IF(AND(ABS(tblResults[[#This Row],[Spending variance]])&gt;VarAmount,ABS(tblResults[[#This Row],[Spending variance %]])&gt;VarPct),IF(tblResults[[#This Row],[Spending variance]]&gt;0,"Out of limits","Check"),"Within limits"))</f>
        <v/>
      </c>
      <c r="O141"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1" s="45" t="s">
        <v>122</v>
      </c>
    </row>
    <row r="142" spans="2:16">
      <c r="B142" s="29">
        <v>46357</v>
      </c>
      <c r="C142" s="28" t="s">
        <v>87</v>
      </c>
      <c r="D142" s="31">
        <v>109600</v>
      </c>
      <c r="E142" s="31"/>
      <c r="F142" s="37" t="str">
        <f>IF(tblResults[[#This Row],[Month]]="","",IFERROR(INDEX(tblCostLines[Group],MATCH(tblResults[[#This Row],[Cost line]],tblCostLines[Cost line],0)),""))</f>
        <v>Energy</v>
      </c>
      <c r="G142" s="38">
        <f>IF(tblResults[[#This Row],[Month]]="","",IFERROR(INDEX(tblCostLines[Variable share],MATCH(tblResults[[#This Row],[Cost line]],tblCostLines[Cost line],0)),""))</f>
        <v>0.85</v>
      </c>
      <c r="H142" s="39">
        <f>IF(tblResults[[#This Row],[Month]]="","",IFERROR(INDEX(tblVolume[Volume ratio],MATCH(DATE(YEAR(tblResults[[#This Row],[Month]]),MONTH(tblResults[[#This Row],[Month]]),1),tblVolume[Month],0)),""))</f>
        <v/>
      </c>
      <c r="I142" s="40">
        <f>IF(tblResults[[#This Row],[Month]]="","",IF(OR(tblResults[[#This Row],[Volume ratio]]="",tblResults[[#This Row],[Variable share]]=""),"",tblResults[[#This Row],[Budget]]*(1-tblResults[[#This Row],[Variable share]]+tblResults[[#This Row],[Variable share]]*tblResults[[#This Row],[Volume ratio]])))</f>
        <v/>
      </c>
      <c r="J142" s="41">
        <f>IF(tblResults[[#This Row],[Month]]="","",IF(OR(tblResults[[#This Row],[Flexed budget]]="",tblResults[[#This Row],[Actual]]=""),"",tblResults[[#This Row],[Actual]]-tblResults[[#This Row],[Flexed budget]]))</f>
        <v/>
      </c>
      <c r="K142" s="42">
        <f>IF(tblResults[[#This Row],[Month]]="","",IF(OR(tblResults[[#This Row],[Spending variance]]="",tblResults[[#This Row],[Flexed budget]]=0),"",tblResults[[#This Row],[Spending variance]]/tblResults[[#This Row],[Flexed budget]]))</f>
        <v/>
      </c>
      <c r="L142" s="41">
        <f>IF(tblResults[[#This Row],[Month]]="","",IF(tblResults[[#This Row],[Flexed budget]]="","",tblResults[[#This Row],[Flexed budget]]-tblResults[[#This Row],[Budget]]))</f>
        <v/>
      </c>
      <c r="M142" s="41">
        <f>IF(tblResults[[#This Row],[Month]]="","",IF(tblResults[[#This Row],[Actual]]="","",tblResults[[#This Row],[Actual]]-tblResults[[#This Row],[Budget]]))</f>
        <v/>
      </c>
      <c r="N142" s="43">
        <f>IF(tblResults[[#This Row],[Spending variance]]="","",IF(AND(ABS(tblResults[[#This Row],[Spending variance]])&gt;VarAmount,ABS(tblResults[[#This Row],[Spending variance %]])&gt;VarPct),IF(tblResults[[#This Row],[Spending variance]]&gt;0,"Out of limits","Check"),"Within limits"))</f>
        <v/>
      </c>
      <c r="O142"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2" s="45" t="s">
        <v>122</v>
      </c>
    </row>
    <row r="143" spans="2:16">
      <c r="B143" s="29">
        <v>46357</v>
      </c>
      <c r="C143" s="28" t="s">
        <v>90</v>
      </c>
      <c r="D143" s="31">
        <v>15700</v>
      </c>
      <c r="E143" s="31"/>
      <c r="F143" s="37" t="str">
        <f>IF(tblResults[[#This Row],[Month]]="","",IFERROR(INDEX(tblCostLines[Group],MATCH(tblResults[[#This Row],[Cost line]],tblCostLines[Cost line],0)),""))</f>
        <v>Energy</v>
      </c>
      <c r="G143" s="38">
        <f>IF(tblResults[[#This Row],[Month]]="","",IFERROR(INDEX(tblCostLines[Variable share],MATCH(tblResults[[#This Row],[Cost line]],tblCostLines[Cost line],0)),""))</f>
        <v>0.5</v>
      </c>
      <c r="H143" s="39">
        <f>IF(tblResults[[#This Row],[Month]]="","",IFERROR(INDEX(tblVolume[Volume ratio],MATCH(DATE(YEAR(tblResults[[#This Row],[Month]]),MONTH(tblResults[[#This Row],[Month]]),1),tblVolume[Month],0)),""))</f>
        <v/>
      </c>
      <c r="I143" s="40">
        <f>IF(tblResults[[#This Row],[Month]]="","",IF(OR(tblResults[[#This Row],[Volume ratio]]="",tblResults[[#This Row],[Variable share]]=""),"",tblResults[[#This Row],[Budget]]*(1-tblResults[[#This Row],[Variable share]]+tblResults[[#This Row],[Variable share]]*tblResults[[#This Row],[Volume ratio]])))</f>
        <v/>
      </c>
      <c r="J143" s="41">
        <f>IF(tblResults[[#This Row],[Month]]="","",IF(OR(tblResults[[#This Row],[Flexed budget]]="",tblResults[[#This Row],[Actual]]=""),"",tblResults[[#This Row],[Actual]]-tblResults[[#This Row],[Flexed budget]]))</f>
        <v/>
      </c>
      <c r="K143" s="42">
        <f>IF(tblResults[[#This Row],[Month]]="","",IF(OR(tblResults[[#This Row],[Spending variance]]="",tblResults[[#This Row],[Flexed budget]]=0),"",tblResults[[#This Row],[Spending variance]]/tblResults[[#This Row],[Flexed budget]]))</f>
        <v/>
      </c>
      <c r="L143" s="41">
        <f>IF(tblResults[[#This Row],[Month]]="","",IF(tblResults[[#This Row],[Flexed budget]]="","",tblResults[[#This Row],[Flexed budget]]-tblResults[[#This Row],[Budget]]))</f>
        <v/>
      </c>
      <c r="M143" s="41">
        <f>IF(tblResults[[#This Row],[Month]]="","",IF(tblResults[[#This Row],[Actual]]="","",tblResults[[#This Row],[Actual]]-tblResults[[#This Row],[Budget]]))</f>
        <v/>
      </c>
      <c r="N143" s="43">
        <f>IF(tblResults[[#This Row],[Spending variance]]="","",IF(AND(ABS(tblResults[[#This Row],[Spending variance]])&gt;VarAmount,ABS(tblResults[[#This Row],[Spending variance %]])&gt;VarPct),IF(tblResults[[#This Row],[Spending variance]]&gt;0,"Out of limits","Check"),"Within limits"))</f>
        <v/>
      </c>
      <c r="O143"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3" s="45" t="s">
        <v>122</v>
      </c>
    </row>
    <row r="144" spans="2:16">
      <c r="B144" s="29">
        <v>46357</v>
      </c>
      <c r="C144" s="28" t="s">
        <v>92</v>
      </c>
      <c r="D144" s="31">
        <v>112400</v>
      </c>
      <c r="E144" s="31"/>
      <c r="F144" s="37" t="str">
        <f>IF(tblResults[[#This Row],[Month]]="","",IFERROR(INDEX(tblCostLines[Group],MATCH(tblResults[[#This Row],[Cost line]],tblCostLines[Cost line],0)),""))</f>
        <v>Labour</v>
      </c>
      <c r="G144" s="38">
        <f>IF(tblResults[[#This Row],[Month]]="","",IFERROR(INDEX(tblCostLines[Variable share],MATCH(tblResults[[#This Row],[Cost line]],tblCostLines[Cost line],0)),""))</f>
        <v>0.5</v>
      </c>
      <c r="H144" s="39">
        <f>IF(tblResults[[#This Row],[Month]]="","",IFERROR(INDEX(tblVolume[Volume ratio],MATCH(DATE(YEAR(tblResults[[#This Row],[Month]]),MONTH(tblResults[[#This Row],[Month]]),1),tblVolume[Month],0)),""))</f>
        <v/>
      </c>
      <c r="I144" s="40">
        <f>IF(tblResults[[#This Row],[Month]]="","",IF(OR(tblResults[[#This Row],[Volume ratio]]="",tblResults[[#This Row],[Variable share]]=""),"",tblResults[[#This Row],[Budget]]*(1-tblResults[[#This Row],[Variable share]]+tblResults[[#This Row],[Variable share]]*tblResults[[#This Row],[Volume ratio]])))</f>
        <v/>
      </c>
      <c r="J144" s="41">
        <f>IF(tblResults[[#This Row],[Month]]="","",IF(OR(tblResults[[#This Row],[Flexed budget]]="",tblResults[[#This Row],[Actual]]=""),"",tblResults[[#This Row],[Actual]]-tblResults[[#This Row],[Flexed budget]]))</f>
        <v/>
      </c>
      <c r="K144" s="42">
        <f>IF(tblResults[[#This Row],[Month]]="","",IF(OR(tblResults[[#This Row],[Spending variance]]="",tblResults[[#This Row],[Flexed budget]]=0),"",tblResults[[#This Row],[Spending variance]]/tblResults[[#This Row],[Flexed budget]]))</f>
        <v/>
      </c>
      <c r="L144" s="41">
        <f>IF(tblResults[[#This Row],[Month]]="","",IF(tblResults[[#This Row],[Flexed budget]]="","",tblResults[[#This Row],[Flexed budget]]-tblResults[[#This Row],[Budget]]))</f>
        <v/>
      </c>
      <c r="M144" s="41">
        <f>IF(tblResults[[#This Row],[Month]]="","",IF(tblResults[[#This Row],[Actual]]="","",tblResults[[#This Row],[Actual]]-tblResults[[#This Row],[Budget]]))</f>
        <v/>
      </c>
      <c r="N144" s="43">
        <f>IF(tblResults[[#This Row],[Spending variance]]="","",IF(AND(ABS(tblResults[[#This Row],[Spending variance]])&gt;VarAmount,ABS(tblResults[[#This Row],[Spending variance %]])&gt;VarPct),IF(tblResults[[#This Row],[Spending variance]]&gt;0,"Out of limits","Check"),"Within limits"))</f>
        <v/>
      </c>
      <c r="O144"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4" s="45" t="s">
        <v>122</v>
      </c>
    </row>
    <row r="145" spans="2:16">
      <c r="B145" s="29">
        <v>46357</v>
      </c>
      <c r="C145" s="28" t="s">
        <v>95</v>
      </c>
      <c r="D145" s="31">
        <v>48000</v>
      </c>
      <c r="E145" s="31"/>
      <c r="F145" s="37" t="str">
        <f>IF(tblResults[[#This Row],[Month]]="","",IFERROR(INDEX(tblCostLines[Group],MATCH(tblResults[[#This Row],[Cost line]],tblCostLines[Cost line],0)),""))</f>
        <v>Labour</v>
      </c>
      <c r="G145" s="38">
        <f>IF(tblResults[[#This Row],[Month]]="","",IFERROR(INDEX(tblCostLines[Variable share],MATCH(tblResults[[#This Row],[Cost line]],tblCostLines[Cost line],0)),""))</f>
        <v>0</v>
      </c>
      <c r="H145" s="39">
        <f>IF(tblResults[[#This Row],[Month]]="","",IFERROR(INDEX(tblVolume[Volume ratio],MATCH(DATE(YEAR(tblResults[[#This Row],[Month]]),MONTH(tblResults[[#This Row],[Month]]),1),tblVolume[Month],0)),""))</f>
        <v/>
      </c>
      <c r="I145" s="40">
        <f>IF(tblResults[[#This Row],[Month]]="","",IF(OR(tblResults[[#This Row],[Volume ratio]]="",tblResults[[#This Row],[Variable share]]=""),"",tblResults[[#This Row],[Budget]]*(1-tblResults[[#This Row],[Variable share]]+tblResults[[#This Row],[Variable share]]*tblResults[[#This Row],[Volume ratio]])))</f>
        <v/>
      </c>
      <c r="J145" s="41">
        <f>IF(tblResults[[#This Row],[Month]]="","",IF(OR(tblResults[[#This Row],[Flexed budget]]="",tblResults[[#This Row],[Actual]]=""),"",tblResults[[#This Row],[Actual]]-tblResults[[#This Row],[Flexed budget]]))</f>
        <v/>
      </c>
      <c r="K145" s="42">
        <f>IF(tblResults[[#This Row],[Month]]="","",IF(OR(tblResults[[#This Row],[Spending variance]]="",tblResults[[#This Row],[Flexed budget]]=0),"",tblResults[[#This Row],[Spending variance]]/tblResults[[#This Row],[Flexed budget]]))</f>
        <v/>
      </c>
      <c r="L145" s="41">
        <f>IF(tblResults[[#This Row],[Month]]="","",IF(tblResults[[#This Row],[Flexed budget]]="","",tblResults[[#This Row],[Flexed budget]]-tblResults[[#This Row],[Budget]]))</f>
        <v/>
      </c>
      <c r="M145" s="41">
        <f>IF(tblResults[[#This Row],[Month]]="","",IF(tblResults[[#This Row],[Actual]]="","",tblResults[[#This Row],[Actual]]-tblResults[[#This Row],[Budget]]))</f>
        <v/>
      </c>
      <c r="N145" s="43">
        <f>IF(tblResults[[#This Row],[Spending variance]]="","",IF(AND(ABS(tblResults[[#This Row],[Spending variance]])&gt;VarAmount,ABS(tblResults[[#This Row],[Spending variance %]])&gt;VarPct),IF(tblResults[[#This Row],[Spending variance]]&gt;0,"Out of limits","Check"),"Within limits"))</f>
        <v/>
      </c>
      <c r="O145"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5" s="45" t="s">
        <v>122</v>
      </c>
    </row>
    <row r="146" spans="2:16">
      <c r="B146" s="29">
        <v>46357</v>
      </c>
      <c r="C146" s="28" t="s">
        <v>97</v>
      </c>
      <c r="D146" s="31">
        <v>33000</v>
      </c>
      <c r="E146" s="31"/>
      <c r="F146" s="37" t="str">
        <f>IF(tblResults[[#This Row],[Month]]="","",IFERROR(INDEX(tblCostLines[Group],MATCH(tblResults[[#This Row],[Cost line]],tblCostLines[Cost line],0)),""))</f>
        <v>Overheads</v>
      </c>
      <c r="G146" s="38">
        <f>IF(tblResults[[#This Row],[Month]]="","",IFERROR(INDEX(tblCostLines[Variable share],MATCH(tblResults[[#This Row],[Cost line]],tblCostLines[Cost line],0)),""))</f>
        <v>0.3</v>
      </c>
      <c r="H146" s="39">
        <f>IF(tblResults[[#This Row],[Month]]="","",IFERROR(INDEX(tblVolume[Volume ratio],MATCH(DATE(YEAR(tblResults[[#This Row],[Month]]),MONTH(tblResults[[#This Row],[Month]]),1),tblVolume[Month],0)),""))</f>
        <v/>
      </c>
      <c r="I146" s="40">
        <f>IF(tblResults[[#This Row],[Month]]="","",IF(OR(tblResults[[#This Row],[Volume ratio]]="",tblResults[[#This Row],[Variable share]]=""),"",tblResults[[#This Row],[Budget]]*(1-tblResults[[#This Row],[Variable share]]+tblResults[[#This Row],[Variable share]]*tblResults[[#This Row],[Volume ratio]])))</f>
        <v/>
      </c>
      <c r="J146" s="41">
        <f>IF(tblResults[[#This Row],[Month]]="","",IF(OR(tblResults[[#This Row],[Flexed budget]]="",tblResults[[#This Row],[Actual]]=""),"",tblResults[[#This Row],[Actual]]-tblResults[[#This Row],[Flexed budget]]))</f>
        <v/>
      </c>
      <c r="K146" s="42">
        <f>IF(tblResults[[#This Row],[Month]]="","",IF(OR(tblResults[[#This Row],[Spending variance]]="",tblResults[[#This Row],[Flexed budget]]=0),"",tblResults[[#This Row],[Spending variance]]/tblResults[[#This Row],[Flexed budget]]))</f>
        <v/>
      </c>
      <c r="L146" s="41">
        <f>IF(tblResults[[#This Row],[Month]]="","",IF(tblResults[[#This Row],[Flexed budget]]="","",tblResults[[#This Row],[Flexed budget]]-tblResults[[#This Row],[Budget]]))</f>
        <v/>
      </c>
      <c r="M146" s="41">
        <f>IF(tblResults[[#This Row],[Month]]="","",IF(tblResults[[#This Row],[Actual]]="","",tblResults[[#This Row],[Actual]]-tblResults[[#This Row],[Budget]]))</f>
        <v/>
      </c>
      <c r="N146" s="43">
        <f>IF(tblResults[[#This Row],[Spending variance]]="","",IF(AND(ABS(tblResults[[#This Row],[Spending variance]])&gt;VarAmount,ABS(tblResults[[#This Row],[Spending variance %]])&gt;VarPct),IF(tblResults[[#This Row],[Spending variance]]&gt;0,"Out of limits","Check"),"Within limits"))</f>
        <v/>
      </c>
      <c r="O146"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6" s="45" t="s">
        <v>122</v>
      </c>
    </row>
    <row r="147" spans="2:16">
      <c r="B147" s="29">
        <v>46357</v>
      </c>
      <c r="C147" s="28" t="s">
        <v>100</v>
      </c>
      <c r="D147" s="31">
        <v>21700</v>
      </c>
      <c r="E147" s="31"/>
      <c r="F147" s="37" t="str">
        <f>IF(tblResults[[#This Row],[Month]]="","",IFERROR(INDEX(tblCostLines[Group],MATCH(tblResults[[#This Row],[Cost line]],tblCostLines[Cost line],0)),""))</f>
        <v>Overheads</v>
      </c>
      <c r="G147" s="38">
        <f>IF(tblResults[[#This Row],[Month]]="","",IFERROR(INDEX(tblCostLines[Variable share],MATCH(tblResults[[#This Row],[Cost line]],tblCostLines[Cost line],0)),""))</f>
        <v>0.75</v>
      </c>
      <c r="H147" s="39">
        <f>IF(tblResults[[#This Row],[Month]]="","",IFERROR(INDEX(tblVolume[Volume ratio],MATCH(DATE(YEAR(tblResults[[#This Row],[Month]]),MONTH(tblResults[[#This Row],[Month]]),1),tblVolume[Month],0)),""))</f>
        <v/>
      </c>
      <c r="I147" s="40">
        <f>IF(tblResults[[#This Row],[Month]]="","",IF(OR(tblResults[[#This Row],[Volume ratio]]="",tblResults[[#This Row],[Variable share]]=""),"",tblResults[[#This Row],[Budget]]*(1-tblResults[[#This Row],[Variable share]]+tblResults[[#This Row],[Variable share]]*tblResults[[#This Row],[Volume ratio]])))</f>
        <v/>
      </c>
      <c r="J147" s="41">
        <f>IF(tblResults[[#This Row],[Month]]="","",IF(OR(tblResults[[#This Row],[Flexed budget]]="",tblResults[[#This Row],[Actual]]=""),"",tblResults[[#This Row],[Actual]]-tblResults[[#This Row],[Flexed budget]]))</f>
        <v/>
      </c>
      <c r="K147" s="42">
        <f>IF(tblResults[[#This Row],[Month]]="","",IF(OR(tblResults[[#This Row],[Spending variance]]="",tblResults[[#This Row],[Flexed budget]]=0),"",tblResults[[#This Row],[Spending variance]]/tblResults[[#This Row],[Flexed budget]]))</f>
        <v/>
      </c>
      <c r="L147" s="41">
        <f>IF(tblResults[[#This Row],[Month]]="","",IF(tblResults[[#This Row],[Flexed budget]]="","",tblResults[[#This Row],[Flexed budget]]-tblResults[[#This Row],[Budget]]))</f>
        <v/>
      </c>
      <c r="M147" s="41">
        <f>IF(tblResults[[#This Row],[Month]]="","",IF(tblResults[[#This Row],[Actual]]="","",tblResults[[#This Row],[Actual]]-tblResults[[#This Row],[Budget]]))</f>
        <v/>
      </c>
      <c r="N147" s="43">
        <f>IF(tblResults[[#This Row],[Spending variance]]="","",IF(AND(ABS(tblResults[[#This Row],[Spending variance]])&gt;VarAmount,ABS(tblResults[[#This Row],[Spending variance %]])&gt;VarPct),IF(tblResults[[#This Row],[Spending variance]]&gt;0,"Out of limits","Check"),"Within limits"))</f>
        <v/>
      </c>
      <c r="O147"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7" s="45" t="s">
        <v>122</v>
      </c>
    </row>
    <row r="148" spans="2:16">
      <c r="B148" s="29">
        <v>46357</v>
      </c>
      <c r="C148" s="28" t="s">
        <v>102</v>
      </c>
      <c r="D148" s="31">
        <v>12100</v>
      </c>
      <c r="E148" s="31"/>
      <c r="F148" s="37" t="str">
        <f>IF(tblResults[[#This Row],[Month]]="","",IFERROR(INDEX(tblCostLines[Group],MATCH(tblResults[[#This Row],[Cost line]],tblCostLines[Cost line],0)),""))</f>
        <v>Overheads</v>
      </c>
      <c r="G148" s="38">
        <f>IF(tblResults[[#This Row],[Month]]="","",IFERROR(INDEX(tblCostLines[Variable share],MATCH(tblResults[[#This Row],[Cost line]],tblCostLines[Cost line],0)),""))</f>
        <v>0.85</v>
      </c>
      <c r="H148" s="39">
        <f>IF(tblResults[[#This Row],[Month]]="","",IFERROR(INDEX(tblVolume[Volume ratio],MATCH(DATE(YEAR(tblResults[[#This Row],[Month]]),MONTH(tblResults[[#This Row],[Month]]),1),tblVolume[Month],0)),""))</f>
        <v/>
      </c>
      <c r="I148" s="40">
        <f>IF(tblResults[[#This Row],[Month]]="","",IF(OR(tblResults[[#This Row],[Volume ratio]]="",tblResults[[#This Row],[Variable share]]=""),"",tblResults[[#This Row],[Budget]]*(1-tblResults[[#This Row],[Variable share]]+tblResults[[#This Row],[Variable share]]*tblResults[[#This Row],[Volume ratio]])))</f>
        <v/>
      </c>
      <c r="J148" s="41">
        <f>IF(tblResults[[#This Row],[Month]]="","",IF(OR(tblResults[[#This Row],[Flexed budget]]="",tblResults[[#This Row],[Actual]]=""),"",tblResults[[#This Row],[Actual]]-tblResults[[#This Row],[Flexed budget]]))</f>
        <v/>
      </c>
      <c r="K148" s="42">
        <f>IF(tblResults[[#This Row],[Month]]="","",IF(OR(tblResults[[#This Row],[Spending variance]]="",tblResults[[#This Row],[Flexed budget]]=0),"",tblResults[[#This Row],[Spending variance]]/tblResults[[#This Row],[Flexed budget]]))</f>
        <v/>
      </c>
      <c r="L148" s="41">
        <f>IF(tblResults[[#This Row],[Month]]="","",IF(tblResults[[#This Row],[Flexed budget]]="","",tblResults[[#This Row],[Flexed budget]]-tblResults[[#This Row],[Budget]]))</f>
        <v/>
      </c>
      <c r="M148" s="41">
        <f>IF(tblResults[[#This Row],[Month]]="","",IF(tblResults[[#This Row],[Actual]]="","",tblResults[[#This Row],[Actual]]-tblResults[[#This Row],[Budget]]))</f>
        <v/>
      </c>
      <c r="N148" s="43">
        <f>IF(tblResults[[#This Row],[Spending variance]]="","",IF(AND(ABS(tblResults[[#This Row],[Spending variance]])&gt;VarAmount,ABS(tblResults[[#This Row],[Spending variance %]])&gt;VarPct),IF(tblResults[[#This Row],[Spending variance]]&gt;0,"Out of limits","Check"),"Within limits"))</f>
        <v/>
      </c>
      <c r="O148"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8" s="45" t="s">
        <v>122</v>
      </c>
    </row>
    <row r="149" spans="2:16">
      <c r="B149" s="29">
        <v>46357</v>
      </c>
      <c r="C149" s="28" t="s">
        <v>104</v>
      </c>
      <c r="D149" s="31">
        <v>41000</v>
      </c>
      <c r="E149" s="31"/>
      <c r="F149" s="37" t="str">
        <f>IF(tblResults[[#This Row],[Month]]="","",IFERROR(INDEX(tblCostLines[Group],MATCH(tblResults[[#This Row],[Cost line]],tblCostLines[Cost line],0)),""))</f>
        <v>Overheads</v>
      </c>
      <c r="G149" s="38">
        <f>IF(tblResults[[#This Row],[Month]]="","",IFERROR(INDEX(tblCostLines[Variable share],MATCH(tblResults[[#This Row],[Cost line]],tblCostLines[Cost line],0)),""))</f>
        <v>0</v>
      </c>
      <c r="H149" s="39">
        <f>IF(tblResults[[#This Row],[Month]]="","",IFERROR(INDEX(tblVolume[Volume ratio],MATCH(DATE(YEAR(tblResults[[#This Row],[Month]]),MONTH(tblResults[[#This Row],[Month]]),1),tblVolume[Month],0)),""))</f>
        <v/>
      </c>
      <c r="I149" s="40">
        <f>IF(tblResults[[#This Row],[Month]]="","",IF(OR(tblResults[[#This Row],[Volume ratio]]="",tblResults[[#This Row],[Variable share]]=""),"",tblResults[[#This Row],[Budget]]*(1-tblResults[[#This Row],[Variable share]]+tblResults[[#This Row],[Variable share]]*tblResults[[#This Row],[Volume ratio]])))</f>
        <v/>
      </c>
      <c r="J149" s="41">
        <f>IF(tblResults[[#This Row],[Month]]="","",IF(OR(tblResults[[#This Row],[Flexed budget]]="",tblResults[[#This Row],[Actual]]=""),"",tblResults[[#This Row],[Actual]]-tblResults[[#This Row],[Flexed budget]]))</f>
        <v/>
      </c>
      <c r="K149" s="42">
        <f>IF(tblResults[[#This Row],[Month]]="","",IF(OR(tblResults[[#This Row],[Spending variance]]="",tblResults[[#This Row],[Flexed budget]]=0),"",tblResults[[#This Row],[Spending variance]]/tblResults[[#This Row],[Flexed budget]]))</f>
        <v/>
      </c>
      <c r="L149" s="41">
        <f>IF(tblResults[[#This Row],[Month]]="","",IF(tblResults[[#This Row],[Flexed budget]]="","",tblResults[[#This Row],[Flexed budget]]-tblResults[[#This Row],[Budget]]))</f>
        <v/>
      </c>
      <c r="M149" s="41">
        <f>IF(tblResults[[#This Row],[Month]]="","",IF(tblResults[[#This Row],[Actual]]="","",tblResults[[#This Row],[Actual]]-tblResults[[#This Row],[Budget]]))</f>
        <v/>
      </c>
      <c r="N149" s="43">
        <f>IF(tblResults[[#This Row],[Spending variance]]="","",IF(AND(ABS(tblResults[[#This Row],[Spending variance]])&gt;VarAmount,ABS(tblResults[[#This Row],[Spending variance %]])&gt;VarPct),IF(tblResults[[#This Row],[Spending variance]]&gt;0,"Out of limits","Check"),"Within limits"))</f>
        <v/>
      </c>
      <c r="O149"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49" s="45" t="s">
        <v>122</v>
      </c>
    </row>
    <row r="150" spans="2:16">
      <c r="B150" s="29">
        <v>46357</v>
      </c>
      <c r="C150" s="28" t="s">
        <v>106</v>
      </c>
      <c r="D150" s="31">
        <v>18500</v>
      </c>
      <c r="E150" s="31"/>
      <c r="F150" s="37" t="str">
        <f>IF(tblResults[[#This Row],[Month]]="","",IFERROR(INDEX(tblCostLines[Group],MATCH(tblResults[[#This Row],[Cost line]],tblCostLines[Cost line],0)),""))</f>
        <v>Overheads</v>
      </c>
      <c r="G150" s="38">
        <f>IF(tblResults[[#This Row],[Month]]="","",IFERROR(INDEX(tblCostLines[Variable share],MATCH(tblResults[[#This Row],[Cost line]],tblCostLines[Cost line],0)),""))</f>
        <v>0</v>
      </c>
      <c r="H150" s="39">
        <f>IF(tblResults[[#This Row],[Month]]="","",IFERROR(INDEX(tblVolume[Volume ratio],MATCH(DATE(YEAR(tblResults[[#This Row],[Month]]),MONTH(tblResults[[#This Row],[Month]]),1),tblVolume[Month],0)),""))</f>
        <v/>
      </c>
      <c r="I150" s="40">
        <f>IF(tblResults[[#This Row],[Month]]="","",IF(OR(tblResults[[#This Row],[Volume ratio]]="",tblResults[[#This Row],[Variable share]]=""),"",tblResults[[#This Row],[Budget]]*(1-tblResults[[#This Row],[Variable share]]+tblResults[[#This Row],[Variable share]]*tblResults[[#This Row],[Volume ratio]])))</f>
        <v/>
      </c>
      <c r="J150" s="41">
        <f>IF(tblResults[[#This Row],[Month]]="","",IF(OR(tblResults[[#This Row],[Flexed budget]]="",tblResults[[#This Row],[Actual]]=""),"",tblResults[[#This Row],[Actual]]-tblResults[[#This Row],[Flexed budget]]))</f>
        <v/>
      </c>
      <c r="K150" s="42">
        <f>IF(tblResults[[#This Row],[Month]]="","",IF(OR(tblResults[[#This Row],[Spending variance]]="",tblResults[[#This Row],[Flexed budget]]=0),"",tblResults[[#This Row],[Spending variance]]/tblResults[[#This Row],[Flexed budget]]))</f>
        <v/>
      </c>
      <c r="L150" s="41">
        <f>IF(tblResults[[#This Row],[Month]]="","",IF(tblResults[[#This Row],[Flexed budget]]="","",tblResults[[#This Row],[Flexed budget]]-tblResults[[#This Row],[Budget]]))</f>
        <v/>
      </c>
      <c r="M150" s="41">
        <f>IF(tblResults[[#This Row],[Month]]="","",IF(tblResults[[#This Row],[Actual]]="","",tblResults[[#This Row],[Actual]]-tblResults[[#This Row],[Budget]]))</f>
        <v/>
      </c>
      <c r="N150" s="43">
        <f>IF(tblResults[[#This Row],[Spending variance]]="","",IF(AND(ABS(tblResults[[#This Row],[Spending variance]])&gt;VarAmount,ABS(tblResults[[#This Row],[Spending variance %]])&gt;VarPct),IF(tblResults[[#This Row],[Spending variance]]&gt;0,"Out of limits","Check"),"Within limits"))</f>
        <v/>
      </c>
      <c r="O150" s="44" t="str">
        <f>IF(tblResults[[#This Row],[Month]]="","",IF(tblResults[[#This Row],[Cost line]]="","Missing cost line",IF(tblResults[[#This Row],[Budget]]="","Missing budget",IF(tblResults[[#This Row],[Group]]="","Cost line not on Setup list",IF(AND(tblResults[[#This Row],[Actual]]&lt;&gt;"",tblResults[[#This Row],[Volume ratio]]=""),"No actual volume for this month",IF(AND(tblResults[[#This Row],[Actual]]="",tblResults[[#This Row],[Volume ratio]]&lt;&gt;""),"Missing actual",IF(COUNTIFS(tblResults[Cost line],tblResults[[#This Row],[Cost line]],tblResults[Month],"&gt;="&amp;DATE(YEAR(tblResults[[#This Row],[Month]]),MONTH(tblResults[[#This Row],[Month]]),1),tblResults[Month],"&lt;"&amp;EDATE(DATE(YEAR(tblResults[[#This Row],[Month]]),MONTH(tblResults[[#This Row],[Month]]),1),1))&gt;1,"Line twice in one month",IF(AND(tblResults[[#This Row],[Variance flag]]="Out of limits",tblResults[[#This Row],[Commentary]]=""),"Comment needed","OK"))))))))</f>
        <v>OK</v>
      </c>
      <c r="P150" s="45" t="s">
        <v>122</v>
      </c>
    </row>
  </sheetData>
  <mergeCells count="3">
    <mergeCell ref="A1:P1"/>
    <mergeCell ref="B2:O2"/>
    <mergeCell ref="B4:P4"/>
  </mergeCells>
  <conditionalFormatting sqref="N7:N65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7:O650">
    <cfRule type="expression" dxfId="3" priority="21">
      <formula>$O7="OK"</formula>
    </cfRule>
    <cfRule type="expression" dxfId="1" priority="22">
      <formula>AND($O7&lt;&gt;"",$O7&lt;&gt;"OK")</formula>
    </cfRule>
  </conditionalFormatting>
  <dataValidations count="5">
    <dataValidation type="date" allowBlank="1" showInputMessage="1" showErrorMessage="1" errorTitle="Check this entry" error="Enter a date between 01 Jan 2000 and 31 Dec 2100." promptTitle="Month" prompt="Any day of the month; the month is what counts. Enter a date between 01 Jan 2000 and 31 Dec 2100." sqref="B7:B650">
      <formula1>36526</formula1>
      <formula2>73415</formula2>
    </dataValidation>
    <dataValidation type="list" allowBlank="1" showInputMessage="1" showErrorMessage="1" errorTitle="Check this entry" error="Pick from the list (edit the list on Setup: CostLines)." promptTitle="Cost line" prompt="Pick from the list (edit the list on Setup: CostLines)." sqref="C7:C650">
      <formula1>CostLines</formula1>
    </dataValidation>
    <dataValidation type="decimal" allowBlank="1" showInputMessage="1" showErrorMessage="1" errorTitle="Check this entry" error="Enter a number of at least -100,000,000,000." promptTitle="Budget" prompt="This line's budget for the month, at budget volume. Enter a number of at least -100,000,000,000." sqref="D7:D650">
      <formula1>-100000000000.0</formula1>
      <formula2>100000000000.0</formula2>
    </dataValidation>
    <dataValidation type="decimal" allowBlank="1" showInputMessage="1" showErrorMessage="1" errorTitle="Check this entry" error="Enter a number of at least -100,000,000,000." promptTitle="Actual" prompt="This line's actual cost for the month, from the ledger. Leave blank until the month closes. Enter a number of at least -100,000,000,000." sqref="E7:E650">
      <formula1>-100000000000.0</formula1>
      <formula2>100000000000.0</formula2>
    </dataValidation>
    <dataValidation type="textLength" allowBlank="1" showInputMessage="1" showErrorMessage="1" errorTitle="Check this entry" error="Text up to 255 characters." promptTitle="Commentary" prompt="Why the line is off budget and what is being done. Required when the flag is Out of limits. Text up to 255 characters." sqref="P7:P650">
      <formula1>0</formula1>
      <formula2>255</formula2>
    </dataValidation>
  </dataValidations>
  <hyperlinks>
    <hyperlink ref="P2" r:id="rId1" tooltip="Free manufacturing calculators and templates"/>
  </hyperlinks>
  <pageMargins left="0.4" right="0.4" top="0.7" bottom="0.65" header="0.3" footer="0.3"/>
  <pageSetup fitToHeight="0" orientation="landscape"/>
  <headerFooter>
    <oddHeader>&amp;L&amp;8MFG Calcs - Plant Budget vs Actual&amp;R&amp;8&amp;A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G18"/>
  <sheetViews>
    <sheetView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2.7109375" customWidth="1"/>
    <col min="2" max="2" width="11.7109375" customWidth="1"/>
    <col min="3" max="4" width="12.7109375" customWidth="1"/>
    <col min="5" max="5" width="10.7109375" customWidth="1"/>
    <col min="6" max="6" width="22.7109375" customWidth="1"/>
    <col min="7" max="7" width="34.7109375" customWidth="1"/>
  </cols>
  <sheetData>
    <row r="1" spans="1:7" ht="30" customHeight="1">
      <c r="A1" s="1" t="s">
        <v>0</v>
      </c>
      <c r="B1" s="1"/>
      <c r="C1" s="1"/>
      <c r="D1" s="1"/>
      <c r="E1" s="1"/>
      <c r="F1" s="1"/>
      <c r="G1" s="1"/>
    </row>
    <row r="2" spans="1:7" ht="21" customHeight="1">
      <c r="B2" s="2" t="s">
        <v>22</v>
      </c>
      <c r="C2" s="2"/>
      <c r="D2" s="2"/>
      <c r="E2" s="2"/>
      <c r="F2" s="2"/>
      <c r="G2" s="3" t="s">
        <v>2</v>
      </c>
    </row>
    <row r="3" spans="1:7" ht="6" customHeight="1"/>
    <row r="4" spans="1:7" ht="29.76" customHeight="1">
      <c r="B4" s="35" t="s">
        <v>130</v>
      </c>
      <c r="C4" s="35"/>
      <c r="D4" s="35"/>
      <c r="E4" s="35"/>
      <c r="F4" s="35"/>
      <c r="G4" s="35"/>
    </row>
    <row r="5" spans="1:7" ht="14" customHeight="1">
      <c r="B5" s="36"/>
      <c r="C5" s="36" t="str">
        <f>VolumeUnit</f>
        <v>t</v>
      </c>
      <c r="D5" s="36" t="str">
        <f>VolumeUnit</f>
        <v>t</v>
      </c>
      <c r="E5" s="36"/>
      <c r="F5" s="36"/>
      <c r="G5" s="36"/>
    </row>
    <row r="6" spans="1:7" ht="32" customHeight="1">
      <c r="B6" s="33" t="s">
        <v>109</v>
      </c>
      <c r="C6" s="33" t="s">
        <v>128</v>
      </c>
      <c r="D6" s="33" t="s">
        <v>129</v>
      </c>
      <c r="E6" s="33" t="s">
        <v>112</v>
      </c>
      <c r="F6" s="33" t="s">
        <v>119</v>
      </c>
      <c r="G6" s="33" t="s">
        <v>65</v>
      </c>
    </row>
    <row r="7" spans="1:7">
      <c r="B7" s="29">
        <v>46023</v>
      </c>
      <c r="C7" s="31">
        <v>1380</v>
      </c>
      <c r="D7" s="31">
        <v>1352</v>
      </c>
      <c r="E7" s="46">
        <f>IF(tblVolume[[#This Row],[Month]]="","",IF(OR(tblVolume[[#This Row],[Actual volume]]="",tblVolume[[#This Row],[Budget volume]]=0),"",tblVolume[[#This Row],[Actual volume]]/tblVolume[[#This Row],[Budget volume]]))</f>
        <v>0.979710144927536</v>
      </c>
      <c r="F7" s="44" t="str">
        <f>IF(tblVolume[[#This Row],[Month]]="","",IF(tblVolume[[#This Row],[Budget volume]]="","Missing budget volume",IF(DAY(tblVolume[[#This Row],[Month]])&lt;&gt;1,"Use the 1st of the month",IF(COUNTIFS(tblVolume[Month],tblVolume[[#This Row],[Month]])&gt;1,"Month listed twice","OK"))))</f>
        <v>OK</v>
      </c>
      <c r="G7" s="45" t="s">
        <v>122</v>
      </c>
    </row>
    <row r="8" spans="1:7">
      <c r="B8" s="29">
        <v>46054</v>
      </c>
      <c r="C8" s="31">
        <v>1420</v>
      </c>
      <c r="D8" s="31">
        <v>1441</v>
      </c>
      <c r="E8" s="46">
        <f>IF(tblVolume[[#This Row],[Month]]="","",IF(OR(tblVolume[[#This Row],[Actual volume]]="",tblVolume[[#This Row],[Budget volume]]=0),"",tblVolume[[#This Row],[Actual volume]]/tblVolume[[#This Row],[Budget volume]]))</f>
        <v>1.01478873239437</v>
      </c>
      <c r="F8" s="44" t="str">
        <f>IF(tblVolume[[#This Row],[Month]]="","",IF(tblVolume[[#This Row],[Budget volume]]="","Missing budget volume",IF(DAY(tblVolume[[#This Row],[Month]])&lt;&gt;1,"Use the 1st of the month",IF(COUNTIFS(tblVolume[Month],tblVolume[[#This Row],[Month]])&gt;1,"Month listed twice","OK"))))</f>
        <v>OK</v>
      </c>
      <c r="G8" s="45" t="s">
        <v>122</v>
      </c>
    </row>
    <row r="9" spans="1:7">
      <c r="B9" s="29">
        <v>46082</v>
      </c>
      <c r="C9" s="31">
        <v>1520</v>
      </c>
      <c r="D9" s="31">
        <v>1488</v>
      </c>
      <c r="E9" s="46">
        <f>IF(tblVolume[[#This Row],[Month]]="","",IF(OR(tblVolume[[#This Row],[Actual volume]]="",tblVolume[[#This Row],[Budget volume]]=0),"",tblVolume[[#This Row],[Actual volume]]/tblVolume[[#This Row],[Budget volume]]))</f>
        <v>0.978947368421053</v>
      </c>
      <c r="F9" s="44" t="str">
        <f>IF(tblVolume[[#This Row],[Month]]="","",IF(tblVolume[[#This Row],[Budget volume]]="","Missing budget volume",IF(DAY(tblVolume[[#This Row],[Month]])&lt;&gt;1,"Use the 1st of the month",IF(COUNTIFS(tblVolume[Month],tblVolume[[#This Row],[Month]])&gt;1,"Month listed twice","OK"))))</f>
        <v>OK</v>
      </c>
      <c r="G9" s="45" t="s">
        <v>122</v>
      </c>
    </row>
    <row r="10" spans="1:7">
      <c r="B10" s="29">
        <v>46113</v>
      </c>
      <c r="C10" s="31">
        <v>1450</v>
      </c>
      <c r="D10" s="31">
        <v>1390</v>
      </c>
      <c r="E10" s="46">
        <f>IF(tblVolume[[#This Row],[Month]]="","",IF(OR(tblVolume[[#This Row],[Actual volume]]="",tblVolume[[#This Row],[Budget volume]]=0),"",tblVolume[[#This Row],[Actual volume]]/tblVolume[[#This Row],[Budget volume]]))</f>
        <v>0.958620689655172</v>
      </c>
      <c r="F10" s="44" t="str">
        <f>IF(tblVolume[[#This Row],[Month]]="","",IF(tblVolume[[#This Row],[Budget volume]]="","Missing budget volume",IF(DAY(tblVolume[[#This Row],[Month]])&lt;&gt;1,"Use the 1st of the month",IF(COUNTIFS(tblVolume[Month],tblVolume[[#This Row],[Month]])&gt;1,"Month listed twice","OK"))))</f>
        <v>OK</v>
      </c>
      <c r="G10" s="45" t="s">
        <v>122</v>
      </c>
    </row>
    <row r="11" spans="1:7">
      <c r="B11" s="29">
        <v>46143</v>
      </c>
      <c r="C11" s="31">
        <v>1480</v>
      </c>
      <c r="D11" s="31">
        <v>1365</v>
      </c>
      <c r="E11" s="46">
        <f>IF(tblVolume[[#This Row],[Month]]="","",IF(OR(tblVolume[[#This Row],[Actual volume]]="",tblVolume[[#This Row],[Budget volume]]=0),"",tblVolume[[#This Row],[Actual volume]]/tblVolume[[#This Row],[Budget volume]]))</f>
        <v>0.922297297297297</v>
      </c>
      <c r="F11" s="44" t="str">
        <f>IF(tblVolume[[#This Row],[Month]]="","",IF(tblVolume[[#This Row],[Budget volume]]="","Missing budget volume",IF(DAY(tblVolume[[#This Row],[Month]])&lt;&gt;1,"Use the 1st of the month",IF(COUNTIFS(tblVolume[Month],tblVolume[[#This Row],[Month]])&gt;1,"Month listed twice","OK"))))</f>
        <v>OK</v>
      </c>
      <c r="G11" s="45" t="s">
        <v>131</v>
      </c>
    </row>
    <row r="12" spans="1:7">
      <c r="B12" s="29">
        <v>46174</v>
      </c>
      <c r="C12" s="31">
        <v>1500</v>
      </c>
      <c r="D12" s="31">
        <v>1402</v>
      </c>
      <c r="E12" s="46">
        <f>IF(tblVolume[[#This Row],[Month]]="","",IF(OR(tblVolume[[#This Row],[Actual volume]]="",tblVolume[[#This Row],[Budget volume]]=0),"",tblVolume[[#This Row],[Actual volume]]/tblVolume[[#This Row],[Budget volume]]))</f>
        <v>0.934666666666667</v>
      </c>
      <c r="F12" s="44" t="str">
        <f>IF(tblVolume[[#This Row],[Month]]="","",IF(tblVolume[[#This Row],[Budget volume]]="","Missing budget volume",IF(DAY(tblVolume[[#This Row],[Month]])&lt;&gt;1,"Use the 1st of the month",IF(COUNTIFS(tblVolume[Month],tblVolume[[#This Row],[Month]])&gt;1,"Month listed twice","OK"))))</f>
        <v>OK</v>
      </c>
      <c r="G12" s="45" t="s">
        <v>122</v>
      </c>
    </row>
    <row r="13" spans="1:7">
      <c r="B13" s="29">
        <v>46204</v>
      </c>
      <c r="C13" s="31">
        <v>1420</v>
      </c>
      <c r="D13" s="31">
        <v>1301</v>
      </c>
      <c r="E13" s="46">
        <f>IF(tblVolume[[#This Row],[Month]]="","",IF(OR(tblVolume[[#This Row],[Actual volume]]="",tblVolume[[#This Row],[Budget volume]]=0),"",tblVolume[[#This Row],[Actual volume]]/tblVolume[[#This Row],[Budget volume]]))</f>
        <v>0.916197183098592</v>
      </c>
      <c r="F13" s="44" t="str">
        <f>IF(tblVolume[[#This Row],[Month]]="","",IF(tblVolume[[#This Row],[Budget volume]]="","Missing budget volume",IF(DAY(tblVolume[[#This Row],[Month]])&lt;&gt;1,"Use the 1st of the month",IF(COUNTIFS(tblVolume[Month],tblVolume[[#This Row],[Month]])&gt;1,"Month listed twice","OK"))))</f>
        <v>OK</v>
      </c>
      <c r="G13" s="45" t="s">
        <v>122</v>
      </c>
    </row>
    <row r="14" spans="1:7">
      <c r="B14" s="29">
        <v>46235</v>
      </c>
      <c r="C14" s="31">
        <v>980</v>
      </c>
      <c r="D14" s="31">
        <v>905</v>
      </c>
      <c r="E14" s="46">
        <f>IF(tblVolume[[#This Row],[Month]]="","",IF(OR(tblVolume[[#This Row],[Actual volume]]="",tblVolume[[#This Row],[Budget volume]]=0),"",tblVolume[[#This Row],[Actual volume]]/tblVolume[[#This Row],[Budget volume]]))</f>
        <v>0.923469387755102</v>
      </c>
      <c r="F14" s="44" t="str">
        <f>IF(tblVolume[[#This Row],[Month]]="","",IF(tblVolume[[#This Row],[Budget volume]]="","Missing budget volume",IF(DAY(tblVolume[[#This Row],[Month]])&lt;&gt;1,"Use the 1st of the month",IF(COUNTIFS(tblVolume[Month],tblVolume[[#This Row],[Month]])&gt;1,"Month listed twice","OK"))))</f>
        <v>OK</v>
      </c>
      <c r="G14" s="45" t="s">
        <v>132</v>
      </c>
    </row>
    <row r="15" spans="1:7">
      <c r="B15" s="29">
        <v>46266</v>
      </c>
      <c r="C15" s="31">
        <v>1460</v>
      </c>
      <c r="D15" s="31">
        <v>1344</v>
      </c>
      <c r="E15" s="46">
        <f>IF(tblVolume[[#This Row],[Month]]="","",IF(OR(tblVolume[[#This Row],[Actual volume]]="",tblVolume[[#This Row],[Budget volume]]=0),"",tblVolume[[#This Row],[Actual volume]]/tblVolume[[#This Row],[Budget volume]]))</f>
        <v>0.920547945205479</v>
      </c>
      <c r="F15" s="44" t="str">
        <f>IF(tblVolume[[#This Row],[Month]]="","",IF(tblVolume[[#This Row],[Budget volume]]="","Missing budget volume",IF(DAY(tblVolume[[#This Row],[Month]])&lt;&gt;1,"Use the 1st of the month",IF(COUNTIFS(tblVolume[Month],tblVolume[[#This Row],[Month]])&gt;1,"Month listed twice","OK"))))</f>
        <v>OK</v>
      </c>
      <c r="G15" s="45" t="s">
        <v>122</v>
      </c>
    </row>
    <row r="16" spans="1:7">
      <c r="B16" s="29">
        <v>46296</v>
      </c>
      <c r="C16" s="31">
        <v>1500</v>
      </c>
      <c r="D16" s="31"/>
      <c r="E16" s="46">
        <f>IF(tblVolume[[#This Row],[Month]]="","",IF(OR(tblVolume[[#This Row],[Actual volume]]="",tblVolume[[#This Row],[Budget volume]]=0),"",tblVolume[[#This Row],[Actual volume]]/tblVolume[[#This Row],[Budget volume]]))</f>
        <v/>
      </c>
      <c r="F16" s="44" t="str">
        <f>IF(tblVolume[[#This Row],[Month]]="","",IF(tblVolume[[#This Row],[Budget volume]]="","Missing budget volume",IF(DAY(tblVolume[[#This Row],[Month]])&lt;&gt;1,"Use the 1st of the month",IF(COUNTIFS(tblVolume[Month],tblVolume[[#This Row],[Month]])&gt;1,"Month listed twice","OK"))))</f>
        <v>OK</v>
      </c>
      <c r="G16" s="45" t="s">
        <v>122</v>
      </c>
    </row>
    <row r="17" spans="2:7">
      <c r="B17" s="29">
        <v>46327</v>
      </c>
      <c r="C17" s="31">
        <v>1470</v>
      </c>
      <c r="D17" s="31"/>
      <c r="E17" s="46">
        <f>IF(tblVolume[[#This Row],[Month]]="","",IF(OR(tblVolume[[#This Row],[Actual volume]]="",tblVolume[[#This Row],[Budget volume]]=0),"",tblVolume[[#This Row],[Actual volume]]/tblVolume[[#This Row],[Budget volume]]))</f>
        <v/>
      </c>
      <c r="F17" s="44" t="str">
        <f>IF(tblVolume[[#This Row],[Month]]="","",IF(tblVolume[[#This Row],[Budget volume]]="","Missing budget volume",IF(DAY(tblVolume[[#This Row],[Month]])&lt;&gt;1,"Use the 1st of the month",IF(COUNTIFS(tblVolume[Month],tblVolume[[#This Row],[Month]])&gt;1,"Month listed twice","OK"))))</f>
        <v>OK</v>
      </c>
      <c r="G17" s="45" t="s">
        <v>122</v>
      </c>
    </row>
    <row r="18" spans="2:7">
      <c r="B18" s="29">
        <v>46357</v>
      </c>
      <c r="C18" s="31">
        <v>1120</v>
      </c>
      <c r="D18" s="31"/>
      <c r="E18" s="46">
        <f>IF(tblVolume[[#This Row],[Month]]="","",IF(OR(tblVolume[[#This Row],[Actual volume]]="",tblVolume[[#This Row],[Budget volume]]=0),"",tblVolume[[#This Row],[Actual volume]]/tblVolume[[#This Row],[Budget volume]]))</f>
        <v/>
      </c>
      <c r="F18" s="44" t="str">
        <f>IF(tblVolume[[#This Row],[Month]]="","",IF(tblVolume[[#This Row],[Budget volume]]="","Missing budget volume",IF(DAY(tblVolume[[#This Row],[Month]])&lt;&gt;1,"Use the 1st of the month",IF(COUNTIFS(tblVolume[Month],tblVolume[[#This Row],[Month]])&gt;1,"Month listed twice","OK"))))</f>
        <v>OK</v>
      </c>
      <c r="G18" s="45" t="s">
        <v>133</v>
      </c>
    </row>
  </sheetData>
  <mergeCells count="3">
    <mergeCell ref="A1:G1"/>
    <mergeCell ref="B2:F2"/>
    <mergeCell ref="B4:G4"/>
  </mergeCells>
  <conditionalFormatting sqref="F7:F518">
    <cfRule type="expression" dxfId="3" priority="1">
      <formula>$F7="OK"</formula>
    </cfRule>
    <cfRule type="expression" dxfId="1" priority="2">
      <formula>AND($F7&lt;&gt;"",$F7&lt;&gt;"OK")</formula>
    </cfRule>
  </conditionalFormatting>
  <dataValidations count="4">
    <dataValidation type="date" allowBlank="1" showInputMessage="1" showErrorMessage="1" errorTitle="Check this entry" error="Enter a date between 01 Jan 2000 and 31 Dec 2100." promptTitle="Month" prompt="The 1st of each month of the budget year, one row per month. Enter a date between 01 Jan 2000 and 31 Dec 2100." sqref="B7:B518">
      <formula1>36526</formula1>
      <formula2>73415</formula2>
    </dataValidation>
    <dataValidation type="decimal" allowBlank="1" showInputMessage="1" showErrorMessage="1" errorTitle="Check this entry" error="Enter a number of at least 0." promptTitle="Budget volume" prompt="The volume the budget was built on for this month. Enter a number of at least 0." sqref="C7:C518">
      <formula1>0</formula1>
      <formula2>1000000000000.0</formula2>
    </dataValidation>
    <dataValidation type="decimal" allowBlank="1" showInputMessage="1" showErrorMessage="1" errorTitle="Check this entry" error="Enter a number of at least 0." promptTitle="Actual volume" prompt="The volume actually made (good output). Leave blank until the month closes. Enter a number of at least 0." sqref="D7:D518">
      <formula1>0</formula1>
      <formula2>1000000000000.0</formula2>
    </dataValidation>
    <dataValidation type="textLength" allowBlank="1" showInputMessage="1" showErrorMessage="1" errorTitle="Check this entry" error="Text up to 160 characters." promptTitle="Notes" prompt="Text up to 160 characters." sqref="G7:G518">
      <formula1>0</formula1>
      <formula2>160</formula2>
    </dataValidation>
  </dataValidations>
  <hyperlinks>
    <hyperlink ref="G2" r:id="rId1" tooltip="Free manufacturing calculators and templates"/>
  </hyperlinks>
  <pageMargins left="0.4" right="0.4" top="0.7" bottom="0.65" header="0.3" footer="0.3"/>
  <pageSetup fitToHeight="0" orientation="portrait"/>
  <headerFooter>
    <oddHeader>&amp;L&amp;8MFG Calcs - Plant Budget vs Actual&amp;R&amp;8&amp;A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sheetPr>
    <tabColor rgb="FF1BA37A"/>
    <pageSetUpPr fitToPage="1"/>
  </sheetPr>
  <dimension ref="A1:L75"/>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ht="20" customHeight="1">
      <c r="B4" s="47" t="str">
        <f>PlantName</f>
        <v>Ashworth Castings (example)</v>
      </c>
      <c r="C4" s="47"/>
      <c r="D4" s="47"/>
      <c r="E4" s="47"/>
      <c r="F4" s="47"/>
      <c r="G4" s="47"/>
      <c r="H4" s="47"/>
      <c r="I4" s="47"/>
      <c r="J4" s="47"/>
      <c r="K4" s="47"/>
      <c r="L4" s="47"/>
    </row>
    <row r="5" spans="1:12">
      <c r="B5" s="27" t="s">
        <v>134</v>
      </c>
      <c r="C5" s="48"/>
      <c r="D5" s="48"/>
      <c r="F5" s="27" t="s">
        <v>135</v>
      </c>
      <c r="G5" s="49">
        <f>FMonth</f>
        <v>46266</v>
      </c>
      <c r="H5" s="49"/>
    </row>
    <row r="6" spans="1:12">
      <c r="B6" s="50" t="str">
        <f>"Year to date = first month of the year to the report month. Positive variance = overspent. Flexed budget = budget at the volume actually made. Amounts in "&amp;Currency&amp;"."</f>
        <v>Year to date = first month of the year to the report month. Positive variance = overspent. Flexed budget = budget at the volume actually made. Amounts in GBP.</v>
      </c>
      <c r="C6" s="50"/>
      <c r="D6" s="50"/>
      <c r="E6" s="50"/>
      <c r="F6" s="50"/>
      <c r="G6" s="50"/>
      <c r="H6" s="50"/>
      <c r="I6" s="50"/>
      <c r="J6" s="50"/>
      <c r="K6" s="50"/>
      <c r="L6" s="50"/>
    </row>
    <row r="8" spans="1:12" ht="18" customHeight="1">
      <c r="B8" s="51" t="str">
        <f>"SPEND IN THE MONTH ("&amp;Currency&amp;")"</f>
        <v>SPEND IN THE MONTH (GBP)</v>
      </c>
      <c r="C8" s="51"/>
      <c r="D8" s="51" t="str">
        <f>"SPEND, YEAR TO DATE ("&amp;Currency&amp;")"</f>
        <v>SPEND, YEAR TO DATE (GBP)</v>
      </c>
      <c r="E8" s="51"/>
      <c r="F8" s="51"/>
      <c r="G8" s="51" t="str">
        <f>"COST PER "&amp;UPPER(VolumeUnit)&amp;", YEAR TO DATE ("&amp;Currency&amp;")"</f>
        <v>COST PER T, YEAR TO DATE (GBP)</v>
      </c>
      <c r="H8" s="51"/>
      <c r="I8" s="51"/>
      <c r="J8" s="51" t="s">
        <v>136</v>
      </c>
      <c r="K8" s="51"/>
      <c r="L8" s="51"/>
    </row>
    <row r="9" spans="1:12" ht="21" customHeight="1">
      <c r="B9" s="52">
        <f>SUMIFS(tblResults[Actual],tblResults[Month],"&gt;="&amp;FMonth,tblResults[Month],"&lt;"&amp;EDATE(FMonth,1))</f>
        <v>1015100</v>
      </c>
      <c r="C9" s="52"/>
      <c r="D9" s="52">
        <f>SUMIFS(tblResults[Actual],tblResults[Month],"&gt;="&amp;FYStart,tblResults[Month],"&lt;"&amp;EDATE(FMonth,1))</f>
        <v>9088270</v>
      </c>
      <c r="E9" s="52"/>
      <c r="F9" s="52"/>
      <c r="G9" s="53">
        <f>IF((SUMIFS(tblVolume[Actual volume],tblVolume[Month],"&gt;="&amp;FYStart,tblVolume[Month],"&lt;"&amp;EDATE(FMonth,1)))=0,"",(SUMIFS(tblResults[Actual],tblResults[Month],"&gt;="&amp;FYStart,tblResults[Month],"&lt;"&amp;EDATE(FMonth,1)))/(SUMIFS(tblVolume[Actual volume],tblVolume[Month],"&gt;="&amp;FYStart,tblVolume[Month],"&lt;"&amp;EDATE(FMonth,1))))</f>
        <v>758.113947280614</v>
      </c>
      <c r="H9" s="53"/>
      <c r="I9" s="53"/>
      <c r="J9" s="54" t="str">
        <f>IF(MAX($H$39:$H$50)&gt;0,INDEX($B$39:$B$50,MATCH(MAX($H$39:$H$50),$H$39:$H$50,0)),"None")</f>
        <v>Metallic charge</v>
      </c>
      <c r="K9" s="54"/>
      <c r="L9" s="54"/>
    </row>
    <row r="10" spans="1:12" ht="21" customHeight="1">
      <c r="B10" s="52"/>
      <c r="C10" s="52"/>
      <c r="D10" s="52"/>
      <c r="E10" s="52"/>
      <c r="F10" s="52"/>
      <c r="G10" s="53"/>
      <c r="H10" s="53"/>
      <c r="I10" s="53"/>
      <c r="J10" s="54"/>
      <c r="K10" s="54"/>
      <c r="L10" s="54"/>
    </row>
    <row r="11" spans="1:12">
      <c r="B11" s="55">
        <f>SUMIFS(tblResults[Flexed budget],tblResults[Month],"&gt;="&amp;FMonth,tblResults[Month],"&lt;"&amp;EDATE(FMonth,1))</f>
        <v>998114.753424658</v>
      </c>
      <c r="C11" s="55"/>
      <c r="D11" s="55">
        <f>SUMIFS(tblResults[Flexed budget],tblResults[Month],"&gt;="&amp;FYStart,tblResults[Month],"&lt;"&amp;EDATE(FMonth,1))</f>
        <v>8918770.94284502</v>
      </c>
      <c r="E11" s="55"/>
      <c r="F11" s="55"/>
      <c r="G11" s="56">
        <f>IF(SUMIFS(tblVolume[Actual volume],tblVolume[Month],"&gt;="&amp;FYStart,tblVolume[Month],"&lt;"&amp;EDATE(FMonth,1))=0,"",SUMIFS(tblResults[Flexed budget],tblResults[Month],"&gt;="&amp;FYStart,tblResults[Month],"&lt;"&amp;EDATE(FMonth,1))/SUMIFS(tblVolume[Actual volume],tblVolume[Month],"&gt;="&amp;FYStart,tblVolume[Month],"&lt;"&amp;EDATE(FMonth,1)))</f>
        <v>743.974886790542</v>
      </c>
      <c r="H11" s="56"/>
      <c r="I11" s="56"/>
      <c r="J11" s="57" t="s">
        <v>137</v>
      </c>
      <c r="K11" s="57"/>
      <c r="L11" s="57"/>
    </row>
    <row r="12" spans="1:12" ht="18" customHeight="1">
      <c r="B12" s="58" t="str">
        <f>IF(NOT(ISNUMBER(KpiMonthAct)),"No data",IF(KpiMonthAct&lt;=(SUMIFS(tblResults[Flexed budget],tblResults[Month],"&gt;="&amp;FMonth,tblResults[Month],"&lt;"&amp;EDATE(FMonth,1))),"On target",IF(KpiMonthAct&lt;=(SUMIFS(tblResults[Flexed budget],tblResults[Month],"&gt;="&amp;FMonth,tblResults[Month],"&lt;"&amp;EDATE(FMonth,1)))*(1+VarPct),"Near target","Above target")))</f>
        <v>Near target</v>
      </c>
      <c r="C12" s="58"/>
      <c r="D12" s="58" t="str">
        <f>IF(NOT(ISNUMBER(KpiYtdAct)),"No data",IF(KpiYtdAct&lt;=(SUMIFS(tblResults[Flexed budget],tblResults[Month],"&gt;="&amp;FYStart,tblResults[Month],"&lt;"&amp;EDATE(FMonth,1))),"On target",IF(KpiYtdAct&lt;=(SUMIFS(tblResults[Flexed budget],tblResults[Month],"&gt;="&amp;FYStart,tblResults[Month],"&lt;"&amp;EDATE(FMonth,1)))*(1+VarPct),"Near target","Above target")))</f>
        <v>Near target</v>
      </c>
      <c r="E12" s="58"/>
      <c r="F12" s="58"/>
      <c r="G12" s="58" t="str">
        <f>IF(NOT(ISNUMBER(KpiCpu)),"No data",IF(KpiCpu&lt;=(IF(SUMIFS(tblVolume[Actual volume],tblVolume[Month],"&gt;="&amp;FYStart,tblVolume[Month],"&lt;"&amp;EDATE(FMonth,1))=0,"",SUMIFS(tblResults[Flexed budget],tblResults[Month],"&gt;="&amp;FYStart,tblResults[Month],"&lt;"&amp;EDATE(FMonth,1))/SUMIFS(tblVolume[Actual volume],tblVolume[Month],"&gt;="&amp;FYStart,tblVolume[Month],"&lt;"&amp;EDATE(FMonth,1)))),"On target",IF(KpiCpu&lt;=(IF(SUMIFS(tblVolume[Actual volume],tblVolume[Month],"&gt;="&amp;FYStart,tblVolume[Month],"&lt;"&amp;EDATE(FMonth,1))=0,"",SUMIFS(tblResults[Flexed budget],tblResults[Month],"&gt;="&amp;FYStart,tblResults[Month],"&lt;"&amp;EDATE(FMonth,1))/SUMIFS(tblVolume[Actual volume],tblVolume[Month],"&gt;="&amp;FYStart,tblVolume[Month],"&lt;"&amp;EDATE(FMonth,1))))*(1+VarPct),"Near target","Above target")))</f>
        <v>Near target</v>
      </c>
      <c r="H12" s="58"/>
      <c r="I12" s="58"/>
      <c r="J12" s="58"/>
      <c r="K12" s="58"/>
      <c r="L12" s="58"/>
    </row>
    <row r="31" spans="2:12" ht="18" customHeight="1">
      <c r="B31" s="51" t="str">
        <f>"SPENDING VARIANCE, YTD ("&amp;Currency&amp;")"</f>
        <v>SPENDING VARIANCE, YTD (GBP)</v>
      </c>
      <c r="C31" s="51"/>
      <c r="D31" s="51" t="str">
        <f>"VOLUME EFFECT, YTD ("&amp;Currency&amp;")"</f>
        <v>VOLUME EFFECT, YTD (GBP)</v>
      </c>
      <c r="E31" s="51"/>
      <c r="F31" s="51"/>
      <c r="G31" s="51" t="str">
        <f>"STATIC BUDGET VARIANCE, YTD ("&amp;Currency&amp;")"</f>
        <v>STATIC BUDGET VARIANCE, YTD (GBP)</v>
      </c>
      <c r="H31" s="51"/>
      <c r="I31" s="51"/>
      <c r="J31" s="51" t="str">
        <f>"VOLUME, YEAR TO DATE ("&amp;VolumeUnit&amp;")"</f>
        <v>VOLUME, YEAR TO DATE (t)</v>
      </c>
      <c r="K31" s="51"/>
      <c r="L31" s="51"/>
    </row>
    <row r="32" spans="2:12" ht="21" customHeight="1">
      <c r="B32" s="59">
        <f>SUMIFS(tblResults[Actual],tblResults[Month],"&gt;="&amp;FYStart,tblResults[Month],"&lt;"&amp;EDATE(FMonth,1))-SUMIFS(tblResults[Flexed budget],tblResults[Month],"&gt;="&amp;FYStart,tblResults[Month],"&lt;"&amp;EDATE(FMonth,1))</f>
        <v>169499.057154978</v>
      </c>
      <c r="C32" s="59"/>
      <c r="D32" s="59">
        <f>SUMIFS(tblResults[Volume effect],tblResults[Month],"&gt;="&amp;FYStart,tblResults[Month],"&lt;"&amp;EDATE(FMonth,1))</f>
        <v>-351329.057154977</v>
      </c>
      <c r="E32" s="59"/>
      <c r="F32" s="59"/>
      <c r="G32" s="59">
        <f>SUMIFS(tblResults[Actual],tblResults[Month],"&gt;="&amp;FYStart,tblResults[Month],"&lt;"&amp;EDATE(FMonth,1))-SUMIFS(tblResults[Budget],tblResults[Month],"&gt;="&amp;FYStart,tblResults[Month],"&lt;"&amp;EDATE(FMonth,1))</f>
        <v>-181830</v>
      </c>
      <c r="H32" s="59"/>
      <c r="I32" s="59"/>
      <c r="J32" s="52">
        <f>SUMIFS(tblVolume[Actual volume],tblVolume[Month],"&gt;="&amp;FYStart,tblVolume[Month],"&lt;"&amp;EDATE(FMonth,1))</f>
        <v>11988</v>
      </c>
      <c r="K32" s="52"/>
      <c r="L32" s="52"/>
    </row>
    <row r="33" spans="2:12" ht="21" customHeight="1">
      <c r="B33" s="59"/>
      <c r="C33" s="59"/>
      <c r="D33" s="59"/>
      <c r="E33" s="59"/>
      <c r="F33" s="59"/>
      <c r="G33" s="59"/>
      <c r="H33" s="59"/>
      <c r="I33" s="59"/>
      <c r="J33" s="52"/>
      <c r="K33" s="52"/>
      <c r="L33" s="52"/>
    </row>
    <row r="34" spans="2:12">
      <c r="B34" s="57" t="s">
        <v>138</v>
      </c>
      <c r="C34" s="57"/>
      <c r="D34" s="57" t="s">
        <v>139</v>
      </c>
      <c r="E34" s="57"/>
      <c r="F34" s="57"/>
      <c r="G34" s="57" t="s">
        <v>140</v>
      </c>
      <c r="H34" s="57"/>
      <c r="I34" s="57"/>
      <c r="J34" s="60">
        <f>SUMIFS(tblVolume[Budget volume],tblVolume[Month],"&gt;="&amp;FYStart,tblVolume[Month],"&lt;"&amp;EDATE(FMonth,1))</f>
        <v>12610</v>
      </c>
      <c r="K34" s="60"/>
      <c r="L34" s="60"/>
    </row>
    <row r="35" spans="2:12" ht="18" customHeight="1">
      <c r="B35" s="58"/>
      <c r="C35" s="58"/>
      <c r="D35" s="58"/>
      <c r="E35" s="58"/>
      <c r="F35" s="58"/>
      <c r="G35" s="58"/>
      <c r="H35" s="58"/>
      <c r="I35" s="58"/>
      <c r="J35" s="58" t="str">
        <f>IF(NOT(ISNUMBER(KpiVol)),"No data",IF(KpiVol&gt;=(SUMIFS(tblVolume[Budget volume],tblVolume[Month],"&gt;="&amp;FYStart,tblVolume[Month],"&lt;"&amp;EDATE(FMonth,1))),"On target",IF(KpiVol&gt;=(SUMIFS(tblVolume[Budget volume],tblVolume[Month],"&gt;="&amp;FYStart,tblVolume[Month],"&lt;"&amp;EDATE(FMonth,1)))*(1-0.05),"Near target","Below target")))</f>
        <v>Near target</v>
      </c>
      <c r="K35" s="58"/>
      <c r="L35" s="58"/>
    </row>
    <row r="37" spans="2:12">
      <c r="B37" s="32" t="s">
        <v>141</v>
      </c>
      <c r="C37" s="32"/>
      <c r="D37" s="32"/>
      <c r="E37" s="32"/>
      <c r="F37" s="32"/>
      <c r="G37" s="32"/>
      <c r="H37" s="32"/>
      <c r="I37" s="32"/>
      <c r="J37" s="32"/>
      <c r="K37" s="32"/>
    </row>
    <row r="38" spans="2:12" ht="45.5" customHeight="1">
      <c r="B38" s="61" t="s">
        <v>62</v>
      </c>
      <c r="C38" s="33" t="s">
        <v>142</v>
      </c>
      <c r="D38" s="33" t="s">
        <v>143</v>
      </c>
      <c r="E38" s="33" t="s">
        <v>144</v>
      </c>
      <c r="F38" s="33" t="s">
        <v>145</v>
      </c>
      <c r="G38" s="33" t="s">
        <v>146</v>
      </c>
      <c r="H38" s="33" t="s">
        <v>147</v>
      </c>
      <c r="I38" s="33" t="s">
        <v>148</v>
      </c>
      <c r="J38" s="33" t="s">
        <v>149</v>
      </c>
      <c r="K38" s="33"/>
    </row>
    <row r="39" spans="2:12">
      <c r="B39" s="62" t="str">
        <f>IFERROR(INDEX(tblCostLines[Cost line],1)&amp;"","")</f>
        <v>Metallic charge</v>
      </c>
      <c r="C39" s="40">
        <f>IF($B$39="","",SUMIFS(tblResults[Actual],tblResults[Month],"&gt;="&amp;FMonth,tblResults[Month],"&lt;"&amp;EDATE(FMonth,1),tblResults[Cost line],$B$39))</f>
        <v>425050</v>
      </c>
      <c r="D39" s="41">
        <f>IF($B$39="","",SUMIFS(tblResults[Actual],tblResults[Month],"&gt;="&amp;FMonth,tblResults[Month],"&lt;"&amp;EDATE(FMonth,1),tblResults[Cost line],$B$39)-SUMIFS(tblResults[Flexed budget],tblResults[Month],"&gt;="&amp;FMonth,tblResults[Month],"&lt;"&amp;EDATE(FMonth,1),tblResults[Cost line],$B$39))</f>
        <v>8410</v>
      </c>
      <c r="E39" s="40">
        <f>IF($B$39="","",SUMIFS(tblResults[Budget],tblResults[Month],"&gt;="&amp;FYStart,tblResults[Month],"&lt;"&amp;EDATE(FMonth,1),tblResults[Cost line],$B$39))</f>
        <v>3909100</v>
      </c>
      <c r="F39" s="40">
        <f>IF($B$39="","",SUMIFS(tblResults[Flexed budget],tblResults[Month],"&gt;="&amp;FYStart,tblResults[Month],"&lt;"&amp;EDATE(FMonth,1),tblResults[Cost line],$B$39))</f>
        <v>3716280</v>
      </c>
      <c r="G39" s="40">
        <f>IF($B$39="","",SUMIFS(tblResults[Actual],tblResults[Month],"&gt;="&amp;FYStart,tblResults[Month],"&lt;"&amp;EDATE(FMonth,1),tblResults[Cost line],$B$39))</f>
        <v>3778690</v>
      </c>
      <c r="H39" s="41">
        <f>IF($B$39="","",SUMIFS(tblResults[Actual],tblResults[Month],"&gt;="&amp;FYStart,tblResults[Month],"&lt;"&amp;EDATE(FMonth,1),tblResults[Cost line],$B$39)-SUMIFS(tblResults[Flexed budget],tblResults[Month],"&gt;="&amp;FYStart,tblResults[Month],"&lt;"&amp;EDATE(FMonth,1),tblResults[Cost line],$B$39))</f>
        <v>62410</v>
      </c>
      <c r="I39" s="42">
        <f>IF($B$39="","",IF(($F$39)=0,"",($H$39)/($F$39)))</f>
        <v>0.0167936753958259</v>
      </c>
      <c r="J39" s="43" t="str">
        <f>IF($B$39="","",IF($I$39="","",IF(AND(ABS($H$39)&gt;VarAmount,ABS($I$39)&gt;VarPct),IF($H$39&gt;0,"Out of limits","Check"),"Within limits")))</f>
        <v>Within limits</v>
      </c>
      <c r="K39" s="43"/>
    </row>
    <row r="40" spans="2:12">
      <c r="B40" s="62" t="str">
        <f>IFERROR(INDEX(tblCostLines[Cost line],2)&amp;"","")</f>
        <v>Alloys and inoculants</v>
      </c>
      <c r="C40" s="40">
        <f>IF($B$40="","",SUMIFS(tblResults[Actual],tblResults[Month],"&gt;="&amp;FMonth,tblResults[Month],"&lt;"&amp;EDATE(FMonth,1),tblResults[Cost line],$B$40))</f>
        <v>55790</v>
      </c>
      <c r="D40" s="41">
        <f>IF($B$40="","",SUMIFS(tblResults[Actual],tblResults[Month],"&gt;="&amp;FMonth,tblResults[Month],"&lt;"&amp;EDATE(FMonth,1),tblResults[Cost line],$B$40)-SUMIFS(tblResults[Flexed budget],tblResults[Month],"&gt;="&amp;FMonth,tblResults[Month],"&lt;"&amp;EDATE(FMonth,1),tblResults[Cost line],$B$40))</f>
        <v>-639.589041095889</v>
      </c>
      <c r="E40" s="40">
        <f>IF($B$40="","",SUMIFS(tblResults[Budget],tblResults[Month],"&gt;="&amp;FYStart,tblResults[Month],"&lt;"&amp;EDATE(FMonth,1),tblResults[Cost line],$B$40))</f>
        <v>529600</v>
      </c>
      <c r="F40" s="40">
        <f>IF($B$40="","",SUMIFS(tblResults[Flexed budget],tblResults[Month],"&gt;="&amp;FYStart,tblResults[Month],"&lt;"&amp;EDATE(FMonth,1),tblResults[Cost line],$B$40))</f>
        <v>503474.210782939</v>
      </c>
      <c r="G40" s="40">
        <f>IF($B$40="","",SUMIFS(tblResults[Actual],tblResults[Month],"&gt;="&amp;FYStart,tblResults[Month],"&lt;"&amp;EDATE(FMonth,1),tblResults[Cost line],$B$40))</f>
        <v>502780</v>
      </c>
      <c r="H40" s="41">
        <f>IF($B$40="","",SUMIFS(tblResults[Actual],tblResults[Month],"&gt;="&amp;FYStart,tblResults[Month],"&lt;"&amp;EDATE(FMonth,1),tblResults[Cost line],$B$40)-SUMIFS(tblResults[Flexed budget],tblResults[Month],"&gt;="&amp;FYStart,tblResults[Month],"&lt;"&amp;EDATE(FMonth,1),tblResults[Cost line],$B$40))</f>
        <v>-694.21078293852</v>
      </c>
      <c r="I40" s="42">
        <f>IF($B$40="","",IF(($F$40)=0,"",($H$40)/($F$40)))</f>
        <v>-0.0013788407987352</v>
      </c>
      <c r="J40" s="43" t="str">
        <f>IF($B$40="","",IF($I$40="","",IF(AND(ABS($H$40)&gt;VarAmount,ABS($I$40)&gt;VarPct),IF($H$40&gt;0,"Out of limits","Check"),"Within limits")))</f>
        <v>Within limits</v>
      </c>
      <c r="K40" s="43"/>
    </row>
    <row r="41" spans="2:12">
      <c r="B41" s="62" t="str">
        <f>IFERROR(INDEX(tblCostLines[Cost line],3)&amp;"","")</f>
        <v>Sand and binders</v>
      </c>
      <c r="C41" s="40">
        <f>IF($B$41="","",SUMIFS(tblResults[Actual],tblResults[Month],"&gt;="&amp;FMonth,tblResults[Month],"&lt;"&amp;EDATE(FMonth,1),tblResults[Cost line],$B$41))</f>
        <v>75390</v>
      </c>
      <c r="D41" s="41">
        <f>IF($B$41="","",SUMIFS(tblResults[Actual],tblResults[Month],"&gt;="&amp;FMonth,tblResults[Month],"&lt;"&amp;EDATE(FMonth,1),tblResults[Cost line],$B$41)-SUMIFS(tblResults[Flexed budget],tblResults[Month],"&gt;="&amp;FMonth,tblResults[Month],"&lt;"&amp;EDATE(FMonth,1),tblResults[Cost line],$B$41))</f>
        <v>-1117.83561643836</v>
      </c>
      <c r="E41" s="40">
        <f>IF($B$41="","",SUMIFS(tblResults[Budget],tblResults[Month],"&gt;="&amp;FYStart,tblResults[Month],"&lt;"&amp;EDATE(FMonth,1),tblResults[Cost line],$B$41))</f>
        <v>714200</v>
      </c>
      <c r="F41" s="40">
        <f>IF($B$41="","",SUMIFS(tblResults[Flexed budget],tblResults[Month],"&gt;="&amp;FYStart,tblResults[Month],"&lt;"&amp;EDATE(FMonth,1),tblResults[Cost line],$B$41))</f>
        <v>682451.875384859</v>
      </c>
      <c r="G41" s="40">
        <f>IF($B$41="","",SUMIFS(tblResults[Actual],tblResults[Month],"&gt;="&amp;FYStart,tblResults[Month],"&lt;"&amp;EDATE(FMonth,1),tblResults[Cost line],$B$41))</f>
        <v>681410</v>
      </c>
      <c r="H41" s="41">
        <f>IF($B$41="","",SUMIFS(tblResults[Actual],tblResults[Month],"&gt;="&amp;FYStart,tblResults[Month],"&lt;"&amp;EDATE(FMonth,1),tblResults[Cost line],$B$41)-SUMIFS(tblResults[Flexed budget],tblResults[Month],"&gt;="&amp;FYStart,tblResults[Month],"&lt;"&amp;EDATE(FMonth,1),tblResults[Cost line],$B$41))</f>
        <v>-1041.87538485904</v>
      </c>
      <c r="I41" s="42">
        <f>IF($B$41="","",IF(($F$41)=0,"",($H$41)/($F$41)))</f>
        <v>-0.00152666498904628</v>
      </c>
      <c r="J41" s="43" t="str">
        <f>IF($B$41="","",IF($I$41="","",IF(AND(ABS($H$41)&gt;VarAmount,ABS($I$41)&gt;VarPct),IF($H$41&gt;0,"Out of limits","Check"),"Within limits")))</f>
        <v>Within limits</v>
      </c>
      <c r="K41" s="43"/>
    </row>
    <row r="42" spans="2:12">
      <c r="B42" s="62" t="str">
        <f>IFERROR(INDEX(tblCostLines[Cost line],4)&amp;"","")</f>
        <v>Melting electricity</v>
      </c>
      <c r="C42" s="40">
        <f>IF($B$42="","",SUMIFS(tblResults[Actual],tblResults[Month],"&gt;="&amp;FMonth,tblResults[Month],"&lt;"&amp;EDATE(FMonth,1),tblResults[Cost line],$B$42))</f>
        <v>138460</v>
      </c>
      <c r="D42" s="41">
        <f>IF($B$42="","",SUMIFS(tblResults[Actual],tblResults[Month],"&gt;="&amp;FMonth,tblResults[Month],"&lt;"&amp;EDATE(FMonth,1),tblResults[Cost line],$B$42)-SUMIFS(tblResults[Flexed budget],tblResults[Month],"&gt;="&amp;FMonth,tblResults[Month],"&lt;"&amp;EDATE(FMonth,1),tblResults[Cost line],$B$42))</f>
        <v>10898.6849315069</v>
      </c>
      <c r="E42" s="40">
        <f>IF($B$42="","",SUMIFS(tblResults[Budget],tblResults[Month],"&gt;="&amp;FYStart,tblResults[Month],"&lt;"&amp;EDATE(FMonth,1),tblResults[Cost line],$B$42))</f>
        <v>1188800</v>
      </c>
      <c r="F42" s="40">
        <f>IF($B$42="","",SUMIFS(tblResults[Flexed budget],tblResults[Month],"&gt;="&amp;FYStart,tblResults[Month],"&lt;"&amp;EDATE(FMonth,1),tblResults[Cost line],$B$42))</f>
        <v>1138841.17206216</v>
      </c>
      <c r="G42" s="40">
        <f>IF($B$42="","",SUMIFS(tblResults[Actual],tblResults[Month],"&gt;="&amp;FYStart,tblResults[Month],"&lt;"&amp;EDATE(FMonth,1),tblResults[Cost line],$B$42))</f>
        <v>1191920</v>
      </c>
      <c r="H42" s="41">
        <f>IF($B$42="","",SUMIFS(tblResults[Actual],tblResults[Month],"&gt;="&amp;FYStart,tblResults[Month],"&lt;"&amp;EDATE(FMonth,1),tblResults[Cost line],$B$42)-SUMIFS(tblResults[Flexed budget],tblResults[Month],"&gt;="&amp;FYStart,tblResults[Month],"&lt;"&amp;EDATE(FMonth,1),tblResults[Cost line],$B$42))</f>
        <v>53078.8279378384</v>
      </c>
      <c r="I42" s="42">
        <f>IF($B$42="","",IF(($F$42)=0,"",($H$42)/($F$42)))</f>
        <v>0.0466077528982603</v>
      </c>
      <c r="J42" s="43" t="str">
        <f>IF($B$42="","",IF($I$42="","",IF(AND(ABS($H$42)&gt;VarAmount,ABS($I$42)&gt;VarPct),IF($H$42&gt;0,"Out of limits","Check"),"Within limits")))</f>
        <v>Within limits</v>
      </c>
      <c r="K42" s="43"/>
    </row>
    <row r="43" spans="2:12">
      <c r="B43" s="62" t="str">
        <f>IFERROR(INDEX(tblCostLines[Cost line],5)&amp;"","")</f>
        <v>Gas and other energy</v>
      </c>
      <c r="C43" s="40">
        <f>IF($B$43="","",SUMIFS(tblResults[Actual],tblResults[Month],"&gt;="&amp;FMonth,tblResults[Month],"&lt;"&amp;EDATE(FMonth,1),tblResults[Cost line],$B$43))</f>
        <v>17110</v>
      </c>
      <c r="D43" s="41">
        <f>IF($B$43="","",SUMIFS(tblResults[Actual],tblResults[Month],"&gt;="&amp;FMonth,tblResults[Month],"&lt;"&amp;EDATE(FMonth,1),tblResults[Cost line],$B$43)-SUMIFS(tblResults[Flexed budget],tblResults[Month],"&gt;="&amp;FMonth,tblResults[Month],"&lt;"&amp;EDATE(FMonth,1),tblResults[Cost line],$B$43))</f>
        <v>17.1232876712347</v>
      </c>
      <c r="E43" s="40">
        <f>IF($B$43="","",SUMIFS(tblResults[Budget],tblResults[Month],"&gt;="&amp;FYStart,tblResults[Month],"&lt;"&amp;EDATE(FMonth,1),tblResults[Cost line],$B$43))</f>
        <v>156700</v>
      </c>
      <c r="F43" s="40">
        <f>IF($B$43="","",SUMIFS(tblResults[Flexed budget],tblResults[Month],"&gt;="&amp;FYStart,tblResults[Month],"&lt;"&amp;EDATE(FMonth,1),tblResults[Cost line],$B$43))</f>
        <v>152803.17076376</v>
      </c>
      <c r="G43" s="40">
        <f>IF($B$43="","",SUMIFS(tblResults[Actual],tblResults[Month],"&gt;="&amp;FYStart,tblResults[Month],"&lt;"&amp;EDATE(FMonth,1),tblResults[Cost line],$B$43))</f>
        <v>152540</v>
      </c>
      <c r="H43" s="41">
        <f>IF($B$43="","",SUMIFS(tblResults[Actual],tblResults[Month],"&gt;="&amp;FYStart,tblResults[Month],"&lt;"&amp;EDATE(FMonth,1),tblResults[Cost line],$B$43)-SUMIFS(tblResults[Flexed budget],tblResults[Month],"&gt;="&amp;FYStart,tblResults[Month],"&lt;"&amp;EDATE(FMonth,1),tblResults[Cost line],$B$43))</f>
        <v>-263.170763760456</v>
      </c>
      <c r="I43" s="42">
        <f>IF($B$43="","",IF(($F$43)=0,"",($H$43)/($F$43)))</f>
        <v>-0.00172228601307841</v>
      </c>
      <c r="J43" s="43" t="str">
        <f>IF($B$43="","",IF($I$43="","",IF(AND(ABS($H$43)&gt;VarAmount,ABS($I$43)&gt;VarPct),IF($H$43&gt;0,"Out of limits","Check"),"Within limits")))</f>
        <v>Within limits</v>
      </c>
      <c r="K43" s="43"/>
    </row>
    <row r="44" spans="2:12">
      <c r="B44" s="62" t="str">
        <f>IFERROR(INDEX(tblCostLines[Cost line],6)&amp;"","")</f>
        <v>Direct labour</v>
      </c>
      <c r="C44" s="40">
        <f>IF($B$44="","",SUMIFS(tblResults[Actual],tblResults[Month],"&gt;="&amp;FMonth,tblResults[Month],"&lt;"&amp;EDATE(FMonth,1),tblResults[Cost line],$B$44))</f>
        <v>121270</v>
      </c>
      <c r="D44" s="41">
        <f>IF($B$44="","",SUMIFS(tblResults[Actual],tblResults[Month],"&gt;="&amp;FMonth,tblResults[Month],"&lt;"&amp;EDATE(FMonth,1),tblResults[Cost line],$B$44)-SUMIFS(tblResults[Flexed budget],tblResults[Month],"&gt;="&amp;FMonth,tblResults[Month],"&lt;"&amp;EDATE(FMonth,1),tblResults[Cost line],$B$44))</f>
        <v>-1356.98630136986</v>
      </c>
      <c r="E44" s="40">
        <f>IF($B$44="","",SUMIFS(tblResults[Budget],tblResults[Month],"&gt;="&amp;FYStart,tblResults[Month],"&lt;"&amp;EDATE(FMonth,1),tblResults[Cost line],$B$44))</f>
        <v>1125400</v>
      </c>
      <c r="F44" s="40">
        <f>IF($B$44="","",SUMIFS(tblResults[Flexed budget],tblResults[Month],"&gt;="&amp;FYStart,tblResults[Month],"&lt;"&amp;EDATE(FMonth,1),tblResults[Cost line],$B$44))</f>
        <v>1097432.64236082</v>
      </c>
      <c r="G44" s="40">
        <f>IF($B$44="","",SUMIFS(tblResults[Actual],tblResults[Month],"&gt;="&amp;FYStart,tblResults[Month],"&lt;"&amp;EDATE(FMonth,1),tblResults[Cost line],$B$44))</f>
        <v>1115670</v>
      </c>
      <c r="H44" s="41">
        <f>IF($B$44="","",SUMIFS(tblResults[Actual],tblResults[Month],"&gt;="&amp;FYStart,tblResults[Month],"&lt;"&amp;EDATE(FMonth,1),tblResults[Cost line],$B$44)-SUMIFS(tblResults[Flexed budget],tblResults[Month],"&gt;="&amp;FYStart,tblResults[Month],"&lt;"&amp;EDATE(FMonth,1),tblResults[Cost line],$B$44))</f>
        <v>18237.3576391821</v>
      </c>
      <c r="I44" s="42">
        <f>IF($B$44="","",IF(($F$44)=0,"",($H$44)/($F$44)))</f>
        <v>0.0166182022797769</v>
      </c>
      <c r="J44" s="43" t="str">
        <f>IF($B$44="","",IF($I$44="","",IF(AND(ABS($H$44)&gt;VarAmount,ABS($I$44)&gt;VarPct),IF($H$44&gt;0,"Out of limits","Check"),"Within limits")))</f>
        <v>Within limits</v>
      </c>
      <c r="K44" s="43"/>
    </row>
    <row r="45" spans="2:12">
      <c r="B45" s="62" t="str">
        <f>IFERROR(INDEX(tblCostLines[Cost line],7)&amp;"","")</f>
        <v>Indirect labour</v>
      </c>
      <c r="C45" s="40">
        <f>IF($B$45="","",SUMIFS(tblResults[Actual],tblResults[Month],"&gt;="&amp;FMonth,tblResults[Month],"&lt;"&amp;EDATE(FMonth,1),tblResults[Cost line],$B$45))</f>
        <v>48070</v>
      </c>
      <c r="D45" s="41">
        <f>IF($B$45="","",SUMIFS(tblResults[Actual],tblResults[Month],"&gt;="&amp;FMonth,tblResults[Month],"&lt;"&amp;EDATE(FMonth,1),tblResults[Cost line],$B$45)-SUMIFS(tblResults[Flexed budget],tblResults[Month],"&gt;="&amp;FMonth,tblResults[Month],"&lt;"&amp;EDATE(FMonth,1),tblResults[Cost line],$B$45))</f>
        <v>70</v>
      </c>
      <c r="E45" s="40">
        <f>IF($B$45="","",SUMIFS(tblResults[Budget],tblResults[Month],"&gt;="&amp;FYStart,tblResults[Month],"&lt;"&amp;EDATE(FMonth,1),tblResults[Cost line],$B$45))</f>
        <v>432000</v>
      </c>
      <c r="F45" s="40">
        <f>IF($B$45="","",SUMIFS(tblResults[Flexed budget],tblResults[Month],"&gt;="&amp;FYStart,tblResults[Month],"&lt;"&amp;EDATE(FMonth,1),tblResults[Cost line],$B$45))</f>
        <v>432000</v>
      </c>
      <c r="G45" s="40">
        <f>IF($B$45="","",SUMIFS(tblResults[Actual],tblResults[Month],"&gt;="&amp;FYStart,tblResults[Month],"&lt;"&amp;EDATE(FMonth,1),tblResults[Cost line],$B$45))</f>
        <v>431520</v>
      </c>
      <c r="H45" s="41">
        <f>IF($B$45="","",SUMIFS(tblResults[Actual],tblResults[Month],"&gt;="&amp;FYStart,tblResults[Month],"&lt;"&amp;EDATE(FMonth,1),tblResults[Cost line],$B$45)-SUMIFS(tblResults[Flexed budget],tblResults[Month],"&gt;="&amp;FYStart,tblResults[Month],"&lt;"&amp;EDATE(FMonth,1),tblResults[Cost line],$B$45))</f>
        <v>-480</v>
      </c>
      <c r="I45" s="42">
        <f>IF($B$45="","",IF(($F$45)=0,"",($H$45)/($F$45)))</f>
        <v>-0.00111111111111111</v>
      </c>
      <c r="J45" s="43" t="str">
        <f>IF($B$45="","",IF($I$45="","",IF(AND(ABS($H$45)&gt;VarAmount,ABS($I$45)&gt;VarPct),IF($H$45&gt;0,"Out of limits","Check"),"Within limits")))</f>
        <v>Within limits</v>
      </c>
      <c r="K45" s="43"/>
    </row>
    <row r="46" spans="2:12">
      <c r="B46" s="62" t="str">
        <f>IFERROR(INDEX(tblCostLines[Cost line],8)&amp;"","")</f>
        <v>Maintenance and repairs</v>
      </c>
      <c r="C46" s="40">
        <f>IF($B$46="","",SUMIFS(tblResults[Actual],tblResults[Month],"&gt;="&amp;FMonth,tblResults[Month],"&lt;"&amp;EDATE(FMonth,1),tblResults[Cost line],$B$46))</f>
        <v>34780</v>
      </c>
      <c r="D46" s="41">
        <f>IF($B$46="","",SUMIFS(tblResults[Actual],tblResults[Month],"&gt;="&amp;FMonth,tblResults[Month],"&lt;"&amp;EDATE(FMonth,1),tblResults[Cost line],$B$46)-SUMIFS(tblResults[Flexed budget],tblResults[Month],"&gt;="&amp;FMonth,tblResults[Month],"&lt;"&amp;EDATE(FMonth,1),tblResults[Cost line],$B$46))</f>
        <v>-69.0684931506839</v>
      </c>
      <c r="E46" s="40">
        <f>IF($B$46="","",SUMIFS(tblResults[Budget],tblResults[Month],"&gt;="&amp;FYStart,tblResults[Month],"&lt;"&amp;EDATE(FMonth,1),tblResults[Cost line],$B$46))</f>
        <v>316900</v>
      </c>
      <c r="F46" s="40">
        <f>IF($B$46="","",SUMIFS(tblResults[Flexed budget],tblResults[Month],"&gt;="&amp;FYStart,tblResults[Month],"&lt;"&amp;EDATE(FMonth,1),tblResults[Cost line],$B$46))</f>
        <v>312162.303756152</v>
      </c>
      <c r="G46" s="40">
        <f>IF($B$46="","",SUMIFS(tblResults[Actual],tblResults[Month],"&gt;="&amp;FYStart,tblResults[Month],"&lt;"&amp;EDATE(FMonth,1),tblResults[Cost line],$B$46))</f>
        <v>348290</v>
      </c>
      <c r="H46" s="41">
        <f>IF($B$46="","",SUMIFS(tblResults[Actual],tblResults[Month],"&gt;="&amp;FYStart,tblResults[Month],"&lt;"&amp;EDATE(FMonth,1),tblResults[Cost line],$B$46)-SUMIFS(tblResults[Flexed budget],tblResults[Month],"&gt;="&amp;FYStart,tblResults[Month],"&lt;"&amp;EDATE(FMonth,1),tblResults[Cost line],$B$46))</f>
        <v>36127.6962438485</v>
      </c>
      <c r="I46" s="42">
        <f>IF($B$46="","",IF(($F$46)=0,"",($H$46)/($F$46)))</f>
        <v>0.115733693047287</v>
      </c>
      <c r="J46" s="43" t="str">
        <f>IF($B$46="","",IF($I$46="","",IF(AND(ABS($H$46)&gt;VarAmount,ABS($I$46)&gt;VarPct),IF($H$46&gt;0,"Out of limits","Check"),"Within limits")))</f>
        <v>Out of limits</v>
      </c>
      <c r="K46" s="43"/>
    </row>
    <row r="47" spans="2:12">
      <c r="B47" s="62" t="str">
        <f>IFERROR(INDEX(tblCostLines[Cost line],9)&amp;"","")</f>
        <v>Patterns and consumables</v>
      </c>
      <c r="C47" s="40">
        <f>IF($B$47="","",SUMIFS(tblResults[Actual],tblResults[Month],"&gt;="&amp;FMonth,tblResults[Month],"&lt;"&amp;EDATE(FMonth,1),tblResults[Cost line],$B$47))</f>
        <v>24740</v>
      </c>
      <c r="D47" s="41">
        <f>IF($B$47="","",SUMIFS(tblResults[Actual],tblResults[Month],"&gt;="&amp;FMonth,tblResults[Month],"&lt;"&amp;EDATE(FMonth,1),tblResults[Cost line],$B$47)-SUMIFS(tblResults[Flexed budget],tblResults[Month],"&gt;="&amp;FMonth,tblResults[Month],"&lt;"&amp;EDATE(FMonth,1),tblResults[Cost line],$B$47))</f>
        <v>-86.8493150684953</v>
      </c>
      <c r="E47" s="40">
        <f>IF($B$47="","",SUMIFS(tblResults[Budget],tblResults[Month],"&gt;="&amp;FYStart,tblResults[Month],"&lt;"&amp;EDATE(FMonth,1),tblResults[Cost line],$B$47))</f>
        <v>230500</v>
      </c>
      <c r="F47" s="40">
        <f>IF($B$47="","",SUMIFS(tblResults[Flexed budget],tblResults[Month],"&gt;="&amp;FYStart,tblResults[Month],"&lt;"&amp;EDATE(FMonth,1),tblResults[Cost line],$B$47))</f>
        <v>221944.254777849</v>
      </c>
      <c r="G47" s="40">
        <f>IF($B$47="","",SUMIFS(tblResults[Actual],tblResults[Month],"&gt;="&amp;FYStart,tblResults[Month],"&lt;"&amp;EDATE(FMonth,1),tblResults[Cost line],$B$47))</f>
        <v>220650</v>
      </c>
      <c r="H47" s="41">
        <f>IF($B$47="","",SUMIFS(tblResults[Actual],tblResults[Month],"&gt;="&amp;FYStart,tblResults[Month],"&lt;"&amp;EDATE(FMonth,1),tblResults[Cost line],$B$47)-SUMIFS(tblResults[Flexed budget],tblResults[Month],"&gt;="&amp;FYStart,tblResults[Month],"&lt;"&amp;EDATE(FMonth,1),tblResults[Cost line],$B$47))</f>
        <v>-1294.25477784855</v>
      </c>
      <c r="I47" s="42">
        <f>IF($B$47="","",IF(($F$47)=0,"",($H$47)/($F$47)))</f>
        <v>-0.00583144077842434</v>
      </c>
      <c r="J47" s="43" t="str">
        <f>IF($B$47="","",IF($I$47="","",IF(AND(ABS($H$47)&gt;VarAmount,ABS($I$47)&gt;VarPct),IF($H$47&gt;0,"Out of limits","Check"),"Within limits")))</f>
        <v>Within limits</v>
      </c>
      <c r="K47" s="43"/>
    </row>
    <row r="48" spans="2:12">
      <c r="B48" s="62" t="str">
        <f>IFERROR(INDEX(tblCostLines[Cost line],10)&amp;"","")</f>
        <v>Waste and environment</v>
      </c>
      <c r="C48" s="40">
        <f>IF($B$48="","",SUMIFS(tblResults[Actual],tblResults[Month],"&gt;="&amp;FMonth,tblResults[Month],"&lt;"&amp;EDATE(FMonth,1),tblResults[Cost line],$B$48))</f>
        <v>14220</v>
      </c>
      <c r="D48" s="41">
        <f>IF($B$48="","",SUMIFS(tblResults[Actual],tblResults[Month],"&gt;="&amp;FMonth,tblResults[Month],"&lt;"&amp;EDATE(FMonth,1),tblResults[Cost line],$B$48)-SUMIFS(tblResults[Flexed budget],tblResults[Month],"&gt;="&amp;FMonth,tblResults[Month],"&lt;"&amp;EDATE(FMonth,1),tblResults[Cost line],$B$48))</f>
        <v>139.767123287671</v>
      </c>
      <c r="E48" s="40">
        <f>IF($B$48="","",SUMIFS(tblResults[Budget],tblResults[Month],"&gt;="&amp;FYStart,tblResults[Month],"&lt;"&amp;EDATE(FMonth,1),tblResults[Cost line],$B$48))</f>
        <v>131400</v>
      </c>
      <c r="F48" s="40">
        <f>IF($B$48="","",SUMIFS(tblResults[Flexed budget],tblResults[Month],"&gt;="&amp;FYStart,tblResults[Month],"&lt;"&amp;EDATE(FMonth,1),tblResults[Cost line],$B$48))</f>
        <v>125881.312956486</v>
      </c>
      <c r="G48" s="40">
        <f>IF($B$48="","",SUMIFS(tblResults[Actual],tblResults[Month],"&gt;="&amp;FYStart,tblResults[Month],"&lt;"&amp;EDATE(FMonth,1),tblResults[Cost line],$B$48))</f>
        <v>126110</v>
      </c>
      <c r="H48" s="41">
        <f>IF($B$48="","",SUMIFS(tblResults[Actual],tblResults[Month],"&gt;="&amp;FYStart,tblResults[Month],"&lt;"&amp;EDATE(FMonth,1),tblResults[Cost line],$B$48)-SUMIFS(tblResults[Flexed budget],tblResults[Month],"&gt;="&amp;FYStart,tblResults[Month],"&lt;"&amp;EDATE(FMonth,1),tblResults[Cost line],$B$48))</f>
        <v>228.687043514292</v>
      </c>
      <c r="I48" s="42">
        <f>IF($B$48="","",IF(($F$48)=0,"",($H$48)/($F$48)))</f>
        <v>0.00181668778425709</v>
      </c>
      <c r="J48" s="43" t="str">
        <f>IF($B$48="","",IF($I$48="","",IF(AND(ABS($H$48)&gt;VarAmount,ABS($I$48)&gt;VarPct),IF($H$48&gt;0,"Out of limits","Check"),"Within limits")))</f>
        <v>Within limits</v>
      </c>
      <c r="K48" s="43"/>
    </row>
    <row r="49" spans="2:11">
      <c r="B49" s="62" t="str">
        <f>IFERROR(INDEX(tblCostLines[Cost line],11)&amp;"","")</f>
        <v>Depreciation</v>
      </c>
      <c r="C49" s="40">
        <f>IF($B$49="","",SUMIFS(tblResults[Actual],tblResults[Month],"&gt;="&amp;FMonth,tblResults[Month],"&lt;"&amp;EDATE(FMonth,1),tblResults[Cost line],$B$49))</f>
        <v>41460</v>
      </c>
      <c r="D49" s="41">
        <f>IF($B$49="","",SUMIFS(tblResults[Actual],tblResults[Month],"&gt;="&amp;FMonth,tblResults[Month],"&lt;"&amp;EDATE(FMonth,1),tblResults[Cost line],$B$49)-SUMIFS(tblResults[Flexed budget],tblResults[Month],"&gt;="&amp;FMonth,tblResults[Month],"&lt;"&amp;EDATE(FMonth,1),tblResults[Cost line],$B$49))</f>
        <v>460</v>
      </c>
      <c r="E49" s="40">
        <f>IF($B$49="","",SUMIFS(tblResults[Budget],tblResults[Month],"&gt;="&amp;FYStart,tblResults[Month],"&lt;"&amp;EDATE(FMonth,1),tblResults[Cost line],$B$49))</f>
        <v>369000</v>
      </c>
      <c r="F49" s="40">
        <f>IF($B$49="","",SUMIFS(tblResults[Flexed budget],tblResults[Month],"&gt;="&amp;FYStart,tblResults[Month],"&lt;"&amp;EDATE(FMonth,1),tblResults[Cost line],$B$49))</f>
        <v>369000</v>
      </c>
      <c r="G49" s="40">
        <f>IF($B$49="","",SUMIFS(tblResults[Actual],tblResults[Month],"&gt;="&amp;FYStart,tblResults[Month],"&lt;"&amp;EDATE(FMonth,1),tblResults[Cost line],$B$49))</f>
        <v>371330</v>
      </c>
      <c r="H49" s="41">
        <f>IF($B$49="","",SUMIFS(tblResults[Actual],tblResults[Month],"&gt;="&amp;FYStart,tblResults[Month],"&lt;"&amp;EDATE(FMonth,1),tblResults[Cost line],$B$49)-SUMIFS(tblResults[Flexed budget],tblResults[Month],"&gt;="&amp;FYStart,tblResults[Month],"&lt;"&amp;EDATE(FMonth,1),tblResults[Cost line],$B$49))</f>
        <v>2330</v>
      </c>
      <c r="I49" s="42">
        <f>IF($B$49="","",IF(($F$49)=0,"",($H$49)/($F$49)))</f>
        <v>0.00631436314363144</v>
      </c>
      <c r="J49" s="43" t="str">
        <f>IF($B$49="","",IF($I$49="","",IF(AND(ABS($H$49)&gt;VarAmount,ABS($I$49)&gt;VarPct),IF($H$49&gt;0,"Out of limits","Check"),"Within limits")))</f>
        <v>Within limits</v>
      </c>
      <c r="K49" s="43"/>
    </row>
    <row r="50" spans="2:11">
      <c r="B50" s="62" t="str">
        <f>IFERROR(INDEX(tblCostLines[Cost line],12)&amp;"","")</f>
        <v>Site costs</v>
      </c>
      <c r="C50" s="40">
        <f>IF($B$50="","",SUMIFS(tblResults[Actual],tblResults[Month],"&gt;="&amp;FMonth,tblResults[Month],"&lt;"&amp;EDATE(FMonth,1),tblResults[Cost line],$B$50))</f>
        <v>18760</v>
      </c>
      <c r="D50" s="41">
        <f>IF($B$50="","",SUMIFS(tblResults[Actual],tblResults[Month],"&gt;="&amp;FMonth,tblResults[Month],"&lt;"&amp;EDATE(FMonth,1),tblResults[Cost line],$B$50)-SUMIFS(tblResults[Flexed budget],tblResults[Month],"&gt;="&amp;FMonth,tblResults[Month],"&lt;"&amp;EDATE(FMonth,1),tblResults[Cost line],$B$50))</f>
        <v>260</v>
      </c>
      <c r="E50" s="40">
        <f>IF($B$50="","",SUMIFS(tblResults[Budget],tblResults[Month],"&gt;="&amp;FYStart,tblResults[Month],"&lt;"&amp;EDATE(FMonth,1),tblResults[Cost line],$B$50))</f>
        <v>166500</v>
      </c>
      <c r="F50" s="40">
        <f>IF($B$50="","",SUMIFS(tblResults[Flexed budget],tblResults[Month],"&gt;="&amp;FYStart,tblResults[Month],"&lt;"&amp;EDATE(FMonth,1),tblResults[Cost line],$B$50))</f>
        <v>166500</v>
      </c>
      <c r="G50" s="40">
        <f>IF($B$50="","",SUMIFS(tblResults[Actual],tblResults[Month],"&gt;="&amp;FYStart,tblResults[Month],"&lt;"&amp;EDATE(FMonth,1),tblResults[Cost line],$B$50))</f>
        <v>167360</v>
      </c>
      <c r="H50" s="41">
        <f>IF($B$50="","",SUMIFS(tblResults[Actual],tblResults[Month],"&gt;="&amp;FYStart,tblResults[Month],"&lt;"&amp;EDATE(FMonth,1),tblResults[Cost line],$B$50)-SUMIFS(tblResults[Flexed budget],tblResults[Month],"&gt;="&amp;FYStart,tblResults[Month],"&lt;"&amp;EDATE(FMonth,1),tblResults[Cost line],$B$50))</f>
        <v>860</v>
      </c>
      <c r="I50" s="42">
        <f>IF($B$50="","",IF(($F$50)=0,"",($H$50)/($F$50)))</f>
        <v>0.00516516516516517</v>
      </c>
      <c r="J50" s="43" t="str">
        <f>IF($B$50="","",IF($I$50="","",IF(AND(ABS($H$50)&gt;VarAmount,ABS($I$50)&gt;VarPct),IF($H$50&gt;0,"Out of limits","Check"),"Within limits")))</f>
        <v>Within limits</v>
      </c>
      <c r="K50" s="43"/>
    </row>
    <row r="52" spans="2:11">
      <c r="B52" s="32" t="s">
        <v>150</v>
      </c>
      <c r="C52" s="32"/>
      <c r="D52" s="32"/>
      <c r="E52" s="32"/>
      <c r="F52" s="32"/>
      <c r="G52" s="32"/>
      <c r="H52" s="32"/>
    </row>
    <row r="53" spans="2:11" ht="45.5" customHeight="1">
      <c r="B53" s="61" t="s">
        <v>63</v>
      </c>
      <c r="C53" s="33" t="s">
        <v>144</v>
      </c>
      <c r="D53" s="33" t="s">
        <v>145</v>
      </c>
      <c r="E53" s="33" t="s">
        <v>146</v>
      </c>
      <c r="F53" s="33" t="s">
        <v>147</v>
      </c>
      <c r="G53" s="33" t="s">
        <v>148</v>
      </c>
      <c r="H53" s="33" t="s">
        <v>151</v>
      </c>
    </row>
    <row r="54" spans="2:11">
      <c r="B54" s="62" t="str">
        <f>IFERROR(INDEX(tblGroups[Group],1)&amp;"","")</f>
        <v>Materials</v>
      </c>
      <c r="C54" s="40">
        <f>IF($B$54="","",SUMIFS(tblResults[Budget],tblResults[Month],"&gt;="&amp;FYStart,tblResults[Month],"&lt;"&amp;EDATE(FMonth,1),tblResults[Group],$B$54))</f>
        <v>5152900</v>
      </c>
      <c r="D54" s="40">
        <f>IF($B$54="","",SUMIFS(tblResults[Flexed budget],tblResults[Month],"&gt;="&amp;FYStart,tblResults[Month],"&lt;"&amp;EDATE(FMonth,1),tblResults[Group],$B$54))</f>
        <v>4902206.0861678</v>
      </c>
      <c r="E54" s="40">
        <f>IF($B$54="","",SUMIFS(tblResults[Actual],tblResults[Month],"&gt;="&amp;FYStart,tblResults[Month],"&lt;"&amp;EDATE(FMonth,1),tblResults[Group],$B$54))</f>
        <v>4962880</v>
      </c>
      <c r="F54" s="41">
        <f>IF($B$54="","",$E$54-$D$54)</f>
        <v>60673.9138322026</v>
      </c>
      <c r="G54" s="42">
        <f>IF($B$54="","",IF(($D$54)=0,"",($F$54)/($D$54)))</f>
        <v>0.0123768590642082</v>
      </c>
      <c r="H54" s="41">
        <f>IF($B$54="","",SUMIFS(tblResults[Volume effect],tblResults[Month],"&gt;="&amp;FYStart,tblResults[Month],"&lt;"&amp;EDATE(FMonth,1),tblResults[Group],$B$54))</f>
        <v>-250693.913832202</v>
      </c>
    </row>
    <row r="55" spans="2:11">
      <c r="B55" s="62" t="str">
        <f>IFERROR(INDEX(tblGroups[Group],2)&amp;"","")</f>
        <v>Energy</v>
      </c>
      <c r="C55" s="40">
        <f>IF($B$55="","",SUMIFS(tblResults[Budget],tblResults[Month],"&gt;="&amp;FYStart,tblResults[Month],"&lt;"&amp;EDATE(FMonth,1),tblResults[Group],$B$55))</f>
        <v>1345500</v>
      </c>
      <c r="D55" s="40">
        <f>IF($B$55="","",SUMIFS(tblResults[Flexed budget],tblResults[Month],"&gt;="&amp;FYStart,tblResults[Month],"&lt;"&amp;EDATE(FMonth,1),tblResults[Group],$B$55))</f>
        <v>1291644.34282592</v>
      </c>
      <c r="E55" s="40">
        <f>IF($B$55="","",SUMIFS(tblResults[Actual],tblResults[Month],"&gt;="&amp;FYStart,tblResults[Month],"&lt;"&amp;EDATE(FMonth,1),tblResults[Group],$B$55))</f>
        <v>1344460</v>
      </c>
      <c r="F55" s="41">
        <f>IF($B$55="","",$E$55-$D$55)</f>
        <v>52815.6571740781</v>
      </c>
      <c r="G55" s="42">
        <f>IF($B$55="","",IF(($D$55)=0,"",($F$55)/($D$55)))</f>
        <v>0.0408902477430632</v>
      </c>
      <c r="H55" s="41">
        <f>IF($B$55="","",SUMIFS(tblResults[Volume effect],tblResults[Month],"&gt;="&amp;FYStart,tblResults[Month],"&lt;"&amp;EDATE(FMonth,1),tblResults[Group],$B$55))</f>
        <v>-53855.657174078</v>
      </c>
    </row>
    <row r="56" spans="2:11">
      <c r="B56" s="62" t="str">
        <f>IFERROR(INDEX(tblGroups[Group],3)&amp;"","")</f>
        <v>Labour</v>
      </c>
      <c r="C56" s="40">
        <f>IF($B$56="","",SUMIFS(tblResults[Budget],tblResults[Month],"&gt;="&amp;FYStart,tblResults[Month],"&lt;"&amp;EDATE(FMonth,1),tblResults[Group],$B$56))</f>
        <v>1557400</v>
      </c>
      <c r="D56" s="40">
        <f>IF($B$56="","",SUMIFS(tblResults[Flexed budget],tblResults[Month],"&gt;="&amp;FYStart,tblResults[Month],"&lt;"&amp;EDATE(FMonth,1),tblResults[Group],$B$56))</f>
        <v>1529432.64236082</v>
      </c>
      <c r="E56" s="40">
        <f>IF($B$56="","",SUMIFS(tblResults[Actual],tblResults[Month],"&gt;="&amp;FYStart,tblResults[Month],"&lt;"&amp;EDATE(FMonth,1),tblResults[Group],$B$56))</f>
        <v>1547190</v>
      </c>
      <c r="F56" s="41">
        <f>IF($B$56="","",$E$56-$D$56)</f>
        <v>17757.3576391821</v>
      </c>
      <c r="G56" s="42">
        <f>IF($B$56="","",IF(($D$56)=0,"",($F$56)/($D$56)))</f>
        <v>0.0116104215036054</v>
      </c>
      <c r="H56" s="41">
        <f>IF($B$56="","",SUMIFS(tblResults[Volume effect],tblResults[Month],"&gt;="&amp;FYStart,tblResults[Month],"&lt;"&amp;EDATE(FMonth,1),tblResults[Group],$B$56))</f>
        <v>-27967.3576391822</v>
      </c>
    </row>
    <row r="57" spans="2:11">
      <c r="B57" s="62" t="str">
        <f>IFERROR(INDEX(tblGroups[Group],4)&amp;"","")</f>
        <v>Overheads</v>
      </c>
      <c r="C57" s="40">
        <f>IF($B$57="","",SUMIFS(tblResults[Budget],tblResults[Month],"&gt;="&amp;FYStart,tblResults[Month],"&lt;"&amp;EDATE(FMonth,1),tblResults[Group],$B$57))</f>
        <v>1214300</v>
      </c>
      <c r="D57" s="40">
        <f>IF($B$57="","",SUMIFS(tblResults[Flexed budget],tblResults[Month],"&gt;="&amp;FYStart,tblResults[Month],"&lt;"&amp;EDATE(FMonth,1),tblResults[Group],$B$57))</f>
        <v>1195487.87149049</v>
      </c>
      <c r="E57" s="40">
        <f>IF($B$57="","",SUMIFS(tblResults[Actual],tblResults[Month],"&gt;="&amp;FYStart,tblResults[Month],"&lt;"&amp;EDATE(FMonth,1),tblResults[Group],$B$57))</f>
        <v>1233740</v>
      </c>
      <c r="F57" s="41">
        <f>IF($B$57="","",$E$57-$D$57)</f>
        <v>38252.1285095143</v>
      </c>
      <c r="G57" s="42">
        <f>IF($B$57="","",IF(($D$57)=0,"",($F$57)/($D$57)))</f>
        <v>0.031997086228757</v>
      </c>
      <c r="H57" s="41">
        <f>IF($B$57="","",SUMIFS(tblResults[Volume effect],tblResults[Month],"&gt;="&amp;FYStart,tblResults[Month],"&lt;"&amp;EDATE(FMonth,1),tblResults[Group],$B$57))</f>
        <v>-18812.1285095142</v>
      </c>
    </row>
    <row r="59" spans="2:11">
      <c r="B59" s="32" t="s">
        <v>152</v>
      </c>
      <c r="C59" s="32"/>
      <c r="D59" s="32"/>
      <c r="E59" s="32"/>
      <c r="F59" s="32"/>
      <c r="G59" s="32"/>
      <c r="H59" s="32"/>
      <c r="I59" s="32"/>
      <c r="J59" s="32"/>
      <c r="K59" s="32"/>
    </row>
    <row r="60" spans="2:11" ht="59" customHeight="1">
      <c r="B60" s="61" t="s">
        <v>109</v>
      </c>
      <c r="C60" s="33" t="s">
        <v>110</v>
      </c>
      <c r="D60" s="33" t="s">
        <v>113</v>
      </c>
      <c r="E60" s="33" t="s">
        <v>111</v>
      </c>
      <c r="F60" s="33" t="s">
        <v>114</v>
      </c>
      <c r="G60" s="33" t="s">
        <v>115</v>
      </c>
      <c r="H60" s="33" t="str">
        <f>"Budget volume ("&amp;VolumeUnit&amp;")"</f>
        <v>Budget volume (t)</v>
      </c>
      <c r="I60" s="33" t="str">
        <f>"Actual volume ("&amp;VolumeUnit&amp;")"</f>
        <v>Actual volume (t)</v>
      </c>
      <c r="J60" s="33" t="s">
        <v>153</v>
      </c>
      <c r="K60" s="33" t="s">
        <v>154</v>
      </c>
    </row>
    <row r="61" spans="2:11">
      <c r="B61" s="63">
        <f>FYStart</f>
        <v>46023</v>
      </c>
      <c r="C61" s="40">
        <f>IF($B$61="","",SUMIFS(tblResults[Budget],tblResults[Month],"&gt;="&amp;$B$61,tblResults[Month],"&lt;"&amp;EDATE($B$61,1)))</f>
        <v>1018100</v>
      </c>
      <c r="D61" s="40">
        <f>IF($B$61="","",IF($B$61&gt;FMonth,"",SUMIFS(tblResults[Flexed budget],tblResults[Month],"&gt;="&amp;$B$61,tblResults[Month],"&lt;"&amp;EDATE($B$61,1))))</f>
        <v>1002283.55072464</v>
      </c>
      <c r="E61" s="40">
        <f>IF($B$61="","",IF($B$61&gt;FMonth,"",SUMIFS(tblResults[Actual],tblResults[Month],"&gt;="&amp;$B$61,tblResults[Month],"&lt;"&amp;EDATE($B$61,1))))</f>
        <v>1003110</v>
      </c>
      <c r="F61" s="41">
        <f>IF($B$61="","",IF($E$61="","",$E$61-$D$61))</f>
        <v>826.449275362305</v>
      </c>
      <c r="G61" s="42">
        <f>IF($B$61="","",IF(OR($E$61="",$D$61=0),"",$F$61/$D$61))</f>
        <v>0.000824566336307519</v>
      </c>
      <c r="H61" s="40">
        <f>IF($B$61="","",SUMIFS(tblVolume[Budget volume],tblVolume[Month],"&gt;="&amp;$B$61,tblVolume[Month],"&lt;"&amp;EDATE($B$61,1)))</f>
        <v>1380</v>
      </c>
      <c r="I61" s="40">
        <f>IF($B$61="","",IF($B$61&gt;FMonth,"",SUMIFS(tblVolume[Actual volume],tblVolume[Month],"&gt;="&amp;$B$61,tblVolume[Month],"&lt;"&amp;EDATE($B$61,1))))</f>
        <v>1352</v>
      </c>
      <c r="J61" s="64">
        <f>IF($B$61="","",IF(($H$61)=0,"",($C$61)/($H$61)))</f>
        <v>737.753623188406</v>
      </c>
      <c r="K61" s="64">
        <f>IF($B$61="","",IF(OR($E$61="",N($I$61)=0),"",$E$61/$I$61))</f>
        <v>741.945266272189</v>
      </c>
    </row>
    <row r="62" spans="2:11">
      <c r="B62" s="63">
        <f>EDATE($B$61,1)</f>
        <v>46054</v>
      </c>
      <c r="C62" s="40">
        <f>IF($B$62="","",SUMIFS(tblResults[Budget],tblResults[Month],"&gt;="&amp;$B$62,tblResults[Month],"&lt;"&amp;EDATE($B$62,1)))</f>
        <v>1040700</v>
      </c>
      <c r="D62" s="40">
        <f>IF($B$62="","",IF($B$62&gt;FMonth,"",SUMIFS(tblResults[Flexed budget],tblResults[Month],"&gt;="&amp;$B$62,tblResults[Month],"&lt;"&amp;EDATE($B$62,1))))</f>
        <v>1052530.32042254</v>
      </c>
      <c r="E62" s="40">
        <f>IF($B$62="","",IF($B$62&gt;FMonth,"",SUMIFS(tblResults[Actual],tblResults[Month],"&gt;="&amp;$B$62,tblResults[Month],"&lt;"&amp;EDATE($B$62,1))))</f>
        <v>1053650</v>
      </c>
      <c r="F62" s="41">
        <f>IF($B$62="","",IF($E$62="","",$E$62-$D$62))</f>
        <v>1119.6795774647</v>
      </c>
      <c r="G62" s="42">
        <f>IF($B$62="","",IF(OR($E$62="",$D$62=0),"",$F$62/$D$62))</f>
        <v>0.00106379793127025</v>
      </c>
      <c r="H62" s="40">
        <f>IF($B$62="","",SUMIFS(tblVolume[Budget volume],tblVolume[Month],"&gt;="&amp;$B$62,tblVolume[Month],"&lt;"&amp;EDATE($B$62,1)))</f>
        <v>1420</v>
      </c>
      <c r="I62" s="40">
        <f>IF($B$62="","",IF($B$62&gt;FMonth,"",SUMIFS(tblVolume[Actual volume],tblVolume[Month],"&gt;="&amp;$B$62,tblVolume[Month],"&lt;"&amp;EDATE($B$62,1))))</f>
        <v>1441</v>
      </c>
      <c r="J62" s="64">
        <f>IF($B$62="","",IF(($H$62)=0,"",($C$62)/($H$62)))</f>
        <v>732.887323943662</v>
      </c>
      <c r="K62" s="64">
        <f>IF($B$62="","",IF(OR($E$62="",N($I$62)=0),"",$E$62/$I$62))</f>
        <v>731.193615544761</v>
      </c>
    </row>
    <row r="63" spans="2:11">
      <c r="B63" s="63">
        <f>EDATE($B$62,1)</f>
        <v>46082</v>
      </c>
      <c r="C63" s="40">
        <f>IF($B$63="","",SUMIFS(tblResults[Budget],tblResults[Month],"&gt;="&amp;$B$63,tblResults[Month],"&lt;"&amp;EDATE($B$63,1)))</f>
        <v>1097300</v>
      </c>
      <c r="D63" s="40">
        <f>IF($B$63="","",IF($B$63&gt;FMonth,"",SUMIFS(tblResults[Flexed budget],tblResults[Month],"&gt;="&amp;$B$63,tblResults[Month],"&lt;"&amp;EDATE($B$63,1))))</f>
        <v>1079379.15789474</v>
      </c>
      <c r="E63" s="40">
        <f>IF($B$63="","",IF($B$63&gt;FMonth,"",SUMIFS(tblResults[Actual],tblResults[Month],"&gt;="&amp;$B$63,tblResults[Month],"&lt;"&amp;EDATE($B$63,1))))</f>
        <v>1091000</v>
      </c>
      <c r="F63" s="41">
        <f>IF($B$63="","",IF($E$63="","",$E$63-$D$63))</f>
        <v>11620.8421052631</v>
      </c>
      <c r="G63" s="42">
        <f>IF($B$63="","",IF(OR($E$63="",$D$63=0),"",$F$63/$D$63))</f>
        <v>0.0107662279934411</v>
      </c>
      <c r="H63" s="40">
        <f>IF($B$63="","",SUMIFS(tblVolume[Budget volume],tblVolume[Month],"&gt;="&amp;$B$63,tblVolume[Month],"&lt;"&amp;EDATE($B$63,1)))</f>
        <v>1520</v>
      </c>
      <c r="I63" s="40">
        <f>IF($B$63="","",IF($B$63&gt;FMonth,"",SUMIFS(tblVolume[Actual volume],tblVolume[Month],"&gt;="&amp;$B$63,tblVolume[Month],"&lt;"&amp;EDATE($B$63,1))))</f>
        <v>1488</v>
      </c>
      <c r="J63" s="64">
        <f>IF($B$63="","",IF(($H$63)=0,"",($C$63)/($H$63)))</f>
        <v>721.907894736842</v>
      </c>
      <c r="K63" s="64">
        <f>IF($B$63="","",IF(OR($E$63="",N($I$63)=0),"",$E$63/$I$63))</f>
        <v>733.198924731183</v>
      </c>
    </row>
    <row r="64" spans="2:11">
      <c r="B64" s="63">
        <f>EDATE($B$63,1)</f>
        <v>46113</v>
      </c>
      <c r="C64" s="40">
        <f>IF($B$64="","",SUMIFS(tblResults[Budget],tblResults[Month],"&gt;="&amp;$B$64,tblResults[Month],"&lt;"&amp;EDATE($B$64,1)))</f>
        <v>1057600</v>
      </c>
      <c r="D64" s="40">
        <f>IF($B$64="","",IF($B$64&gt;FMonth,"",SUMIFS(tblResults[Flexed budget],tblResults[Month],"&gt;="&amp;$B$64,tblResults[Month],"&lt;"&amp;EDATE($B$64,1))))</f>
        <v>1023862.82758621</v>
      </c>
      <c r="E64" s="40">
        <f>IF($B$64="","",IF($B$64&gt;FMonth,"",SUMIFS(tblResults[Actual],tblResults[Month],"&gt;="&amp;$B$64,tblResults[Month],"&lt;"&amp;EDATE($B$64,1))))</f>
        <v>1028560</v>
      </c>
      <c r="F64" s="41">
        <f>IF($B$64="","",IF($E$64="","",$E$64-$D$64))</f>
        <v>4697.17241379304</v>
      </c>
      <c r="G64" s="42">
        <f>IF($B$64="","",IF(OR($E$64="",$D$64=0),"",$F$64/$D$64))</f>
        <v>0.00458769699146789</v>
      </c>
      <c r="H64" s="40">
        <f>IF($B$64="","",SUMIFS(tblVolume[Budget volume],tblVolume[Month],"&gt;="&amp;$B$64,tblVolume[Month],"&lt;"&amp;EDATE($B$64,1)))</f>
        <v>1450</v>
      </c>
      <c r="I64" s="40">
        <f>IF($B$64="","",IF($B$64&gt;FMonth,"",SUMIFS(tblVolume[Actual volume],tblVolume[Month],"&gt;="&amp;$B$64,tblVolume[Month],"&lt;"&amp;EDATE($B$64,1))))</f>
        <v>1390</v>
      </c>
      <c r="J64" s="64">
        <f>IF($B$64="","",IF(($H$64)=0,"",($C$64)/($H$64)))</f>
        <v>729.379310344828</v>
      </c>
      <c r="K64" s="64">
        <f>IF($B$64="","",IF(OR($E$64="",N($I$64)=0),"",$E$64/$I$64))</f>
        <v>739.971223021583</v>
      </c>
    </row>
    <row r="65" spans="2:12">
      <c r="B65" s="63">
        <f>EDATE($B$64,1)</f>
        <v>46143</v>
      </c>
      <c r="C65" s="40">
        <f>IF($B$65="","",SUMIFS(tblResults[Budget],tblResults[Month],"&gt;="&amp;$B$65,tblResults[Month],"&lt;"&amp;EDATE($B$65,1)))</f>
        <v>1074700</v>
      </c>
      <c r="D65" s="40">
        <f>IF($B$65="","",IF($B$65&gt;FMonth,"",SUMIFS(tblResults[Flexed budget],tblResults[Month],"&gt;="&amp;$B$65,tblResults[Month],"&lt;"&amp;EDATE($B$65,1))))</f>
        <v>1010143.81756757</v>
      </c>
      <c r="E65" s="40">
        <f>IF($B$65="","",IF($B$65&gt;FMonth,"",SUMIFS(tblResults[Actual],tblResults[Month],"&gt;="&amp;$B$65,tblResults[Month],"&lt;"&amp;EDATE($B$65,1))))</f>
        <v>1036570</v>
      </c>
      <c r="F65" s="41">
        <f>IF($B$65="","",IF($E$65="","",$E$65-$D$65))</f>
        <v>26426.1824324324</v>
      </c>
      <c r="G65" s="42">
        <f>IF($B$65="","",IF(OR($E$65="",$D$65=0),"",$F$65/$D$65))</f>
        <v>0.0261608119288072</v>
      </c>
      <c r="H65" s="40">
        <f>IF($B$65="","",SUMIFS(tblVolume[Budget volume],tblVolume[Month],"&gt;="&amp;$B$65,tblVolume[Month],"&lt;"&amp;EDATE($B$65,1)))</f>
        <v>1480</v>
      </c>
      <c r="I65" s="40">
        <f>IF($B$65="","",IF($B$65&gt;FMonth,"",SUMIFS(tblVolume[Actual volume],tblVolume[Month],"&gt;="&amp;$B$65,tblVolume[Month],"&lt;"&amp;EDATE($B$65,1))))</f>
        <v>1365</v>
      </c>
      <c r="J65" s="64">
        <f>IF($B$65="","",IF(($H$65)=0,"",($C$65)/($H$65)))</f>
        <v>726.148648648649</v>
      </c>
      <c r="K65" s="64">
        <f>IF($B$65="","",IF(OR($E$65="",N($I$65)=0),"",$E$65/$I$65))</f>
        <v>759.391941391941</v>
      </c>
    </row>
    <row r="66" spans="2:12">
      <c r="B66" s="63">
        <f>EDATE($B$65,1)</f>
        <v>46174</v>
      </c>
      <c r="C66" s="40">
        <f>IF($B$66="","",SUMIFS(tblResults[Budget],tblResults[Month],"&gt;="&amp;$B$66,tblResults[Month],"&lt;"&amp;EDATE($B$66,1)))</f>
        <v>1086000</v>
      </c>
      <c r="D66" s="40">
        <f>IF($B$66="","",IF($B$66&gt;FMonth,"",SUMIFS(tblResults[Flexed budget],tblResults[Month],"&gt;="&amp;$B$66,tblResults[Month],"&lt;"&amp;EDATE($B$66,1))))</f>
        <v>1031053.03333333</v>
      </c>
      <c r="E66" s="40">
        <f>IF($B$66="","",IF($B$66&gt;FMonth,"",SUMIFS(tblResults[Actual],tblResults[Month],"&gt;="&amp;$B$66,tblResults[Month],"&lt;"&amp;EDATE($B$66,1))))</f>
        <v>1100590</v>
      </c>
      <c r="F66" s="41">
        <f>IF($B$66="","",IF($E$66="","",$E$66-$D$66))</f>
        <v>69536.9666666667</v>
      </c>
      <c r="G66" s="42">
        <f>IF($B$66="","",IF(OR($E$66="",$D$66=0),"",$F$66/$D$66))</f>
        <v>0.067442667271787</v>
      </c>
      <c r="H66" s="40">
        <f>IF($B$66="","",SUMIFS(tblVolume[Budget volume],tblVolume[Month],"&gt;="&amp;$B$66,tblVolume[Month],"&lt;"&amp;EDATE($B$66,1)))</f>
        <v>1500</v>
      </c>
      <c r="I66" s="40">
        <f>IF($B$66="","",IF($B$66&gt;FMonth,"",SUMIFS(tblVolume[Actual volume],tblVolume[Month],"&gt;="&amp;$B$66,tblVolume[Month],"&lt;"&amp;EDATE($B$66,1))))</f>
        <v>1402</v>
      </c>
      <c r="J66" s="64">
        <f>IF($B$66="","",IF(($H$66)=0,"",($C$66)/($H$66)))</f>
        <v>724</v>
      </c>
      <c r="K66" s="64">
        <f>IF($B$66="","",IF(OR($E$66="",N($I$66)=0),"",$E$66/$I$66))</f>
        <v>785.014265335235</v>
      </c>
    </row>
    <row r="67" spans="2:12">
      <c r="B67" s="63">
        <f>EDATE($B$66,1)</f>
        <v>46204</v>
      </c>
      <c r="C67" s="40">
        <f>IF($B$67="","",SUMIFS(tblResults[Budget],tblResults[Month],"&gt;="&amp;$B$67,tblResults[Month],"&lt;"&amp;EDATE($B$67,1)))</f>
        <v>1040700</v>
      </c>
      <c r="D67" s="40">
        <f>IF($B$67="","",IF($B$67&gt;FMonth,"",SUMIFS(tblResults[Flexed budget],tblResults[Month],"&gt;="&amp;$B$67,tblResults[Month],"&lt;"&amp;EDATE($B$67,1))))</f>
        <v>973661.517605634</v>
      </c>
      <c r="E67" s="40">
        <f>IF($B$67="","",IF($B$67&gt;FMonth,"",SUMIFS(tblResults[Actual],tblResults[Month],"&gt;="&amp;$B$67,tblResults[Month],"&lt;"&amp;EDATE($B$67,1))))</f>
        <v>993570</v>
      </c>
      <c r="F67" s="41">
        <f>IF($B$67="","",IF($E$67="","",$E$67-$D$67))</f>
        <v>19908.4823943662</v>
      </c>
      <c r="G67" s="42">
        <f>IF($B$67="","",IF(OR($E$67="",$D$67=0),"",$F$67/$D$67))</f>
        <v>0.0204470260294603</v>
      </c>
      <c r="H67" s="40">
        <f>IF($B$67="","",SUMIFS(tblVolume[Budget volume],tblVolume[Month],"&gt;="&amp;$B$67,tblVolume[Month],"&lt;"&amp;EDATE($B$67,1)))</f>
        <v>1420</v>
      </c>
      <c r="I67" s="40">
        <f>IF($B$67="","",IF($B$67&gt;FMonth,"",SUMIFS(tblVolume[Actual volume],tblVolume[Month],"&gt;="&amp;$B$67,tblVolume[Month],"&lt;"&amp;EDATE($B$67,1))))</f>
        <v>1301</v>
      </c>
      <c r="J67" s="64">
        <f>IF($B$67="","",IF(($H$67)=0,"",($C$67)/($H$67)))</f>
        <v>732.887323943662</v>
      </c>
      <c r="K67" s="64">
        <f>IF($B$67="","",IF(OR($E$67="",N($I$67)=0),"",$E$67/$I$67))</f>
        <v>763.69715603382</v>
      </c>
    </row>
    <row r="68" spans="2:12">
      <c r="B68" s="63">
        <f>EDATE($B$67,1)</f>
        <v>46235</v>
      </c>
      <c r="C68" s="40">
        <f>IF($B$68="","",SUMIFS(tblResults[Budget],tblResults[Month],"&gt;="&amp;$B$68,tblResults[Month],"&lt;"&amp;EDATE($B$68,1)))</f>
        <v>791700</v>
      </c>
      <c r="D68" s="40">
        <f>IF($B$68="","",IF($B$68&gt;FMonth,"",SUMIFS(tblResults[Flexed budget],tblResults[Month],"&gt;="&amp;$B$68,tblResults[Month],"&lt;"&amp;EDATE($B$68,1))))</f>
        <v>747741.964285714</v>
      </c>
      <c r="E68" s="40">
        <f>IF($B$68="","",IF($B$68&gt;FMonth,"",SUMIFS(tblResults[Actual],tblResults[Month],"&gt;="&amp;$B$68,tblResults[Month],"&lt;"&amp;EDATE($B$68,1))))</f>
        <v>766120</v>
      </c>
      <c r="F68" s="41">
        <f>IF($B$68="","",IF($E$68="","",$E$68-$D$68))</f>
        <v>18378.0357142857</v>
      </c>
      <c r="G68" s="42">
        <f>IF($B$68="","",IF(OR($E$68="",$D$68=0),"",$F$68/$D$68))</f>
        <v>0.0245780450905165</v>
      </c>
      <c r="H68" s="40">
        <f>IF($B$68="","",SUMIFS(tblVolume[Budget volume],tblVolume[Month],"&gt;="&amp;$B$68,tblVolume[Month],"&lt;"&amp;EDATE($B$68,1)))</f>
        <v>980</v>
      </c>
      <c r="I68" s="40">
        <f>IF($B$68="","",IF($B$68&gt;FMonth,"",SUMIFS(tblVolume[Actual volume],tblVolume[Month],"&gt;="&amp;$B$68,tblVolume[Month],"&lt;"&amp;EDATE($B$68,1))))</f>
        <v>905</v>
      </c>
      <c r="J68" s="64">
        <f>IF($B$68="","",IF(($H$68)=0,"",($C$68)/($H$68)))</f>
        <v>807.857142857143</v>
      </c>
      <c r="K68" s="64">
        <f>IF($B$68="","",IF(OR($E$68="",N($I$68)=0),"",$E$68/$I$68))</f>
        <v>846.541436464088</v>
      </c>
    </row>
    <row r="69" spans="2:12">
      <c r="B69" s="63">
        <f>EDATE($B$68,1)</f>
        <v>46266</v>
      </c>
      <c r="C69" s="40">
        <f>IF($B$69="","",SUMIFS(tblResults[Budget],tblResults[Month],"&gt;="&amp;$B$69,tblResults[Month],"&lt;"&amp;EDATE($B$69,1)))</f>
        <v>1063300</v>
      </c>
      <c r="D69" s="40">
        <f>IF($B$69="","",IF($B$69&gt;FMonth,"",SUMIFS(tblResults[Flexed budget],tblResults[Month],"&gt;="&amp;$B$69,tblResults[Month],"&lt;"&amp;EDATE($B$69,1))))</f>
        <v>998114.753424658</v>
      </c>
      <c r="E69" s="40">
        <f>IF($B$69="","",IF($B$69&gt;FMonth,"",SUMIFS(tblResults[Actual],tblResults[Month],"&gt;="&amp;$B$69,tblResults[Month],"&lt;"&amp;EDATE($B$69,1))))</f>
        <v>1015100</v>
      </c>
      <c r="F69" s="41">
        <f>IF($B$69="","",IF($E$69="","",$E$69-$D$69))</f>
        <v>16985.2465753425</v>
      </c>
      <c r="G69" s="42">
        <f>IF($B$69="","",IF(OR($E$69="",$D$69=0),"",$F$69/$D$69))</f>
        <v>0.017017328435497</v>
      </c>
      <c r="H69" s="40">
        <f>IF($B$69="","",SUMIFS(tblVolume[Budget volume],tblVolume[Month],"&gt;="&amp;$B$69,tblVolume[Month],"&lt;"&amp;EDATE($B$69,1)))</f>
        <v>1460</v>
      </c>
      <c r="I69" s="40">
        <f>IF($B$69="","",IF($B$69&gt;FMonth,"",SUMIFS(tblVolume[Actual volume],tblVolume[Month],"&gt;="&amp;$B$69,tblVolume[Month],"&lt;"&amp;EDATE($B$69,1))))</f>
        <v>1344</v>
      </c>
      <c r="J69" s="64">
        <f>IF($B$69="","",IF(($H$69)=0,"",($C$69)/($H$69)))</f>
        <v>728.287671232877</v>
      </c>
      <c r="K69" s="64">
        <f>IF($B$69="","",IF(OR($E$69="",N($I$69)=0),"",$E$69/$I$69))</f>
        <v>755.282738095238</v>
      </c>
    </row>
    <row r="70" spans="2:12">
      <c r="B70" s="63">
        <f>EDATE($B$69,1)</f>
        <v>46296</v>
      </c>
      <c r="C70" s="40">
        <f>IF($B$70="","",SUMIFS(tblResults[Budget],tblResults[Month],"&gt;="&amp;$B$70,tblResults[Month],"&lt;"&amp;EDATE($B$70,1)))</f>
        <v>1086000</v>
      </c>
      <c r="D70" s="40">
        <f>IF($B$70="","",IF($B$70&gt;FMonth,"",SUMIFS(tblResults[Flexed budget],tblResults[Month],"&gt;="&amp;$B$70,tblResults[Month],"&lt;"&amp;EDATE($B$70,1))))</f>
        <v/>
      </c>
      <c r="E70" s="40">
        <f>IF($B$70="","",IF($B$70&gt;FMonth,"",SUMIFS(tblResults[Actual],tblResults[Month],"&gt;="&amp;$B$70,tblResults[Month],"&lt;"&amp;EDATE($B$70,1))))</f>
        <v/>
      </c>
      <c r="F70" s="41">
        <f>IF($B$70="","",IF($E$70="","",$E$70-$D$70))</f>
        <v/>
      </c>
      <c r="G70" s="42">
        <f>IF($B$70="","",IF(OR($E$70="",$D$70=0),"",$F$70/$D$70))</f>
        <v/>
      </c>
      <c r="H70" s="40">
        <f>IF($B$70="","",SUMIFS(tblVolume[Budget volume],tblVolume[Month],"&gt;="&amp;$B$70,tblVolume[Month],"&lt;"&amp;EDATE($B$70,1)))</f>
        <v>1500</v>
      </c>
      <c r="I70" s="40">
        <f>IF($B$70="","",IF($B$70&gt;FMonth,"",SUMIFS(tblVolume[Actual volume],tblVolume[Month],"&gt;="&amp;$B$70,tblVolume[Month],"&lt;"&amp;EDATE($B$70,1))))</f>
        <v/>
      </c>
      <c r="J70" s="64">
        <f>IF($B$70="","",IF(($H$70)=0,"",($C$70)/($H$70)))</f>
        <v>724</v>
      </c>
      <c r="K70" s="64">
        <f>IF($B$70="","",IF(OR($E$70="",N($I$70)=0),"",$E$70/$I$70))</f>
        <v/>
      </c>
    </row>
    <row r="71" spans="2:12">
      <c r="B71" s="63">
        <f>EDATE($B$70,1)</f>
        <v>46327</v>
      </c>
      <c r="C71" s="40">
        <f>IF($B$71="","",SUMIFS(tblResults[Budget],tblResults[Month],"&gt;="&amp;$B$71,tblResults[Month],"&lt;"&amp;EDATE($B$71,1)))</f>
        <v>1069000</v>
      </c>
      <c r="D71" s="40">
        <f>IF($B$71="","",IF($B$71&gt;FMonth,"",SUMIFS(tblResults[Flexed budget],tblResults[Month],"&gt;="&amp;$B$71,tblResults[Month],"&lt;"&amp;EDATE($B$71,1))))</f>
        <v/>
      </c>
      <c r="E71" s="40">
        <f>IF($B$71="","",IF($B$71&gt;FMonth,"",SUMIFS(tblResults[Actual],tblResults[Month],"&gt;="&amp;$B$71,tblResults[Month],"&lt;"&amp;EDATE($B$71,1))))</f>
        <v/>
      </c>
      <c r="F71" s="41">
        <f>IF($B$71="","",IF($E$71="","",$E$71-$D$71))</f>
        <v/>
      </c>
      <c r="G71" s="42">
        <f>IF($B$71="","",IF(OR($E$71="",$D$71=0),"",$F$71/$D$71))</f>
        <v/>
      </c>
      <c r="H71" s="40">
        <f>IF($B$71="","",SUMIFS(tblVolume[Budget volume],tblVolume[Month],"&gt;="&amp;$B$71,tblVolume[Month],"&lt;"&amp;EDATE($B$71,1)))</f>
        <v>1470</v>
      </c>
      <c r="I71" s="40">
        <f>IF($B$71="","",IF($B$71&gt;FMonth,"",SUMIFS(tblVolume[Actual volume],tblVolume[Month],"&gt;="&amp;$B$71,tblVolume[Month],"&lt;"&amp;EDATE($B$71,1))))</f>
        <v/>
      </c>
      <c r="J71" s="64">
        <f>IF($B$71="","",IF(($H$71)=0,"",($C$71)/($H$71)))</f>
        <v>727.210884353741</v>
      </c>
      <c r="K71" s="64">
        <f>IF($B$71="","",IF(OR($E$71="",N($I$71)=0),"",$E$71/$I$71))</f>
        <v/>
      </c>
    </row>
    <row r="72" spans="2:12">
      <c r="B72" s="63">
        <f>EDATE($B$71,1)</f>
        <v>46357</v>
      </c>
      <c r="C72" s="40">
        <f>IF($B$72="","",SUMIFS(tblResults[Budget],tblResults[Month],"&gt;="&amp;$B$72,tblResults[Month],"&lt;"&amp;EDATE($B$72,1)))</f>
        <v>870900</v>
      </c>
      <c r="D72" s="40">
        <f>IF($B$72="","",IF($B$72&gt;FMonth,"",SUMIFS(tblResults[Flexed budget],tblResults[Month],"&gt;="&amp;$B$72,tblResults[Month],"&lt;"&amp;EDATE($B$72,1))))</f>
        <v/>
      </c>
      <c r="E72" s="40">
        <f>IF($B$72="","",IF($B$72&gt;FMonth,"",SUMIFS(tblResults[Actual],tblResults[Month],"&gt;="&amp;$B$72,tblResults[Month],"&lt;"&amp;EDATE($B$72,1))))</f>
        <v/>
      </c>
      <c r="F72" s="41">
        <f>IF($B$72="","",IF($E$72="","",$E$72-$D$72))</f>
        <v/>
      </c>
      <c r="G72" s="42">
        <f>IF($B$72="","",IF(OR($E$72="",$D$72=0),"",$F$72/$D$72))</f>
        <v/>
      </c>
      <c r="H72" s="40">
        <f>IF($B$72="","",SUMIFS(tblVolume[Budget volume],tblVolume[Month],"&gt;="&amp;$B$72,tblVolume[Month],"&lt;"&amp;EDATE($B$72,1)))</f>
        <v>1120</v>
      </c>
      <c r="I72" s="40">
        <f>IF($B$72="","",IF($B$72&gt;FMonth,"",SUMIFS(tblVolume[Actual volume],tblVolume[Month],"&gt;="&amp;$B$72,tblVolume[Month],"&lt;"&amp;EDATE($B$72,1))))</f>
        <v/>
      </c>
      <c r="J72" s="64">
        <f>IF($B$72="","",IF(($H$72)=0,"",($C$72)/($H$72)))</f>
        <v>777.589285714286</v>
      </c>
      <c r="K72" s="64">
        <f>IF($B$72="","",IF(OR($E$72="",N($I$72)=0),"",$E$72/$I$72))</f>
        <v/>
      </c>
    </row>
    <row r="73" spans="2:12" ht="8" customHeight="1"/>
    <row r="74" spans="2:12" ht="26.76" customHeight="1">
      <c r="B74" s="21" t="s">
        <v>155</v>
      </c>
      <c r="C74" s="21"/>
      <c r="D74" s="21"/>
      <c r="E74" s="21"/>
      <c r="F74" s="21"/>
      <c r="G74" s="21"/>
      <c r="H74" s="21"/>
      <c r="I74" s="21"/>
      <c r="J74" s="21"/>
      <c r="K74" s="21"/>
      <c r="L74" s="21"/>
    </row>
    <row r="75" spans="2:12">
      <c r="B75" s="65">
        <f>IF(OR(COUNTA(tblCostLines[Cost line])&gt;12,COUNTA(tblGroups[Group])&gt;4),"Setup lists are longer than the Dashboard blocks: some cost lines or groups are not shown.","")</f>
        <v/>
      </c>
      <c r="C75" s="65"/>
      <c r="D75" s="65"/>
      <c r="E75" s="65"/>
      <c r="F75" s="65"/>
      <c r="G75" s="65"/>
      <c r="H75" s="65"/>
      <c r="I75" s="65"/>
      <c r="J75" s="65"/>
      <c r="K75" s="65"/>
      <c r="L75" s="65"/>
    </row>
  </sheetData>
  <sheetProtection sheet="1" formatColumns="0" formatRows="0"/>
  <mergeCells count="57">
    <mergeCell ref="A1:L1"/>
    <mergeCell ref="B2:J2"/>
    <mergeCell ref="K2:L2"/>
    <mergeCell ref="B4:L4"/>
    <mergeCell ref="C5:D5"/>
    <mergeCell ref="G5:H5"/>
    <mergeCell ref="B6:L6"/>
    <mergeCell ref="B8:C8"/>
    <mergeCell ref="B9:C10"/>
    <mergeCell ref="B11:C11"/>
    <mergeCell ref="B12:C12"/>
    <mergeCell ref="D8:F8"/>
    <mergeCell ref="D9:F10"/>
    <mergeCell ref="D11:F11"/>
    <mergeCell ref="D12:F12"/>
    <mergeCell ref="G8:I8"/>
    <mergeCell ref="G9:I10"/>
    <mergeCell ref="G11:I11"/>
    <mergeCell ref="G12:I12"/>
    <mergeCell ref="J8:L8"/>
    <mergeCell ref="J9:L10"/>
    <mergeCell ref="J11:L11"/>
    <mergeCell ref="J12:L12"/>
    <mergeCell ref="B31:C31"/>
    <mergeCell ref="B32:C33"/>
    <mergeCell ref="B34:C34"/>
    <mergeCell ref="B35:C35"/>
    <mergeCell ref="D31:F31"/>
    <mergeCell ref="D32:F33"/>
    <mergeCell ref="D34:F34"/>
    <mergeCell ref="D35:F35"/>
    <mergeCell ref="G31:I31"/>
    <mergeCell ref="G32:I33"/>
    <mergeCell ref="G34:I34"/>
    <mergeCell ref="G35:I35"/>
    <mergeCell ref="J31:L31"/>
    <mergeCell ref="J32:L33"/>
    <mergeCell ref="J34:L34"/>
    <mergeCell ref="J35:L35"/>
    <mergeCell ref="B37:K37"/>
    <mergeCell ref="J38:K38"/>
    <mergeCell ref="J39:K39"/>
    <mergeCell ref="J40:K40"/>
    <mergeCell ref="J41:K41"/>
    <mergeCell ref="J42:K42"/>
    <mergeCell ref="J43:K43"/>
    <mergeCell ref="J44:K44"/>
    <mergeCell ref="J45:K45"/>
    <mergeCell ref="J46:K46"/>
    <mergeCell ref="J47:K47"/>
    <mergeCell ref="J48:K48"/>
    <mergeCell ref="J49:K49"/>
    <mergeCell ref="J50:K50"/>
    <mergeCell ref="B52:H52"/>
    <mergeCell ref="B59:K59"/>
    <mergeCell ref="B74:L74"/>
    <mergeCell ref="B75:L75"/>
  </mergeCells>
  <conditionalFormatting sqref="B1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2">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12">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J35">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J39:J50">
    <cfRule type="cellIs" dxfId="0" priority="81" operator="equal">
      <formula>"On target"</formula>
    </cfRule>
    <cfRule type="cellIs" dxfId="0" priority="82" operator="equal">
      <formula>"PASS"</formula>
    </cfRule>
    <cfRule type="cellIs" dxfId="0" priority="83" operator="equal">
      <formula>"OK"</formula>
    </cfRule>
    <cfRule type="cellIs" dxfId="0" priority="84" operator="equal">
      <formula>"Within limits"</formula>
    </cfRule>
    <cfRule type="cellIs" dxfId="0" priority="85" operator="equal">
      <formula>"Under capacity"</formula>
    </cfRule>
    <cfRule type="cellIs" dxfId="0" priority="86" operator="equal">
      <formula>"Complete"</formula>
    </cfRule>
    <cfRule type="cellIs" dxfId="0" priority="87" operator="equal">
      <formula>"Yes"</formula>
    </cfRule>
    <cfRule type="cellIs" dxfId="1" priority="88" operator="equal">
      <formula>"Near target"</formula>
    </cfRule>
    <cfRule type="cellIs" dxfId="1" priority="89" operator="equal">
      <formula>"Check"</formula>
    </cfRule>
    <cfRule type="cellIs" dxfId="1" priority="90" operator="equal">
      <formula>"Due soon"</formula>
    </cfRule>
    <cfRule type="cellIs" dxfId="1" priority="91" operator="equal">
      <formula>"Near capacity"</formula>
    </cfRule>
    <cfRule type="cellIs" dxfId="1" priority="92" operator="equal">
      <formula>"In progress"</formula>
    </cfRule>
    <cfRule type="cellIs" dxfId="1" priority="93" operator="equal">
      <formula>"Partial"</formula>
    </cfRule>
    <cfRule type="cellIs" dxfId="2" priority="94" operator="equal">
      <formula>"Below target"</formula>
    </cfRule>
    <cfRule type="cellIs" dxfId="2" priority="95" operator="equal">
      <formula>"Above target"</formula>
    </cfRule>
    <cfRule type="cellIs" dxfId="2" priority="96" operator="equal">
      <formula>"FAIL"</formula>
    </cfRule>
    <cfRule type="cellIs" dxfId="2" priority="97" operator="equal">
      <formula>"Over capacity"</formula>
    </cfRule>
    <cfRule type="cellIs" dxfId="2" priority="98" operator="equal">
      <formula>"Overdue"</formula>
    </cfRule>
    <cfRule type="cellIs" dxfId="2" priority="99" operator="equal">
      <formula>"Out of limits"</formula>
    </cfRule>
    <cfRule type="cellIs" dxfId="2" priority="100" operator="equal">
      <formula>"No"</formula>
    </cfRule>
  </conditionalFormatting>
  <dataValidations count="1">
    <dataValidation type="date" allowBlank="1" showInputMessage="1" showErrorMessage="1" errorTitle="Check this entry" error="Enter a date between 01 Jan 2000 and 31 Dec 2100." promptTitle="Report month" prompt="Any day of the month to report. Leave blank for the latest month with actuals on Monthly Results. Enter a date between 01 Jan 2000 and 31 Dec 2100." sqref="C5">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Plant Budget vs Actual&amp;R&amp;8&amp;A</oddHeader>
    <oddFooter>&amp;L&amp;8mfgcalcs.com - free manufacturing templates&amp;R&amp;8Page &amp;P of &amp;N</oddFooter>
  </headerFooter>
  <rowBreaks count="2" manualBreakCount="2">
    <brk id="29" max="16383" man="1"/>
    <brk id="51" max="16383" man="1"/>
  </rowBreaks>
  <drawing r:id="rId2"/>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6"/>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156</v>
      </c>
      <c r="C4" s="8"/>
      <c r="D4" s="8"/>
    </row>
    <row r="5" spans="1:4" ht="5" customHeight="1"/>
    <row r="6" spans="1:4" ht="55.8" customHeight="1">
      <c r="B6" s="10" t="s">
        <v>157</v>
      </c>
      <c r="C6" s="10"/>
      <c r="D6" s="10"/>
    </row>
    <row r="8" spans="1:4" ht="21" customHeight="1">
      <c r="B8" s="8" t="s">
        <v>158</v>
      </c>
      <c r="C8" s="8"/>
      <c r="D8" s="8"/>
    </row>
    <row r="9" spans="1:4" ht="5" customHeight="1"/>
    <row r="10" spans="1:4" ht="20" customHeight="1">
      <c r="B10" s="61" t="s">
        <v>159</v>
      </c>
      <c r="C10" s="61" t="s">
        <v>160</v>
      </c>
      <c r="D10" s="33" t="s">
        <v>161</v>
      </c>
    </row>
    <row r="11" spans="1:4" ht="17.2" customHeight="1">
      <c r="B11" s="66" t="s">
        <v>112</v>
      </c>
      <c r="C11" s="67" t="s">
        <v>162</v>
      </c>
      <c r="D11" s="68" t="s">
        <v>163</v>
      </c>
    </row>
    <row r="12" spans="1:4" ht="30.4" customHeight="1">
      <c r="B12" s="66" t="s">
        <v>113</v>
      </c>
      <c r="C12" s="67" t="s">
        <v>164</v>
      </c>
      <c r="D12" s="68" t="s">
        <v>165</v>
      </c>
    </row>
    <row r="13" spans="1:4" ht="30.4" customHeight="1">
      <c r="B13" s="66" t="s">
        <v>114</v>
      </c>
      <c r="C13" s="67" t="s">
        <v>166</v>
      </c>
      <c r="D13" s="68" t="s">
        <v>167</v>
      </c>
    </row>
    <row r="14" spans="1:4" ht="17.2" customHeight="1">
      <c r="B14" s="66" t="s">
        <v>116</v>
      </c>
      <c r="C14" s="67" t="s">
        <v>168</v>
      </c>
      <c r="D14" s="68" t="s">
        <v>165</v>
      </c>
    </row>
    <row r="15" spans="1:4" ht="17.2" customHeight="1">
      <c r="B15" s="66" t="s">
        <v>117</v>
      </c>
      <c r="C15" s="67" t="s">
        <v>169</v>
      </c>
      <c r="D15" s="68" t="s">
        <v>165</v>
      </c>
    </row>
    <row r="16" spans="1:4" ht="43.6" customHeight="1">
      <c r="B16" s="66" t="s">
        <v>118</v>
      </c>
      <c r="C16" s="67" t="s">
        <v>170</v>
      </c>
      <c r="D16" s="68" t="s">
        <v>163</v>
      </c>
    </row>
    <row r="17" spans="2:4" ht="43.6" customHeight="1">
      <c r="B17" s="66" t="s">
        <v>171</v>
      </c>
      <c r="C17" s="67" t="s">
        <v>172</v>
      </c>
      <c r="D17" s="68" t="s">
        <v>165</v>
      </c>
    </row>
    <row r="18" spans="2:4" ht="30.4" customHeight="1">
      <c r="B18" s="66" t="s">
        <v>173</v>
      </c>
      <c r="C18" s="67" t="s">
        <v>174</v>
      </c>
      <c r="D18" s="68" t="s">
        <v>175</v>
      </c>
    </row>
    <row r="19" spans="2:4" ht="17.2" customHeight="1">
      <c r="B19" s="66" t="s">
        <v>176</v>
      </c>
      <c r="C19" s="67" t="s">
        <v>177</v>
      </c>
      <c r="D19" s="68" t="s">
        <v>163</v>
      </c>
    </row>
    <row r="20" spans="2:4" ht="17.2" customHeight="1">
      <c r="B20" s="66" t="s">
        <v>178</v>
      </c>
      <c r="C20" s="67" t="s">
        <v>179</v>
      </c>
      <c r="D20" s="68" t="s">
        <v>175</v>
      </c>
    </row>
    <row r="22" spans="2:4" ht="21" customHeight="1">
      <c r="B22" s="8" t="s">
        <v>180</v>
      </c>
      <c r="C22" s="8"/>
      <c r="D22" s="8"/>
    </row>
    <row r="23" spans="2:4" ht="5" customHeight="1"/>
    <row r="24" spans="2:4" ht="29.4" customHeight="1">
      <c r="B24" s="26" t="s">
        <v>55</v>
      </c>
      <c r="C24" s="10" t="s">
        <v>181</v>
      </c>
      <c r="D24" s="10"/>
    </row>
    <row r="25" spans="2:4" ht="29.4" customHeight="1">
      <c r="B25" s="26" t="s">
        <v>55</v>
      </c>
      <c r="C25" s="10" t="s">
        <v>182</v>
      </c>
      <c r="D25" s="10"/>
    </row>
    <row r="26" spans="2:4" ht="16.2" customHeight="1">
      <c r="B26" s="26" t="s">
        <v>55</v>
      </c>
      <c r="C26" s="10" t="s">
        <v>183</v>
      </c>
      <c r="D26" s="10"/>
    </row>
    <row r="27" spans="2:4" ht="16.2" customHeight="1">
      <c r="B27" s="26" t="s">
        <v>55</v>
      </c>
      <c r="C27" s="10" t="s">
        <v>184</v>
      </c>
      <c r="D27" s="10"/>
    </row>
    <row r="29" spans="2:4" ht="21" customHeight="1">
      <c r="B29" s="8" t="s">
        <v>185</v>
      </c>
      <c r="C29" s="8"/>
      <c r="D29" s="8"/>
    </row>
    <row r="30" spans="2:4" ht="5" customHeight="1"/>
    <row r="31" spans="2:4" ht="29.4" customHeight="1">
      <c r="B31" s="26" t="s">
        <v>55</v>
      </c>
      <c r="C31" s="10" t="s">
        <v>186</v>
      </c>
      <c r="D31" s="10"/>
    </row>
    <row r="32" spans="2:4" ht="29.4" customHeight="1">
      <c r="B32" s="26" t="s">
        <v>55</v>
      </c>
      <c r="C32" s="10" t="s">
        <v>187</v>
      </c>
      <c r="D32" s="10"/>
    </row>
    <row r="33" spans="2:4" ht="16.2" customHeight="1">
      <c r="B33" s="26" t="s">
        <v>55</v>
      </c>
      <c r="C33" s="10" t="s">
        <v>188</v>
      </c>
      <c r="D33" s="10"/>
    </row>
    <row r="34" spans="2:4" ht="16.2" customHeight="1">
      <c r="B34" s="26" t="s">
        <v>55</v>
      </c>
      <c r="C34" s="10" t="s">
        <v>189</v>
      </c>
      <c r="D34" s="10"/>
    </row>
    <row r="36" spans="2:4" ht="21" customHeight="1">
      <c r="B36" s="8" t="s">
        <v>190</v>
      </c>
      <c r="C36" s="8"/>
      <c r="D36" s="8"/>
    </row>
    <row r="37" spans="2:4" ht="5" customHeight="1"/>
    <row r="38" spans="2:4" ht="82.2" customHeight="1">
      <c r="B38" s="10" t="s">
        <v>191</v>
      </c>
      <c r="C38" s="10"/>
      <c r="D38" s="10"/>
    </row>
    <row r="39" spans="2:4">
      <c r="B39" s="24" t="s">
        <v>192</v>
      </c>
      <c r="C39" s="24"/>
      <c r="D39" s="24"/>
    </row>
    <row r="41" spans="2:4" ht="21" customHeight="1">
      <c r="B41" s="8" t="s">
        <v>42</v>
      </c>
      <c r="C41" s="8"/>
      <c r="D41" s="8"/>
    </row>
    <row r="42" spans="2:4" ht="5" customHeight="1"/>
    <row r="43" spans="2:4" ht="42.6" customHeight="1">
      <c r="B43" s="10" t="s">
        <v>193</v>
      </c>
      <c r="C43" s="10"/>
      <c r="D43" s="10"/>
    </row>
    <row r="45" spans="2:4" ht="21" customHeight="1">
      <c r="B45" s="8" t="s">
        <v>194</v>
      </c>
      <c r="C45" s="8"/>
      <c r="D45" s="8"/>
    </row>
    <row r="46" spans="2:4" ht="5" customHeight="1"/>
    <row r="47" spans="2:4" ht="42.6" customHeight="1">
      <c r="B47" s="26" t="s">
        <v>55</v>
      </c>
      <c r="C47" s="10" t="s">
        <v>195</v>
      </c>
      <c r="D47" s="10"/>
    </row>
    <row r="48" spans="2:4" ht="29.4" customHeight="1">
      <c r="B48" s="26" t="s">
        <v>55</v>
      </c>
      <c r="C48" s="10" t="s">
        <v>196</v>
      </c>
      <c r="D48" s="10"/>
    </row>
    <row r="49" spans="2:4">
      <c r="B49" s="21" t="s">
        <v>197</v>
      </c>
      <c r="C49" s="21"/>
      <c r="D49" s="21"/>
    </row>
    <row r="51" spans="2:4" ht="21" customHeight="1">
      <c r="B51" s="8" t="s">
        <v>198</v>
      </c>
      <c r="C51" s="8"/>
      <c r="D51" s="8"/>
    </row>
    <row r="52" spans="2:4" ht="5" customHeight="1"/>
    <row r="53" spans="2:4">
      <c r="B53" s="61" t="s">
        <v>50</v>
      </c>
      <c r="C53" s="61" t="s">
        <v>199</v>
      </c>
      <c r="D53" s="33" t="s">
        <v>200</v>
      </c>
    </row>
    <row r="54" spans="2:4" ht="16.2" customHeight="1">
      <c r="B54" s="69" t="s">
        <v>201</v>
      </c>
      <c r="C54" s="70" t="s">
        <v>202</v>
      </c>
      <c r="D54" s="71" t="s">
        <v>203</v>
      </c>
    </row>
    <row r="56" spans="2:4">
      <c r="B56" s="21" t="s">
        <v>61</v>
      </c>
      <c r="C56" s="21"/>
      <c r="D56" s="21"/>
    </row>
  </sheetData>
  <sheetProtection sheet="1" formatColumns="0" formatRows="0"/>
  <mergeCells count="26">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B49:D49"/>
    <mergeCell ref="B51:D51"/>
    <mergeCell ref="B56:D56"/>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Plant Budget vs Actual&amp;R&amp;8&amp;A</oddHeader>
    <oddFooter>&amp;L&amp;8mfgcalcs.com - free manufacturing templates&amp;R&amp;8Page &amp;P of &amp;N</oddFooter>
  </headerFooter>
  <rowBreaks count="1" manualBreakCount="1">
    <brk id="28"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P95"/>
  <sheetViews>
    <sheetView showGridLines="0" workbookViewId="0"/>
  </sheetViews>
  <sheetFormatPr defaultRowHeight="15"/>
  <cols>
    <col min="1" max="1" width="2.7109375" customWidth="1"/>
    <col min="2" max="19" width="12.7109375" customWidth="1"/>
  </cols>
  <sheetData>
    <row r="1" spans="1:16" ht="30" customHeight="1">
      <c r="A1" s="1" t="s">
        <v>0</v>
      </c>
      <c r="B1" s="1"/>
      <c r="C1" s="1"/>
      <c r="D1" s="1"/>
      <c r="E1" s="1"/>
      <c r="F1" s="1"/>
      <c r="G1" s="1"/>
      <c r="H1" s="1"/>
      <c r="I1" s="1"/>
      <c r="J1" s="1"/>
      <c r="K1" s="1"/>
      <c r="L1" s="1"/>
      <c r="M1" s="1"/>
      <c r="N1" s="1"/>
      <c r="O1" s="1"/>
      <c r="P1" s="1"/>
    </row>
    <row r="2" spans="1:16" ht="21" customHeight="1">
      <c r="B2" s="2" t="s">
        <v>28</v>
      </c>
      <c r="C2" s="2"/>
      <c r="D2" s="2"/>
      <c r="E2" s="2"/>
      <c r="F2" s="2"/>
      <c r="G2" s="2"/>
      <c r="H2" s="2"/>
      <c r="I2" s="2"/>
      <c r="J2" s="2"/>
      <c r="K2" s="2"/>
      <c r="L2" s="2"/>
      <c r="M2" s="2"/>
      <c r="N2" s="2"/>
      <c r="O2" s="2"/>
      <c r="P2" s="3" t="s">
        <v>2</v>
      </c>
    </row>
    <row r="3" spans="1:16" ht="6" customHeight="1"/>
    <row r="4" spans="1:16" ht="30" customHeight="1">
      <c r="B4" s="47" t="s">
        <v>204</v>
      </c>
      <c r="C4" s="47"/>
      <c r="D4" s="22" t="str">
        <f>IF(COUNTIF($K$11:$K$31,"PASS")=21,"PASS","FAIL")</f>
        <v>PASS</v>
      </c>
      <c r="E4" s="22"/>
      <c r="F4" s="23" t="str">
        <f>COUNTIF($K$11:$K$31,"PASS")&amp;" of 21 checks pass"</f>
        <v>21 of 21 checks pass</v>
      </c>
      <c r="G4" s="23"/>
      <c r="H4" s="23"/>
      <c r="I4" s="23"/>
      <c r="J4" s="23"/>
    </row>
    <row r="6" spans="1:16" ht="29.4" customHeight="1">
      <c r="B6" s="10" t="s">
        <v>205</v>
      </c>
      <c r="C6" s="10"/>
      <c r="D6" s="10"/>
      <c r="E6" s="10"/>
      <c r="F6" s="10"/>
      <c r="G6" s="10"/>
      <c r="H6" s="10"/>
      <c r="I6" s="10"/>
      <c r="J6" s="10"/>
      <c r="K6" s="10"/>
      <c r="L6" s="10"/>
    </row>
    <row r="8" spans="1:16" ht="21" customHeight="1">
      <c r="B8" s="8" t="s">
        <v>206</v>
      </c>
      <c r="C8" s="8"/>
      <c r="D8" s="8"/>
      <c r="E8" s="8"/>
      <c r="F8" s="8"/>
      <c r="G8" s="8"/>
      <c r="H8" s="8"/>
      <c r="I8" s="8"/>
      <c r="J8" s="8"/>
      <c r="K8" s="8"/>
      <c r="L8" s="8"/>
    </row>
    <row r="9" spans="1:16" ht="5" customHeight="1"/>
    <row r="10" spans="1:16" ht="30" customHeight="1">
      <c r="B10" s="33" t="s">
        <v>207</v>
      </c>
      <c r="C10" s="61" t="s">
        <v>119</v>
      </c>
      <c r="D10" s="61"/>
      <c r="E10" s="61"/>
      <c r="F10" s="61"/>
      <c r="G10" s="33" t="s">
        <v>208</v>
      </c>
      <c r="H10" s="33" t="s">
        <v>209</v>
      </c>
      <c r="I10" s="33" t="s">
        <v>210</v>
      </c>
      <c r="J10" s="33" t="s">
        <v>211</v>
      </c>
      <c r="K10" s="33" t="s">
        <v>212</v>
      </c>
    </row>
    <row r="11" spans="1:16" ht="29.4" customHeight="1">
      <c r="B11" s="72">
        <v>1</v>
      </c>
      <c r="C11" s="70" t="s">
        <v>213</v>
      </c>
      <c r="D11" s="70"/>
      <c r="E11" s="70"/>
      <c r="F11" s="70"/>
      <c r="G11" s="73">
        <v>10000</v>
      </c>
      <c r="H11" s="64">
        <f>$I$59</f>
        <v>10000</v>
      </c>
      <c r="I11" s="74">
        <f>IF(AND(ISNUMBER($G$11),ISNUMBER($H$11)),ABS($H$11-$G$11),"")</f>
        <v>0</v>
      </c>
      <c r="J11" s="75">
        <v>1E-09</v>
      </c>
      <c r="K11" s="43" t="str">
        <f>IF(AND(ISNUMBER($G$11),ISNUMBER($H$11)),IF(ABS($H$11-$G$11)&lt;=$J$11,"PASS","FAIL"),"FAIL")</f>
        <v>PASS</v>
      </c>
    </row>
    <row r="12" spans="1:16" ht="29.4" customHeight="1">
      <c r="B12" s="72">
        <v>2</v>
      </c>
      <c r="C12" s="70" t="s">
        <v>214</v>
      </c>
      <c r="D12" s="70"/>
      <c r="E12" s="70"/>
      <c r="F12" s="70"/>
      <c r="G12" s="73">
        <v>800</v>
      </c>
      <c r="H12" s="64">
        <f>$J$59</f>
        <v>800</v>
      </c>
      <c r="I12" s="74">
        <f>IF(AND(ISNUMBER($G$12),ISNUMBER($H$12)),ABS($H$12-$G$12),"")</f>
        <v>0</v>
      </c>
      <c r="J12" s="75">
        <v>1E-09</v>
      </c>
      <c r="K12" s="43" t="str">
        <f>IF(AND(ISNUMBER($G$12),ISNUMBER($H$12)),IF(ABS($H$12-$G$12)&lt;=$J$12,"PASS","FAIL"),"FAIL")</f>
        <v>PASS</v>
      </c>
    </row>
    <row r="13" spans="1:16" ht="16.2" customHeight="1">
      <c r="B13" s="72">
        <v>3</v>
      </c>
      <c r="C13" s="70" t="s">
        <v>215</v>
      </c>
      <c r="D13" s="70"/>
      <c r="E13" s="70"/>
      <c r="F13" s="70"/>
      <c r="G13" s="73">
        <v>48000</v>
      </c>
      <c r="H13" s="64">
        <f>$I$60</f>
        <v>48000</v>
      </c>
      <c r="I13" s="74">
        <f>IF(AND(ISNUMBER($G$13),ISNUMBER($H$13)),ABS($H$13-$G$13),"")</f>
        <v>0</v>
      </c>
      <c r="J13" s="75">
        <v>1E-09</v>
      </c>
      <c r="K13" s="43" t="str">
        <f>IF(AND(ISNUMBER($G$13),ISNUMBER($H$13)),IF(ABS($H$13-$G$13)&lt;=$J$13,"PASS","FAIL"),"FAIL")</f>
        <v>PASS</v>
      </c>
    </row>
    <row r="14" spans="1:16" ht="16.2" customHeight="1">
      <c r="B14" s="72">
        <v>4</v>
      </c>
      <c r="C14" s="70" t="s">
        <v>216</v>
      </c>
      <c r="D14" s="70"/>
      <c r="E14" s="70"/>
      <c r="F14" s="70"/>
      <c r="G14" s="69" t="s">
        <v>217</v>
      </c>
      <c r="H14" s="37" t="str">
        <f>$N$60</f>
        <v>Out of limits</v>
      </c>
      <c r="I14" s="37"/>
      <c r="J14" s="71" t="s">
        <v>218</v>
      </c>
      <c r="K14" s="43" t="str">
        <f>IF($H$14&amp;""=$G$14&amp;"","PASS","FAIL")</f>
        <v>PASS</v>
      </c>
    </row>
    <row r="15" spans="1:16" ht="16.2" customHeight="1">
      <c r="B15" s="72">
        <v>5</v>
      </c>
      <c r="C15" s="70" t="s">
        <v>219</v>
      </c>
      <c r="D15" s="70"/>
      <c r="E15" s="70"/>
      <c r="F15" s="70"/>
      <c r="G15" s="69" t="s">
        <v>119</v>
      </c>
      <c r="H15" s="37" t="str">
        <f>$N$61</f>
        <v>Check</v>
      </c>
      <c r="I15" s="37"/>
      <c r="J15" s="71" t="s">
        <v>218</v>
      </c>
      <c r="K15" s="43" t="str">
        <f>IF($H$15&amp;""=$G$15&amp;"","PASS","FAIL")</f>
        <v>PASS</v>
      </c>
    </row>
    <row r="16" spans="1:16" ht="16.2" customHeight="1">
      <c r="B16" s="72">
        <v>6</v>
      </c>
      <c r="C16" s="70" t="s">
        <v>220</v>
      </c>
      <c r="D16" s="70"/>
      <c r="E16" s="70"/>
      <c r="F16" s="70"/>
      <c r="G16" s="73">
        <v>-3333.333333333336</v>
      </c>
      <c r="H16" s="64">
        <f>$L$61</f>
        <v>-3333.33333333334</v>
      </c>
      <c r="I16" s="74">
        <f>IF(AND(ISNUMBER($G$16),ISNUMBER($H$16)),ABS($H$16-$G$16),"")</f>
        <v>0</v>
      </c>
      <c r="J16" s="75">
        <v>1E-09</v>
      </c>
      <c r="K16" s="43" t="str">
        <f>IF(AND(ISNUMBER($G$16),ISNUMBER($H$16)),IF(ABS($H$16-$G$16)&lt;=$J$16,"PASS","FAIL"),"FAIL")</f>
        <v>PASS</v>
      </c>
    </row>
    <row r="17" spans="2:11" ht="16.2" customHeight="1">
      <c r="B17" s="72">
        <v>7</v>
      </c>
      <c r="C17" s="70" t="s">
        <v>221</v>
      </c>
      <c r="D17" s="70"/>
      <c r="E17" s="70"/>
      <c r="F17" s="70"/>
      <c r="G17" s="69" t="s">
        <v>222</v>
      </c>
      <c r="H17" s="37" t="str">
        <f>$N$62</f>
        <v>Within limits</v>
      </c>
      <c r="I17" s="37"/>
      <c r="J17" s="71" t="s">
        <v>218</v>
      </c>
      <c r="K17" s="43" t="str">
        <f>IF($H$17&amp;""=$G$17&amp;"","PASS","FAIL")</f>
        <v>PASS</v>
      </c>
    </row>
    <row r="18" spans="2:11" ht="16.2" customHeight="1">
      <c r="B18" s="72">
        <v>8</v>
      </c>
      <c r="C18" s="70" t="s">
        <v>223</v>
      </c>
      <c r="D18" s="70"/>
      <c r="E18" s="70"/>
      <c r="F18" s="70"/>
      <c r="G18" s="69" t="s">
        <v>224</v>
      </c>
      <c r="H18" s="37" t="str">
        <f>$O$63</f>
        <v>Comment needed</v>
      </c>
      <c r="I18" s="37"/>
      <c r="J18" s="71" t="s">
        <v>218</v>
      </c>
      <c r="K18" s="43" t="str">
        <f>IF($H$18&amp;""=$G$18&amp;"","PASS","FAIL")</f>
        <v>PASS</v>
      </c>
    </row>
    <row r="19" spans="2:11" ht="16.2" customHeight="1">
      <c r="B19" s="72">
        <v>9</v>
      </c>
      <c r="C19" s="70" t="s">
        <v>225</v>
      </c>
      <c r="D19" s="70"/>
      <c r="E19" s="70"/>
      <c r="F19" s="70"/>
      <c r="G19" s="69" t="s">
        <v>226</v>
      </c>
      <c r="H19" s="37" t="str">
        <f>$O$64</f>
        <v>No actual volume for this month</v>
      </c>
      <c r="I19" s="37"/>
      <c r="J19" s="71" t="s">
        <v>218</v>
      </c>
      <c r="K19" s="43" t="str">
        <f>IF($H$19&amp;""=$G$19&amp;"","PASS","FAIL")</f>
        <v>PASS</v>
      </c>
    </row>
    <row r="20" spans="2:11" ht="16.2" customHeight="1">
      <c r="B20" s="72">
        <v>10</v>
      </c>
      <c r="C20" s="70" t="s">
        <v>227</v>
      </c>
      <c r="D20" s="70"/>
      <c r="E20" s="70"/>
      <c r="F20" s="70"/>
      <c r="G20" s="69" t="s">
        <v>228</v>
      </c>
      <c r="H20" s="37" t="str">
        <f>$O$65</f>
        <v>OK</v>
      </c>
      <c r="I20" s="37"/>
      <c r="J20" s="71" t="s">
        <v>218</v>
      </c>
      <c r="K20" s="43" t="str">
        <f>IF($H$20&amp;""=$G$20&amp;"","PASS","FAIL")</f>
        <v>PASS</v>
      </c>
    </row>
    <row r="21" spans="2:11" ht="16.2" customHeight="1">
      <c r="B21" s="72">
        <v>11</v>
      </c>
      <c r="C21" s="70" t="s">
        <v>229</v>
      </c>
      <c r="D21" s="70"/>
      <c r="E21" s="70"/>
      <c r="F21" s="70"/>
      <c r="G21" s="69" t="s">
        <v>122</v>
      </c>
      <c r="H21" s="37">
        <f>$M$65</f>
        <v/>
      </c>
      <c r="I21" s="37"/>
      <c r="J21" s="71" t="s">
        <v>218</v>
      </c>
      <c r="K21" s="43" t="str">
        <f>IF($H$21&amp;""=$G$21&amp;"","PASS","FAIL")</f>
        <v>PASS</v>
      </c>
    </row>
    <row r="22" spans="2:11" ht="16.2" customHeight="1">
      <c r="B22" s="72">
        <v>12</v>
      </c>
      <c r="C22" s="70" t="s">
        <v>230</v>
      </c>
      <c r="D22" s="70"/>
      <c r="E22" s="70"/>
      <c r="F22" s="70"/>
      <c r="G22" s="76">
        <v>81300</v>
      </c>
      <c r="H22" s="40">
        <f>SUMIFS(tblVerifyResults[Actual],tblVerifyResults[Month],"&gt;="&amp;$E$38,tblVerifyResults[Month],"&lt;"&amp;EDATE($E$38,1))</f>
        <v>81300</v>
      </c>
      <c r="I22" s="74">
        <f>IF(AND(ISNUMBER($G$22),ISNUMBER($H$22)),ABS($H$22-$G$22),"")</f>
        <v>0</v>
      </c>
      <c r="J22" s="75">
        <v>1E-09</v>
      </c>
      <c r="K22" s="43" t="str">
        <f>IF(AND(ISNUMBER($G$22),ISNUMBER($H$22)),IF(ABS($H$22-$G$22)&lt;=$J$22,"PASS","FAIL"),"FAIL")</f>
        <v>PASS</v>
      </c>
    </row>
    <row r="23" spans="2:11" ht="16.2" customHeight="1">
      <c r="B23" s="72">
        <v>13</v>
      </c>
      <c r="C23" s="70" t="s">
        <v>231</v>
      </c>
      <c r="D23" s="70"/>
      <c r="E23" s="70"/>
      <c r="F23" s="70"/>
      <c r="G23" s="76">
        <v>191800</v>
      </c>
      <c r="H23" s="40">
        <f>SUMIFS(tblVerifyResults[Actual],tblVerifyResults[Month],"&gt;="&amp;$E$37,tblVerifyResults[Month],"&lt;"&amp;EDATE($E$38,1))</f>
        <v>191800</v>
      </c>
      <c r="I23" s="74">
        <f>IF(AND(ISNUMBER($G$23),ISNUMBER($H$23)),ABS($H$23-$G$23),"")</f>
        <v>0</v>
      </c>
      <c r="J23" s="75">
        <v>1E-09</v>
      </c>
      <c r="K23" s="43" t="str">
        <f>IF(AND(ISNUMBER($G$23),ISNUMBER($H$23)),IF(ABS($H$23-$G$23)&lt;=$J$23,"PASS","FAIL"),"FAIL")</f>
        <v>PASS</v>
      </c>
    </row>
    <row r="24" spans="2:11" ht="16.2" customHeight="1">
      <c r="B24" s="72">
        <v>14</v>
      </c>
      <c r="C24" s="70" t="s">
        <v>232</v>
      </c>
      <c r="D24" s="70"/>
      <c r="E24" s="70"/>
      <c r="F24" s="70"/>
      <c r="G24" s="73">
        <v>9133.333333333343</v>
      </c>
      <c r="H24" s="64">
        <f>SUMIFS(tblVerifyResults[Actual],tblVerifyResults[Month],"&gt;="&amp;$E$37,tblVerifyResults[Month],"&lt;"&amp;EDATE($E$38,1))-SUMIFS(tblVerifyResults[Flexed budget],tblVerifyResults[Month],"&gt;="&amp;$E$37,tblVerifyResults[Month],"&lt;"&amp;EDATE($E$38,1))</f>
        <v>9133.33333333334</v>
      </c>
      <c r="I24" s="74">
        <f>IF(AND(ISNUMBER($G$24),ISNUMBER($H$24)),ABS($H$24-$G$24),"")</f>
        <v>0</v>
      </c>
      <c r="J24" s="75">
        <v>1E-06</v>
      </c>
      <c r="K24" s="43" t="str">
        <f>IF(AND(ISNUMBER($G$24),ISNUMBER($H$24)),IF(ABS($H$24-$G$24)&lt;=$J$24,"PASS","FAIL"),"FAIL")</f>
        <v>PASS</v>
      </c>
    </row>
    <row r="25" spans="2:11" ht="16.2" customHeight="1">
      <c r="B25" s="72">
        <v>15</v>
      </c>
      <c r="C25" s="70" t="s">
        <v>233</v>
      </c>
      <c r="D25" s="70"/>
      <c r="E25" s="70"/>
      <c r="F25" s="70"/>
      <c r="G25" s="73">
        <v>-9333.333333333343</v>
      </c>
      <c r="H25" s="64">
        <f>SUMIFS(tblVerifyResults[Volume effect],tblVerifyResults[Month],"&gt;="&amp;$E$37,tblVerifyResults[Month],"&lt;"&amp;EDATE($E$38,1))</f>
        <v>-9333.33333333334</v>
      </c>
      <c r="I25" s="74">
        <f>IF(AND(ISNUMBER($G$25),ISNUMBER($H$25)),ABS($H$25-$G$25),"")</f>
        <v>0</v>
      </c>
      <c r="J25" s="75">
        <v>1E-06</v>
      </c>
      <c r="K25" s="43" t="str">
        <f>IF(AND(ISNUMBER($G$25),ISNUMBER($H$25)),IF(ABS($H$25-$G$25)&lt;=$J$25,"PASS","FAIL"),"FAIL")</f>
        <v>PASS</v>
      </c>
    </row>
    <row r="26" spans="2:11" ht="16.2" customHeight="1">
      <c r="B26" s="72">
        <v>16</v>
      </c>
      <c r="C26" s="70" t="s">
        <v>234</v>
      </c>
      <c r="D26" s="70"/>
      <c r="E26" s="70"/>
      <c r="F26" s="70"/>
      <c r="G26" s="77">
        <v>100.9473684210526</v>
      </c>
      <c r="H26" s="78">
        <f>IF((SUMIFS(tblVerifyVolume[Actual volume],tblVerifyVolume[Month],"&gt;="&amp;$E$37,tblVerifyVolume[Month],"&lt;"&amp;EDATE($E$38,1)))=0,"",(SUMIFS(tblVerifyResults[Actual],tblVerifyResults[Month],"&gt;="&amp;$E$37,tblVerifyResults[Month],"&lt;"&amp;EDATE($E$38,1)))/(SUMIFS(tblVerifyVolume[Actual volume],tblVerifyVolume[Month],"&gt;="&amp;$E$37,tblVerifyVolume[Month],"&lt;"&amp;EDATE($E$38,1))))</f>
        <v>100.947368421053</v>
      </c>
      <c r="I26" s="74">
        <f>IF(AND(ISNUMBER($G$26),ISNUMBER($H$26)),ABS($H$26-$G$26),"")</f>
        <v>0</v>
      </c>
      <c r="J26" s="75">
        <v>1E-09</v>
      </c>
      <c r="K26" s="43" t="str">
        <f>IF(AND(ISNUMBER($G$26),ISNUMBER($H$26)),IF(ABS($H$26-$G$26)&lt;=$J$26,"PASS","FAIL"),"FAIL")</f>
        <v>PASS</v>
      </c>
    </row>
    <row r="27" spans="2:11" ht="16.2" customHeight="1">
      <c r="B27" s="72">
        <v>17</v>
      </c>
      <c r="C27" s="70" t="s">
        <v>235</v>
      </c>
      <c r="D27" s="70"/>
      <c r="E27" s="70"/>
      <c r="F27" s="70"/>
      <c r="G27" s="76">
        <v>0</v>
      </c>
      <c r="H27" s="40">
        <f>COUNTIFS(tblVerifyResults[Variance flag],"Out of limits",tblVerifyResults[Month],"&gt;="&amp;$E$38,tblVerifyResults[Month],"&lt;"&amp;EDATE($E$38,1))</f>
        <v>0</v>
      </c>
      <c r="I27" s="74">
        <f>IF(AND(ISNUMBER($G$27),ISNUMBER($H$27)),ABS($H$27-$G$27),"")</f>
        <v>0</v>
      </c>
      <c r="J27" s="75">
        <v>1E-09</v>
      </c>
      <c r="K27" s="43" t="str">
        <f>IF(AND(ISNUMBER($G$27),ISNUMBER($H$27)),IF(ABS($H$27-$G$27)&lt;=$J$27,"PASS","FAIL"),"FAIL")</f>
        <v>PASS</v>
      </c>
    </row>
    <row r="28" spans="2:11" ht="16.2" customHeight="1">
      <c r="B28" s="72">
        <v>18</v>
      </c>
      <c r="C28" s="70" t="s">
        <v>236</v>
      </c>
      <c r="D28" s="70"/>
      <c r="E28" s="70"/>
      <c r="F28" s="70"/>
      <c r="G28" s="73">
        <v>1333.333333333343</v>
      </c>
      <c r="H28" s="64">
        <f>$H$70</f>
        <v>1333.33333333334</v>
      </c>
      <c r="I28" s="74">
        <f>IF(AND(ISNUMBER($G$28),ISNUMBER($H$28)),ABS($H$28-$G$28),"")</f>
        <v>0</v>
      </c>
      <c r="J28" s="75">
        <v>1E-06</v>
      </c>
      <c r="K28" s="43" t="str">
        <f>IF(AND(ISNUMBER($G$28),ISNUMBER($H$28)),IF(ABS($H$28-$G$28)&lt;=$J$28,"PASS","FAIL"),"FAIL")</f>
        <v>PASS</v>
      </c>
    </row>
    <row r="29" spans="2:11" ht="16.2" customHeight="1">
      <c r="B29" s="72">
        <v>19</v>
      </c>
      <c r="C29" s="70" t="s">
        <v>237</v>
      </c>
      <c r="D29" s="70"/>
      <c r="E29" s="70"/>
      <c r="F29" s="70"/>
      <c r="G29" s="69" t="s">
        <v>217</v>
      </c>
      <c r="H29" s="37" t="str">
        <f>$J$71</f>
        <v>Out of limits</v>
      </c>
      <c r="I29" s="37"/>
      <c r="J29" s="71" t="s">
        <v>218</v>
      </c>
      <c r="K29" s="43" t="str">
        <f>IF($H$29&amp;""=$G$29&amp;"","PASS","FAIL")</f>
        <v>PASS</v>
      </c>
    </row>
    <row r="30" spans="2:11" ht="16.2" customHeight="1">
      <c r="B30" s="72">
        <v>20</v>
      </c>
      <c r="C30" s="70" t="s">
        <v>238</v>
      </c>
      <c r="D30" s="70"/>
      <c r="E30" s="70"/>
      <c r="F30" s="70"/>
      <c r="G30" s="73">
        <v>86666.66666666666</v>
      </c>
      <c r="H30" s="64">
        <f>$D$85</f>
        <v>86666.6666666667</v>
      </c>
      <c r="I30" s="74">
        <f>IF(AND(ISNUMBER($G$30),ISNUMBER($H$30)),ABS($H$30-$G$30),"")</f>
        <v>0</v>
      </c>
      <c r="J30" s="75">
        <v>1E-06</v>
      </c>
      <c r="K30" s="43" t="str">
        <f>IF(AND(ISNUMBER($G$30),ISNUMBER($H$30)),IF(ABS($H$30-$G$30)&lt;=$J$30,"PASS","FAIL"),"FAIL")</f>
        <v>PASS</v>
      </c>
    </row>
    <row r="31" spans="2:11" ht="16.2" customHeight="1">
      <c r="B31" s="72">
        <v>21</v>
      </c>
      <c r="C31" s="70" t="s">
        <v>239</v>
      </c>
      <c r="D31" s="70"/>
      <c r="E31" s="70"/>
      <c r="F31" s="70"/>
      <c r="G31" s="69" t="s">
        <v>122</v>
      </c>
      <c r="H31" s="37">
        <f>$E$86</f>
        <v/>
      </c>
      <c r="I31" s="37"/>
      <c r="J31" s="71" t="s">
        <v>218</v>
      </c>
      <c r="K31" s="43" t="str">
        <f>IF($H$31&amp;""=$G$31&amp;"","PASS","FAIL")</f>
        <v>PASS</v>
      </c>
    </row>
    <row r="33" spans="2:12" ht="21" customHeight="1">
      <c r="B33" s="8" t="s">
        <v>240</v>
      </c>
      <c r="C33" s="8"/>
      <c r="D33" s="8"/>
      <c r="E33" s="8"/>
      <c r="F33" s="8"/>
      <c r="G33" s="8"/>
      <c r="H33" s="8"/>
      <c r="I33" s="8"/>
      <c r="J33" s="8"/>
      <c r="K33" s="8"/>
      <c r="L33" s="8"/>
    </row>
    <row r="34" spans="2:12" ht="5" customHeight="1"/>
    <row r="35" spans="2:12">
      <c r="B35" s="21" t="s">
        <v>241</v>
      </c>
      <c r="C35" s="21"/>
      <c r="D35" s="21"/>
      <c r="E35" s="21"/>
      <c r="F35" s="21"/>
      <c r="G35" s="21"/>
      <c r="H35" s="21"/>
      <c r="I35" s="21"/>
      <c r="J35" s="21"/>
      <c r="K35" s="21"/>
      <c r="L35" s="21"/>
    </row>
    <row r="36" spans="2:12">
      <c r="B36" s="32" t="s">
        <v>242</v>
      </c>
      <c r="C36" s="32"/>
      <c r="D36" s="32"/>
      <c r="E36" s="32"/>
      <c r="F36" s="32"/>
    </row>
    <row r="37" spans="2:12">
      <c r="B37" s="27" t="s">
        <v>243</v>
      </c>
      <c r="C37" s="27"/>
      <c r="D37" s="27"/>
      <c r="E37" s="79">
        <v>46023</v>
      </c>
      <c r="F37" s="7"/>
    </row>
    <row r="38" spans="2:12">
      <c r="B38" s="27" t="s">
        <v>134</v>
      </c>
      <c r="C38" s="27"/>
      <c r="D38" s="27"/>
      <c r="E38" s="79">
        <v>46054</v>
      </c>
      <c r="F38" s="7"/>
    </row>
    <row r="39" spans="2:12">
      <c r="B39" s="27" t="s">
        <v>244</v>
      </c>
      <c r="C39" s="27"/>
      <c r="D39" s="27"/>
      <c r="E39" s="80">
        <v>0.05</v>
      </c>
      <c r="F39" s="7"/>
    </row>
    <row r="40" spans="2:12">
      <c r="B40" s="27" t="s">
        <v>245</v>
      </c>
      <c r="C40" s="27"/>
      <c r="D40" s="27"/>
      <c r="E40" s="76">
        <v>2500</v>
      </c>
      <c r="F40" s="7"/>
    </row>
    <row r="42" spans="2:12">
      <c r="B42" s="32" t="s">
        <v>246</v>
      </c>
      <c r="C42" s="32"/>
      <c r="D42" s="32"/>
      <c r="E42" s="32"/>
      <c r="F42" s="32"/>
      <c r="G42" s="32"/>
      <c r="H42" s="32"/>
      <c r="I42" s="32"/>
      <c r="J42" s="32"/>
      <c r="K42" s="32"/>
      <c r="L42" s="32"/>
    </row>
    <row r="43" spans="2:12" ht="32" customHeight="1">
      <c r="B43" s="33" t="s">
        <v>62</v>
      </c>
      <c r="C43" s="33" t="s">
        <v>63</v>
      </c>
      <c r="D43" s="33" t="s">
        <v>64</v>
      </c>
      <c r="E43" s="33" t="s">
        <v>65</v>
      </c>
    </row>
    <row r="44" spans="2:12">
      <c r="B44" s="69" t="s">
        <v>247</v>
      </c>
      <c r="C44" s="69" t="s">
        <v>81</v>
      </c>
      <c r="D44" s="81">
        <v>1</v>
      </c>
      <c r="E44" s="69" t="s">
        <v>248</v>
      </c>
    </row>
    <row r="45" spans="2:12">
      <c r="B45" s="69" t="s">
        <v>249</v>
      </c>
      <c r="C45" s="69" t="s">
        <v>88</v>
      </c>
      <c r="D45" s="81">
        <v>0.4</v>
      </c>
      <c r="E45" s="69" t="s">
        <v>122</v>
      </c>
    </row>
    <row r="46" spans="2:12">
      <c r="B46" s="69" t="s">
        <v>250</v>
      </c>
      <c r="C46" s="69" t="s">
        <v>98</v>
      </c>
      <c r="D46" s="81">
        <v>0</v>
      </c>
      <c r="E46" s="69" t="s">
        <v>122</v>
      </c>
    </row>
    <row r="48" spans="2:12">
      <c r="B48" s="32" t="s">
        <v>251</v>
      </c>
      <c r="C48" s="32"/>
      <c r="D48" s="32"/>
      <c r="E48" s="32"/>
      <c r="F48" s="32"/>
      <c r="G48" s="32"/>
      <c r="H48" s="32"/>
      <c r="I48" s="32"/>
      <c r="J48" s="32"/>
      <c r="K48" s="32"/>
      <c r="L48" s="32"/>
    </row>
    <row r="49" spans="2:16" ht="14" customHeight="1">
      <c r="B49" s="36"/>
      <c r="C49" s="36" t="str">
        <f>VolumeUnit</f>
        <v>t</v>
      </c>
      <c r="D49" s="36" t="str">
        <f>VolumeUnit</f>
        <v>t</v>
      </c>
      <c r="E49" s="36"/>
      <c r="F49" s="36"/>
      <c r="G49" s="36"/>
    </row>
    <row r="50" spans="2:16" ht="32" customHeight="1">
      <c r="B50" s="33" t="s">
        <v>109</v>
      </c>
      <c r="C50" s="33" t="s">
        <v>128</v>
      </c>
      <c r="D50" s="33" t="s">
        <v>129</v>
      </c>
      <c r="E50" s="33" t="s">
        <v>112</v>
      </c>
      <c r="F50" s="33" t="s">
        <v>119</v>
      </c>
      <c r="G50" s="33" t="s">
        <v>65</v>
      </c>
    </row>
    <row r="51" spans="2:16">
      <c r="B51" s="79">
        <v>46023</v>
      </c>
      <c r="C51" s="76">
        <v>1000</v>
      </c>
      <c r="D51" s="76">
        <v>900</v>
      </c>
      <c r="E51" s="46">
        <f>IF(tblVerifyVolume[[#This Row],[Month]]="","",IF(OR(tblVerifyVolume[[#This Row],[Actual volume]]="",tblVerifyVolume[[#This Row],[Budget volume]]=0),"",tblVerifyVolume[[#This Row],[Actual volume]]/tblVerifyVolume[[#This Row],[Budget volume]]))</f>
        <v>0.9</v>
      </c>
      <c r="F51" s="44" t="str">
        <f>IF(tblVerifyVolume[[#This Row],[Month]]="","",IF(tblVerifyVolume[[#This Row],[Budget volume]]="","Missing budget volume",IF(DAY(tblVerifyVolume[[#This Row],[Month]])&lt;&gt;1,"Use the 1st of the month",IF(COUNTIFS(tblVerifyVolume[Month],tblVerifyVolume[[#This Row],[Month]])&gt;1,"Month listed twice","OK"))))</f>
        <v>OK</v>
      </c>
      <c r="G51" s="69"/>
    </row>
    <row r="52" spans="2:16">
      <c r="B52" s="79">
        <v>46054</v>
      </c>
      <c r="C52" s="76">
        <v>1200</v>
      </c>
      <c r="D52" s="76">
        <v>1000</v>
      </c>
      <c r="E52" s="46">
        <f>IF(tblVerifyVolume[[#This Row],[Month]]="","",IF(OR(tblVerifyVolume[[#This Row],[Actual volume]]="",tblVerifyVolume[[#This Row],[Budget volume]]=0),"",tblVerifyVolume[[#This Row],[Actual volume]]/tblVerifyVolume[[#This Row],[Budget volume]]))</f>
        <v>0.833333333333333</v>
      </c>
      <c r="F52" s="44" t="str">
        <f>IF(tblVerifyVolume[[#This Row],[Month]]="","",IF(tblVerifyVolume[[#This Row],[Budget volume]]="","Missing budget volume",IF(DAY(tblVerifyVolume[[#This Row],[Month]])&lt;&gt;1,"Use the 1st of the month",IF(COUNTIFS(tblVerifyVolume[Month],tblVerifyVolume[[#This Row],[Month]])&gt;1,"Month listed twice","OK"))))</f>
        <v>OK</v>
      </c>
      <c r="G52" s="69"/>
    </row>
    <row r="53" spans="2:16">
      <c r="B53" s="79">
        <v>46082</v>
      </c>
      <c r="C53" s="76">
        <v>1000</v>
      </c>
      <c r="D53" s="76"/>
      <c r="E53" s="46">
        <f>IF(tblVerifyVolume[[#This Row],[Month]]="","",IF(OR(tblVerifyVolume[[#This Row],[Actual volume]]="",tblVerifyVolume[[#This Row],[Budget volume]]=0),"",tblVerifyVolume[[#This Row],[Actual volume]]/tblVerifyVolume[[#This Row],[Budget volume]]))</f>
        <v/>
      </c>
      <c r="F53" s="44" t="str">
        <f>IF(tblVerifyVolume[[#This Row],[Month]]="","",IF(tblVerifyVolume[[#This Row],[Budget volume]]="","Missing budget volume",IF(DAY(tblVerifyVolume[[#This Row],[Month]])&lt;&gt;1,"Use the 1st of the month",IF(COUNTIFS(tblVerifyVolume[Month],tblVerifyVolume[[#This Row],[Month]])&gt;1,"Month listed twice","OK"))))</f>
        <v>OK</v>
      </c>
      <c r="G53" s="69"/>
    </row>
    <row r="55" spans="2:16">
      <c r="B55" s="32" t="s">
        <v>252</v>
      </c>
      <c r="C55" s="32"/>
      <c r="D55" s="32"/>
      <c r="E55" s="32"/>
      <c r="F55" s="32"/>
      <c r="G55" s="32"/>
      <c r="H55" s="32"/>
      <c r="I55" s="32"/>
      <c r="J55" s="32"/>
      <c r="K55" s="32"/>
      <c r="L55" s="32"/>
    </row>
    <row r="56" spans="2:16" ht="14" customHeight="1">
      <c r="B56" s="36"/>
      <c r="C56" s="36"/>
      <c r="D56" s="36" t="str">
        <f>Currency</f>
        <v>GBP</v>
      </c>
      <c r="E56" s="36" t="str">
        <f>Currency</f>
        <v>GBP</v>
      </c>
      <c r="F56" s="36"/>
      <c r="G56" s="36"/>
      <c r="H56" s="36"/>
      <c r="I56" s="36" t="str">
        <f>Currency</f>
        <v>GBP</v>
      </c>
      <c r="J56" s="36" t="str">
        <f>Currency</f>
        <v>GBP</v>
      </c>
      <c r="K56" s="36"/>
      <c r="L56" s="36" t="str">
        <f>Currency</f>
        <v>GBP</v>
      </c>
      <c r="M56" s="36" t="str">
        <f>Currency</f>
        <v>GBP</v>
      </c>
      <c r="N56" s="36"/>
      <c r="O56" s="36"/>
      <c r="P56" s="36"/>
    </row>
    <row r="57" spans="2:16" ht="32" customHeight="1">
      <c r="B57" s="33" t="s">
        <v>109</v>
      </c>
      <c r="C57" s="33" t="s">
        <v>62</v>
      </c>
      <c r="D57" s="33" t="s">
        <v>110</v>
      </c>
      <c r="E57" s="33" t="s">
        <v>111</v>
      </c>
      <c r="F57" s="33" t="s">
        <v>63</v>
      </c>
      <c r="G57" s="33" t="s">
        <v>64</v>
      </c>
      <c r="H57" s="33" t="s">
        <v>112</v>
      </c>
      <c r="I57" s="33" t="s">
        <v>113</v>
      </c>
      <c r="J57" s="33" t="s">
        <v>114</v>
      </c>
      <c r="K57" s="33" t="s">
        <v>115</v>
      </c>
      <c r="L57" s="33" t="s">
        <v>116</v>
      </c>
      <c r="M57" s="33" t="s">
        <v>117</v>
      </c>
      <c r="N57" s="33" t="s">
        <v>118</v>
      </c>
      <c r="O57" s="33" t="s">
        <v>119</v>
      </c>
      <c r="P57" s="33" t="s">
        <v>120</v>
      </c>
    </row>
    <row r="58" spans="2:16">
      <c r="B58" s="79">
        <v>46023</v>
      </c>
      <c r="C58" s="69" t="s">
        <v>247</v>
      </c>
      <c r="D58" s="76">
        <v>20000</v>
      </c>
      <c r="E58" s="76">
        <v>18500</v>
      </c>
      <c r="F58" s="69" t="s">
        <v>81</v>
      </c>
      <c r="G58" s="81">
        <v>1</v>
      </c>
      <c r="H58" s="39">
        <f>IF(tblVerifyResults[[#This Row],[Month]]="","",IFERROR(INDEX(tblVerifyVolume[Volume ratio],MATCH(DATE(YEAR(tblVerifyResults[[#This Row],[Month]]),MONTH(tblVerifyResults[[#This Row],[Month]]),1),tblVerifyVolume[Month],0)),""))</f>
        <v>0.9</v>
      </c>
      <c r="I58" s="40">
        <f>IF(tblVerifyResults[[#This Row],[Month]]="","",IF(OR(tblVerifyResults[[#This Row],[Volume ratio]]="",tblVerifyResults[[#This Row],[Variable share]]=""),"",tblVerifyResults[[#This Row],[Budget]]*(1-tblVerifyResults[[#This Row],[Variable share]]+tblVerifyResults[[#This Row],[Variable share]]*tblVerifyResults[[#This Row],[Volume ratio]])))</f>
        <v>18000</v>
      </c>
      <c r="J58" s="41">
        <f>IF(tblVerifyResults[[#This Row],[Month]]="","",IF(OR(tblVerifyResults[[#This Row],[Flexed budget]]="",tblVerifyResults[[#This Row],[Actual]]=""),"",tblVerifyResults[[#This Row],[Actual]]-tblVerifyResults[[#This Row],[Flexed budget]]))</f>
        <v>500</v>
      </c>
      <c r="K58" s="42">
        <f>IF(tblVerifyResults[[#This Row],[Month]]="","",IF(OR(tblVerifyResults[[#This Row],[Spending variance]]="",tblVerifyResults[[#This Row],[Flexed budget]]=0),"",tblVerifyResults[[#This Row],[Spending variance]]/tblVerifyResults[[#This Row],[Flexed budget]]))</f>
        <v>0.0277777777777778</v>
      </c>
      <c r="L58" s="41">
        <f>IF(tblVerifyResults[[#This Row],[Month]]="","",IF(tblVerifyResults[[#This Row],[Flexed budget]]="","",tblVerifyResults[[#This Row],[Flexed budget]]-tblVerifyResults[[#This Row],[Budget]]))</f>
        <v>-2000</v>
      </c>
      <c r="M58" s="41">
        <f>IF(tblVerifyResults[[#This Row],[Month]]="","",IF(tblVerifyResults[[#This Row],[Actual]]="","",tblVerifyResults[[#This Row],[Actual]]-tblVerifyResults[[#This Row],[Budget]]))</f>
        <v>-1500</v>
      </c>
      <c r="N58" s="43" t="str">
        <f>IF(tblVerifyResults[[#This Row],[Spending variance]]="","",IF(AND(ABS(tblVerifyResults[[#This Row],[Spending variance]])&gt;$E$40,ABS(tblVerifyResults[[#This Row],[Spending variance %]])&gt;$E$39),IF(tblVerifyResults[[#This Row],[Spending variance]]&gt;0,"Out of limits","Check"),"Within limits"))</f>
        <v>Within limits</v>
      </c>
      <c r="O58" s="44" t="str">
        <f>IF(tblVerifyResults[[#This Row],[Month]]="","",IF(tblVerifyResults[[#This Row],[Cost line]]="","Missing cost line",IF(tblVerifyResults[[#This Row],[Budget]]="","Missing budget",IF(tblVerifyResults[[#This Row],[Group]]="","Cost line not on Setup list",IF(AND(tblVerifyResults[[#This Row],[Actual]]&lt;&gt;"",tblVerifyResults[[#This Row],[Volume ratio]]=""),"No actual volume for this month",IF(AND(tblVerifyResults[[#This Row],[Actual]]="",tblVerifyResults[[#This Row],[Volume ratio]]&lt;&gt;""),"Missing actual",IF(COUNTIFS(tblVerifyResults[Cost line],tblVerifyResults[[#This Row],[Cost line]],tblVerifyResults[Month],"&gt;="&amp;DATE(YEAR(tblVerifyResults[[#This Row],[Month]]),MONTH(tblVerifyResults[[#This Row],[Month]]),1),tblVerifyResults[Month],"&lt;"&amp;EDATE(DATE(YEAR(tblVerifyResults[[#This Row],[Month]]),MONTH(tblVerifyResults[[#This Row],[Month]]),1),1))&gt;1,"Line twice in one month",IF(AND(tblVerifyResults[[#This Row],[Variance flag]]="Out of limits",tblVerifyResults[[#This Row],[Commentary]]=""),"Comment needed","OK"))))))))</f>
        <v>OK</v>
      </c>
      <c r="P58" s="69" t="s">
        <v>122</v>
      </c>
    </row>
    <row r="59" spans="2:16">
      <c r="B59" s="79">
        <v>46054</v>
      </c>
      <c r="C59" s="69" t="s">
        <v>247</v>
      </c>
      <c r="D59" s="76">
        <v>12000</v>
      </c>
      <c r="E59" s="76">
        <v>10800</v>
      </c>
      <c r="F59" s="69" t="s">
        <v>81</v>
      </c>
      <c r="G59" s="81">
        <v>1</v>
      </c>
      <c r="H59" s="39">
        <f>IF(tblVerifyResults[[#This Row],[Month]]="","",IFERROR(INDEX(tblVerifyVolume[Volume ratio],MATCH(DATE(YEAR(tblVerifyResults[[#This Row],[Month]]),MONTH(tblVerifyResults[[#This Row],[Month]]),1),tblVerifyVolume[Month],0)),""))</f>
        <v>0.833333333333333</v>
      </c>
      <c r="I59" s="40">
        <f>IF(tblVerifyResults[[#This Row],[Month]]="","",IF(OR(tblVerifyResults[[#This Row],[Volume ratio]]="",tblVerifyResults[[#This Row],[Variable share]]=""),"",tblVerifyResults[[#This Row],[Budget]]*(1-tblVerifyResults[[#This Row],[Variable share]]+tblVerifyResults[[#This Row],[Variable share]]*tblVerifyResults[[#This Row],[Volume ratio]])))</f>
        <v>10000</v>
      </c>
      <c r="J59" s="41">
        <f>IF(tblVerifyResults[[#This Row],[Month]]="","",IF(OR(tblVerifyResults[[#This Row],[Flexed budget]]="",tblVerifyResults[[#This Row],[Actual]]=""),"",tblVerifyResults[[#This Row],[Actual]]-tblVerifyResults[[#This Row],[Flexed budget]]))</f>
        <v>800</v>
      </c>
      <c r="K59" s="42">
        <f>IF(tblVerifyResults[[#This Row],[Month]]="","",IF(OR(tblVerifyResults[[#This Row],[Spending variance]]="",tblVerifyResults[[#This Row],[Flexed budget]]=0),"",tblVerifyResults[[#This Row],[Spending variance]]/tblVerifyResults[[#This Row],[Flexed budget]]))</f>
        <v>0.08</v>
      </c>
      <c r="L59" s="41">
        <f>IF(tblVerifyResults[[#This Row],[Month]]="","",IF(tblVerifyResults[[#This Row],[Flexed budget]]="","",tblVerifyResults[[#This Row],[Flexed budget]]-tblVerifyResults[[#This Row],[Budget]]))</f>
        <v>-2000</v>
      </c>
      <c r="M59" s="41">
        <f>IF(tblVerifyResults[[#This Row],[Month]]="","",IF(tblVerifyResults[[#This Row],[Actual]]="","",tblVerifyResults[[#This Row],[Actual]]-tblVerifyResults[[#This Row],[Budget]]))</f>
        <v>-1200</v>
      </c>
      <c r="N59" s="43" t="str">
        <f>IF(tblVerifyResults[[#This Row],[Spending variance]]="","",IF(AND(ABS(tblVerifyResults[[#This Row],[Spending variance]])&gt;$E$40,ABS(tblVerifyResults[[#This Row],[Spending variance %]])&gt;$E$39),IF(tblVerifyResults[[#This Row],[Spending variance]]&gt;0,"Out of limits","Check"),"Within limits"))</f>
        <v>Within limits</v>
      </c>
      <c r="O59" s="44" t="str">
        <f>IF(tblVerifyResults[[#This Row],[Month]]="","",IF(tblVerifyResults[[#This Row],[Cost line]]="","Missing cost line",IF(tblVerifyResults[[#This Row],[Budget]]="","Missing budget",IF(tblVerifyResults[[#This Row],[Group]]="","Cost line not on Setup list",IF(AND(tblVerifyResults[[#This Row],[Actual]]&lt;&gt;"",tblVerifyResults[[#This Row],[Volume ratio]]=""),"No actual volume for this month",IF(AND(tblVerifyResults[[#This Row],[Actual]]="",tblVerifyResults[[#This Row],[Volume ratio]]&lt;&gt;""),"Missing actual",IF(COUNTIFS(tblVerifyResults[Cost line],tblVerifyResults[[#This Row],[Cost line]],tblVerifyResults[Month],"&gt;="&amp;DATE(YEAR(tblVerifyResults[[#This Row],[Month]]),MONTH(tblVerifyResults[[#This Row],[Month]]),1),tblVerifyResults[Month],"&lt;"&amp;EDATE(DATE(YEAR(tblVerifyResults[[#This Row],[Month]]),MONTH(tblVerifyResults[[#This Row],[Month]]),1),1))&gt;1,"Line twice in one month",IF(AND(tblVerifyResults[[#This Row],[Variance flag]]="Out of limits",tblVerifyResults[[#This Row],[Commentary]]=""),"Comment needed","OK"))))))))</f>
        <v>OK</v>
      </c>
      <c r="P59" s="69" t="s">
        <v>253</v>
      </c>
    </row>
    <row r="60" spans="2:16">
      <c r="B60" s="79">
        <v>46023</v>
      </c>
      <c r="C60" s="69" t="s">
        <v>249</v>
      </c>
      <c r="D60" s="76">
        <v>50000</v>
      </c>
      <c r="E60" s="76">
        <v>56000</v>
      </c>
      <c r="F60" s="69" t="s">
        <v>88</v>
      </c>
      <c r="G60" s="81">
        <v>0.4</v>
      </c>
      <c r="H60" s="39">
        <f>IF(tblVerifyResults[[#This Row],[Month]]="","",IFERROR(INDEX(tblVerifyVolume[Volume ratio],MATCH(DATE(YEAR(tblVerifyResults[[#This Row],[Month]]),MONTH(tblVerifyResults[[#This Row],[Month]]),1),tblVerifyVolume[Month],0)),""))</f>
        <v>0.9</v>
      </c>
      <c r="I60" s="40">
        <f>IF(tblVerifyResults[[#This Row],[Month]]="","",IF(OR(tblVerifyResults[[#This Row],[Volume ratio]]="",tblVerifyResults[[#This Row],[Variable share]]=""),"",tblVerifyResults[[#This Row],[Budget]]*(1-tblVerifyResults[[#This Row],[Variable share]]+tblVerifyResults[[#This Row],[Variable share]]*tblVerifyResults[[#This Row],[Volume ratio]])))</f>
        <v>48000</v>
      </c>
      <c r="J60" s="41">
        <f>IF(tblVerifyResults[[#This Row],[Month]]="","",IF(OR(tblVerifyResults[[#This Row],[Flexed budget]]="",tblVerifyResults[[#This Row],[Actual]]=""),"",tblVerifyResults[[#This Row],[Actual]]-tblVerifyResults[[#This Row],[Flexed budget]]))</f>
        <v>8000</v>
      </c>
      <c r="K60" s="42">
        <f>IF(tblVerifyResults[[#This Row],[Month]]="","",IF(OR(tblVerifyResults[[#This Row],[Spending variance]]="",tblVerifyResults[[#This Row],[Flexed budget]]=0),"",tblVerifyResults[[#This Row],[Spending variance]]/tblVerifyResults[[#This Row],[Flexed budget]]))</f>
        <v>0.166666666666667</v>
      </c>
      <c r="L60" s="41">
        <f>IF(tblVerifyResults[[#This Row],[Month]]="","",IF(tblVerifyResults[[#This Row],[Flexed budget]]="","",tblVerifyResults[[#This Row],[Flexed budget]]-tblVerifyResults[[#This Row],[Budget]]))</f>
        <v>-2000</v>
      </c>
      <c r="M60" s="41">
        <f>IF(tblVerifyResults[[#This Row],[Month]]="","",IF(tblVerifyResults[[#This Row],[Actual]]="","",tblVerifyResults[[#This Row],[Actual]]-tblVerifyResults[[#This Row],[Budget]]))</f>
        <v>6000</v>
      </c>
      <c r="N60" s="43" t="str">
        <f>IF(tblVerifyResults[[#This Row],[Spending variance]]="","",IF(AND(ABS(tblVerifyResults[[#This Row],[Spending variance]])&gt;$E$40,ABS(tblVerifyResults[[#This Row],[Spending variance %]])&gt;$E$39),IF(tblVerifyResults[[#This Row],[Spending variance]]&gt;0,"Out of limits","Check"),"Within limits"))</f>
        <v>Out of limits</v>
      </c>
      <c r="O60" s="44" t="str">
        <f>IF(tblVerifyResults[[#This Row],[Month]]="","",IF(tblVerifyResults[[#This Row],[Cost line]]="","Missing cost line",IF(tblVerifyResults[[#This Row],[Budget]]="","Missing budget",IF(tblVerifyResults[[#This Row],[Group]]="","Cost line not on Setup list",IF(AND(tblVerifyResults[[#This Row],[Actual]]&lt;&gt;"",tblVerifyResults[[#This Row],[Volume ratio]]=""),"No actual volume for this month",IF(AND(tblVerifyResults[[#This Row],[Actual]]="",tblVerifyResults[[#This Row],[Volume ratio]]&lt;&gt;""),"Missing actual",IF(COUNTIFS(tblVerifyResults[Cost line],tblVerifyResults[[#This Row],[Cost line]],tblVerifyResults[Month],"&gt;="&amp;DATE(YEAR(tblVerifyResults[[#This Row],[Month]]),MONTH(tblVerifyResults[[#This Row],[Month]]),1),tblVerifyResults[Month],"&lt;"&amp;EDATE(DATE(YEAR(tblVerifyResults[[#This Row],[Month]]),MONTH(tblVerifyResults[[#This Row],[Month]]),1),1))&gt;1,"Line twice in one month",IF(AND(tblVerifyResults[[#This Row],[Variance flag]]="Out of limits",tblVerifyResults[[#This Row],[Commentary]]=""),"Comment needed","OK"))))))))</f>
        <v>OK</v>
      </c>
      <c r="P60" s="69" t="s">
        <v>254</v>
      </c>
    </row>
    <row r="61" spans="2:16">
      <c r="B61" s="79">
        <v>46054</v>
      </c>
      <c r="C61" s="69" t="s">
        <v>249</v>
      </c>
      <c r="D61" s="76">
        <v>50000</v>
      </c>
      <c r="E61" s="76">
        <v>40000</v>
      </c>
      <c r="F61" s="69" t="s">
        <v>88</v>
      </c>
      <c r="G61" s="81">
        <v>0.4</v>
      </c>
      <c r="H61" s="39">
        <f>IF(tblVerifyResults[[#This Row],[Month]]="","",IFERROR(INDEX(tblVerifyVolume[Volume ratio],MATCH(DATE(YEAR(tblVerifyResults[[#This Row],[Month]]),MONTH(tblVerifyResults[[#This Row],[Month]]),1),tblVerifyVolume[Month],0)),""))</f>
        <v>0.833333333333333</v>
      </c>
      <c r="I61" s="40">
        <f>IF(tblVerifyResults[[#This Row],[Month]]="","",IF(OR(tblVerifyResults[[#This Row],[Volume ratio]]="",tblVerifyResults[[#This Row],[Variable share]]=""),"",tblVerifyResults[[#This Row],[Budget]]*(1-tblVerifyResults[[#This Row],[Variable share]]+tblVerifyResults[[#This Row],[Variable share]]*tblVerifyResults[[#This Row],[Volume ratio]])))</f>
        <v>46666.6666666667</v>
      </c>
      <c r="J61" s="41">
        <f>IF(tblVerifyResults[[#This Row],[Month]]="","",IF(OR(tblVerifyResults[[#This Row],[Flexed budget]]="",tblVerifyResults[[#This Row],[Actual]]=""),"",tblVerifyResults[[#This Row],[Actual]]-tblVerifyResults[[#This Row],[Flexed budget]]))</f>
        <v>-6666.66666666666</v>
      </c>
      <c r="K61" s="42">
        <f>IF(tblVerifyResults[[#This Row],[Month]]="","",IF(OR(tblVerifyResults[[#This Row],[Spending variance]]="",tblVerifyResults[[#This Row],[Flexed budget]]=0),"",tblVerifyResults[[#This Row],[Spending variance]]/tblVerifyResults[[#This Row],[Flexed budget]]))</f>
        <v>-0.142857142857143</v>
      </c>
      <c r="L61" s="41">
        <f>IF(tblVerifyResults[[#This Row],[Month]]="","",IF(tblVerifyResults[[#This Row],[Flexed budget]]="","",tblVerifyResults[[#This Row],[Flexed budget]]-tblVerifyResults[[#This Row],[Budget]]))</f>
        <v>-3333.33333333334</v>
      </c>
      <c r="M61" s="41">
        <f>IF(tblVerifyResults[[#This Row],[Month]]="","",IF(tblVerifyResults[[#This Row],[Actual]]="","",tblVerifyResults[[#This Row],[Actual]]-tblVerifyResults[[#This Row],[Budget]]))</f>
        <v>-10000</v>
      </c>
      <c r="N61" s="43" t="str">
        <f>IF(tblVerifyResults[[#This Row],[Spending variance]]="","",IF(AND(ABS(tblVerifyResults[[#This Row],[Spending variance]])&gt;$E$40,ABS(tblVerifyResults[[#This Row],[Spending variance %]])&gt;$E$39),IF(tblVerifyResults[[#This Row],[Spending variance]]&gt;0,"Out of limits","Check"),"Within limits"))</f>
        <v>Check</v>
      </c>
      <c r="O61" s="44" t="str">
        <f>IF(tblVerifyResults[[#This Row],[Month]]="","",IF(tblVerifyResults[[#This Row],[Cost line]]="","Missing cost line",IF(tblVerifyResults[[#This Row],[Budget]]="","Missing budget",IF(tblVerifyResults[[#This Row],[Group]]="","Cost line not on Setup list",IF(AND(tblVerifyResults[[#This Row],[Actual]]&lt;&gt;"",tblVerifyResults[[#This Row],[Volume ratio]]=""),"No actual volume for this month",IF(AND(tblVerifyResults[[#This Row],[Actual]]="",tblVerifyResults[[#This Row],[Volume ratio]]&lt;&gt;""),"Missing actual",IF(COUNTIFS(tblVerifyResults[Cost line],tblVerifyResults[[#This Row],[Cost line]],tblVerifyResults[Month],"&gt;="&amp;DATE(YEAR(tblVerifyResults[[#This Row],[Month]]),MONTH(tblVerifyResults[[#This Row],[Month]]),1),tblVerifyResults[Month],"&lt;"&amp;EDATE(DATE(YEAR(tblVerifyResults[[#This Row],[Month]]),MONTH(tblVerifyResults[[#This Row],[Month]]),1),1))&gt;1,"Line twice in one month",IF(AND(tblVerifyResults[[#This Row],[Variance flag]]="Out of limits",tblVerifyResults[[#This Row],[Commentary]]=""),"Comment needed","OK"))))))))</f>
        <v>OK</v>
      </c>
      <c r="P61" s="69" t="s">
        <v>255</v>
      </c>
    </row>
    <row r="62" spans="2:16">
      <c r="B62" s="79">
        <v>46054</v>
      </c>
      <c r="C62" s="69" t="s">
        <v>250</v>
      </c>
      <c r="D62" s="76">
        <v>30000</v>
      </c>
      <c r="E62" s="76">
        <v>30500</v>
      </c>
      <c r="F62" s="69" t="s">
        <v>98</v>
      </c>
      <c r="G62" s="81">
        <v>0</v>
      </c>
      <c r="H62" s="39">
        <f>IF(tblVerifyResults[[#This Row],[Month]]="","",IFERROR(INDEX(tblVerifyVolume[Volume ratio],MATCH(DATE(YEAR(tblVerifyResults[[#This Row],[Month]]),MONTH(tblVerifyResults[[#This Row],[Month]]),1),tblVerifyVolume[Month],0)),""))</f>
        <v>0.833333333333333</v>
      </c>
      <c r="I62" s="40">
        <f>IF(tblVerifyResults[[#This Row],[Month]]="","",IF(OR(tblVerifyResults[[#This Row],[Volume ratio]]="",tblVerifyResults[[#This Row],[Variable share]]=""),"",tblVerifyResults[[#This Row],[Budget]]*(1-tblVerifyResults[[#This Row],[Variable share]]+tblVerifyResults[[#This Row],[Variable share]]*tblVerifyResults[[#This Row],[Volume ratio]])))</f>
        <v>30000</v>
      </c>
      <c r="J62" s="41">
        <f>IF(tblVerifyResults[[#This Row],[Month]]="","",IF(OR(tblVerifyResults[[#This Row],[Flexed budget]]="",tblVerifyResults[[#This Row],[Actual]]=""),"",tblVerifyResults[[#This Row],[Actual]]-tblVerifyResults[[#This Row],[Flexed budget]]))</f>
        <v>500</v>
      </c>
      <c r="K62" s="42">
        <f>IF(tblVerifyResults[[#This Row],[Month]]="","",IF(OR(tblVerifyResults[[#This Row],[Spending variance]]="",tblVerifyResults[[#This Row],[Flexed budget]]=0),"",tblVerifyResults[[#This Row],[Spending variance]]/tblVerifyResults[[#This Row],[Flexed budget]]))</f>
        <v>0.0166666666666667</v>
      </c>
      <c r="L62" s="41">
        <f>IF(tblVerifyResults[[#This Row],[Month]]="","",IF(tblVerifyResults[[#This Row],[Flexed budget]]="","",tblVerifyResults[[#This Row],[Flexed budget]]-tblVerifyResults[[#This Row],[Budget]]))</f>
        <v>0</v>
      </c>
      <c r="M62" s="41">
        <f>IF(tblVerifyResults[[#This Row],[Month]]="","",IF(tblVerifyResults[[#This Row],[Actual]]="","",tblVerifyResults[[#This Row],[Actual]]-tblVerifyResults[[#This Row],[Budget]]))</f>
        <v>500</v>
      </c>
      <c r="N62" s="43" t="str">
        <f>IF(tblVerifyResults[[#This Row],[Spending variance]]="","",IF(AND(ABS(tblVerifyResults[[#This Row],[Spending variance]])&gt;$E$40,ABS(tblVerifyResults[[#This Row],[Spending variance %]])&gt;$E$39),IF(tblVerifyResults[[#This Row],[Spending variance]]&gt;0,"Out of limits","Check"),"Within limits"))</f>
        <v>Within limits</v>
      </c>
      <c r="O62" s="44" t="str">
        <f>IF(tblVerifyResults[[#This Row],[Month]]="","",IF(tblVerifyResults[[#This Row],[Cost line]]="","Missing cost line",IF(tblVerifyResults[[#This Row],[Budget]]="","Missing budget",IF(tblVerifyResults[[#This Row],[Group]]="","Cost line not on Setup list",IF(AND(tblVerifyResults[[#This Row],[Actual]]&lt;&gt;"",tblVerifyResults[[#This Row],[Volume ratio]]=""),"No actual volume for this month",IF(AND(tblVerifyResults[[#This Row],[Actual]]="",tblVerifyResults[[#This Row],[Volume ratio]]&lt;&gt;""),"Missing actual",IF(COUNTIFS(tblVerifyResults[Cost line],tblVerifyResults[[#This Row],[Cost line]],tblVerifyResults[Month],"&gt;="&amp;DATE(YEAR(tblVerifyResults[[#This Row],[Month]]),MONTH(tblVerifyResults[[#This Row],[Month]]),1),tblVerifyResults[Month],"&lt;"&amp;EDATE(DATE(YEAR(tblVerifyResults[[#This Row],[Month]]),MONTH(tblVerifyResults[[#This Row],[Month]]),1),1))&gt;1,"Line twice in one month",IF(AND(tblVerifyResults[[#This Row],[Variance flag]]="Out of limits",tblVerifyResults[[#This Row],[Commentary]]=""),"Comment needed","OK"))))))))</f>
        <v>OK</v>
      </c>
      <c r="P62" s="69" t="s">
        <v>122</v>
      </c>
    </row>
    <row r="63" spans="2:16">
      <c r="B63" s="79">
        <v>46023</v>
      </c>
      <c r="C63" s="69" t="s">
        <v>250</v>
      </c>
      <c r="D63" s="76">
        <v>30000</v>
      </c>
      <c r="E63" s="76">
        <v>36000</v>
      </c>
      <c r="F63" s="69" t="s">
        <v>98</v>
      </c>
      <c r="G63" s="81">
        <v>0</v>
      </c>
      <c r="H63" s="39">
        <f>IF(tblVerifyResults[[#This Row],[Month]]="","",IFERROR(INDEX(tblVerifyVolume[Volume ratio],MATCH(DATE(YEAR(tblVerifyResults[[#This Row],[Month]]),MONTH(tblVerifyResults[[#This Row],[Month]]),1),tblVerifyVolume[Month],0)),""))</f>
        <v>0.9</v>
      </c>
      <c r="I63" s="40">
        <f>IF(tblVerifyResults[[#This Row],[Month]]="","",IF(OR(tblVerifyResults[[#This Row],[Volume ratio]]="",tblVerifyResults[[#This Row],[Variable share]]=""),"",tblVerifyResults[[#This Row],[Budget]]*(1-tblVerifyResults[[#This Row],[Variable share]]+tblVerifyResults[[#This Row],[Variable share]]*tblVerifyResults[[#This Row],[Volume ratio]])))</f>
        <v>30000</v>
      </c>
      <c r="J63" s="41">
        <f>IF(tblVerifyResults[[#This Row],[Month]]="","",IF(OR(tblVerifyResults[[#This Row],[Flexed budget]]="",tblVerifyResults[[#This Row],[Actual]]=""),"",tblVerifyResults[[#This Row],[Actual]]-tblVerifyResults[[#This Row],[Flexed budget]]))</f>
        <v>6000</v>
      </c>
      <c r="K63" s="42">
        <f>IF(tblVerifyResults[[#This Row],[Month]]="","",IF(OR(tblVerifyResults[[#This Row],[Spending variance]]="",tblVerifyResults[[#This Row],[Flexed budget]]=0),"",tblVerifyResults[[#This Row],[Spending variance]]/tblVerifyResults[[#This Row],[Flexed budget]]))</f>
        <v>0.2</v>
      </c>
      <c r="L63" s="41">
        <f>IF(tblVerifyResults[[#This Row],[Month]]="","",IF(tblVerifyResults[[#This Row],[Flexed budget]]="","",tblVerifyResults[[#This Row],[Flexed budget]]-tblVerifyResults[[#This Row],[Budget]]))</f>
        <v>0</v>
      </c>
      <c r="M63" s="41">
        <f>IF(tblVerifyResults[[#This Row],[Month]]="","",IF(tblVerifyResults[[#This Row],[Actual]]="","",tblVerifyResults[[#This Row],[Actual]]-tblVerifyResults[[#This Row],[Budget]]))</f>
        <v>6000</v>
      </c>
      <c r="N63" s="43" t="str">
        <f>IF(tblVerifyResults[[#This Row],[Spending variance]]="","",IF(AND(ABS(tblVerifyResults[[#This Row],[Spending variance]])&gt;$E$40,ABS(tblVerifyResults[[#This Row],[Spending variance %]])&gt;$E$39),IF(tblVerifyResults[[#This Row],[Spending variance]]&gt;0,"Out of limits","Check"),"Within limits"))</f>
        <v>Out of limits</v>
      </c>
      <c r="O63" s="44" t="str">
        <f>IF(tblVerifyResults[[#This Row],[Month]]="","",IF(tblVerifyResults[[#This Row],[Cost line]]="","Missing cost line",IF(tblVerifyResults[[#This Row],[Budget]]="","Missing budget",IF(tblVerifyResults[[#This Row],[Group]]="","Cost line not on Setup list",IF(AND(tblVerifyResults[[#This Row],[Actual]]&lt;&gt;"",tblVerifyResults[[#This Row],[Volume ratio]]=""),"No actual volume for this month",IF(AND(tblVerifyResults[[#This Row],[Actual]]="",tblVerifyResults[[#This Row],[Volume ratio]]&lt;&gt;""),"Missing actual",IF(COUNTIFS(tblVerifyResults[Cost line],tblVerifyResults[[#This Row],[Cost line]],tblVerifyResults[Month],"&gt;="&amp;DATE(YEAR(tblVerifyResults[[#This Row],[Month]]),MONTH(tblVerifyResults[[#This Row],[Month]]),1),tblVerifyResults[Month],"&lt;"&amp;EDATE(DATE(YEAR(tblVerifyResults[[#This Row],[Month]]),MONTH(tblVerifyResults[[#This Row],[Month]]),1),1))&gt;1,"Line twice in one month",IF(AND(tblVerifyResults[[#This Row],[Variance flag]]="Out of limits",tblVerifyResults[[#This Row],[Commentary]]=""),"Comment needed","OK"))))))))</f>
        <v>Comment needed</v>
      </c>
      <c r="P63" s="69" t="s">
        <v>122</v>
      </c>
    </row>
    <row r="64" spans="2:16">
      <c r="B64" s="79">
        <v>46082</v>
      </c>
      <c r="C64" s="69" t="s">
        <v>250</v>
      </c>
      <c r="D64" s="76">
        <v>30000</v>
      </c>
      <c r="E64" s="76">
        <v>29000</v>
      </c>
      <c r="F64" s="69" t="s">
        <v>98</v>
      </c>
      <c r="G64" s="81">
        <v>0</v>
      </c>
      <c r="H64" s="39">
        <f>IF(tblVerifyResults[[#This Row],[Month]]="","",IFERROR(INDEX(tblVerifyVolume[Volume ratio],MATCH(DATE(YEAR(tblVerifyResults[[#This Row],[Month]]),MONTH(tblVerifyResults[[#This Row],[Month]]),1),tblVerifyVolume[Month],0)),""))</f>
        <v/>
      </c>
      <c r="I64" s="40">
        <f>IF(tblVerifyResults[[#This Row],[Month]]="","",IF(OR(tblVerifyResults[[#This Row],[Volume ratio]]="",tblVerifyResults[[#This Row],[Variable share]]=""),"",tblVerifyResults[[#This Row],[Budget]]*(1-tblVerifyResults[[#This Row],[Variable share]]+tblVerifyResults[[#This Row],[Variable share]]*tblVerifyResults[[#This Row],[Volume ratio]])))</f>
        <v/>
      </c>
      <c r="J64" s="41">
        <f>IF(tblVerifyResults[[#This Row],[Month]]="","",IF(OR(tblVerifyResults[[#This Row],[Flexed budget]]="",tblVerifyResults[[#This Row],[Actual]]=""),"",tblVerifyResults[[#This Row],[Actual]]-tblVerifyResults[[#This Row],[Flexed budget]]))</f>
        <v/>
      </c>
      <c r="K64" s="42">
        <f>IF(tblVerifyResults[[#This Row],[Month]]="","",IF(OR(tblVerifyResults[[#This Row],[Spending variance]]="",tblVerifyResults[[#This Row],[Flexed budget]]=0),"",tblVerifyResults[[#This Row],[Spending variance]]/tblVerifyResults[[#This Row],[Flexed budget]]))</f>
        <v/>
      </c>
      <c r="L64" s="41">
        <f>IF(tblVerifyResults[[#This Row],[Month]]="","",IF(tblVerifyResults[[#This Row],[Flexed budget]]="","",tblVerifyResults[[#This Row],[Flexed budget]]-tblVerifyResults[[#This Row],[Budget]]))</f>
        <v/>
      </c>
      <c r="M64" s="41">
        <f>IF(tblVerifyResults[[#This Row],[Month]]="","",IF(tblVerifyResults[[#This Row],[Actual]]="","",tblVerifyResults[[#This Row],[Actual]]-tblVerifyResults[[#This Row],[Budget]]))</f>
        <v>-1000</v>
      </c>
      <c r="N64" s="43">
        <f>IF(tblVerifyResults[[#This Row],[Spending variance]]="","",IF(AND(ABS(tblVerifyResults[[#This Row],[Spending variance]])&gt;$E$40,ABS(tblVerifyResults[[#This Row],[Spending variance %]])&gt;$E$39),IF(tblVerifyResults[[#This Row],[Spending variance]]&gt;0,"Out of limits","Check"),"Within limits"))</f>
        <v/>
      </c>
      <c r="O64" s="44" t="str">
        <f>IF(tblVerifyResults[[#This Row],[Month]]="","",IF(tblVerifyResults[[#This Row],[Cost line]]="","Missing cost line",IF(tblVerifyResults[[#This Row],[Budget]]="","Missing budget",IF(tblVerifyResults[[#This Row],[Group]]="","Cost line not on Setup list",IF(AND(tblVerifyResults[[#This Row],[Actual]]&lt;&gt;"",tblVerifyResults[[#This Row],[Volume ratio]]=""),"No actual volume for this month",IF(AND(tblVerifyResults[[#This Row],[Actual]]="",tblVerifyResults[[#This Row],[Volume ratio]]&lt;&gt;""),"Missing actual",IF(COUNTIFS(tblVerifyResults[Cost line],tblVerifyResults[[#This Row],[Cost line]],tblVerifyResults[Month],"&gt;="&amp;DATE(YEAR(tblVerifyResults[[#This Row],[Month]]),MONTH(tblVerifyResults[[#This Row],[Month]]),1),tblVerifyResults[Month],"&lt;"&amp;EDATE(DATE(YEAR(tblVerifyResults[[#This Row],[Month]]),MONTH(tblVerifyResults[[#This Row],[Month]]),1),1))&gt;1,"Line twice in one month",IF(AND(tblVerifyResults[[#This Row],[Variance flag]]="Out of limits",tblVerifyResults[[#This Row],[Commentary]]=""),"Comment needed","OK"))))))))</f>
        <v>No actual volume for this month</v>
      </c>
      <c r="P64" s="69" t="s">
        <v>122</v>
      </c>
    </row>
    <row r="65" spans="2:16">
      <c r="B65" s="79">
        <v>46082</v>
      </c>
      <c r="C65" s="69" t="s">
        <v>247</v>
      </c>
      <c r="D65" s="76">
        <v>20000</v>
      </c>
      <c r="E65" s="76"/>
      <c r="F65" s="69" t="s">
        <v>81</v>
      </c>
      <c r="G65" s="81">
        <v>1</v>
      </c>
      <c r="H65" s="39">
        <f>IF(tblVerifyResults[[#This Row],[Month]]="","",IFERROR(INDEX(tblVerifyVolume[Volume ratio],MATCH(DATE(YEAR(tblVerifyResults[[#This Row],[Month]]),MONTH(tblVerifyResults[[#This Row],[Month]]),1),tblVerifyVolume[Month],0)),""))</f>
        <v/>
      </c>
      <c r="I65" s="40">
        <f>IF(tblVerifyResults[[#This Row],[Month]]="","",IF(OR(tblVerifyResults[[#This Row],[Volume ratio]]="",tblVerifyResults[[#This Row],[Variable share]]=""),"",tblVerifyResults[[#This Row],[Budget]]*(1-tblVerifyResults[[#This Row],[Variable share]]+tblVerifyResults[[#This Row],[Variable share]]*tblVerifyResults[[#This Row],[Volume ratio]])))</f>
        <v/>
      </c>
      <c r="J65" s="41">
        <f>IF(tblVerifyResults[[#This Row],[Month]]="","",IF(OR(tblVerifyResults[[#This Row],[Flexed budget]]="",tblVerifyResults[[#This Row],[Actual]]=""),"",tblVerifyResults[[#This Row],[Actual]]-tblVerifyResults[[#This Row],[Flexed budget]]))</f>
        <v/>
      </c>
      <c r="K65" s="42">
        <f>IF(tblVerifyResults[[#This Row],[Month]]="","",IF(OR(tblVerifyResults[[#This Row],[Spending variance]]="",tblVerifyResults[[#This Row],[Flexed budget]]=0),"",tblVerifyResults[[#This Row],[Spending variance]]/tblVerifyResults[[#This Row],[Flexed budget]]))</f>
        <v/>
      </c>
      <c r="L65" s="41">
        <f>IF(tblVerifyResults[[#This Row],[Month]]="","",IF(tblVerifyResults[[#This Row],[Flexed budget]]="","",tblVerifyResults[[#This Row],[Flexed budget]]-tblVerifyResults[[#This Row],[Budget]]))</f>
        <v/>
      </c>
      <c r="M65" s="41">
        <f>IF(tblVerifyResults[[#This Row],[Month]]="","",IF(tblVerifyResults[[#This Row],[Actual]]="","",tblVerifyResults[[#This Row],[Actual]]-tblVerifyResults[[#This Row],[Budget]]))</f>
        <v/>
      </c>
      <c r="N65" s="43">
        <f>IF(tblVerifyResults[[#This Row],[Spending variance]]="","",IF(AND(ABS(tblVerifyResults[[#This Row],[Spending variance]])&gt;$E$40,ABS(tblVerifyResults[[#This Row],[Spending variance %]])&gt;$E$39),IF(tblVerifyResults[[#This Row],[Spending variance]]&gt;0,"Out of limits","Check"),"Within limits"))</f>
        <v/>
      </c>
      <c r="O65" s="44" t="str">
        <f>IF(tblVerifyResults[[#This Row],[Month]]="","",IF(tblVerifyResults[[#This Row],[Cost line]]="","Missing cost line",IF(tblVerifyResults[[#This Row],[Budget]]="","Missing budget",IF(tblVerifyResults[[#This Row],[Group]]="","Cost line not on Setup list",IF(AND(tblVerifyResults[[#This Row],[Actual]]&lt;&gt;"",tblVerifyResults[[#This Row],[Volume ratio]]=""),"No actual volume for this month",IF(AND(tblVerifyResults[[#This Row],[Actual]]="",tblVerifyResults[[#This Row],[Volume ratio]]&lt;&gt;""),"Missing actual",IF(COUNTIFS(tblVerifyResults[Cost line],tblVerifyResults[[#This Row],[Cost line]],tblVerifyResults[Month],"&gt;="&amp;DATE(YEAR(tblVerifyResults[[#This Row],[Month]]),MONTH(tblVerifyResults[[#This Row],[Month]]),1),tblVerifyResults[Month],"&lt;"&amp;EDATE(DATE(YEAR(tblVerifyResults[[#This Row],[Month]]),MONTH(tblVerifyResults[[#This Row],[Month]]),1),1))&gt;1,"Line twice in one month",IF(AND(tblVerifyResults[[#This Row],[Variance flag]]="Out of limits",tblVerifyResults[[#This Row],[Commentary]]=""),"Comment needed","OK"))))))))</f>
        <v>OK</v>
      </c>
      <c r="P65" s="69" t="s">
        <v>122</v>
      </c>
    </row>
    <row r="67" spans="2:16">
      <c r="B67" s="32" t="s">
        <v>256</v>
      </c>
      <c r="C67" s="32"/>
      <c r="D67" s="32"/>
      <c r="E67" s="32"/>
      <c r="F67" s="32"/>
      <c r="G67" s="32"/>
      <c r="H67" s="32"/>
      <c r="I67" s="32"/>
      <c r="J67" s="32"/>
      <c r="K67" s="32"/>
      <c r="L67" s="32"/>
    </row>
    <row r="68" spans="2:16" ht="32" customHeight="1">
      <c r="B68" s="61" t="s">
        <v>62</v>
      </c>
      <c r="C68" s="33" t="s">
        <v>142</v>
      </c>
      <c r="D68" s="33" t="s">
        <v>143</v>
      </c>
      <c r="E68" s="33" t="s">
        <v>144</v>
      </c>
      <c r="F68" s="33" t="s">
        <v>145</v>
      </c>
      <c r="G68" s="33" t="s">
        <v>146</v>
      </c>
      <c r="H68" s="33" t="s">
        <v>147</v>
      </c>
      <c r="I68" s="33" t="s">
        <v>148</v>
      </c>
      <c r="J68" s="33" t="s">
        <v>149</v>
      </c>
      <c r="K68" s="33"/>
    </row>
    <row r="69" spans="2:16">
      <c r="B69" s="62" t="str">
        <f>IFERROR(INDEX(tblVerifyCostLines[Cost line],1)&amp;"","")</f>
        <v>Variable line</v>
      </c>
      <c r="C69" s="40">
        <f>IF($B$69="","",SUMIFS(tblVerifyResults[Actual],tblVerifyResults[Month],"&gt;="&amp;$E$38,tblVerifyResults[Month],"&lt;"&amp;EDATE($E$38,1),tblVerifyResults[Cost line],$B$69))</f>
        <v>10800</v>
      </c>
      <c r="D69" s="41">
        <f>IF($B$69="","",SUMIFS(tblVerifyResults[Actual],tblVerifyResults[Month],"&gt;="&amp;$E$38,tblVerifyResults[Month],"&lt;"&amp;EDATE($E$38,1),tblVerifyResults[Cost line],$B$69)-SUMIFS(tblVerifyResults[Flexed budget],tblVerifyResults[Month],"&gt;="&amp;$E$38,tblVerifyResults[Month],"&lt;"&amp;EDATE($E$38,1),tblVerifyResults[Cost line],$B$69))</f>
        <v>800</v>
      </c>
      <c r="E69" s="40">
        <f>IF($B$69="","",SUMIFS(tblVerifyResults[Budget],tblVerifyResults[Month],"&gt;="&amp;$E$37,tblVerifyResults[Month],"&lt;"&amp;EDATE($E$38,1),tblVerifyResults[Cost line],$B$69))</f>
        <v>32000</v>
      </c>
      <c r="F69" s="40">
        <f>IF($B$69="","",SUMIFS(tblVerifyResults[Flexed budget],tblVerifyResults[Month],"&gt;="&amp;$E$37,tblVerifyResults[Month],"&lt;"&amp;EDATE($E$38,1),tblVerifyResults[Cost line],$B$69))</f>
        <v>28000</v>
      </c>
      <c r="G69" s="40">
        <f>IF($B$69="","",SUMIFS(tblVerifyResults[Actual],tblVerifyResults[Month],"&gt;="&amp;$E$37,tblVerifyResults[Month],"&lt;"&amp;EDATE($E$38,1),tblVerifyResults[Cost line],$B$69))</f>
        <v>29300</v>
      </c>
      <c r="H69" s="41">
        <f>IF($B$69="","",SUMIFS(tblVerifyResults[Actual],tblVerifyResults[Month],"&gt;="&amp;$E$37,tblVerifyResults[Month],"&lt;"&amp;EDATE($E$38,1),tblVerifyResults[Cost line],$B$69)-SUMIFS(tblVerifyResults[Flexed budget],tblVerifyResults[Month],"&gt;="&amp;$E$37,tblVerifyResults[Month],"&lt;"&amp;EDATE($E$38,1),tblVerifyResults[Cost line],$B$69))</f>
        <v>1300</v>
      </c>
      <c r="I69" s="42">
        <f>IF($B$69="","",IF(($F$69)=0,"",($H$69)/($F$69)))</f>
        <v>0.0464285714285714</v>
      </c>
      <c r="J69" s="43" t="str">
        <f>IF($B$69="","",IF($I$69="","",IF(AND(ABS($H$69)&gt;$E$40,ABS($I$69)&gt;$E$39),IF($H$69&gt;0,"Out of limits","Check"),"Within limits")))</f>
        <v>Within limits</v>
      </c>
      <c r="K69" s="43"/>
    </row>
    <row r="70" spans="2:16">
      <c r="B70" s="62" t="str">
        <f>IFERROR(INDEX(tblVerifyCostLines[Cost line],2)&amp;"","")</f>
        <v>Semi-variable line</v>
      </c>
      <c r="C70" s="40">
        <f>IF($B$70="","",SUMIFS(tblVerifyResults[Actual],tblVerifyResults[Month],"&gt;="&amp;$E$38,tblVerifyResults[Month],"&lt;"&amp;EDATE($E$38,1),tblVerifyResults[Cost line],$B$70))</f>
        <v>40000</v>
      </c>
      <c r="D70" s="41">
        <f>IF($B$70="","",SUMIFS(tblVerifyResults[Actual],tblVerifyResults[Month],"&gt;="&amp;$E$38,tblVerifyResults[Month],"&lt;"&amp;EDATE($E$38,1),tblVerifyResults[Cost line],$B$70)-SUMIFS(tblVerifyResults[Flexed budget],tblVerifyResults[Month],"&gt;="&amp;$E$38,tblVerifyResults[Month],"&lt;"&amp;EDATE($E$38,1),tblVerifyResults[Cost line],$B$70))</f>
        <v>-6666.66666666666</v>
      </c>
      <c r="E70" s="40">
        <f>IF($B$70="","",SUMIFS(tblVerifyResults[Budget],tblVerifyResults[Month],"&gt;="&amp;$E$37,tblVerifyResults[Month],"&lt;"&amp;EDATE($E$38,1),tblVerifyResults[Cost line],$B$70))</f>
        <v>100000</v>
      </c>
      <c r="F70" s="40">
        <f>IF($B$70="","",SUMIFS(tblVerifyResults[Flexed budget],tblVerifyResults[Month],"&gt;="&amp;$E$37,tblVerifyResults[Month],"&lt;"&amp;EDATE($E$38,1),tblVerifyResults[Cost line],$B$70))</f>
        <v>94666.6666666667</v>
      </c>
      <c r="G70" s="40">
        <f>IF($B$70="","",SUMIFS(tblVerifyResults[Actual],tblVerifyResults[Month],"&gt;="&amp;$E$37,tblVerifyResults[Month],"&lt;"&amp;EDATE($E$38,1),tblVerifyResults[Cost line],$B$70))</f>
        <v>96000</v>
      </c>
      <c r="H70" s="41">
        <f>IF($B$70="","",SUMIFS(tblVerifyResults[Actual],tblVerifyResults[Month],"&gt;="&amp;$E$37,tblVerifyResults[Month],"&lt;"&amp;EDATE($E$38,1),tblVerifyResults[Cost line],$B$70)-SUMIFS(tblVerifyResults[Flexed budget],tblVerifyResults[Month],"&gt;="&amp;$E$37,tblVerifyResults[Month],"&lt;"&amp;EDATE($E$38,1),tblVerifyResults[Cost line],$B$70))</f>
        <v>1333.33333333334</v>
      </c>
      <c r="I70" s="42">
        <f>IF($B$70="","",IF(($F$70)=0,"",($H$70)/($F$70)))</f>
        <v>0.0140845070422536</v>
      </c>
      <c r="J70" s="43" t="str">
        <f>IF($B$70="","",IF($I$70="","",IF(AND(ABS($H$70)&gt;$E$40,ABS($I$70)&gt;$E$39),IF($H$70&gt;0,"Out of limits","Check"),"Within limits")))</f>
        <v>Within limits</v>
      </c>
      <c r="K70" s="43"/>
    </row>
    <row r="71" spans="2:16">
      <c r="B71" s="62" t="str">
        <f>IFERROR(INDEX(tblVerifyCostLines[Cost line],3)&amp;"","")</f>
        <v>Fixed line</v>
      </c>
      <c r="C71" s="40">
        <f>IF($B$71="","",SUMIFS(tblVerifyResults[Actual],tblVerifyResults[Month],"&gt;="&amp;$E$38,tblVerifyResults[Month],"&lt;"&amp;EDATE($E$38,1),tblVerifyResults[Cost line],$B$71))</f>
        <v>30500</v>
      </c>
      <c r="D71" s="41">
        <f>IF($B$71="","",SUMIFS(tblVerifyResults[Actual],tblVerifyResults[Month],"&gt;="&amp;$E$38,tblVerifyResults[Month],"&lt;"&amp;EDATE($E$38,1),tblVerifyResults[Cost line],$B$71)-SUMIFS(tblVerifyResults[Flexed budget],tblVerifyResults[Month],"&gt;="&amp;$E$38,tblVerifyResults[Month],"&lt;"&amp;EDATE($E$38,1),tblVerifyResults[Cost line],$B$71))</f>
        <v>500</v>
      </c>
      <c r="E71" s="40">
        <f>IF($B$71="","",SUMIFS(tblVerifyResults[Budget],tblVerifyResults[Month],"&gt;="&amp;$E$37,tblVerifyResults[Month],"&lt;"&amp;EDATE($E$38,1),tblVerifyResults[Cost line],$B$71))</f>
        <v>60000</v>
      </c>
      <c r="F71" s="40">
        <f>IF($B$71="","",SUMIFS(tblVerifyResults[Flexed budget],tblVerifyResults[Month],"&gt;="&amp;$E$37,tblVerifyResults[Month],"&lt;"&amp;EDATE($E$38,1),tblVerifyResults[Cost line],$B$71))</f>
        <v>60000</v>
      </c>
      <c r="G71" s="40">
        <f>IF($B$71="","",SUMIFS(tblVerifyResults[Actual],tblVerifyResults[Month],"&gt;="&amp;$E$37,tblVerifyResults[Month],"&lt;"&amp;EDATE($E$38,1),tblVerifyResults[Cost line],$B$71))</f>
        <v>66500</v>
      </c>
      <c r="H71" s="41">
        <f>IF($B$71="","",SUMIFS(tblVerifyResults[Actual],tblVerifyResults[Month],"&gt;="&amp;$E$37,tblVerifyResults[Month],"&lt;"&amp;EDATE($E$38,1),tblVerifyResults[Cost line],$B$71)-SUMIFS(tblVerifyResults[Flexed budget],tblVerifyResults[Month],"&gt;="&amp;$E$37,tblVerifyResults[Month],"&lt;"&amp;EDATE($E$38,1),tblVerifyResults[Cost line],$B$71))</f>
        <v>6500</v>
      </c>
      <c r="I71" s="42">
        <f>IF($B$71="","",IF(($F$71)=0,"",($H$71)/($F$71)))</f>
        <v>0.108333333333333</v>
      </c>
      <c r="J71" s="43" t="str">
        <f>IF($B$71="","",IF($I$71="","",IF(AND(ABS($H$71)&gt;$E$40,ABS($I$71)&gt;$E$39),IF($H$71&gt;0,"Out of limits","Check"),"Within limits")))</f>
        <v>Out of limits</v>
      </c>
      <c r="K71" s="43"/>
    </row>
    <row r="72" spans="2:16">
      <c r="B72" s="62">
        <f>IFERROR(INDEX(tblVerifyCostLines[Cost line],4)&amp;"","")</f>
        <v/>
      </c>
      <c r="C72" s="40">
        <f>IF($B$72="","",SUMIFS(tblVerifyResults[Actual],tblVerifyResults[Month],"&gt;="&amp;$E$38,tblVerifyResults[Month],"&lt;"&amp;EDATE($E$38,1),tblVerifyResults[Cost line],$B$72))</f>
        <v/>
      </c>
      <c r="D72" s="41">
        <f>IF($B$72="","",SUMIFS(tblVerifyResults[Actual],tblVerifyResults[Month],"&gt;="&amp;$E$38,tblVerifyResults[Month],"&lt;"&amp;EDATE($E$38,1),tblVerifyResults[Cost line],$B$72)-SUMIFS(tblVerifyResults[Flexed budget],tblVerifyResults[Month],"&gt;="&amp;$E$38,tblVerifyResults[Month],"&lt;"&amp;EDATE($E$38,1),tblVerifyResults[Cost line],$B$72))</f>
        <v/>
      </c>
      <c r="E72" s="40">
        <f>IF($B$72="","",SUMIFS(tblVerifyResults[Budget],tblVerifyResults[Month],"&gt;="&amp;$E$37,tblVerifyResults[Month],"&lt;"&amp;EDATE($E$38,1),tblVerifyResults[Cost line],$B$72))</f>
        <v/>
      </c>
      <c r="F72" s="40">
        <f>IF($B$72="","",SUMIFS(tblVerifyResults[Flexed budget],tblVerifyResults[Month],"&gt;="&amp;$E$37,tblVerifyResults[Month],"&lt;"&amp;EDATE($E$38,1),tblVerifyResults[Cost line],$B$72))</f>
        <v/>
      </c>
      <c r="G72" s="40">
        <f>IF($B$72="","",SUMIFS(tblVerifyResults[Actual],tblVerifyResults[Month],"&gt;="&amp;$E$37,tblVerifyResults[Month],"&lt;"&amp;EDATE($E$38,1),tblVerifyResults[Cost line],$B$72))</f>
        <v/>
      </c>
      <c r="H72" s="41">
        <f>IF($B$72="","",SUMIFS(tblVerifyResults[Actual],tblVerifyResults[Month],"&gt;="&amp;$E$37,tblVerifyResults[Month],"&lt;"&amp;EDATE($E$38,1),tblVerifyResults[Cost line],$B$72)-SUMIFS(tblVerifyResults[Flexed budget],tblVerifyResults[Month],"&gt;="&amp;$E$37,tblVerifyResults[Month],"&lt;"&amp;EDATE($E$38,1),tblVerifyResults[Cost line],$B$72))</f>
        <v/>
      </c>
      <c r="I72" s="42">
        <f>IF($B$72="","",IF(($F$72)=0,"",($H$72)/($F$72)))</f>
        <v/>
      </c>
      <c r="J72" s="43">
        <f>IF($B$72="","",IF($I$72="","",IF(AND(ABS($H$72)&gt;$E$40,ABS($I$72)&gt;$E$39),IF($H$72&gt;0,"Out of limits","Check"),"Within limits")))</f>
        <v/>
      </c>
      <c r="K72" s="43"/>
    </row>
    <row r="73" spans="2:16">
      <c r="B73" s="62">
        <f>IFERROR(INDEX(tblVerifyCostLines[Cost line],5)&amp;"","")</f>
        <v/>
      </c>
      <c r="C73" s="40">
        <f>IF($B$73="","",SUMIFS(tblVerifyResults[Actual],tblVerifyResults[Month],"&gt;="&amp;$E$38,tblVerifyResults[Month],"&lt;"&amp;EDATE($E$38,1),tblVerifyResults[Cost line],$B$73))</f>
        <v/>
      </c>
      <c r="D73" s="41">
        <f>IF($B$73="","",SUMIFS(tblVerifyResults[Actual],tblVerifyResults[Month],"&gt;="&amp;$E$38,tblVerifyResults[Month],"&lt;"&amp;EDATE($E$38,1),tblVerifyResults[Cost line],$B$73)-SUMIFS(tblVerifyResults[Flexed budget],tblVerifyResults[Month],"&gt;="&amp;$E$38,tblVerifyResults[Month],"&lt;"&amp;EDATE($E$38,1),tblVerifyResults[Cost line],$B$73))</f>
        <v/>
      </c>
      <c r="E73" s="40">
        <f>IF($B$73="","",SUMIFS(tblVerifyResults[Budget],tblVerifyResults[Month],"&gt;="&amp;$E$37,tblVerifyResults[Month],"&lt;"&amp;EDATE($E$38,1),tblVerifyResults[Cost line],$B$73))</f>
        <v/>
      </c>
      <c r="F73" s="40">
        <f>IF($B$73="","",SUMIFS(tblVerifyResults[Flexed budget],tblVerifyResults[Month],"&gt;="&amp;$E$37,tblVerifyResults[Month],"&lt;"&amp;EDATE($E$38,1),tblVerifyResults[Cost line],$B$73))</f>
        <v/>
      </c>
      <c r="G73" s="40">
        <f>IF($B$73="","",SUMIFS(tblVerifyResults[Actual],tblVerifyResults[Month],"&gt;="&amp;$E$37,tblVerifyResults[Month],"&lt;"&amp;EDATE($E$38,1),tblVerifyResults[Cost line],$B$73))</f>
        <v/>
      </c>
      <c r="H73" s="41">
        <f>IF($B$73="","",SUMIFS(tblVerifyResults[Actual],tblVerifyResults[Month],"&gt;="&amp;$E$37,tblVerifyResults[Month],"&lt;"&amp;EDATE($E$38,1),tblVerifyResults[Cost line],$B$73)-SUMIFS(tblVerifyResults[Flexed budget],tblVerifyResults[Month],"&gt;="&amp;$E$37,tblVerifyResults[Month],"&lt;"&amp;EDATE($E$38,1),tblVerifyResults[Cost line],$B$73))</f>
        <v/>
      </c>
      <c r="I73" s="42">
        <f>IF($B$73="","",IF(($F$73)=0,"",($H$73)/($F$73)))</f>
        <v/>
      </c>
      <c r="J73" s="43">
        <f>IF($B$73="","",IF($I$73="","",IF(AND(ABS($H$73)&gt;$E$40,ABS($I$73)&gt;$E$39),IF($H$73&gt;0,"Out of limits","Check"),"Within limits")))</f>
        <v/>
      </c>
      <c r="K73" s="43"/>
    </row>
    <row r="74" spans="2:16">
      <c r="B74" s="62">
        <f>IFERROR(INDEX(tblVerifyCostLines[Cost line],6)&amp;"","")</f>
        <v/>
      </c>
      <c r="C74" s="40">
        <f>IF($B$74="","",SUMIFS(tblVerifyResults[Actual],tblVerifyResults[Month],"&gt;="&amp;$E$38,tblVerifyResults[Month],"&lt;"&amp;EDATE($E$38,1),tblVerifyResults[Cost line],$B$74))</f>
        <v/>
      </c>
      <c r="D74" s="41">
        <f>IF($B$74="","",SUMIFS(tblVerifyResults[Actual],tblVerifyResults[Month],"&gt;="&amp;$E$38,tblVerifyResults[Month],"&lt;"&amp;EDATE($E$38,1),tblVerifyResults[Cost line],$B$74)-SUMIFS(tblVerifyResults[Flexed budget],tblVerifyResults[Month],"&gt;="&amp;$E$38,tblVerifyResults[Month],"&lt;"&amp;EDATE($E$38,1),tblVerifyResults[Cost line],$B$74))</f>
        <v/>
      </c>
      <c r="E74" s="40">
        <f>IF($B$74="","",SUMIFS(tblVerifyResults[Budget],tblVerifyResults[Month],"&gt;="&amp;$E$37,tblVerifyResults[Month],"&lt;"&amp;EDATE($E$38,1),tblVerifyResults[Cost line],$B$74))</f>
        <v/>
      </c>
      <c r="F74" s="40">
        <f>IF($B$74="","",SUMIFS(tblVerifyResults[Flexed budget],tblVerifyResults[Month],"&gt;="&amp;$E$37,tblVerifyResults[Month],"&lt;"&amp;EDATE($E$38,1),tblVerifyResults[Cost line],$B$74))</f>
        <v/>
      </c>
      <c r="G74" s="40">
        <f>IF($B$74="","",SUMIFS(tblVerifyResults[Actual],tblVerifyResults[Month],"&gt;="&amp;$E$37,tblVerifyResults[Month],"&lt;"&amp;EDATE($E$38,1),tblVerifyResults[Cost line],$B$74))</f>
        <v/>
      </c>
      <c r="H74" s="41">
        <f>IF($B$74="","",SUMIFS(tblVerifyResults[Actual],tblVerifyResults[Month],"&gt;="&amp;$E$37,tblVerifyResults[Month],"&lt;"&amp;EDATE($E$38,1),tblVerifyResults[Cost line],$B$74)-SUMIFS(tblVerifyResults[Flexed budget],tblVerifyResults[Month],"&gt;="&amp;$E$37,tblVerifyResults[Month],"&lt;"&amp;EDATE($E$38,1),tblVerifyResults[Cost line],$B$74))</f>
        <v/>
      </c>
      <c r="I74" s="42">
        <f>IF($B$74="","",IF(($F$74)=0,"",($H$74)/($F$74)))</f>
        <v/>
      </c>
      <c r="J74" s="43">
        <f>IF($B$74="","",IF($I$74="","",IF(AND(ABS($H$74)&gt;$E$40,ABS($I$74)&gt;$E$39),IF($H$74&gt;0,"Out of limits","Check"),"Within limits")))</f>
        <v/>
      </c>
      <c r="K74" s="43"/>
    </row>
    <row r="75" spans="2:16">
      <c r="B75" s="62">
        <f>IFERROR(INDEX(tblVerifyCostLines[Cost line],7)&amp;"","")</f>
        <v/>
      </c>
      <c r="C75" s="40">
        <f>IF($B$75="","",SUMIFS(tblVerifyResults[Actual],tblVerifyResults[Month],"&gt;="&amp;$E$38,tblVerifyResults[Month],"&lt;"&amp;EDATE($E$38,1),tblVerifyResults[Cost line],$B$75))</f>
        <v/>
      </c>
      <c r="D75" s="41">
        <f>IF($B$75="","",SUMIFS(tblVerifyResults[Actual],tblVerifyResults[Month],"&gt;="&amp;$E$38,tblVerifyResults[Month],"&lt;"&amp;EDATE($E$38,1),tblVerifyResults[Cost line],$B$75)-SUMIFS(tblVerifyResults[Flexed budget],tblVerifyResults[Month],"&gt;="&amp;$E$38,tblVerifyResults[Month],"&lt;"&amp;EDATE($E$38,1),tblVerifyResults[Cost line],$B$75))</f>
        <v/>
      </c>
      <c r="E75" s="40">
        <f>IF($B$75="","",SUMIFS(tblVerifyResults[Budget],tblVerifyResults[Month],"&gt;="&amp;$E$37,tblVerifyResults[Month],"&lt;"&amp;EDATE($E$38,1),tblVerifyResults[Cost line],$B$75))</f>
        <v/>
      </c>
      <c r="F75" s="40">
        <f>IF($B$75="","",SUMIFS(tblVerifyResults[Flexed budget],tblVerifyResults[Month],"&gt;="&amp;$E$37,tblVerifyResults[Month],"&lt;"&amp;EDATE($E$38,1),tblVerifyResults[Cost line],$B$75))</f>
        <v/>
      </c>
      <c r="G75" s="40">
        <f>IF($B$75="","",SUMIFS(tblVerifyResults[Actual],tblVerifyResults[Month],"&gt;="&amp;$E$37,tblVerifyResults[Month],"&lt;"&amp;EDATE($E$38,1),tblVerifyResults[Cost line],$B$75))</f>
        <v/>
      </c>
      <c r="H75" s="41">
        <f>IF($B$75="","",SUMIFS(tblVerifyResults[Actual],tblVerifyResults[Month],"&gt;="&amp;$E$37,tblVerifyResults[Month],"&lt;"&amp;EDATE($E$38,1),tblVerifyResults[Cost line],$B$75)-SUMIFS(tblVerifyResults[Flexed budget],tblVerifyResults[Month],"&gt;="&amp;$E$37,tblVerifyResults[Month],"&lt;"&amp;EDATE($E$38,1),tblVerifyResults[Cost line],$B$75))</f>
        <v/>
      </c>
      <c r="I75" s="42">
        <f>IF($B$75="","",IF(($F$75)=0,"",($H$75)/($F$75)))</f>
        <v/>
      </c>
      <c r="J75" s="43">
        <f>IF($B$75="","",IF($I$75="","",IF(AND(ABS($H$75)&gt;$E$40,ABS($I$75)&gt;$E$39),IF($H$75&gt;0,"Out of limits","Check"),"Within limits")))</f>
        <v/>
      </c>
      <c r="K75" s="43"/>
    </row>
    <row r="76" spans="2:16">
      <c r="B76" s="62">
        <f>IFERROR(INDEX(tblVerifyCostLines[Cost line],8)&amp;"","")</f>
        <v/>
      </c>
      <c r="C76" s="40">
        <f>IF($B$76="","",SUMIFS(tblVerifyResults[Actual],tblVerifyResults[Month],"&gt;="&amp;$E$38,tblVerifyResults[Month],"&lt;"&amp;EDATE($E$38,1),tblVerifyResults[Cost line],$B$76))</f>
        <v/>
      </c>
      <c r="D76" s="41">
        <f>IF($B$76="","",SUMIFS(tblVerifyResults[Actual],tblVerifyResults[Month],"&gt;="&amp;$E$38,tblVerifyResults[Month],"&lt;"&amp;EDATE($E$38,1),tblVerifyResults[Cost line],$B$76)-SUMIFS(tblVerifyResults[Flexed budget],tblVerifyResults[Month],"&gt;="&amp;$E$38,tblVerifyResults[Month],"&lt;"&amp;EDATE($E$38,1),tblVerifyResults[Cost line],$B$76))</f>
        <v/>
      </c>
      <c r="E76" s="40">
        <f>IF($B$76="","",SUMIFS(tblVerifyResults[Budget],tblVerifyResults[Month],"&gt;="&amp;$E$37,tblVerifyResults[Month],"&lt;"&amp;EDATE($E$38,1),tblVerifyResults[Cost line],$B$76))</f>
        <v/>
      </c>
      <c r="F76" s="40">
        <f>IF($B$76="","",SUMIFS(tblVerifyResults[Flexed budget],tblVerifyResults[Month],"&gt;="&amp;$E$37,tblVerifyResults[Month],"&lt;"&amp;EDATE($E$38,1),tblVerifyResults[Cost line],$B$76))</f>
        <v/>
      </c>
      <c r="G76" s="40">
        <f>IF($B$76="","",SUMIFS(tblVerifyResults[Actual],tblVerifyResults[Month],"&gt;="&amp;$E$37,tblVerifyResults[Month],"&lt;"&amp;EDATE($E$38,1),tblVerifyResults[Cost line],$B$76))</f>
        <v/>
      </c>
      <c r="H76" s="41">
        <f>IF($B$76="","",SUMIFS(tblVerifyResults[Actual],tblVerifyResults[Month],"&gt;="&amp;$E$37,tblVerifyResults[Month],"&lt;"&amp;EDATE($E$38,1),tblVerifyResults[Cost line],$B$76)-SUMIFS(tblVerifyResults[Flexed budget],tblVerifyResults[Month],"&gt;="&amp;$E$37,tblVerifyResults[Month],"&lt;"&amp;EDATE($E$38,1),tblVerifyResults[Cost line],$B$76))</f>
        <v/>
      </c>
      <c r="I76" s="42">
        <f>IF($B$76="","",IF(($F$76)=0,"",($H$76)/($F$76)))</f>
        <v/>
      </c>
      <c r="J76" s="43">
        <f>IF($B$76="","",IF($I$76="","",IF(AND(ABS($H$76)&gt;$E$40,ABS($I$76)&gt;$E$39),IF($H$76&gt;0,"Out of limits","Check"),"Within limits")))</f>
        <v/>
      </c>
      <c r="K76" s="43"/>
    </row>
    <row r="77" spans="2:16">
      <c r="B77" s="62">
        <f>IFERROR(INDEX(tblVerifyCostLines[Cost line],9)&amp;"","")</f>
        <v/>
      </c>
      <c r="C77" s="40">
        <f>IF($B$77="","",SUMIFS(tblVerifyResults[Actual],tblVerifyResults[Month],"&gt;="&amp;$E$38,tblVerifyResults[Month],"&lt;"&amp;EDATE($E$38,1),tblVerifyResults[Cost line],$B$77))</f>
        <v/>
      </c>
      <c r="D77" s="41">
        <f>IF($B$77="","",SUMIFS(tblVerifyResults[Actual],tblVerifyResults[Month],"&gt;="&amp;$E$38,tblVerifyResults[Month],"&lt;"&amp;EDATE($E$38,1),tblVerifyResults[Cost line],$B$77)-SUMIFS(tblVerifyResults[Flexed budget],tblVerifyResults[Month],"&gt;="&amp;$E$38,tblVerifyResults[Month],"&lt;"&amp;EDATE($E$38,1),tblVerifyResults[Cost line],$B$77))</f>
        <v/>
      </c>
      <c r="E77" s="40">
        <f>IF($B$77="","",SUMIFS(tblVerifyResults[Budget],tblVerifyResults[Month],"&gt;="&amp;$E$37,tblVerifyResults[Month],"&lt;"&amp;EDATE($E$38,1),tblVerifyResults[Cost line],$B$77))</f>
        <v/>
      </c>
      <c r="F77" s="40">
        <f>IF($B$77="","",SUMIFS(tblVerifyResults[Flexed budget],tblVerifyResults[Month],"&gt;="&amp;$E$37,tblVerifyResults[Month],"&lt;"&amp;EDATE($E$38,1),tblVerifyResults[Cost line],$B$77))</f>
        <v/>
      </c>
      <c r="G77" s="40">
        <f>IF($B$77="","",SUMIFS(tblVerifyResults[Actual],tblVerifyResults[Month],"&gt;="&amp;$E$37,tblVerifyResults[Month],"&lt;"&amp;EDATE($E$38,1),tblVerifyResults[Cost line],$B$77))</f>
        <v/>
      </c>
      <c r="H77" s="41">
        <f>IF($B$77="","",SUMIFS(tblVerifyResults[Actual],tblVerifyResults[Month],"&gt;="&amp;$E$37,tblVerifyResults[Month],"&lt;"&amp;EDATE($E$38,1),tblVerifyResults[Cost line],$B$77)-SUMIFS(tblVerifyResults[Flexed budget],tblVerifyResults[Month],"&gt;="&amp;$E$37,tblVerifyResults[Month],"&lt;"&amp;EDATE($E$38,1),tblVerifyResults[Cost line],$B$77))</f>
        <v/>
      </c>
      <c r="I77" s="42">
        <f>IF($B$77="","",IF(($F$77)=0,"",($H$77)/($F$77)))</f>
        <v/>
      </c>
      <c r="J77" s="43">
        <f>IF($B$77="","",IF($I$77="","",IF(AND(ABS($H$77)&gt;$E$40,ABS($I$77)&gt;$E$39),IF($H$77&gt;0,"Out of limits","Check"),"Within limits")))</f>
        <v/>
      </c>
      <c r="K77" s="43"/>
    </row>
    <row r="78" spans="2:16">
      <c r="B78" s="62">
        <f>IFERROR(INDEX(tblVerifyCostLines[Cost line],10)&amp;"","")</f>
        <v/>
      </c>
      <c r="C78" s="40">
        <f>IF($B$78="","",SUMIFS(tblVerifyResults[Actual],tblVerifyResults[Month],"&gt;="&amp;$E$38,tblVerifyResults[Month],"&lt;"&amp;EDATE($E$38,1),tblVerifyResults[Cost line],$B$78))</f>
        <v/>
      </c>
      <c r="D78" s="41">
        <f>IF($B$78="","",SUMIFS(tblVerifyResults[Actual],tblVerifyResults[Month],"&gt;="&amp;$E$38,tblVerifyResults[Month],"&lt;"&amp;EDATE($E$38,1),tblVerifyResults[Cost line],$B$78)-SUMIFS(tblVerifyResults[Flexed budget],tblVerifyResults[Month],"&gt;="&amp;$E$38,tblVerifyResults[Month],"&lt;"&amp;EDATE($E$38,1),tblVerifyResults[Cost line],$B$78))</f>
        <v/>
      </c>
      <c r="E78" s="40">
        <f>IF($B$78="","",SUMIFS(tblVerifyResults[Budget],tblVerifyResults[Month],"&gt;="&amp;$E$37,tblVerifyResults[Month],"&lt;"&amp;EDATE($E$38,1),tblVerifyResults[Cost line],$B$78))</f>
        <v/>
      </c>
      <c r="F78" s="40">
        <f>IF($B$78="","",SUMIFS(tblVerifyResults[Flexed budget],tblVerifyResults[Month],"&gt;="&amp;$E$37,tblVerifyResults[Month],"&lt;"&amp;EDATE($E$38,1),tblVerifyResults[Cost line],$B$78))</f>
        <v/>
      </c>
      <c r="G78" s="40">
        <f>IF($B$78="","",SUMIFS(tblVerifyResults[Actual],tblVerifyResults[Month],"&gt;="&amp;$E$37,tblVerifyResults[Month],"&lt;"&amp;EDATE($E$38,1),tblVerifyResults[Cost line],$B$78))</f>
        <v/>
      </c>
      <c r="H78" s="41">
        <f>IF($B$78="","",SUMIFS(tblVerifyResults[Actual],tblVerifyResults[Month],"&gt;="&amp;$E$37,tblVerifyResults[Month],"&lt;"&amp;EDATE($E$38,1),tblVerifyResults[Cost line],$B$78)-SUMIFS(tblVerifyResults[Flexed budget],tblVerifyResults[Month],"&gt;="&amp;$E$37,tblVerifyResults[Month],"&lt;"&amp;EDATE($E$38,1),tblVerifyResults[Cost line],$B$78))</f>
        <v/>
      </c>
      <c r="I78" s="42">
        <f>IF($B$78="","",IF(($F$78)=0,"",($H$78)/($F$78)))</f>
        <v/>
      </c>
      <c r="J78" s="43">
        <f>IF($B$78="","",IF($I$78="","",IF(AND(ABS($H$78)&gt;$E$40,ABS($I$78)&gt;$E$39),IF($H$78&gt;0,"Out of limits","Check"),"Within limits")))</f>
        <v/>
      </c>
      <c r="K78" s="43"/>
    </row>
    <row r="79" spans="2:16">
      <c r="B79" s="62">
        <f>IFERROR(INDEX(tblVerifyCostLines[Cost line],11)&amp;"","")</f>
        <v/>
      </c>
      <c r="C79" s="40">
        <f>IF($B$79="","",SUMIFS(tblVerifyResults[Actual],tblVerifyResults[Month],"&gt;="&amp;$E$38,tblVerifyResults[Month],"&lt;"&amp;EDATE($E$38,1),tblVerifyResults[Cost line],$B$79))</f>
        <v/>
      </c>
      <c r="D79" s="41">
        <f>IF($B$79="","",SUMIFS(tblVerifyResults[Actual],tblVerifyResults[Month],"&gt;="&amp;$E$38,tblVerifyResults[Month],"&lt;"&amp;EDATE($E$38,1),tblVerifyResults[Cost line],$B$79)-SUMIFS(tblVerifyResults[Flexed budget],tblVerifyResults[Month],"&gt;="&amp;$E$38,tblVerifyResults[Month],"&lt;"&amp;EDATE($E$38,1),tblVerifyResults[Cost line],$B$79))</f>
        <v/>
      </c>
      <c r="E79" s="40">
        <f>IF($B$79="","",SUMIFS(tblVerifyResults[Budget],tblVerifyResults[Month],"&gt;="&amp;$E$37,tblVerifyResults[Month],"&lt;"&amp;EDATE($E$38,1),tblVerifyResults[Cost line],$B$79))</f>
        <v/>
      </c>
      <c r="F79" s="40">
        <f>IF($B$79="","",SUMIFS(tblVerifyResults[Flexed budget],tblVerifyResults[Month],"&gt;="&amp;$E$37,tblVerifyResults[Month],"&lt;"&amp;EDATE($E$38,1),tblVerifyResults[Cost line],$B$79))</f>
        <v/>
      </c>
      <c r="G79" s="40">
        <f>IF($B$79="","",SUMIFS(tblVerifyResults[Actual],tblVerifyResults[Month],"&gt;="&amp;$E$37,tblVerifyResults[Month],"&lt;"&amp;EDATE($E$38,1),tblVerifyResults[Cost line],$B$79))</f>
        <v/>
      </c>
      <c r="H79" s="41">
        <f>IF($B$79="","",SUMIFS(tblVerifyResults[Actual],tblVerifyResults[Month],"&gt;="&amp;$E$37,tblVerifyResults[Month],"&lt;"&amp;EDATE($E$38,1),tblVerifyResults[Cost line],$B$79)-SUMIFS(tblVerifyResults[Flexed budget],tblVerifyResults[Month],"&gt;="&amp;$E$37,tblVerifyResults[Month],"&lt;"&amp;EDATE($E$38,1),tblVerifyResults[Cost line],$B$79))</f>
        <v/>
      </c>
      <c r="I79" s="42">
        <f>IF($B$79="","",IF(($F$79)=0,"",($H$79)/($F$79)))</f>
        <v/>
      </c>
      <c r="J79" s="43">
        <f>IF($B$79="","",IF($I$79="","",IF(AND(ABS($H$79)&gt;$E$40,ABS($I$79)&gt;$E$39),IF($H$79&gt;0,"Out of limits","Check"),"Within limits")))</f>
        <v/>
      </c>
      <c r="K79" s="43"/>
    </row>
    <row r="80" spans="2:16">
      <c r="B80" s="62">
        <f>IFERROR(INDEX(tblVerifyCostLines[Cost line],12)&amp;"","")</f>
        <v/>
      </c>
      <c r="C80" s="40">
        <f>IF($B$80="","",SUMIFS(tblVerifyResults[Actual],tblVerifyResults[Month],"&gt;="&amp;$E$38,tblVerifyResults[Month],"&lt;"&amp;EDATE($E$38,1),tblVerifyResults[Cost line],$B$80))</f>
        <v/>
      </c>
      <c r="D80" s="41">
        <f>IF($B$80="","",SUMIFS(tblVerifyResults[Actual],tblVerifyResults[Month],"&gt;="&amp;$E$38,tblVerifyResults[Month],"&lt;"&amp;EDATE($E$38,1),tblVerifyResults[Cost line],$B$80)-SUMIFS(tblVerifyResults[Flexed budget],tblVerifyResults[Month],"&gt;="&amp;$E$38,tblVerifyResults[Month],"&lt;"&amp;EDATE($E$38,1),tblVerifyResults[Cost line],$B$80))</f>
        <v/>
      </c>
      <c r="E80" s="40">
        <f>IF($B$80="","",SUMIFS(tblVerifyResults[Budget],tblVerifyResults[Month],"&gt;="&amp;$E$37,tblVerifyResults[Month],"&lt;"&amp;EDATE($E$38,1),tblVerifyResults[Cost line],$B$80))</f>
        <v/>
      </c>
      <c r="F80" s="40">
        <f>IF($B$80="","",SUMIFS(tblVerifyResults[Flexed budget],tblVerifyResults[Month],"&gt;="&amp;$E$37,tblVerifyResults[Month],"&lt;"&amp;EDATE($E$38,1),tblVerifyResults[Cost line],$B$80))</f>
        <v/>
      </c>
      <c r="G80" s="40">
        <f>IF($B$80="","",SUMIFS(tblVerifyResults[Actual],tblVerifyResults[Month],"&gt;="&amp;$E$37,tblVerifyResults[Month],"&lt;"&amp;EDATE($E$38,1),tblVerifyResults[Cost line],$B$80))</f>
        <v/>
      </c>
      <c r="H80" s="41">
        <f>IF($B$80="","",SUMIFS(tblVerifyResults[Actual],tblVerifyResults[Month],"&gt;="&amp;$E$37,tblVerifyResults[Month],"&lt;"&amp;EDATE($E$38,1),tblVerifyResults[Cost line],$B$80)-SUMIFS(tblVerifyResults[Flexed budget],tblVerifyResults[Month],"&gt;="&amp;$E$37,tblVerifyResults[Month],"&lt;"&amp;EDATE($E$38,1),tblVerifyResults[Cost line],$B$80))</f>
        <v/>
      </c>
      <c r="I80" s="42">
        <f>IF($B$80="","",IF(($F$80)=0,"",($H$80)/($F$80)))</f>
        <v/>
      </c>
      <c r="J80" s="43">
        <f>IF($B$80="","",IF($I$80="","",IF(AND(ABS($H$80)&gt;$E$40,ABS($I$80)&gt;$E$39),IF($H$80&gt;0,"Out of limits","Check"),"Within limits")))</f>
        <v/>
      </c>
      <c r="K80" s="43"/>
    </row>
    <row r="82" spans="2:12">
      <c r="B82" s="32" t="s">
        <v>257</v>
      </c>
      <c r="C82" s="32"/>
      <c r="D82" s="32"/>
      <c r="E82" s="32"/>
      <c r="F82" s="32"/>
      <c r="G82" s="32"/>
      <c r="H82" s="32"/>
      <c r="I82" s="32"/>
      <c r="J82" s="32"/>
      <c r="K82" s="32"/>
      <c r="L82" s="32"/>
    </row>
    <row r="83" spans="2:12" ht="45.5" customHeight="1">
      <c r="B83" s="61" t="s">
        <v>109</v>
      </c>
      <c r="C83" s="33" t="s">
        <v>110</v>
      </c>
      <c r="D83" s="33" t="s">
        <v>113</v>
      </c>
      <c r="E83" s="33" t="s">
        <v>111</v>
      </c>
      <c r="F83" s="33" t="s">
        <v>114</v>
      </c>
      <c r="G83" s="33" t="s">
        <v>115</v>
      </c>
      <c r="H83" s="33" t="str">
        <f>"Budget volume ("&amp;VolumeUnit&amp;")"</f>
        <v>Budget volume (t)</v>
      </c>
      <c r="I83" s="33" t="str">
        <f>"Actual volume ("&amp;VolumeUnit&amp;")"</f>
        <v>Actual volume (t)</v>
      </c>
      <c r="J83" s="33" t="s">
        <v>153</v>
      </c>
      <c r="K83" s="33" t="s">
        <v>154</v>
      </c>
    </row>
    <row r="84" spans="2:12">
      <c r="B84" s="63">
        <f>$E$37</f>
        <v>46023</v>
      </c>
      <c r="C84" s="40">
        <f>IF($B$84="","",SUMIFS(tblVerifyResults[Budget],tblVerifyResults[Month],"&gt;="&amp;$B$84,tblVerifyResults[Month],"&lt;"&amp;EDATE($B$84,1)))</f>
        <v>100000</v>
      </c>
      <c r="D84" s="40">
        <f>IF($B$84="","",IF($B$84&gt;$E$38,"",SUMIFS(tblVerifyResults[Flexed budget],tblVerifyResults[Month],"&gt;="&amp;$B$84,tblVerifyResults[Month],"&lt;"&amp;EDATE($B$84,1))))</f>
        <v>96000</v>
      </c>
      <c r="E84" s="40">
        <f>IF($B$84="","",IF($B$84&gt;$E$38,"",SUMIFS(tblVerifyResults[Actual],tblVerifyResults[Month],"&gt;="&amp;$B$84,tblVerifyResults[Month],"&lt;"&amp;EDATE($B$84,1))))</f>
        <v>110500</v>
      </c>
      <c r="F84" s="41">
        <f>IF($B$84="","",IF($E$84="","",$E$84-$D$84))</f>
        <v>14500</v>
      </c>
      <c r="G84" s="42">
        <f>IF($B$84="","",IF(OR($E$84="",$D$84=0),"",$F$84/$D$84))</f>
        <v>0.151041666666667</v>
      </c>
      <c r="H84" s="40">
        <f>IF($B$84="","",SUMIFS(tblVerifyVolume[Budget volume],tblVerifyVolume[Month],"&gt;="&amp;$B$84,tblVerifyVolume[Month],"&lt;"&amp;EDATE($B$84,1)))</f>
        <v>1000</v>
      </c>
      <c r="I84" s="40">
        <f>IF($B$84="","",IF($B$84&gt;$E$38,"",SUMIFS(tblVerifyVolume[Actual volume],tblVerifyVolume[Month],"&gt;="&amp;$B$84,tblVerifyVolume[Month],"&lt;"&amp;EDATE($B$84,1))))</f>
        <v>900</v>
      </c>
      <c r="J84" s="64">
        <f>IF($B$84="","",IF(($H$84)=0,"",($C$84)/($H$84)))</f>
        <v>100</v>
      </c>
      <c r="K84" s="64">
        <f>IF($B$84="","",IF(OR($E$84="",N($I$84)=0),"",$E$84/$I$84))</f>
        <v>122.777777777778</v>
      </c>
    </row>
    <row r="85" spans="2:12">
      <c r="B85" s="63">
        <f>EDATE($B$84,1)</f>
        <v>46054</v>
      </c>
      <c r="C85" s="40">
        <f>IF($B$85="","",SUMIFS(tblVerifyResults[Budget],tblVerifyResults[Month],"&gt;="&amp;$B$85,tblVerifyResults[Month],"&lt;"&amp;EDATE($B$85,1)))</f>
        <v>92000</v>
      </c>
      <c r="D85" s="40">
        <f>IF($B$85="","",IF($B$85&gt;$E$38,"",SUMIFS(tblVerifyResults[Flexed budget],tblVerifyResults[Month],"&gt;="&amp;$B$85,tblVerifyResults[Month],"&lt;"&amp;EDATE($B$85,1))))</f>
        <v>86666.6666666667</v>
      </c>
      <c r="E85" s="40">
        <f>IF($B$85="","",IF($B$85&gt;$E$38,"",SUMIFS(tblVerifyResults[Actual],tblVerifyResults[Month],"&gt;="&amp;$B$85,tblVerifyResults[Month],"&lt;"&amp;EDATE($B$85,1))))</f>
        <v>81300</v>
      </c>
      <c r="F85" s="41">
        <f>IF($B$85="","",IF($E$85="","",$E$85-$D$85))</f>
        <v>-5366.66666666666</v>
      </c>
      <c r="G85" s="42">
        <f>IF($B$85="","",IF(OR($E$85="",$D$85=0),"",$F$85/$D$85))</f>
        <v>-0.0619230769230768</v>
      </c>
      <c r="H85" s="40">
        <f>IF($B$85="","",SUMIFS(tblVerifyVolume[Budget volume],tblVerifyVolume[Month],"&gt;="&amp;$B$85,tblVerifyVolume[Month],"&lt;"&amp;EDATE($B$85,1)))</f>
        <v>1200</v>
      </c>
      <c r="I85" s="40">
        <f>IF($B$85="","",IF($B$85&gt;$E$38,"",SUMIFS(tblVerifyVolume[Actual volume],tblVerifyVolume[Month],"&gt;="&amp;$B$85,tblVerifyVolume[Month],"&lt;"&amp;EDATE($B$85,1))))</f>
        <v>1000</v>
      </c>
      <c r="J85" s="64">
        <f>IF($B$85="","",IF(($H$85)=0,"",($C$85)/($H$85)))</f>
        <v>76.6666666666667</v>
      </c>
      <c r="K85" s="64">
        <f>IF($B$85="","",IF(OR($E$85="",N($I$85)=0),"",$E$85/$I$85))</f>
        <v>81.3</v>
      </c>
    </row>
    <row r="86" spans="2:12">
      <c r="B86" s="63">
        <f>EDATE($B$85,1)</f>
        <v>46082</v>
      </c>
      <c r="C86" s="40">
        <f>IF($B$86="","",SUMIFS(tblVerifyResults[Budget],tblVerifyResults[Month],"&gt;="&amp;$B$86,tblVerifyResults[Month],"&lt;"&amp;EDATE($B$86,1)))</f>
        <v>50000</v>
      </c>
      <c r="D86" s="40">
        <f>IF($B$86="","",IF($B$86&gt;$E$38,"",SUMIFS(tblVerifyResults[Flexed budget],tblVerifyResults[Month],"&gt;="&amp;$B$86,tblVerifyResults[Month],"&lt;"&amp;EDATE($B$86,1))))</f>
        <v/>
      </c>
      <c r="E86" s="40">
        <f>IF($B$86="","",IF($B$86&gt;$E$38,"",SUMIFS(tblVerifyResults[Actual],tblVerifyResults[Month],"&gt;="&amp;$B$86,tblVerifyResults[Month],"&lt;"&amp;EDATE($B$86,1))))</f>
        <v/>
      </c>
      <c r="F86" s="41">
        <f>IF($B$86="","",IF($E$86="","",$E$86-$D$86))</f>
        <v/>
      </c>
      <c r="G86" s="42">
        <f>IF($B$86="","",IF(OR($E$86="",$D$86=0),"",$F$86/$D$86))</f>
        <v/>
      </c>
      <c r="H86" s="40">
        <f>IF($B$86="","",SUMIFS(tblVerifyVolume[Budget volume],tblVerifyVolume[Month],"&gt;="&amp;$B$86,tblVerifyVolume[Month],"&lt;"&amp;EDATE($B$86,1)))</f>
        <v>1000</v>
      </c>
      <c r="I86" s="40">
        <f>IF($B$86="","",IF($B$86&gt;$E$38,"",SUMIFS(tblVerifyVolume[Actual volume],tblVerifyVolume[Month],"&gt;="&amp;$B$86,tblVerifyVolume[Month],"&lt;"&amp;EDATE($B$86,1))))</f>
        <v/>
      </c>
      <c r="J86" s="64">
        <f>IF($B$86="","",IF(($H$86)=0,"",($C$86)/($H$86)))</f>
        <v>50</v>
      </c>
      <c r="K86" s="64">
        <f>IF($B$86="","",IF(OR($E$86="",N($I$86)=0),"",$E$86/$I$86))</f>
        <v/>
      </c>
    </row>
    <row r="87" spans="2:12">
      <c r="B87" s="63">
        <f>EDATE($B$86,1)</f>
        <v>46113</v>
      </c>
      <c r="C87" s="40">
        <f>IF($B$87="","",SUMIFS(tblVerifyResults[Budget],tblVerifyResults[Month],"&gt;="&amp;$B$87,tblVerifyResults[Month],"&lt;"&amp;EDATE($B$87,1)))</f>
        <v>0</v>
      </c>
      <c r="D87" s="40">
        <f>IF($B$87="","",IF($B$87&gt;$E$38,"",SUMIFS(tblVerifyResults[Flexed budget],tblVerifyResults[Month],"&gt;="&amp;$B$87,tblVerifyResults[Month],"&lt;"&amp;EDATE($B$87,1))))</f>
        <v/>
      </c>
      <c r="E87" s="40">
        <f>IF($B$87="","",IF($B$87&gt;$E$38,"",SUMIFS(tblVerifyResults[Actual],tblVerifyResults[Month],"&gt;="&amp;$B$87,tblVerifyResults[Month],"&lt;"&amp;EDATE($B$87,1))))</f>
        <v/>
      </c>
      <c r="F87" s="41">
        <f>IF($B$87="","",IF($E$87="","",$E$87-$D$87))</f>
        <v/>
      </c>
      <c r="G87" s="42">
        <f>IF($B$87="","",IF(OR($E$87="",$D$87=0),"",$F$87/$D$87))</f>
        <v/>
      </c>
      <c r="H87" s="40">
        <f>IF($B$87="","",SUMIFS(tblVerifyVolume[Budget volume],tblVerifyVolume[Month],"&gt;="&amp;$B$87,tblVerifyVolume[Month],"&lt;"&amp;EDATE($B$87,1)))</f>
        <v>0</v>
      </c>
      <c r="I87" s="40">
        <f>IF($B$87="","",IF($B$87&gt;$E$38,"",SUMIFS(tblVerifyVolume[Actual volume],tblVerifyVolume[Month],"&gt;="&amp;$B$87,tblVerifyVolume[Month],"&lt;"&amp;EDATE($B$87,1))))</f>
        <v/>
      </c>
      <c r="J87" s="64">
        <f>IF($B$87="","",IF(($H$87)=0,"",($C$87)/($H$87)))</f>
        <v/>
      </c>
      <c r="K87" s="64">
        <f>IF($B$87="","",IF(OR($E$87="",N($I$87)=0),"",$E$87/$I$87))</f>
        <v/>
      </c>
    </row>
    <row r="88" spans="2:12">
      <c r="B88" s="63">
        <f>EDATE($B$87,1)</f>
        <v>46143</v>
      </c>
      <c r="C88" s="40">
        <f>IF($B$88="","",SUMIFS(tblVerifyResults[Budget],tblVerifyResults[Month],"&gt;="&amp;$B$88,tblVerifyResults[Month],"&lt;"&amp;EDATE($B$88,1)))</f>
        <v>0</v>
      </c>
      <c r="D88" s="40">
        <f>IF($B$88="","",IF($B$88&gt;$E$38,"",SUMIFS(tblVerifyResults[Flexed budget],tblVerifyResults[Month],"&gt;="&amp;$B$88,tblVerifyResults[Month],"&lt;"&amp;EDATE($B$88,1))))</f>
        <v/>
      </c>
      <c r="E88" s="40">
        <f>IF($B$88="","",IF($B$88&gt;$E$38,"",SUMIFS(tblVerifyResults[Actual],tblVerifyResults[Month],"&gt;="&amp;$B$88,tblVerifyResults[Month],"&lt;"&amp;EDATE($B$88,1))))</f>
        <v/>
      </c>
      <c r="F88" s="41">
        <f>IF($B$88="","",IF($E$88="","",$E$88-$D$88))</f>
        <v/>
      </c>
      <c r="G88" s="42">
        <f>IF($B$88="","",IF(OR($E$88="",$D$88=0),"",$F$88/$D$88))</f>
        <v/>
      </c>
      <c r="H88" s="40">
        <f>IF($B$88="","",SUMIFS(tblVerifyVolume[Budget volume],tblVerifyVolume[Month],"&gt;="&amp;$B$88,tblVerifyVolume[Month],"&lt;"&amp;EDATE($B$88,1)))</f>
        <v>0</v>
      </c>
      <c r="I88" s="40">
        <f>IF($B$88="","",IF($B$88&gt;$E$38,"",SUMIFS(tblVerifyVolume[Actual volume],tblVerifyVolume[Month],"&gt;="&amp;$B$88,tblVerifyVolume[Month],"&lt;"&amp;EDATE($B$88,1))))</f>
        <v/>
      </c>
      <c r="J88" s="64">
        <f>IF($B$88="","",IF(($H$88)=0,"",($C$88)/($H$88)))</f>
        <v/>
      </c>
      <c r="K88" s="64">
        <f>IF($B$88="","",IF(OR($E$88="",N($I$88)=0),"",$E$88/$I$88))</f>
        <v/>
      </c>
    </row>
    <row r="89" spans="2:12">
      <c r="B89" s="63">
        <f>EDATE($B$88,1)</f>
        <v>46174</v>
      </c>
      <c r="C89" s="40">
        <f>IF($B$89="","",SUMIFS(tblVerifyResults[Budget],tblVerifyResults[Month],"&gt;="&amp;$B$89,tblVerifyResults[Month],"&lt;"&amp;EDATE($B$89,1)))</f>
        <v>0</v>
      </c>
      <c r="D89" s="40">
        <f>IF($B$89="","",IF($B$89&gt;$E$38,"",SUMIFS(tblVerifyResults[Flexed budget],tblVerifyResults[Month],"&gt;="&amp;$B$89,tblVerifyResults[Month],"&lt;"&amp;EDATE($B$89,1))))</f>
        <v/>
      </c>
      <c r="E89" s="40">
        <f>IF($B$89="","",IF($B$89&gt;$E$38,"",SUMIFS(tblVerifyResults[Actual],tblVerifyResults[Month],"&gt;="&amp;$B$89,tblVerifyResults[Month],"&lt;"&amp;EDATE($B$89,1))))</f>
        <v/>
      </c>
      <c r="F89" s="41">
        <f>IF($B$89="","",IF($E$89="","",$E$89-$D$89))</f>
        <v/>
      </c>
      <c r="G89" s="42">
        <f>IF($B$89="","",IF(OR($E$89="",$D$89=0),"",$F$89/$D$89))</f>
        <v/>
      </c>
      <c r="H89" s="40">
        <f>IF($B$89="","",SUMIFS(tblVerifyVolume[Budget volume],tblVerifyVolume[Month],"&gt;="&amp;$B$89,tblVerifyVolume[Month],"&lt;"&amp;EDATE($B$89,1)))</f>
        <v>0</v>
      </c>
      <c r="I89" s="40">
        <f>IF($B$89="","",IF($B$89&gt;$E$38,"",SUMIFS(tblVerifyVolume[Actual volume],tblVerifyVolume[Month],"&gt;="&amp;$B$89,tblVerifyVolume[Month],"&lt;"&amp;EDATE($B$89,1))))</f>
        <v/>
      </c>
      <c r="J89" s="64">
        <f>IF($B$89="","",IF(($H$89)=0,"",($C$89)/($H$89)))</f>
        <v/>
      </c>
      <c r="K89" s="64">
        <f>IF($B$89="","",IF(OR($E$89="",N($I$89)=0),"",$E$89/$I$89))</f>
        <v/>
      </c>
    </row>
    <row r="90" spans="2:12">
      <c r="B90" s="63">
        <f>EDATE($B$89,1)</f>
        <v>46204</v>
      </c>
      <c r="C90" s="40">
        <f>IF($B$90="","",SUMIFS(tblVerifyResults[Budget],tblVerifyResults[Month],"&gt;="&amp;$B$90,tblVerifyResults[Month],"&lt;"&amp;EDATE($B$90,1)))</f>
        <v>0</v>
      </c>
      <c r="D90" s="40">
        <f>IF($B$90="","",IF($B$90&gt;$E$38,"",SUMIFS(tblVerifyResults[Flexed budget],tblVerifyResults[Month],"&gt;="&amp;$B$90,tblVerifyResults[Month],"&lt;"&amp;EDATE($B$90,1))))</f>
        <v/>
      </c>
      <c r="E90" s="40">
        <f>IF($B$90="","",IF($B$90&gt;$E$38,"",SUMIFS(tblVerifyResults[Actual],tblVerifyResults[Month],"&gt;="&amp;$B$90,tblVerifyResults[Month],"&lt;"&amp;EDATE($B$90,1))))</f>
        <v/>
      </c>
      <c r="F90" s="41">
        <f>IF($B$90="","",IF($E$90="","",$E$90-$D$90))</f>
        <v/>
      </c>
      <c r="G90" s="42">
        <f>IF($B$90="","",IF(OR($E$90="",$D$90=0),"",$F$90/$D$90))</f>
        <v/>
      </c>
      <c r="H90" s="40">
        <f>IF($B$90="","",SUMIFS(tblVerifyVolume[Budget volume],tblVerifyVolume[Month],"&gt;="&amp;$B$90,tblVerifyVolume[Month],"&lt;"&amp;EDATE($B$90,1)))</f>
        <v>0</v>
      </c>
      <c r="I90" s="40">
        <f>IF($B$90="","",IF($B$90&gt;$E$38,"",SUMIFS(tblVerifyVolume[Actual volume],tblVerifyVolume[Month],"&gt;="&amp;$B$90,tblVerifyVolume[Month],"&lt;"&amp;EDATE($B$90,1))))</f>
        <v/>
      </c>
      <c r="J90" s="64">
        <f>IF($B$90="","",IF(($H$90)=0,"",($C$90)/($H$90)))</f>
        <v/>
      </c>
      <c r="K90" s="64">
        <f>IF($B$90="","",IF(OR($E$90="",N($I$90)=0),"",$E$90/$I$90))</f>
        <v/>
      </c>
    </row>
    <row r="91" spans="2:12">
      <c r="B91" s="63">
        <f>EDATE($B$90,1)</f>
        <v>46235</v>
      </c>
      <c r="C91" s="40">
        <f>IF($B$91="","",SUMIFS(tblVerifyResults[Budget],tblVerifyResults[Month],"&gt;="&amp;$B$91,tblVerifyResults[Month],"&lt;"&amp;EDATE($B$91,1)))</f>
        <v>0</v>
      </c>
      <c r="D91" s="40">
        <f>IF($B$91="","",IF($B$91&gt;$E$38,"",SUMIFS(tblVerifyResults[Flexed budget],tblVerifyResults[Month],"&gt;="&amp;$B$91,tblVerifyResults[Month],"&lt;"&amp;EDATE($B$91,1))))</f>
        <v/>
      </c>
      <c r="E91" s="40">
        <f>IF($B$91="","",IF($B$91&gt;$E$38,"",SUMIFS(tblVerifyResults[Actual],tblVerifyResults[Month],"&gt;="&amp;$B$91,tblVerifyResults[Month],"&lt;"&amp;EDATE($B$91,1))))</f>
        <v/>
      </c>
      <c r="F91" s="41">
        <f>IF($B$91="","",IF($E$91="","",$E$91-$D$91))</f>
        <v/>
      </c>
      <c r="G91" s="42">
        <f>IF($B$91="","",IF(OR($E$91="",$D$91=0),"",$F$91/$D$91))</f>
        <v/>
      </c>
      <c r="H91" s="40">
        <f>IF($B$91="","",SUMIFS(tblVerifyVolume[Budget volume],tblVerifyVolume[Month],"&gt;="&amp;$B$91,tblVerifyVolume[Month],"&lt;"&amp;EDATE($B$91,1)))</f>
        <v>0</v>
      </c>
      <c r="I91" s="40">
        <f>IF($B$91="","",IF($B$91&gt;$E$38,"",SUMIFS(tblVerifyVolume[Actual volume],tblVerifyVolume[Month],"&gt;="&amp;$B$91,tblVerifyVolume[Month],"&lt;"&amp;EDATE($B$91,1))))</f>
        <v/>
      </c>
      <c r="J91" s="64">
        <f>IF($B$91="","",IF(($H$91)=0,"",($C$91)/($H$91)))</f>
        <v/>
      </c>
      <c r="K91" s="64">
        <f>IF($B$91="","",IF(OR($E$91="",N($I$91)=0),"",$E$91/$I$91))</f>
        <v/>
      </c>
    </row>
    <row r="92" spans="2:12">
      <c r="B92" s="63">
        <f>EDATE($B$91,1)</f>
        <v>46266</v>
      </c>
      <c r="C92" s="40">
        <f>IF($B$92="","",SUMIFS(tblVerifyResults[Budget],tblVerifyResults[Month],"&gt;="&amp;$B$92,tblVerifyResults[Month],"&lt;"&amp;EDATE($B$92,1)))</f>
        <v>0</v>
      </c>
      <c r="D92" s="40">
        <f>IF($B$92="","",IF($B$92&gt;$E$38,"",SUMIFS(tblVerifyResults[Flexed budget],tblVerifyResults[Month],"&gt;="&amp;$B$92,tblVerifyResults[Month],"&lt;"&amp;EDATE($B$92,1))))</f>
        <v/>
      </c>
      <c r="E92" s="40">
        <f>IF($B$92="","",IF($B$92&gt;$E$38,"",SUMIFS(tblVerifyResults[Actual],tblVerifyResults[Month],"&gt;="&amp;$B$92,tblVerifyResults[Month],"&lt;"&amp;EDATE($B$92,1))))</f>
        <v/>
      </c>
      <c r="F92" s="41">
        <f>IF($B$92="","",IF($E$92="","",$E$92-$D$92))</f>
        <v/>
      </c>
      <c r="G92" s="42">
        <f>IF($B$92="","",IF(OR($E$92="",$D$92=0),"",$F$92/$D$92))</f>
        <v/>
      </c>
      <c r="H92" s="40">
        <f>IF($B$92="","",SUMIFS(tblVerifyVolume[Budget volume],tblVerifyVolume[Month],"&gt;="&amp;$B$92,tblVerifyVolume[Month],"&lt;"&amp;EDATE($B$92,1)))</f>
        <v>0</v>
      </c>
      <c r="I92" s="40">
        <f>IF($B$92="","",IF($B$92&gt;$E$38,"",SUMIFS(tblVerifyVolume[Actual volume],tblVerifyVolume[Month],"&gt;="&amp;$B$92,tblVerifyVolume[Month],"&lt;"&amp;EDATE($B$92,1))))</f>
        <v/>
      </c>
      <c r="J92" s="64">
        <f>IF($B$92="","",IF(($H$92)=0,"",($C$92)/($H$92)))</f>
        <v/>
      </c>
      <c r="K92" s="64">
        <f>IF($B$92="","",IF(OR($E$92="",N($I$92)=0),"",$E$92/$I$92))</f>
        <v/>
      </c>
    </row>
    <row r="93" spans="2:12">
      <c r="B93" s="63">
        <f>EDATE($B$92,1)</f>
        <v>46296</v>
      </c>
      <c r="C93" s="40">
        <f>IF($B$93="","",SUMIFS(tblVerifyResults[Budget],tblVerifyResults[Month],"&gt;="&amp;$B$93,tblVerifyResults[Month],"&lt;"&amp;EDATE($B$93,1)))</f>
        <v>0</v>
      </c>
      <c r="D93" s="40">
        <f>IF($B$93="","",IF($B$93&gt;$E$38,"",SUMIFS(tblVerifyResults[Flexed budget],tblVerifyResults[Month],"&gt;="&amp;$B$93,tblVerifyResults[Month],"&lt;"&amp;EDATE($B$93,1))))</f>
        <v/>
      </c>
      <c r="E93" s="40">
        <f>IF($B$93="","",IF($B$93&gt;$E$38,"",SUMIFS(tblVerifyResults[Actual],tblVerifyResults[Month],"&gt;="&amp;$B$93,tblVerifyResults[Month],"&lt;"&amp;EDATE($B$93,1))))</f>
        <v/>
      </c>
      <c r="F93" s="41">
        <f>IF($B$93="","",IF($E$93="","",$E$93-$D$93))</f>
        <v/>
      </c>
      <c r="G93" s="42">
        <f>IF($B$93="","",IF(OR($E$93="",$D$93=0),"",$F$93/$D$93))</f>
        <v/>
      </c>
      <c r="H93" s="40">
        <f>IF($B$93="","",SUMIFS(tblVerifyVolume[Budget volume],tblVerifyVolume[Month],"&gt;="&amp;$B$93,tblVerifyVolume[Month],"&lt;"&amp;EDATE($B$93,1)))</f>
        <v>0</v>
      </c>
      <c r="I93" s="40">
        <f>IF($B$93="","",IF($B$93&gt;$E$38,"",SUMIFS(tblVerifyVolume[Actual volume],tblVerifyVolume[Month],"&gt;="&amp;$B$93,tblVerifyVolume[Month],"&lt;"&amp;EDATE($B$93,1))))</f>
        <v/>
      </c>
      <c r="J93" s="64">
        <f>IF($B$93="","",IF(($H$93)=0,"",($C$93)/($H$93)))</f>
        <v/>
      </c>
      <c r="K93" s="64">
        <f>IF($B$93="","",IF(OR($E$93="",N($I$93)=0),"",$E$93/$I$93))</f>
        <v/>
      </c>
    </row>
    <row r="94" spans="2:12">
      <c r="B94" s="63">
        <f>EDATE($B$93,1)</f>
        <v>46327</v>
      </c>
      <c r="C94" s="40">
        <f>IF($B$94="","",SUMIFS(tblVerifyResults[Budget],tblVerifyResults[Month],"&gt;="&amp;$B$94,tblVerifyResults[Month],"&lt;"&amp;EDATE($B$94,1)))</f>
        <v>0</v>
      </c>
      <c r="D94" s="40">
        <f>IF($B$94="","",IF($B$94&gt;$E$38,"",SUMIFS(tblVerifyResults[Flexed budget],tblVerifyResults[Month],"&gt;="&amp;$B$94,tblVerifyResults[Month],"&lt;"&amp;EDATE($B$94,1))))</f>
        <v/>
      </c>
      <c r="E94" s="40">
        <f>IF($B$94="","",IF($B$94&gt;$E$38,"",SUMIFS(tblVerifyResults[Actual],tblVerifyResults[Month],"&gt;="&amp;$B$94,tblVerifyResults[Month],"&lt;"&amp;EDATE($B$94,1))))</f>
        <v/>
      </c>
      <c r="F94" s="41">
        <f>IF($B$94="","",IF($E$94="","",$E$94-$D$94))</f>
        <v/>
      </c>
      <c r="G94" s="42">
        <f>IF($B$94="","",IF(OR($E$94="",$D$94=0),"",$F$94/$D$94))</f>
        <v/>
      </c>
      <c r="H94" s="40">
        <f>IF($B$94="","",SUMIFS(tblVerifyVolume[Budget volume],tblVerifyVolume[Month],"&gt;="&amp;$B$94,tblVerifyVolume[Month],"&lt;"&amp;EDATE($B$94,1)))</f>
        <v>0</v>
      </c>
      <c r="I94" s="40">
        <f>IF($B$94="","",IF($B$94&gt;$E$38,"",SUMIFS(tblVerifyVolume[Actual volume],tblVerifyVolume[Month],"&gt;="&amp;$B$94,tblVerifyVolume[Month],"&lt;"&amp;EDATE($B$94,1))))</f>
        <v/>
      </c>
      <c r="J94" s="64">
        <f>IF($B$94="","",IF(($H$94)=0,"",($C$94)/($H$94)))</f>
        <v/>
      </c>
      <c r="K94" s="64">
        <f>IF($B$94="","",IF(OR($E$94="",N($I$94)=0),"",$E$94/$I$94))</f>
        <v/>
      </c>
    </row>
    <row r="95" spans="2:12">
      <c r="B95" s="63">
        <f>EDATE($B$94,1)</f>
        <v>46357</v>
      </c>
      <c r="C95" s="40">
        <f>IF($B$95="","",SUMIFS(tblVerifyResults[Budget],tblVerifyResults[Month],"&gt;="&amp;$B$95,tblVerifyResults[Month],"&lt;"&amp;EDATE($B$95,1)))</f>
        <v>0</v>
      </c>
      <c r="D95" s="40">
        <f>IF($B$95="","",IF($B$95&gt;$E$38,"",SUMIFS(tblVerifyResults[Flexed budget],tblVerifyResults[Month],"&gt;="&amp;$B$95,tblVerifyResults[Month],"&lt;"&amp;EDATE($B$95,1))))</f>
        <v/>
      </c>
      <c r="E95" s="40">
        <f>IF($B$95="","",IF($B$95&gt;$E$38,"",SUMIFS(tblVerifyResults[Actual],tblVerifyResults[Month],"&gt;="&amp;$B$95,tblVerifyResults[Month],"&lt;"&amp;EDATE($B$95,1))))</f>
        <v/>
      </c>
      <c r="F95" s="41">
        <f>IF($B$95="","",IF($E$95="","",$E$95-$D$95))</f>
        <v/>
      </c>
      <c r="G95" s="42">
        <f>IF($B$95="","",IF(OR($E$95="",$D$95=0),"",$F$95/$D$95))</f>
        <v/>
      </c>
      <c r="H95" s="40">
        <f>IF($B$95="","",SUMIFS(tblVerifyVolume[Budget volume],tblVerifyVolume[Month],"&gt;="&amp;$B$95,tblVerifyVolume[Month],"&lt;"&amp;EDATE($B$95,1)))</f>
        <v>0</v>
      </c>
      <c r="I95" s="40">
        <f>IF($B$95="","",IF($B$95&gt;$E$38,"",SUMIFS(tblVerifyVolume[Actual volume],tblVerifyVolume[Month],"&gt;="&amp;$B$95,tblVerifyVolume[Month],"&lt;"&amp;EDATE($B$95,1))))</f>
        <v/>
      </c>
      <c r="J95" s="64">
        <f>IF($B$95="","",IF(($H$95)=0,"",($C$95)/($H$95)))</f>
        <v/>
      </c>
      <c r="K95" s="64">
        <f>IF($B$95="","",IF(OR($E$95="",N($I$95)=0),"",$E$95/$I$95))</f>
        <v/>
      </c>
    </row>
  </sheetData>
  <sheetProtection sheet="1" formatColumns="0" formatRows="0"/>
  <mergeCells count="54">
    <mergeCell ref="A1:P1"/>
    <mergeCell ref="B2:O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B33:L33"/>
    <mergeCell ref="B35:L35"/>
    <mergeCell ref="B36:F36"/>
    <mergeCell ref="B37:D37"/>
    <mergeCell ref="B38:D38"/>
    <mergeCell ref="B39:D39"/>
    <mergeCell ref="B40:D40"/>
    <mergeCell ref="B42:L42"/>
    <mergeCell ref="B48:L48"/>
    <mergeCell ref="B55:L55"/>
    <mergeCell ref="B67:L67"/>
    <mergeCell ref="J68:K68"/>
    <mergeCell ref="J69:K69"/>
    <mergeCell ref="J70:K70"/>
    <mergeCell ref="J71:K71"/>
    <mergeCell ref="J72:K72"/>
    <mergeCell ref="J73:K73"/>
    <mergeCell ref="J74:K74"/>
    <mergeCell ref="J75:K75"/>
    <mergeCell ref="J76:K76"/>
    <mergeCell ref="J77:K77"/>
    <mergeCell ref="J78:K78"/>
    <mergeCell ref="J79:K79"/>
    <mergeCell ref="J80:K80"/>
    <mergeCell ref="B82:L8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51:F53">
    <cfRule type="expression" dxfId="3" priority="41">
      <formula>$F51="OK"</formula>
    </cfRule>
    <cfRule type="expression" dxfId="1" priority="42">
      <formula>AND($F51&lt;&gt;"",$F51&lt;&gt;"OK")</formula>
    </cfRule>
  </conditionalFormatting>
  <conditionalFormatting sqref="J69:J80">
    <cfRule type="cellIs" dxfId="0" priority="45" operator="equal">
      <formula>"On target"</formula>
    </cfRule>
    <cfRule type="cellIs" dxfId="0" priority="46" operator="equal">
      <formula>"PASS"</formula>
    </cfRule>
    <cfRule type="cellIs" dxfId="0" priority="47" operator="equal">
      <formula>"OK"</formula>
    </cfRule>
    <cfRule type="cellIs" dxfId="0" priority="48" operator="equal">
      <formula>"Within limits"</formula>
    </cfRule>
    <cfRule type="cellIs" dxfId="0" priority="49" operator="equal">
      <formula>"Under capacity"</formula>
    </cfRule>
    <cfRule type="cellIs" dxfId="0" priority="50" operator="equal">
      <formula>"Complete"</formula>
    </cfRule>
    <cfRule type="cellIs" dxfId="0" priority="51" operator="equal">
      <formula>"Yes"</formula>
    </cfRule>
    <cfRule type="cellIs" dxfId="1" priority="52" operator="equal">
      <formula>"Near target"</formula>
    </cfRule>
    <cfRule type="cellIs" dxfId="1" priority="53" operator="equal">
      <formula>"Check"</formula>
    </cfRule>
    <cfRule type="cellIs" dxfId="1" priority="54" operator="equal">
      <formula>"Due soon"</formula>
    </cfRule>
    <cfRule type="cellIs" dxfId="1" priority="55" operator="equal">
      <formula>"Near capacity"</formula>
    </cfRule>
    <cfRule type="cellIs" dxfId="1" priority="56" operator="equal">
      <formula>"In progress"</formula>
    </cfRule>
    <cfRule type="cellIs" dxfId="1" priority="57" operator="equal">
      <formula>"Partial"</formula>
    </cfRule>
    <cfRule type="cellIs" dxfId="2" priority="58" operator="equal">
      <formula>"Below target"</formula>
    </cfRule>
    <cfRule type="cellIs" dxfId="2" priority="59" operator="equal">
      <formula>"Above target"</formula>
    </cfRule>
    <cfRule type="cellIs" dxfId="2" priority="60" operator="equal">
      <formula>"FAIL"</formula>
    </cfRule>
    <cfRule type="cellIs" dxfId="2" priority="61" operator="equal">
      <formula>"Over capacity"</formula>
    </cfRule>
    <cfRule type="cellIs" dxfId="2" priority="62" operator="equal">
      <formula>"Overdue"</formula>
    </cfRule>
    <cfRule type="cellIs" dxfId="2" priority="63" operator="equal">
      <formula>"Out of limits"</formula>
    </cfRule>
    <cfRule type="cellIs" dxfId="2" priority="64" operator="equal">
      <formula>"No"</formula>
    </cfRule>
  </conditionalFormatting>
  <conditionalFormatting sqref="K11:K3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58:O65">
    <cfRule type="expression" dxfId="3" priority="43">
      <formula>$O58="OK"</formula>
    </cfRule>
    <cfRule type="expression" dxfId="1" priority="44">
      <formula>AND($O58&lt;&gt;"",$O58&lt;&gt;"OK")</formula>
    </cfRule>
  </conditionalFormatting>
  <hyperlinks>
    <hyperlink ref="P2" r:id="rId1" tooltip="Free manufacturing calculators and templates"/>
  </hyperlinks>
  <printOptions horizontalCentered="1"/>
  <pageMargins left="0.4" right="0.4" top="0.7" bottom="0.65" header="0.3" footer="0.3"/>
  <pageSetup fitToHeight="0" orientation="landscape"/>
  <headerFooter>
    <oddHeader>&amp;L&amp;8MFG Calcs - Plant Budget vs Actual&amp;R&amp;8&amp;A</oddHeader>
    <oddFooter>&amp;L&amp;8mfgcalcs.com - free manufacturing templates&amp;R&amp;8Page &amp;P of &amp;N</oddFooter>
  </headerFooter>
  <rowBreaks count="2" manualBreakCount="2">
    <brk id="35" max="16383" man="1"/>
    <brk id="66"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28</vt:i4>
      </vt:variant>
    </vt:vector>
  </HeadingPairs>
  <TitlesOfParts>
    <vt:vector size="35" baseType="lpstr">
      <vt:lpstr>Start Here</vt:lpstr>
      <vt:lpstr>Setup</vt:lpstr>
      <vt:lpstr>Monthly Results</vt:lpstr>
      <vt:lpstr>Volume</vt:lpstr>
      <vt:lpstr>Dashboard</vt:lpstr>
      <vt:lpstr>Method</vt:lpstr>
      <vt:lpstr>Verify</vt:lpstr>
      <vt:lpstr>Currency</vt:lpstr>
      <vt:lpstr>DashMonth</vt:lpstr>
      <vt:lpstr>DashShown</vt:lpstr>
      <vt:lpstr>FYStart</vt:lpstr>
      <vt:lpstr>KpiCpu</vt:lpstr>
      <vt:lpstr>KpiMonthAct</vt:lpstr>
      <vt:lpstr>KpiStatic</vt:lpstr>
      <vt:lpstr>KpiSV</vt:lpstr>
      <vt:lpstr>KpiVol</vt:lpstr>
      <vt:lpstr>KpiVolEffect</vt:lpstr>
      <vt:lpstr>KpiWorst</vt:lpstr>
      <vt:lpstr>KpiYtdAct</vt:lpstr>
      <vt:lpstr>PlantName</vt:lpstr>
      <vt:lpstr>Dashboard!Print_Area</vt:lpstr>
      <vt:lpstr>Method!Print_Area</vt:lpstr>
      <vt:lpstr>'Monthly Results'!Print_Area</vt:lpstr>
      <vt:lpstr>Setup!Print_Area</vt:lpstr>
      <vt:lpstr>'Start Here'!Print_Area</vt:lpstr>
      <vt:lpstr>Verify!Print_Area</vt:lpstr>
      <vt:lpstr>Volume!Print_Area</vt:lpstr>
      <vt:lpstr>Method!Print_Titles</vt:lpstr>
      <vt:lpstr>'Monthly Results'!Print_Titles</vt:lpstr>
      <vt:lpstr>Volume!Print_Titles</vt:lpstr>
      <vt:lpstr>SelfCheck</vt:lpstr>
      <vt:lpstr>SelfCheckSummary</vt:lpstr>
      <vt:lpstr>VarAmount</vt:lpstr>
      <vt:lpstr>VarPct</vt:lpstr>
      <vt:lpstr>VolumeUnit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Plant Budget vs Actual - free Excel template from MFG Calcs</dc:title>
  <dc:subject>Compare each month's plant spending with a budget flexed to the volume you actually made, and see which cost lines are out of limits and why.</dc:subject>
  <dc:creator>MFG Calcs</dc:creator>
  <cp:keywords>budget vs actual, flexible budget, variance analysis, spending variance, volume variance, plant budget, cost control, cost per unit</cp:keywords>
  <dc:description>https://www.mfgcalcs.com/templates/plant-budget-vs-actual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plant-budget-vs-actual</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https://www.mfgcalcs.com/templates/plant-budget-vs-actual</vt:lpwstr>
  </property>
  <property fmtid="{D5CDD505-2E9C-101B-9397-08002B2CF9AE}" pid="7" name="Template sheet roles">
    <vt:lpwstr>Start Here=start;Setup=setup;Monthly Results=work;Volume=work;Dashboard=dashboard;Method=method;Verify=verify</vt:lpwstr>
  </property>
</Properties>
</file>