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Coating Jobs" sheetId="3" r:id="rId3"/>
    <sheet name="Dashboard" sheetId="4" r:id="rId4"/>
    <sheet name="Method" sheetId="5" r:id="rId5"/>
    <sheet name="Verify" sheetId="6" r:id="rId6"/>
  </sheets>
  <definedNames>
    <definedName name="AreaUnit">Setup!$C$8</definedName>
    <definedName name="Crew">Setup!$C$11</definedName>
    <definedName name="Currency">Setup!$C$7</definedName>
    <definedName name="FilmUnit">Setup!$C$9</definedName>
    <definedName name="KpiBelow">Dashboard!$D$5</definedName>
    <definedName name="KpiHours">Dashboard!$J$5</definedName>
    <definedName name="KpiKg">Dashboard!$G$5</definedName>
    <definedName name="KpiMargin">Dashboard!$B$5</definedName>
    <definedName name="LabourRate">Setup!$C$10</definedName>
    <definedName name="LineRate">Setup!$C$12</definedName>
    <definedName name="PlantName">Setup!$C$6</definedName>
    <definedName name="Powders">tblPowders[Powder]</definedName>
    <definedName name="_xlnm.Print_Area" localSheetId="2">'Coating Jobs'!$A$1:$AF$18</definedName>
    <definedName name="_xlnm.Print_Area" localSheetId="3">Dashboard!$A$1:$L$72</definedName>
    <definedName name="_xlnm.Print_Area" localSheetId="4">Method!$A$1:$D$61</definedName>
    <definedName name="_xlnm.Print_Area" localSheetId="1">Setup!$A$1:$G$28</definedName>
    <definedName name="_xlnm.Print_Area" localSheetId="0">'Start Here'!$A$1:$F$56</definedName>
    <definedName name="_xlnm.Print_Area" localSheetId="5">Verify!$A$1:$AF$51</definedName>
    <definedName name="_xlnm.Print_Titles" localSheetId="2">'Coating Jobs'!$1:$6</definedName>
    <definedName name="_xlnm.Print_Titles" localSheetId="4">Method!$1:$2</definedName>
    <definedName name="SelfCheck">Verify!$D$4</definedName>
    <definedName name="SelfCheckSummary">Verify!$F$4</definedName>
    <definedName name="TargetMargin">Setup!$C$13</definedName>
  </definedNames>
  <calcPr calcId="124519" fullCalcOnLoad="1"/>
</workbook>
</file>

<file path=xl/sharedStrings.xml><?xml version="1.0" encoding="utf-8"?>
<sst xmlns="http://schemas.openxmlformats.org/spreadsheetml/2006/main" count="524" uniqueCount="280">
  <si>
    <t>Powder Coating Cost per Part</t>
  </si>
  <si>
    <t>Read this first: what the workbook does and how to use it.</t>
  </si>
  <si>
    <t>mfgcalcs.com</t>
  </si>
  <si>
    <t>Cost every powder coating job from part area, film build, transfer efficiency and line time, and check each quoted price against your target margin.</t>
  </si>
  <si>
    <t>For: Job coaters, finishing line managers, estimators and fabricators who run an in-house powder line.</t>
  </si>
  <si>
    <t>Version 1.0.0  ·  updated 15 October 2026</t>
  </si>
  <si>
    <t>Quick start</t>
  </si>
  <si>
    <t>1.</t>
  </si>
  <si>
    <t>On Setup, choose m2 or ft2 and um or mil, and type your currency, labour rate, line crew, line cost per hour and target margin.</t>
  </si>
  <si>
    <t>2.</t>
  </si>
  <si>
    <t>List your powders with price per kg or per lb and specific gravity from the data sheet.</t>
  </si>
  <si>
    <t>3.</t>
  </si>
  <si>
    <t>On Coating Jobs, add one row per job: powder, good parts, area per part, film thickness, transfer efficiency and parts per hour.</t>
  </si>
  <si>
    <t>4.</t>
  </si>
  <si>
    <t>Add colour change and handling minutes, masking materials, reject rate and price; read cost per part, margin and status, and fix anything Check reports.</t>
  </si>
  <si>
    <t>5.</t>
  </si>
  <si>
    <t>Open the Dashboard: margin against target, where the cost goes and the powder each job uses.</t>
  </si>
  <si>
    <t>What is in this workbook</t>
  </si>
  <si>
    <t>Start Here</t>
  </si>
  <si>
    <t>Setup</t>
  </si>
  <si>
    <t>Currency, units, labour and line rates, target margin, and the powders you spray.</t>
  </si>
  <si>
    <t>Coating Jobs</t>
  </si>
  <si>
    <t>One row per coating job: part area, film build, transfer efficiency, line rate, handling and price.</t>
  </si>
  <si>
    <t>Dashboard</t>
  </si>
  <si>
    <t>Margin against target, where each job's cost goes, and the powder and line time the jobs use.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</si>
  <si>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</si>
  <si>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</si>
  <si>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</si>
  <si>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</si>
  <si>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</si>
  <si>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</si>
  <si>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</si>
  <si>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</si>
  <si>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</si>
  <si>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</si>
  <si>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</si>
  <si>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</si>
  <si>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</si>
  <si>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</si>
  <si>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</si>
  <si>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</si>
  <si>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</si>
  <si>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</si>
  <si>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</si>
  <si>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</si>
  <si>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Powder Coating Cost per Part Calculator on mfgcalcs.com</t>
  </si>
  <si>
    <t>Latest version</t>
  </si>
  <si>
    <t>mfgcalcs.com/templates/powder-coating-cost</t>
  </si>
  <si>
    <t>More free templates</t>
  </si>
  <si>
    <t>mfgcalcs.com/templates</t>
  </si>
  <si>
    <t>Version</t>
  </si>
  <si>
    <t>1.0.0 (updated 15 October 2026)</t>
  </si>
  <si>
    <t>About the example data</t>
  </si>
  <si>
    <t>Every number already in this workbook is example data for Brightline Coatings, a fictional business invented for this template, so the dashboard and charts show something meaningful on day one. It costs twelve jobs in six powders on one conveyor line; line cost, labour rate, powder prices and job prices are invented for the example.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</si>
  <si>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</si>
  <si>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</si>
  <si>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</si>
  <si>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</si>
  <si>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</si>
  <si>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</si>
  <si>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</si>
  <si>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</si>
  <si>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Powder</t>
  </si>
  <si>
    <t>Price</t>
  </si>
  <si>
    <t>Price unit</t>
  </si>
  <si>
    <t>Specific gravity</t>
  </si>
  <si>
    <t>Cost per kg</t>
  </si>
  <si>
    <t>Check</t>
  </si>
  <si>
    <t>Units, rates and targets</t>
  </si>
  <si>
    <t>Company or line</t>
  </si>
  <si>
    <t>Brightline Coatings (example)</t>
  </si>
  <si>
    <t>Currency label</t>
  </si>
  <si>
    <t>USD</t>
  </si>
  <si>
    <t>Area unit</t>
  </si>
  <si>
    <t>m2</t>
  </si>
  <si>
    <t>Film thickness unit</t>
  </si>
  <si>
    <t>um</t>
  </si>
  <si>
    <t>Labour rate, loaded</t>
  </si>
  <si>
    <t>Line crew while the line runs</t>
  </si>
  <si>
    <t>people</t>
  </si>
  <si>
    <t>Line cost per running hour, excluding labour</t>
  </si>
  <si>
    <t>Target margin on price</t>
  </si>
  <si>
    <t>Margin is on price: a 30% margin is a 43% markup on cost. 'Near target' means within 5% of the target (28.5% to 30% against 30%). Line cost and labour rates are examples: build yours from your utility bills, chemical usage and payroll.</t>
  </si>
  <si>
    <t>Powders</t>
  </si>
  <si>
    <t>Price per kg or per lb (1 lb = 0.45359237 kg, exact). Specific gravity (g/cm3) is on the powder's technical data sheet; it turns a film thickness into grams per square metre.</t>
  </si>
  <si>
    <t>Powders (example prices)</t>
  </si>
  <si>
    <t>g/cm3</t>
  </si>
  <si>
    <t>Polyester white gloss</t>
  </si>
  <si>
    <t>kg</t>
  </si>
  <si>
    <t>Polyester black matt</t>
  </si>
  <si>
    <t>Polyester textured black</t>
  </si>
  <si>
    <t>Epoxy primer grey</t>
  </si>
  <si>
    <t>Super-durable bronze</t>
  </si>
  <si>
    <t>lb</t>
  </si>
  <si>
    <t>Zinc-rich epoxy primer</t>
  </si>
  <si>
    <t>Job</t>
  </si>
  <si>
    <t>Part</t>
  </si>
  <si>
    <t>Good parts</t>
  </si>
  <si>
    <t>Area per part</t>
  </si>
  <si>
    <t>Film thickness</t>
  </si>
  <si>
    <t>Transfer efficiency</t>
  </si>
  <si>
    <t>Parts per hour</t>
  </si>
  <si>
    <t>Colour change (min)</t>
  </si>
  <si>
    <t>Handling (min/part)</t>
  </si>
  <si>
    <t>Masking materials</t>
  </si>
  <si>
    <t>Reject rate</t>
  </si>
  <si>
    <t>Powder (g/part)</t>
  </si>
  <si>
    <t>Parts coated</t>
  </si>
  <si>
    <t>Powder used (kg)</t>
  </si>
  <si>
    <t>Line hours</t>
  </si>
  <si>
    <t>Powder cost</t>
  </si>
  <si>
    <t>Masking cost</t>
  </si>
  <si>
    <t>Line cost</t>
  </si>
  <si>
    <t>Labour cost</t>
  </si>
  <si>
    <t>Cost per part</t>
  </si>
  <si>
    <t>Margin</t>
  </si>
  <si>
    <t>Margin status</t>
  </si>
  <si>
    <t>Job cost</t>
  </si>
  <si>
    <t>Job value</t>
  </si>
  <si>
    <t>Job margin</t>
  </si>
  <si>
    <t>Notes</t>
  </si>
  <si>
    <t>Example data for Brightline Coatings (fictional). Replace it with your own: select the example rows, right-click, Delete &gt; Table Rows. Yellow = you type; blue = calculated; Check names any problem.</t>
  </si>
  <si>
    <t>parts</t>
  </si>
  <si>
    <t>%</t>
  </si>
  <si>
    <t>parts/h</t>
  </si>
  <si>
    <t>min</t>
  </si>
  <si>
    <t>g</t>
  </si>
  <si>
    <t>h</t>
  </si>
  <si>
    <t>% of price</t>
  </si>
  <si>
    <t>PC-301</t>
  </si>
  <si>
    <t>Shelf brackets</t>
  </si>
  <si>
    <t/>
  </si>
  <si>
    <t>PC-302</t>
  </si>
  <si>
    <t>Gate panels</t>
  </si>
  <si>
    <t>PC-303</t>
  </si>
  <si>
    <t>Enclosure lids</t>
  </si>
  <si>
    <t>PC-304</t>
  </si>
  <si>
    <t>Railing posts</t>
  </si>
  <si>
    <t>PC-305</t>
  </si>
  <si>
    <t>Bicycle frames</t>
  </si>
  <si>
    <t>PC-306</t>
  </si>
  <si>
    <t>Machine guards</t>
  </si>
  <si>
    <t>PC-307</t>
  </si>
  <si>
    <t>Wire baskets</t>
  </si>
  <si>
    <t>PC-308</t>
  </si>
  <si>
    <t>Patio chair frames</t>
  </si>
  <si>
    <t>PC-309</t>
  </si>
  <si>
    <t>Mounting brackets</t>
  </si>
  <si>
    <t>PC-310</t>
  </si>
  <si>
    <t>Control cabinets</t>
  </si>
  <si>
    <t>Threads and earth studs masked</t>
  </si>
  <si>
    <t>PC-311</t>
  </si>
  <si>
    <t>Heater housings</t>
  </si>
  <si>
    <t>PC-312</t>
  </si>
  <si>
    <t>Trailer fenders</t>
  </si>
  <si>
    <t>WEIGHTED MARGIN ON PRICE</t>
  </si>
  <si>
    <t>JOBS BELOW TARGET MARGIN</t>
  </si>
  <si>
    <t>POWDER USED (KG)</t>
  </si>
  <si>
    <t>LINE HOURS BOOKED</t>
  </si>
  <si>
    <t>Margin status on Coating Jobs</t>
  </si>
  <si>
    <t>Parts coated x grams per part</t>
  </si>
  <si>
    <t>Coating time plus colour changes</t>
  </si>
  <si>
    <t>By job: cost per part, price and margin</t>
  </si>
  <si>
    <t>Target margin</t>
  </si>
  <si>
    <t>By powder: use, spend and margin</t>
  </si>
  <si>
    <t>Jobs</t>
  </si>
  <si>
    <t>Powder used</t>
  </si>
  <si>
    <t>Powder spend</t>
  </si>
  <si>
    <t>jobs</t>
  </si>
  <si>
    <t>Chart data: share of cost per part by element</t>
  </si>
  <si>
    <t>Masking</t>
  </si>
  <si>
    <t>Line</t>
  </si>
  <si>
    <t>Labour</t>
  </si>
  <si>
    <t>The Dashboard shows the first 12 jobs and 6 powders. The tiles cover every job; to chart more, extend the By job, By powder and chart data blocks (see Method).</t>
  </si>
  <si>
    <t>What this workbook calculates</t>
  </si>
  <si>
    <t>A coated part costs the powder that lands on it and the powder lost in spraying, the masking it needs, its share of the line's running cost (pretreatment, oven gas, booth, power) and the people who hang, spray, mask and pack it. Each job is a row on Coating Jobs; the powder's price and specific gravity come from Setup, so the powder per part follows from the area, the film build and your measured transfer efficiency.</t>
  </si>
  <si>
    <t>Calculations</t>
  </si>
  <si>
    <t>Quantity</t>
  </si>
  <si>
    <t>How it is calculated</t>
  </si>
  <si>
    <t>Units</t>
  </si>
  <si>
    <t>Cost per kg (Setup)</t>
  </si>
  <si>
    <t>Price per kg, or price per lb / 0.45359237.</t>
  </si>
  <si>
    <t>currency/kg</t>
  </si>
  <si>
    <t>Area (m2; ft2 x 0.09290304) x film (um; mil x 25.4) x specific gravity / transfer efficiency.</t>
  </si>
  <si>
    <t>ROUNDUP(good parts / (1 - reject rate)).</t>
  </si>
  <si>
    <t>Grams per part x parts coated / 1000.</t>
  </si>
  <si>
    <t>Parts coated / parts per hour + colour change minutes / 60.</t>
  </si>
  <si>
    <t>Powder, masking cost</t>
  </si>
  <si>
    <t>Powder used x cost per kg / good parts; parts coated x masking materials / good parts.</t>
  </si>
  <si>
    <t>currency/part</t>
  </si>
  <si>
    <t>Line hours x line cost per hour / good parts.</t>
  </si>
  <si>
    <t>(Line hours x crew + parts coated x handling minutes / 60) x labour rate / good parts.</t>
  </si>
  <si>
    <t>Powder + masking + line + labour cost, per good part.</t>
  </si>
  <si>
    <t>Margin and status</t>
  </si>
  <si>
    <t>(Price - cost per part) / price. On target at or above target, Near target within 5% of it, else Below target.</t>
  </si>
  <si>
    <t>Job cost, value, margin</t>
  </si>
  <si>
    <t>Cost per part, price and price - cost per part, each x good parts.</t>
  </si>
  <si>
    <t>currency/job</t>
  </si>
  <si>
    <t>Weighted margin</t>
  </si>
  <si>
    <t>Sum of job margin / sum of job value over priced jobs (not an average of percentages).</t>
  </si>
  <si>
    <t>By powder</t>
  </si>
  <si>
    <t>COUNTIF and SUMIFS by powder; spend = kg used x the powder's cost per kg; margin = margin sum / value sum.</t>
  </si>
  <si>
    <t>mixed</t>
  </si>
  <si>
    <t>Assumptions</t>
  </si>
  <si>
    <t>Film build is uniform over the coated area: grams = area x thickness x specific gravity (1 um over 1 m2 is 1 cm3).</t>
  </si>
  <si>
    <t>Transfer efficiency is the overall utilisation after reclaim; powder not on the part is lost.</t>
  </si>
  <si>
    <t>Rejected parts are coated again in full: they use powder, masking, line time and handling like good ones.</t>
  </si>
  <si>
    <t>The line cost per hour carries pretreatment, curing energy, booth, maintenance and depreciation; the crew is paid for every line hour, colour changes included.</t>
  </si>
  <si>
    <t>Limitations</t>
  </si>
  <si>
    <t>Two-coat systems (primer plus topcoat): enter each coat as its own job row and add the costs.</t>
  </si>
  <si>
    <t>Area is typed per part: estimate it from the CAD model or a sheet of coated parts; edges and recesses add area.</t>
  </si>
  <si>
    <t>The Dashboard's job blocks have 12 slots and the powder block 6; a warning appears when the lists are longer. The tiles cover every job.</t>
  </si>
  <si>
    <t>Freight, outside pretreatment and stripping chemicals for rejects are not modelled.</t>
  </si>
  <si>
    <t>Agreement with the live calculator</t>
  </si>
  <si>
    <t>The live Powder Coating Cost per Part calculator adds good parts x variable coating cost per part, masking and spray labour, and oven energy and overhead, then divides by the good parts. With a 0% reject rate a job here is exactly that: variable cost = powder + masking materials per part, labour = the job's labour cost and oven and overhead = its line cost. This workbook adds the powder per part from area, film and transfer efficiency, line hours from throughput, rejects and the margin check. The build runs the calculator's own example (250 parts, 1.75 variable, 126 labour, 155 oven: 2.874 per part) and example job PC-306 through its engine.</t>
  </si>
  <si>
    <t>Open the Powder Coating Cost per Part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</si>
  <si>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</si>
  <si>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</si>
  <si>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ISO 2808, Paints and varnishes - Determination of film thickness (how dry film thickness is measured).</t>
  </si>
  <si>
    <t>ISO 8130-2 and ISO 8130-3, Coating powders - Determination of density (the specific gravity on the data sheet).</t>
  </si>
  <si>
    <t>Theoretical coverage of a powder: coverage (m2/kg) = 1000 / (specific gravity x film thickness in um), as printed on most powder data sheets.</t>
  </si>
  <si>
    <t>NIST: 1 ft = 0.3048 m and 1 lb = 0.45359237 kg exactly (SP 811).</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</si>
  <si>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</si>
  <si>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</si>
  <si>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</si>
  <si>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</si>
  <si>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</si>
  <si>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</si>
  <si>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</si>
  <si>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</si>
  <si>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</si>
  <si>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</si>
  <si>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</si>
  <si>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</si>
  <si>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</si>
  <si>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</si>
  <si>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</si>
  <si>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</si>
  <si>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Price per lb: cost per kg (1 lb = 0.45359237 kg)</t>
  </si>
  <si>
    <t>T-1 (calculator example, ft2 and mil): powder g per part</t>
  </si>
  <si>
    <t>T-1: line hours</t>
  </si>
  <si>
    <t>T-1: cost per part (calculator: 2.874)</t>
  </si>
  <si>
    <t>T-1: job cost (calculator total: 718.50)</t>
  </si>
  <si>
    <t>T-1: margin on a 4.20 price</t>
  </si>
  <si>
    <t>T-2: parts coated for 97 good at 3% rejects</t>
  </si>
  <si>
    <t>T-2: powder used (kg)</t>
  </si>
  <si>
    <t>T-2: powder cost per good part</t>
  </si>
  <si>
    <t>T-2: labour cost per good part</t>
  </si>
  <si>
    <t>T-2: cost per part</t>
  </si>
  <si>
    <t>T-2: margin status against 30%</t>
  </si>
  <si>
    <t>Below target</t>
  </si>
  <si>
    <t>exact</t>
  </si>
  <si>
    <t>T-2: job margin</t>
  </si>
  <si>
    <t>T-3: Check names the unknown powder</t>
  </si>
  <si>
    <t>Powder not on Setup list or no price</t>
  </si>
  <si>
    <t>Weighted margin (Dashboard formula)</t>
  </si>
  <si>
    <t>Powder used (Dashboard formula)</t>
  </si>
  <si>
    <t>Jobs below target (Dashboard formula)</t>
  </si>
  <si>
    <t>Fixed test inputs</t>
  </si>
  <si>
    <t>White cells are fixed test inputs; blue cells are the workbook's formulas evaluated on them.</t>
  </si>
  <si>
    <t>Parameters</t>
  </si>
  <si>
    <t>ft2</t>
  </si>
  <si>
    <t>mil</t>
  </si>
  <si>
    <t>Labour rate</t>
  </si>
  <si>
    <t>Line crew</t>
  </si>
  <si>
    <t>Line cost per hour</t>
  </si>
  <si>
    <t>Test table: Powders</t>
  </si>
  <si>
    <t>P-kg</t>
  </si>
  <si>
    <t>P-lb</t>
  </si>
  <si>
    <t>Test table: Coat</t>
  </si>
  <si>
    <t>T-1</t>
  </si>
  <si>
    <t>Calculator example</t>
  </si>
  <si>
    <t>P1</t>
  </si>
  <si>
    <t>T-2</t>
  </si>
  <si>
    <t>Rejects round up</t>
  </si>
  <si>
    <t>P2</t>
  </si>
  <si>
    <t>T-3</t>
  </si>
  <si>
    <t>Unknown powder</t>
  </si>
  <si>
    <t>Typo</t>
  </si>
  <si>
    <t>Check speaks</t>
  </si>
</sst>
</file>

<file path=xl/styles.xml><?xml version="1.0" encoding="utf-8"?>
<styleSheet xmlns="http://schemas.openxmlformats.org/spreadsheetml/2006/main">
  <numFmts count="8">
    <numFmt numFmtId="164" formatCode="#,##0.00"/>
    <numFmt numFmtId="165" formatCode="#,##0.0"/>
    <numFmt numFmtId="166" formatCode="0.0%"/>
    <numFmt numFmtId="167" formatCode="#,##0"/>
    <numFmt numFmtId="168" formatCode="#,##0.000"/>
    <numFmt numFmtId="169" formatCode="&quot;Target &quot;0.0%"/>
    <numFmt numFmtId="170" formatCode="#,##0.0000"/>
    <numFmt numFmtId="171"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i/>
      <sz val="9"/>
      <color rgb="FF6B7280"/>
      <name val="Calibri"/>
      <family val="2"/>
      <scheme val="minor"/>
    </font>
    <font>
      <b/>
      <sz val="10"/>
      <color rgb="FFFFFFFF"/>
      <name val="Calibri"/>
      <family val="2"/>
      <scheme val="minor"/>
    </font>
    <font>
      <sz val="9"/>
      <color rgb="FF1B2430"/>
      <name val="Calibri"/>
      <family val="2"/>
      <scheme val="minor"/>
    </font>
    <font>
      <sz val="9"/>
      <color rgb="FF8A4A06"/>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5">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0" fontId="10" fillId="3" borderId="2" xfId="0" applyFont="1" applyFill="1" applyBorder="1" applyAlignment="1" applyProtection="1">
      <alignment vertical="top" wrapText="1"/>
      <protection locked="0"/>
    </xf>
    <xf numFmtId="164" fontId="10" fillId="4" borderId="3" xfId="0" applyNumberFormat="1" applyFont="1" applyFill="1" applyBorder="1" applyAlignment="1">
      <alignment vertical="center"/>
    </xf>
    <xf numFmtId="0" fontId="20" fillId="4" borderId="3" xfId="0" applyFont="1" applyFill="1" applyBorder="1" applyAlignment="1">
      <alignment vertical="center"/>
    </xf>
    <xf numFmtId="0" fontId="21" fillId="7" borderId="2" xfId="0" applyFont="1" applyFill="1" applyBorder="1" applyAlignment="1">
      <alignment vertical="center" wrapText="1"/>
    </xf>
    <xf numFmtId="167" fontId="10" fillId="3" borderId="2" xfId="0" applyNumberFormat="1" applyFont="1" applyFill="1" applyBorder="1" applyAlignment="1" applyProtection="1">
      <alignment vertical="center"/>
      <protection locked="0"/>
    </xf>
    <xf numFmtId="168" fontId="10" fillId="3" borderId="2" xfId="0" applyNumberFormat="1" applyFont="1" applyFill="1" applyBorder="1" applyAlignment="1" applyProtection="1">
      <alignment vertical="center"/>
      <protection locked="0"/>
    </xf>
    <xf numFmtId="165"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164" fontId="9"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2" fillId="9" borderId="6" xfId="0" applyFont="1" applyFill="1" applyBorder="1" applyAlignment="1">
      <alignment vertical="center" wrapText="1"/>
    </xf>
    <xf numFmtId="166" fontId="4" fillId="9" borderId="7" xfId="0" applyNumberFormat="1" applyFont="1" applyFill="1" applyBorder="1" applyAlignment="1">
      <alignment horizontal="left" vertical="center"/>
    </xf>
    <xf numFmtId="167" fontId="4" fillId="9" borderId="7" xfId="0" applyNumberFormat="1" applyFont="1" applyFill="1" applyBorder="1" applyAlignment="1">
      <alignment horizontal="left" vertical="center"/>
    </xf>
    <xf numFmtId="165" fontId="4" fillId="9" borderId="7" xfId="0" applyNumberFormat="1" applyFont="1" applyFill="1" applyBorder="1" applyAlignment="1">
      <alignment horizontal="left" vertical="center"/>
    </xf>
    <xf numFmtId="169"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0" fontId="19" fillId="2" borderId="5" xfId="0" applyFont="1" applyFill="1" applyBorder="1" applyAlignment="1">
      <alignment horizontal="left" vertical="center" wrapText="1"/>
    </xf>
    <xf numFmtId="0" fontId="9" fillId="0" borderId="9" xfId="0" applyFont="1" applyBorder="1" applyAlignment="1">
      <alignment vertical="center"/>
    </xf>
    <xf numFmtId="0" fontId="10" fillId="0" borderId="9" xfId="0" applyFont="1" applyBorder="1" applyAlignment="1">
      <alignment vertical="center"/>
    </xf>
    <xf numFmtId="166" fontId="10" fillId="0" borderId="9" xfId="0" applyNumberFormat="1" applyFont="1" applyBorder="1" applyAlignment="1">
      <alignment vertical="center"/>
    </xf>
    <xf numFmtId="0" fontId="10" fillId="4" borderId="3" xfId="0"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7" fontId="9" fillId="0" borderId="9" xfId="0" applyNumberFormat="1" applyFont="1" applyBorder="1" applyAlignment="1">
      <alignment horizontal="center" vertical="center"/>
    </xf>
    <xf numFmtId="170" fontId="10" fillId="0" borderId="9" xfId="0" applyNumberFormat="1" applyFont="1" applyBorder="1" applyAlignment="1">
      <alignment vertical="center"/>
    </xf>
    <xf numFmtId="170" fontId="10" fillId="4" borderId="3" xfId="0" applyNumberFormat="1" applyFont="1" applyFill="1" applyBorder="1" applyAlignment="1">
      <alignment vertical="center"/>
    </xf>
    <xf numFmtId="171" fontId="10" fillId="4" borderId="3" xfId="0" applyNumberFormat="1" applyFont="1" applyFill="1" applyBorder="1" applyAlignment="1">
      <alignment vertical="center"/>
    </xf>
    <xf numFmtId="171" fontId="10" fillId="0" borderId="9" xfId="0" applyNumberFormat="1" applyFont="1" applyBorder="1" applyAlignment="1">
      <alignment vertical="center"/>
    </xf>
    <xf numFmtId="168" fontId="10" fillId="0" borderId="9" xfId="0" applyNumberFormat="1" applyFont="1" applyBorder="1" applyAlignment="1">
      <alignment vertical="center"/>
    </xf>
    <xf numFmtId="168" fontId="10" fillId="4" borderId="3" xfId="0" applyNumberFormat="1" applyFont="1" applyFill="1" applyBorder="1" applyAlignment="1">
      <alignment vertical="center"/>
    </xf>
    <xf numFmtId="164" fontId="10" fillId="0" borderId="9" xfId="0" applyNumberFormat="1" applyFont="1" applyBorder="1" applyAlignment="1">
      <alignment vertical="center"/>
    </xf>
    <xf numFmtId="167" fontId="10" fillId="0" borderId="9" xfId="0" applyNumberFormat="1" applyFont="1" applyBorder="1" applyAlignment="1">
      <alignment vertical="center"/>
    </xf>
    <xf numFmtId="165"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Where the cost of each part goes</a:t>
            </a:r>
          </a:p>
        </c:rich>
      </c:tx>
      <c:layout/>
    </c:title>
    <c:plotArea>
      <c:layout/>
      <c:barChart>
        <c:barDir val="bar"/>
        <c:grouping val="stacked"/>
        <c:ser>
          <c:idx val="0"/>
          <c:order val="0"/>
          <c:tx>
            <c:v>Powder</c:v>
          </c:tx>
          <c:spPr>
            <a:solidFill>
              <a:srgbClr val="3B64D8"/>
            </a:solidFill>
            <a:ln w="9525">
              <a:solidFill>
                <a:srgbClr val="FFFFFF"/>
              </a:solidFill>
            </a:ln>
          </c:spPr>
          <c:cat>
            <c:strRef>
              <c:f>Dashboard!$B$58:$B$69</c:f>
              <c:strCache>
                <c:ptCount val="12"/>
                <c:pt idx="0">
                  <c:v>PC-301</c:v>
                </c:pt>
                <c:pt idx="1">
                  <c:v>PC-302</c:v>
                </c:pt>
                <c:pt idx="2">
                  <c:v>PC-303</c:v>
                </c:pt>
                <c:pt idx="3">
                  <c:v>PC-304</c:v>
                </c:pt>
                <c:pt idx="4">
                  <c:v>PC-305</c:v>
                </c:pt>
                <c:pt idx="5">
                  <c:v>PC-306</c:v>
                </c:pt>
                <c:pt idx="6">
                  <c:v>PC-307</c:v>
                </c:pt>
                <c:pt idx="7">
                  <c:v>PC-308</c:v>
                </c:pt>
                <c:pt idx="8">
                  <c:v>PC-309</c:v>
                </c:pt>
                <c:pt idx="9">
                  <c:v>PC-310</c:v>
                </c:pt>
                <c:pt idx="10">
                  <c:v>PC-311</c:v>
                </c:pt>
                <c:pt idx="11">
                  <c:v>PC-312</c:v>
                </c:pt>
              </c:strCache>
            </c:strRef>
          </c:cat>
          <c:val>
            <c:numRef>
              <c:f>Dashboard!$C$58:$C$69</c:f>
              <c:numCache>
                <c:formatCode>General</c:formatCode>
                <c:ptCount val="12"/>
                <c:pt idx="0">
                  <c:v>0.114337337980083</c:v>
                </c:pt>
                <c:pt idx="1">
                  <c:v>0.32028206186873</c:v>
                </c:pt>
                <c:pt idx="2">
                  <c:v>0.275803507300792</c:v>
                </c:pt>
                <c:pt idx="3">
                  <c:v>0.238690147501593</c:v>
                </c:pt>
                <c:pt idx="4">
                  <c:v>0.228778660472073</c:v>
                </c:pt>
                <c:pt idx="5">
                  <c:v>0.315798056125604</c:v>
                </c:pt>
                <c:pt idx="6">
                  <c:v>0.585586167574354</c:v>
                </c:pt>
                <c:pt idx="7">
                  <c:v>0.452397488127031</c:v>
                </c:pt>
                <c:pt idx="8">
                  <c:v>0.364615926951741</c:v>
                </c:pt>
                <c:pt idx="9">
                  <c:v>0.280067854402284</c:v>
                </c:pt>
                <c:pt idx="10">
                  <c:v>0.23557353713452</c:v>
                </c:pt>
                <c:pt idx="11">
                  <c:v>0.335838918889582</c:v>
                </c:pt>
              </c:numCache>
            </c:numRef>
          </c:val>
        </c:ser>
        <c:ser>
          <c:idx val="1"/>
          <c:order val="1"/>
          <c:tx>
            <c:v>Masking</c:v>
          </c:tx>
          <c:spPr>
            <a:solidFill>
              <a:srgbClr val="E8702A"/>
            </a:solidFill>
            <a:ln w="9525">
              <a:solidFill>
                <a:srgbClr val="FFFFFF"/>
              </a:solidFill>
            </a:ln>
          </c:spPr>
          <c:cat>
            <c:strRef>
              <c:f>Dashboard!$B$58:$B$69</c:f>
              <c:strCache>
                <c:ptCount val="12"/>
                <c:pt idx="0">
                  <c:v>PC-301</c:v>
                </c:pt>
                <c:pt idx="1">
                  <c:v>PC-302</c:v>
                </c:pt>
                <c:pt idx="2">
                  <c:v>PC-303</c:v>
                </c:pt>
                <c:pt idx="3">
                  <c:v>PC-304</c:v>
                </c:pt>
                <c:pt idx="4">
                  <c:v>PC-305</c:v>
                </c:pt>
                <c:pt idx="5">
                  <c:v>PC-306</c:v>
                </c:pt>
                <c:pt idx="6">
                  <c:v>PC-307</c:v>
                </c:pt>
                <c:pt idx="7">
                  <c:v>PC-308</c:v>
                </c:pt>
                <c:pt idx="8">
                  <c:v>PC-309</c:v>
                </c:pt>
                <c:pt idx="9">
                  <c:v>PC-310</c:v>
                </c:pt>
                <c:pt idx="10">
                  <c:v>PC-311</c:v>
                </c:pt>
                <c:pt idx="11">
                  <c:v>PC-312</c:v>
                </c:pt>
              </c:strCache>
            </c:strRef>
          </c:cat>
          <c:val>
            <c:numRef>
              <c:f>Dashboard!$D$58:$D$69</c:f>
              <c:numCache>
                <c:formatCode>General</c:formatCode>
                <c:ptCount val="12"/>
                <c:pt idx="0">
                  <c:v>0</c:v>
                </c:pt>
                <c:pt idx="1">
                  <c:v>0.0239862655266614</c:v>
                </c:pt>
                <c:pt idx="2">
                  <c:v>0.106177448776635</c:v>
                </c:pt>
                <c:pt idx="3">
                  <c:v>0</c:v>
                </c:pt>
                <c:pt idx="4">
                  <c:v>0.0823589323880577</c:v>
                </c:pt>
                <c:pt idx="5">
                  <c:v>0.0167114707891749</c:v>
                </c:pt>
                <c:pt idx="6">
                  <c:v>0</c:v>
                </c:pt>
                <c:pt idx="7">
                  <c:v>0.0212057755478657</c:v>
                </c:pt>
                <c:pt idx="8">
                  <c:v>0</c:v>
                </c:pt>
                <c:pt idx="9">
                  <c:v>0.0914537142118221</c:v>
                </c:pt>
                <c:pt idx="10">
                  <c:v>0.033762441103662</c:v>
                </c:pt>
                <c:pt idx="11">
                  <c:v>0</c:v>
                </c:pt>
              </c:numCache>
            </c:numRef>
          </c:val>
        </c:ser>
        <c:ser>
          <c:idx val="2"/>
          <c:order val="2"/>
          <c:tx>
            <c:v>Line</c:v>
          </c:tx>
          <c:spPr>
            <a:solidFill>
              <a:srgbClr val="1BA37A"/>
            </a:solidFill>
            <a:ln w="9525">
              <a:solidFill>
                <a:srgbClr val="FFFFFF"/>
              </a:solidFill>
            </a:ln>
          </c:spPr>
          <c:cat>
            <c:strRef>
              <c:f>Dashboard!$B$58:$B$69</c:f>
              <c:strCache>
                <c:ptCount val="12"/>
                <c:pt idx="0">
                  <c:v>PC-301</c:v>
                </c:pt>
                <c:pt idx="1">
                  <c:v>PC-302</c:v>
                </c:pt>
                <c:pt idx="2">
                  <c:v>PC-303</c:v>
                </c:pt>
                <c:pt idx="3">
                  <c:v>PC-304</c:v>
                </c:pt>
                <c:pt idx="4">
                  <c:v>PC-305</c:v>
                </c:pt>
                <c:pt idx="5">
                  <c:v>PC-306</c:v>
                </c:pt>
                <c:pt idx="6">
                  <c:v>PC-307</c:v>
                </c:pt>
                <c:pt idx="7">
                  <c:v>PC-308</c:v>
                </c:pt>
                <c:pt idx="8">
                  <c:v>PC-309</c:v>
                </c:pt>
                <c:pt idx="9">
                  <c:v>PC-310</c:v>
                </c:pt>
                <c:pt idx="10">
                  <c:v>PC-311</c:v>
                </c:pt>
                <c:pt idx="11">
                  <c:v>PC-312</c:v>
                </c:pt>
              </c:strCache>
            </c:strRef>
          </c:cat>
          <c:val>
            <c:numRef>
              <c:f>Dashboard!$E$58:$E$69</c:f>
              <c:numCache>
                <c:formatCode>General</c:formatCode>
                <c:ptCount val="12"/>
                <c:pt idx="0">
                  <c:v>0.512562755294894</c:v>
                </c:pt>
                <c:pt idx="1">
                  <c:v>0.378890191317725</c:v>
                </c:pt>
                <c:pt idx="2">
                  <c:v>0.353243851440598</c:v>
                </c:pt>
                <c:pt idx="3">
                  <c:v>0.446234474138867</c:v>
                </c:pt>
                <c:pt idx="4">
                  <c:v>0.371580339485182</c:v>
                </c:pt>
                <c:pt idx="5">
                  <c:v>0.380299313453268</c:v>
                </c:pt>
                <c:pt idx="6">
                  <c:v>0.245022543166255</c:v>
                </c:pt>
                <c:pt idx="7">
                  <c:v>0.305099719059188</c:v>
                </c:pt>
                <c:pt idx="8">
                  <c:v>0.385994059476599</c:v>
                </c:pt>
                <c:pt idx="9">
                  <c:v>0.348587529286457</c:v>
                </c:pt>
                <c:pt idx="10">
                  <c:v>0.431971982995141</c:v>
                </c:pt>
                <c:pt idx="11">
                  <c:v>0.385561676300055</c:v>
                </c:pt>
              </c:numCache>
            </c:numRef>
          </c:val>
        </c:ser>
        <c:ser>
          <c:idx val="3"/>
          <c:order val="3"/>
          <c:tx>
            <c:v>Labour</c:v>
          </c:tx>
          <c:spPr>
            <a:solidFill>
              <a:srgbClr val="E0A100"/>
            </a:solidFill>
            <a:ln w="9525">
              <a:solidFill>
                <a:srgbClr val="FFFFFF"/>
              </a:solidFill>
            </a:ln>
          </c:spPr>
          <c:cat>
            <c:strRef>
              <c:f>Dashboard!$B$58:$B$69</c:f>
              <c:strCache>
                <c:ptCount val="12"/>
                <c:pt idx="0">
                  <c:v>PC-301</c:v>
                </c:pt>
                <c:pt idx="1">
                  <c:v>PC-302</c:v>
                </c:pt>
                <c:pt idx="2">
                  <c:v>PC-303</c:v>
                </c:pt>
                <c:pt idx="3">
                  <c:v>PC-304</c:v>
                </c:pt>
                <c:pt idx="4">
                  <c:v>PC-305</c:v>
                </c:pt>
                <c:pt idx="5">
                  <c:v>PC-306</c:v>
                </c:pt>
                <c:pt idx="6">
                  <c:v>PC-307</c:v>
                </c:pt>
                <c:pt idx="7">
                  <c:v>PC-308</c:v>
                </c:pt>
                <c:pt idx="8">
                  <c:v>PC-309</c:v>
                </c:pt>
                <c:pt idx="9">
                  <c:v>PC-310</c:v>
                </c:pt>
                <c:pt idx="10">
                  <c:v>PC-311</c:v>
                </c:pt>
                <c:pt idx="11">
                  <c:v>PC-312</c:v>
                </c:pt>
              </c:strCache>
            </c:strRef>
          </c:cat>
          <c:val>
            <c:numRef>
              <c:f>Dashboard!$F$58:$F$69</c:f>
              <c:numCache>
                <c:formatCode>General</c:formatCode>
                <c:ptCount val="12"/>
                <c:pt idx="0">
                  <c:v>0.373099906725023</c:v>
                </c:pt>
                <c:pt idx="1">
                  <c:v>0.276841481286884</c:v>
                </c:pt>
                <c:pt idx="2">
                  <c:v>0.264775192481976</c:v>
                </c:pt>
                <c:pt idx="3">
                  <c:v>0.31507537835954</c:v>
                </c:pt>
                <c:pt idx="4">
                  <c:v>0.317282067654688</c:v>
                </c:pt>
                <c:pt idx="5">
                  <c:v>0.287191159631953</c:v>
                </c:pt>
                <c:pt idx="6">
                  <c:v>0.169391289259391</c:v>
                </c:pt>
                <c:pt idx="7">
                  <c:v>0.221297017265916</c:v>
                </c:pt>
                <c:pt idx="8">
                  <c:v>0.24939001357166</c:v>
                </c:pt>
                <c:pt idx="9">
                  <c:v>0.279890902099437</c:v>
                </c:pt>
                <c:pt idx="10">
                  <c:v>0.298692038766677</c:v>
                </c:pt>
                <c:pt idx="11">
                  <c:v>0.278599404810362</c:v>
                </c:pt>
              </c:numCache>
            </c:numRef>
          </c:val>
        </c:ser>
        <c:gapWidth val="50"/>
        <c:overlap val="10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ax val="1"/>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Margin on price by job</a:t>
            </a:r>
          </a:p>
        </c:rich>
      </c:tx>
      <c:layout/>
    </c:title>
    <c:plotArea>
      <c:layout/>
      <c:barChart>
        <c:barDir val="col"/>
        <c:grouping val="clustered"/>
        <c:ser>
          <c:idx val="0"/>
          <c:order val="0"/>
          <c:tx>
            <c:v>Margin</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Dashboard!$B$31:$B$42</c:f>
              <c:strCache>
                <c:ptCount val="12"/>
                <c:pt idx="0">
                  <c:v>PC-301</c:v>
                </c:pt>
                <c:pt idx="1">
                  <c:v>PC-302</c:v>
                </c:pt>
                <c:pt idx="2">
                  <c:v>PC-303</c:v>
                </c:pt>
                <c:pt idx="3">
                  <c:v>PC-304</c:v>
                </c:pt>
                <c:pt idx="4">
                  <c:v>PC-305</c:v>
                </c:pt>
                <c:pt idx="5">
                  <c:v>PC-306</c:v>
                </c:pt>
                <c:pt idx="6">
                  <c:v>PC-307</c:v>
                </c:pt>
                <c:pt idx="7">
                  <c:v>PC-308</c:v>
                </c:pt>
                <c:pt idx="8">
                  <c:v>PC-309</c:v>
                </c:pt>
                <c:pt idx="9">
                  <c:v>PC-310</c:v>
                </c:pt>
                <c:pt idx="10">
                  <c:v>PC-311</c:v>
                </c:pt>
                <c:pt idx="11">
                  <c:v>PC-312</c:v>
                </c:pt>
              </c:strCache>
            </c:strRef>
          </c:cat>
          <c:val>
            <c:numRef>
              <c:f>Dashboard!$I$31:$I$42</c:f>
              <c:numCache>
                <c:formatCode>General</c:formatCode>
                <c:ptCount val="12"/>
                <c:pt idx="0">
                  <c:v>0.329350413292848</c:v>
                </c:pt>
                <c:pt idx="1">
                  <c:v>0.326537674825175</c:v>
                </c:pt>
                <c:pt idx="2">
                  <c:v>0.3192999</c:v>
                </c:pt>
                <c:pt idx="3">
                  <c:v>0.318681555555556</c:v>
                </c:pt>
                <c:pt idx="4">
                  <c:v>0.111901344249782</c:v>
                </c:pt>
                <c:pt idx="5">
                  <c:v>0.313844555555556</c:v>
                </c:pt>
                <c:pt idx="6">
                  <c:v>0.287934</c:v>
                </c:pt>
                <c:pt idx="7">
                  <c:v>0.287031611509756</c:v>
                </c:pt>
                <c:pt idx="8">
                  <c:v>0.139975661375661</c:v>
                </c:pt>
                <c:pt idx="9">
                  <c:v>0.332126136363636</c:v>
                </c:pt>
                <c:pt idx="10">
                  <c:v>0.312262496114996</c:v>
                </c:pt>
                <c:pt idx="11">
                  <c:v>0.319673846153846</c:v>
                </c:pt>
              </c:numCache>
            </c:numRef>
          </c:val>
        </c:ser>
        <c:gapWidth val="60"/>
        <c:overlap val="-10"/>
        <c:axId val="50020001"/>
        <c:axId val="50020002"/>
      </c:barChart>
      <c:lineChart>
        <c:grouping val="standard"/>
        <c:ser>
          <c:idx val="1"/>
          <c:order val="1"/>
          <c:tx>
            <c:v>Target margin</c:v>
          </c:tx>
          <c:spPr>
            <a:ln w="19050">
              <a:solidFill>
                <a:srgbClr val="4A5361"/>
              </a:solidFill>
              <a:prstDash val="dash"/>
            </a:ln>
          </c:spPr>
          <c:marker>
            <c:symbol val="none"/>
          </c:marker>
          <c:cat>
            <c:strRef>
              <c:f>Dashboard!$B$31:$B$42</c:f>
              <c:strCache>
                <c:ptCount val="12"/>
                <c:pt idx="0">
                  <c:v>PC-301</c:v>
                </c:pt>
                <c:pt idx="1">
                  <c:v>PC-302</c:v>
                </c:pt>
                <c:pt idx="2">
                  <c:v>PC-303</c:v>
                </c:pt>
                <c:pt idx="3">
                  <c:v>PC-304</c:v>
                </c:pt>
                <c:pt idx="4">
                  <c:v>PC-305</c:v>
                </c:pt>
                <c:pt idx="5">
                  <c:v>PC-306</c:v>
                </c:pt>
                <c:pt idx="6">
                  <c:v>PC-307</c:v>
                </c:pt>
                <c:pt idx="7">
                  <c:v>PC-308</c:v>
                </c:pt>
                <c:pt idx="8">
                  <c:v>PC-309</c:v>
                </c:pt>
                <c:pt idx="9">
                  <c:v>PC-310</c:v>
                </c:pt>
                <c:pt idx="10">
                  <c:v>PC-311</c:v>
                </c:pt>
                <c:pt idx="11">
                  <c:v>PC-312</c:v>
                </c:pt>
              </c:strCache>
            </c:strRef>
          </c:cat>
          <c:val>
            <c:numRef>
              <c:f>Dashboard!$J$31:$J$42</c:f>
              <c:numCache>
                <c:formatCode>General</c:formatCode>
                <c:ptCount val="12"/>
                <c:pt idx="0">
                  <c:v>0.3</c:v>
                </c:pt>
                <c:pt idx="1">
                  <c:v>0.3</c:v>
                </c:pt>
                <c:pt idx="2">
                  <c:v>0.3</c:v>
                </c:pt>
                <c:pt idx="3">
                  <c:v>0.3</c:v>
                </c:pt>
                <c:pt idx="4">
                  <c:v>0.3</c:v>
                </c:pt>
                <c:pt idx="5">
                  <c:v>0.3</c:v>
                </c:pt>
                <c:pt idx="6">
                  <c:v>0.3</c:v>
                </c:pt>
                <c:pt idx="7">
                  <c:v>0.3</c:v>
                </c:pt>
                <c:pt idx="8">
                  <c:v>0.3</c:v>
                </c:pt>
                <c:pt idx="9">
                  <c:v>0.3</c:v>
                </c:pt>
                <c:pt idx="10">
                  <c:v>0.3</c:v>
                </c:pt>
                <c:pt idx="11">
                  <c:v>0.3</c:v>
                </c:pt>
              </c:numCache>
            </c:numRef>
          </c:val>
        </c:ser>
        <c:marker val="1"/>
        <c:axId val="50020001"/>
        <c:axId val="50020002"/>
      </c:lineChart>
      <c:catAx>
        <c:axId val="50020001"/>
        <c:scaling>
          <c:orientation val="minMax"/>
        </c:scaling>
        <c:axPos val="b"/>
        <c:majorTickMark val="none"/>
        <c:minorTickMark val="none"/>
        <c:tickLblPos val="low"/>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Powder used by powder (kg)</a:t>
            </a:r>
          </a:p>
        </c:rich>
      </c:tx>
      <c:layout/>
    </c:title>
    <c:plotArea>
      <c:layout/>
      <c:barChart>
        <c:barDir val="bar"/>
        <c:grouping val="clustered"/>
        <c:ser>
          <c:idx val="0"/>
          <c:order val="0"/>
          <c:tx>
            <c:v>Powder used</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Dashboard!$B$47:$B$52</c:f>
              <c:strCache>
                <c:ptCount val="6"/>
                <c:pt idx="0">
                  <c:v>Polyester white gloss</c:v>
                </c:pt>
                <c:pt idx="1">
                  <c:v>Polyester black matt</c:v>
                </c:pt>
                <c:pt idx="2">
                  <c:v>Polyester textured black</c:v>
                </c:pt>
                <c:pt idx="3">
                  <c:v>Epoxy primer grey</c:v>
                </c:pt>
                <c:pt idx="4">
                  <c:v>Super-durable bronze</c:v>
                </c:pt>
                <c:pt idx="5">
                  <c:v>Zinc-rich epoxy primer</c:v>
                </c:pt>
              </c:strCache>
            </c:strRef>
          </c:cat>
          <c:val>
            <c:numRef>
              <c:f>Dashboard!$D$47:$D$52</c:f>
              <c:numCache>
                <c:formatCode>General</c:formatCode>
                <c:ptCount val="6"/>
                <c:pt idx="0">
                  <c:v>83.0333807692308</c:v>
                </c:pt>
                <c:pt idx="1">
                  <c:v>165.085454545455</c:v>
                </c:pt>
                <c:pt idx="2">
                  <c:v>64.06245</c:v>
                </c:pt>
                <c:pt idx="3">
                  <c:v>22.176</c:v>
                </c:pt>
                <c:pt idx="4">
                  <c:v>64.6464</c:v>
                </c:pt>
                <c:pt idx="5">
                  <c:v>11.973</c:v>
                </c:pt>
              </c:numCache>
            </c:numRef>
          </c:val>
        </c:ser>
        <c:gapWidth val="60"/>
        <c:overlap val="-10"/>
        <c:axId val="50030001"/>
        <c:axId val="50030002"/>
      </c:barChart>
      <c:catAx>
        <c:axId val="5003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max"/>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9</xdr:row>
      <xdr:rowOff>38100</xdr:rowOff>
    </xdr:from>
    <xdr:to>
      <xdr:col>5</xdr:col>
      <xdr:colOff>676275</xdr:colOff>
      <xdr:row>25</xdr:row>
      <xdr:rowOff>152400</xdr:rowOff>
    </xdr:to>
    <xdr:graphicFrame macro="">
      <xdr:nvGraphicFramePr>
        <xdr:cNvPr id="2" name="Chart 1" descr="Stacked bar chart of each job's cost per part split into shares of powder, masking materials, line time and labou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9</xdr:row>
      <xdr:rowOff>38100</xdr:rowOff>
    </xdr:from>
    <xdr:to>
      <xdr:col>11</xdr:col>
      <xdr:colOff>676275</xdr:colOff>
      <xdr:row>25</xdr:row>
      <xdr:rowOff>152400</xdr:rowOff>
    </xdr:to>
    <xdr:graphicFrame macro="">
      <xdr:nvGraphicFramePr>
        <xdr:cNvPr id="3" name="Chart 2" descr="Column chart of each job's margin on price with the target margin as a dashed line; jobs below the line miss the targe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38100</xdr:colOff>
      <xdr:row>43</xdr:row>
      <xdr:rowOff>38100</xdr:rowOff>
    </xdr:from>
    <xdr:to>
      <xdr:col>11</xdr:col>
      <xdr:colOff>676275</xdr:colOff>
      <xdr:row>52</xdr:row>
      <xdr:rowOff>171450</xdr:rowOff>
    </xdr:to>
    <xdr:graphicFrame macro="">
      <xdr:nvGraphicFramePr>
        <xdr:cNvPr id="4" name="Chart 3" descr="Bar chart of the kilograms of each powder the jobs use, for ordering and stock."/>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ables/table1.xml><?xml version="1.0" encoding="utf-8"?>
<table xmlns="http://schemas.openxmlformats.org/spreadsheetml/2006/main" id="1" name="tblPowders" displayName="tblPowders" ref="B22:G28" totalsRowShown="0">
  <autoFilter ref="B22:G28"/>
  <tableColumns count="6">
    <tableColumn id="1" name="Powder"/>
    <tableColumn id="2" name="Price"/>
    <tableColumn id="3" name="Price unit"/>
    <tableColumn id="4" name="Specific gravity"/>
    <tableColumn id="5" name="Cost per kg">
      <calculatedColumnFormula>IF(tblPowders[[#This Row],[Price unit]]="lb",tblPowders[[#This Row],[Price]]/0.45359237,IF(tblPowders[[#This Row],[Price unit]]="kg",tblPowders[[#This Row],[Price]],""))</calculatedColumnFormula>
    </tableColumn>
    <tableColumn id="6" name="Check">
      <calculatedColumnFormula>IF(tblPowders[[#This Row],[Price]]="","Missing price",IF(tblPowders[[#This Row],[Price unit]]="","Missing price unit",IF(tblPowders[[#This Row],[Specific gravity]]="","Missing specific gravity","OK")))</calculatedColumnFormula>
    </tableColumn>
  </tableColumns>
  <tableStyleInfo name="TableStyleLight1" showFirstColumn="0" showLastColumn="0" showRowStripes="0" showColumnStripes="0"/>
</table>
</file>

<file path=xl/tables/table2.xml><?xml version="1.0" encoding="utf-8"?>
<table xmlns="http://schemas.openxmlformats.org/spreadsheetml/2006/main" id="2" name="tblCoat" displayName="tblCoat" ref="B6:AF18" totalsRowShown="0">
  <autoFilter ref="B6:AF18"/>
  <tableColumns count="31">
    <tableColumn id="1" name="Job"/>
    <tableColumn id="2" name="Part"/>
    <tableColumn id="3" name="Powder"/>
    <tableColumn id="4" name="Good parts"/>
    <tableColumn id="5" name="Area per part"/>
    <tableColumn id="6" name="Film thickness"/>
    <tableColumn id="7" name="Transfer efficiency"/>
    <tableColumn id="8" name="Parts per hour"/>
    <tableColumn id="9" name="Colour change (min)"/>
    <tableColumn id="10" name="Handling (min/part)"/>
    <tableColumn id="11" name="Masking materials"/>
    <tableColumn id="12" name="Reject rate"/>
    <tableColumn id="13" name="Price"/>
    <tableColumn id="14" name="Cost per kg">
      <calculatedColumnFormula>IF(tblCoat[[#This Row],[Job]]="","",IFERROR(INDEX(tblPowders[Cost per kg],MATCH(tblCoat[[#This Row],[Powder]],tblPowders[Powder],0)),""))</calculatedColumnFormula>
    </tableColumn>
    <tableColumn id="15" name="Specific gravity">
      <calculatedColumnFormula>IF(tblCoat[[#This Row],[Job]]="","",IFERROR(INDEX(tblPowders[Specific gravity],MATCH(tblCoat[[#This Row],[Powder]],tblPowders[Powder],0)),""))</calculatedColumnFormula>
    </tableColumn>
    <tableColumn id="16" name="Powder (g/part)">
      <calculatedColumnFormula>IF(tblCoat[[#This Row],[Job]]="","",IF(OR(tblCoat[[#This Row],[Specific gravity]]="",tblCoat[[#This Row],[Transfer efficiency]]=0),"",IF(AreaUnit="ft2",tblCoat[[#This Row],[Area per part]]*0.09290304,tblCoat[[#This Row],[Area per part]])*IF(FilmUnit="mil",tblCoat[[#This Row],[Film thickness]]*25.4,tblCoat[[#This Row],[Film thickness]])*tblCoat[[#This Row],[Specific gravity]]/tblCoat[[#This Row],[Transfer efficiency]]))</calculatedColumnFormula>
    </tableColumn>
    <tableColumn id="17" name="Parts coated">
      <calculatedColumnFormula>IF(tblCoat[[#This Row],[Job]]="","",IF(tblCoat[[#This Row],[Reject rate]]&lt;1,ROUNDUP(tblCoat[[#This Row],[Good parts]]/(1-tblCoat[[#This Row],[Reject rate]]),0),""))</calculatedColumnFormula>
    </tableColumn>
    <tableColumn id="18" name="Powder used (kg)">
      <calculatedColumnFormula>IF(tblCoat[[#This Row],[Job]]="","",IFERROR(tblCoat[[#This Row],[Powder (g/part)]]*tblCoat[[#This Row],[Parts coated]]/1000,""))</calculatedColumnFormula>
    </tableColumn>
    <tableColumn id="19" name="Line hours">
      <calculatedColumnFormula>IF(tblCoat[[#This Row],[Job]]="","",IF(tblCoat[[#This Row],[Parts per hour]]&gt;0,tblCoat[[#This Row],[Parts coated]]/tblCoat[[#This Row],[Parts per hour]]+tblCoat[[#This Row],[Colour change (min)]]/60,""))</calculatedColumnFormula>
    </tableColumn>
    <tableColumn id="20" name="Powder cost">
      <calculatedColumnFormula>IF(tblCoat[[#This Row],[Job]]="","",IFERROR(tblCoat[[#This Row],[Powder used (kg)]]*tblCoat[[#This Row],[Cost per kg]]/tblCoat[[#This Row],[Good parts]],""))</calculatedColumnFormula>
    </tableColumn>
    <tableColumn id="21" name="Masking cost">
      <calculatedColumnFormula>IF(tblCoat[[#This Row],[Job]]="","",IFERROR(tblCoat[[#This Row],[Parts coated]]*tblCoat[[#This Row],[Masking materials]]/tblCoat[[#This Row],[Good parts]],""))</calculatedColumnFormula>
    </tableColumn>
    <tableColumn id="22" name="Line cost">
      <calculatedColumnFormula>IF(tblCoat[[#This Row],[Job]]="","",IFERROR(tblCoat[[#This Row],[Line hours]]*LineRate/tblCoat[[#This Row],[Good parts]],""))</calculatedColumnFormula>
    </tableColumn>
    <tableColumn id="23" name="Labour cost">
      <calculatedColumnFormula>IF(tblCoat[[#This Row],[Job]]="","",IFERROR((tblCoat[[#This Row],[Line hours]]*Crew+tblCoat[[#This Row],[Parts coated]]*tblCoat[[#This Row],[Handling (min/part)]]/60)*LabourRate/tblCoat[[#This Row],[Good parts]],""))</calculatedColumnFormula>
    </tableColumn>
    <tableColumn id="24" name="Cost per part">
      <calculatedColumnFormula>IF(tblCoat[[#This Row],[Job]]="","",IFERROR(tblCoat[[#This Row],[Powder cost]]+tblCoat[[#This Row],[Masking cost]]+tblCoat[[#This Row],[Line cost]]+tblCoat[[#This Row],[Labour cost]],""))</calculatedColumnFormula>
    </tableColumn>
    <tableColumn id="25" name="Margin">
      <calculatedColumnFormula>IF(tblCoat[[#This Row],[Job]]="","",IF(AND(tblCoat[[#This Row],[Price]]&gt;0,ISNUMBER(tblCoat[[#This Row],[Cost per part]])),(tblCoat[[#This Row],[Price]]-tblCoat[[#This Row],[Cost per part]])/tblCoat[[#This Row],[Price]],""))</calculatedColumnFormula>
    </tableColumn>
    <tableColumn id="26" name="Margin status">
      <calculatedColumnFormula>IF(NOT(ISNUMBER(tblCoat[[#This Row],[Margin]])),"",IF(tblCoat[[#This Row],[Margin]]&gt;=TargetMargin,"On target",IF(tblCoat[[#This Row],[Margin]]&gt;=TargetMargin*(1-0.05),"Near target","Below target")))</calculatedColumnFormula>
    </tableColumn>
    <tableColumn id="27" name="Job cost">
      <calculatedColumnFormula>IF(tblCoat[[#This Row],[Job]]="","",IFERROR(tblCoat[[#This Row],[Cost per part]]*tblCoat[[#This Row],[Good parts]],""))</calculatedColumnFormula>
    </tableColumn>
    <tableColumn id="28" name="Job value">
      <calculatedColumnFormula>IF(tblCoat[[#This Row],[Job]]="","",IF(tblCoat[[#This Row],[Price]]&gt;0,tblCoat[[#This Row],[Price]]*tblCoat[[#This Row],[Good parts]],""))</calculatedColumnFormula>
    </tableColumn>
    <tableColumn id="29" name="Job margin">
      <calculatedColumnFormula>IF(tblCoat[[#This Row],[Job]]="","",IF(AND(tblCoat[[#This Row],[Price]]&gt;0,ISNUMBER(tblCoat[[#This Row],[Job cost]])),tblCoat[[#This Row],[Job value]]-tblCoat[[#This Row],[Job cost]],""))</calculatedColumnFormula>
    </tableColumn>
    <tableColumn id="30" name="Check">
      <calculatedColumnFormula>IF(tblCoat[[#This Row],[Job]]="","",IF(tblCoat[[#This Row],[Good parts]]="","Missing good parts",IF(tblCoat[[#This Row],[Area per part]]="","Missing area per part",IF(tblCoat[[#This Row],[Film thickness]]="","Missing film thickness",IF(tblCoat[[#This Row],[Transfer efficiency]]="","Missing transfer efficiency",IF(tblCoat[[#This Row],[Parts per hour]]="","Missing parts per hour",IF(tblCoat[[#This Row],[Cost per kg]]="","Powder not on Setup list or no price",IF(COUNTIF(tblCoat[Job],tblCoat[[#This Row],[Job]])&gt;1,"Duplicate job","OK"))))))))</calculatedColumnFormula>
    </tableColumn>
    <tableColumn id="31" name="Notes"/>
  </tableColumns>
  <tableStyleInfo name="TableStyleLight1" showFirstColumn="0" showLastColumn="0" showRowStripes="0" showColumnStripes="0"/>
</table>
</file>

<file path=xl/tables/table3.xml><?xml version="1.0" encoding="utf-8"?>
<table xmlns="http://schemas.openxmlformats.org/spreadsheetml/2006/main" id="3" name="tblVerifyPowders" displayName="tblVerifyPowders" ref="B42:G44" totalsRowShown="0">
  <tableColumns count="6">
    <tableColumn id="1" name="Powder"/>
    <tableColumn id="2" name="Price"/>
    <tableColumn id="3" name="Price unit"/>
    <tableColumn id="4" name="Specific gravity"/>
    <tableColumn id="5" name="Cost per kg">
      <calculatedColumnFormula>IF(tblVerifyPowders[[#This Row],[Price unit]]="lb",tblVerifyPowders[[#This Row],[Price]]/0.45359237,IF(tblVerifyPowders[[#This Row],[Price unit]]="kg",tblVerifyPowders[[#This Row],[Price]],""))</calculatedColumnFormula>
    </tableColumn>
    <tableColumn id="6" name="Check">
      <calculatedColumnFormula>IF(tblVerifyPowders[[#This Row],[Price]]="","Missing price",IF(tblVerifyPowders[[#This Row],[Price unit]]="","Missing price unit",IF(tblVerifyPowders[[#This Row],[Specific gravity]]="","Missing specific gravity","OK")))</calculatedColumnFormula>
    </tableColumn>
  </tableColumns>
  <tableStyleInfo name="TableStyleLight1" showFirstColumn="0" showLastColumn="0" showRowStripes="0" showColumnStripes="0"/>
</table>
</file>

<file path=xl/tables/table4.xml><?xml version="1.0" encoding="utf-8"?>
<table xmlns="http://schemas.openxmlformats.org/spreadsheetml/2006/main" id="4" name="tblVerifyCoat" displayName="tblVerifyCoat" ref="B48:AF51" totalsRowShown="0">
  <tableColumns count="31">
    <tableColumn id="1" name="Job"/>
    <tableColumn id="2" name="Part"/>
    <tableColumn id="3" name="Powder"/>
    <tableColumn id="4" name="Good parts"/>
    <tableColumn id="5" name="Area per part"/>
    <tableColumn id="6" name="Film thickness"/>
    <tableColumn id="7" name="Transfer efficiency"/>
    <tableColumn id="8" name="Parts per hour"/>
    <tableColumn id="9" name="Colour change (min)"/>
    <tableColumn id="10" name="Handling (min/part)"/>
    <tableColumn id="11" name="Masking materials"/>
    <tableColumn id="12" name="Reject rate"/>
    <tableColumn id="13" name="Price"/>
    <tableColumn id="14" name="Cost per kg"/>
    <tableColumn id="15" name="Specific gravity"/>
    <tableColumn id="16" name="Powder (g/part)">
      <calculatedColumnFormula>IF(tblVerifyCoat[[#This Row],[Job]]="","",IF(OR(tblVerifyCoat[[#This Row],[Specific gravity]]="",tblVerifyCoat[[#This Row],[Transfer efficiency]]=0),"",IF($E$33="ft2",tblVerifyCoat[[#This Row],[Area per part]]*0.09290304,tblVerifyCoat[[#This Row],[Area per part]])*IF($E$34="mil",tblVerifyCoat[[#This Row],[Film thickness]]*25.4,tblVerifyCoat[[#This Row],[Film thickness]])*tblVerifyCoat[[#This Row],[Specific gravity]]/tblVerifyCoat[[#This Row],[Transfer efficiency]]))</calculatedColumnFormula>
    </tableColumn>
    <tableColumn id="17" name="Parts coated">
      <calculatedColumnFormula>IF(tblVerifyCoat[[#This Row],[Job]]="","",IF(tblVerifyCoat[[#This Row],[Reject rate]]&lt;1,ROUNDUP(tblVerifyCoat[[#This Row],[Good parts]]/(1-tblVerifyCoat[[#This Row],[Reject rate]]),0),""))</calculatedColumnFormula>
    </tableColumn>
    <tableColumn id="18" name="Powder used (kg)">
      <calculatedColumnFormula>IF(tblVerifyCoat[[#This Row],[Job]]="","",IFERROR(tblVerifyCoat[[#This Row],[Powder (g/part)]]*tblVerifyCoat[[#This Row],[Parts coated]]/1000,""))</calculatedColumnFormula>
    </tableColumn>
    <tableColumn id="19" name="Line hours">
      <calculatedColumnFormula>IF(tblVerifyCoat[[#This Row],[Job]]="","",IF(tblVerifyCoat[[#This Row],[Parts per hour]]&gt;0,tblVerifyCoat[[#This Row],[Parts coated]]/tblVerifyCoat[[#This Row],[Parts per hour]]+tblVerifyCoat[[#This Row],[Colour change (min)]]/60,""))</calculatedColumnFormula>
    </tableColumn>
    <tableColumn id="20" name="Powder cost">
      <calculatedColumnFormula>IF(tblVerifyCoat[[#This Row],[Job]]="","",IFERROR(tblVerifyCoat[[#This Row],[Powder used (kg)]]*tblVerifyCoat[[#This Row],[Cost per kg]]/tblVerifyCoat[[#This Row],[Good parts]],""))</calculatedColumnFormula>
    </tableColumn>
    <tableColumn id="21" name="Masking cost">
      <calculatedColumnFormula>IF(tblVerifyCoat[[#This Row],[Job]]="","",IFERROR(tblVerifyCoat[[#This Row],[Parts coated]]*tblVerifyCoat[[#This Row],[Masking materials]]/tblVerifyCoat[[#This Row],[Good parts]],""))</calculatedColumnFormula>
    </tableColumn>
    <tableColumn id="22" name="Line cost">
      <calculatedColumnFormula>IF(tblVerifyCoat[[#This Row],[Job]]="","",IFERROR(tblVerifyCoat[[#This Row],[Line hours]]*$E$37/tblVerifyCoat[[#This Row],[Good parts]],""))</calculatedColumnFormula>
    </tableColumn>
    <tableColumn id="23" name="Labour cost">
      <calculatedColumnFormula>IF(tblVerifyCoat[[#This Row],[Job]]="","",IFERROR((tblVerifyCoat[[#This Row],[Line hours]]*$E$36+tblVerifyCoat[[#This Row],[Parts coated]]*tblVerifyCoat[[#This Row],[Handling (min/part)]]/60)*$E$35/tblVerifyCoat[[#This Row],[Good parts]],""))</calculatedColumnFormula>
    </tableColumn>
    <tableColumn id="24" name="Cost per part">
      <calculatedColumnFormula>IF(tblVerifyCoat[[#This Row],[Job]]="","",IFERROR(tblVerifyCoat[[#This Row],[Powder cost]]+tblVerifyCoat[[#This Row],[Masking cost]]+tblVerifyCoat[[#This Row],[Line cost]]+tblVerifyCoat[[#This Row],[Labour cost]],""))</calculatedColumnFormula>
    </tableColumn>
    <tableColumn id="25" name="Margin">
      <calculatedColumnFormula>IF(tblVerifyCoat[[#This Row],[Job]]="","",IF(AND(tblVerifyCoat[[#This Row],[Price]]&gt;0,ISNUMBER(tblVerifyCoat[[#This Row],[Cost per part]])),(tblVerifyCoat[[#This Row],[Price]]-tblVerifyCoat[[#This Row],[Cost per part]])/tblVerifyCoat[[#This Row],[Price]],""))</calculatedColumnFormula>
    </tableColumn>
    <tableColumn id="26" name="Margin status">
      <calculatedColumnFormula>IF(NOT(ISNUMBER(tblVerifyCoat[[#This Row],[Margin]])),"",IF(tblVerifyCoat[[#This Row],[Margin]]&gt;=$E$38,"On target",IF(tblVerifyCoat[[#This Row],[Margin]]&gt;=$E$38*(1-0.05),"Near target","Below target")))</calculatedColumnFormula>
    </tableColumn>
    <tableColumn id="27" name="Job cost">
      <calculatedColumnFormula>IF(tblVerifyCoat[[#This Row],[Job]]="","",IFERROR(tblVerifyCoat[[#This Row],[Cost per part]]*tblVerifyCoat[[#This Row],[Good parts]],""))</calculatedColumnFormula>
    </tableColumn>
    <tableColumn id="28" name="Job value">
      <calculatedColumnFormula>IF(tblVerifyCoat[[#This Row],[Job]]="","",IF(tblVerifyCoat[[#This Row],[Price]]&gt;0,tblVerifyCoat[[#This Row],[Price]]*tblVerifyCoat[[#This Row],[Good parts]],""))</calculatedColumnFormula>
    </tableColumn>
    <tableColumn id="29" name="Job margin">
      <calculatedColumnFormula>IF(tblVerifyCoat[[#This Row],[Job]]="","",IF(AND(tblVerifyCoat[[#This Row],[Price]]&gt;0,ISNUMBER(tblVerifyCoat[[#This Row],[Job cost]])),tblVerifyCoat[[#This Row],[Job value]]-tblVerifyCoat[[#This Row],[Job cost]],""))</calculatedColumnFormula>
    </tableColumn>
    <tableColumn id="30" name="Check">
      <calculatedColumnFormula>IF(tblVerifyCoat[[#This Row],[Job]]="","",IF(tblVerifyCoat[[#This Row],[Good parts]]="","Missing good parts",IF(tblVerifyCoat[[#This Row],[Area per part]]="","Missing area per part",IF(tblVerifyCoat[[#This Row],[Film thickness]]="","Missing film thickness",IF(tblVerifyCoat[[#This Row],[Transfer efficiency]]="","Missing transfer efficiency",IF(tblVerifyCoat[[#This Row],[Parts per hour]]="","Missing parts per hour",IF(tblVerifyCoat[[#This Row],[Cost per kg]]="","Powder not on Setup list or no price",IF(COUNTIF(tblVerifyCoat[Job],tblVerifyCoat[[#This Row],[Job]])&gt;1,"Duplicate job","OK"))))))))</calculatedColumnFormula>
    </tableColumn>
    <tableColumn id="31"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owder-coating-cost" TargetMode="External"/><Relationship Id="rId2" Type="http://schemas.openxmlformats.org/officeDocument/2006/relationships/hyperlink" Target="https://www.mfgcalcs.com/calculators/powder-coating-finishing/powder-coating-cost-per-part?utm_source=mfgcalcs-template&amp;utm_medium=xlsx&amp;utm_campaign=powder-coating-cost" TargetMode="External"/><Relationship Id="rId3" Type="http://schemas.openxmlformats.org/officeDocument/2006/relationships/hyperlink" Target="https://www.mfgcalcs.com/templates/powder-coating-cost?utm_source=mfgcalcs-template&amp;utm_medium=xlsx&amp;utm_campaign=powder-coating-cost" TargetMode="External"/><Relationship Id="rId4" Type="http://schemas.openxmlformats.org/officeDocument/2006/relationships/hyperlink" Target="https://www.mfgcalcs.com/templates?utm_source=mfgcalcs-template&amp;utm_medium=xlsx&amp;utm_campaign=powder-coating-cost"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owder-coating-cost"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owder-coating-cost"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owder-coating-cost"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owder-coating-cost" TargetMode="External"/><Relationship Id="rId2" Type="http://schemas.openxmlformats.org/officeDocument/2006/relationships/hyperlink" Target="https://www.mfgcalcs.com/calculators/powder-coating-finishing/powder-coating-cost-per-part?utm_source=mfgcalcs-template&amp;utm_medium=xlsx&amp;utm_campaign=powder-coating-cos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owder-coating-cost" TargetMode="External"/><Relationship Id="rId2" Type="http://schemas.openxmlformats.org/officeDocument/2006/relationships/table" Target="../tables/table3.xml"/><Relationship Id="rId3"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29.4" customHeight="1">
      <c r="B14" s="9" t="s">
        <v>11</v>
      </c>
      <c r="C14" s="10" t="s">
        <v>12</v>
      </c>
      <c r="D14" s="10"/>
      <c r="E14" s="10"/>
      <c r="F14" s="10"/>
    </row>
    <row r="15" spans="1:6" ht="29.4"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17 of 17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Coating Jobs'!A1" tooltip="Go to Coating Jobs" display="Coating Jobs"/>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Powder Coating Cost per Part&amp;R&amp;8&amp;A</oddHeader>
    <oddFooter>&amp;L&amp;8mfgcalcs.com - free manufacturing templates&amp;R&amp;8Page &amp;P of &amp;N</oddFooter>
  </headerFooter>
  <rowBreaks count="1" manualBreakCount="1">
    <brk id="26"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G28"/>
  <sheetViews>
    <sheetView showGridLines="0" workbookViewId="0"/>
  </sheetViews>
  <sheetFormatPr defaultRowHeight="15"/>
  <cols>
    <col min="1" max="1" width="2.7109375" customWidth="1"/>
    <col min="2" max="2" width="34.7109375" customWidth="1"/>
    <col min="3" max="3" width="16.7109375" customWidth="1"/>
    <col min="4" max="4" width="12.7109375" customWidth="1"/>
    <col min="5" max="6" width="14.7109375" customWidth="1"/>
    <col min="7" max="7" width="30.7109375" customWidth="1"/>
  </cols>
  <sheetData>
    <row r="1" spans="1:7" ht="30" customHeight="1">
      <c r="A1" s="1" t="s">
        <v>0</v>
      </c>
      <c r="B1" s="1"/>
      <c r="C1" s="1"/>
      <c r="D1" s="1"/>
      <c r="E1" s="1"/>
      <c r="F1" s="1"/>
      <c r="G1" s="1"/>
    </row>
    <row r="2" spans="1:7" ht="21" customHeight="1">
      <c r="B2" s="2" t="s">
        <v>20</v>
      </c>
      <c r="C2" s="2"/>
      <c r="D2" s="2"/>
      <c r="E2" s="2"/>
      <c r="F2" s="2"/>
      <c r="G2" s="3" t="s">
        <v>2</v>
      </c>
    </row>
    <row r="3" spans="1:7" ht="6" customHeight="1"/>
    <row r="4" spans="1:7" ht="21" customHeight="1">
      <c r="B4" s="8" t="s">
        <v>68</v>
      </c>
      <c r="C4" s="8"/>
      <c r="D4" s="8"/>
      <c r="E4" s="8"/>
      <c r="F4" s="8"/>
      <c r="G4" s="8"/>
    </row>
    <row r="5" spans="1:7" ht="5" customHeight="1"/>
    <row r="6" spans="1:7">
      <c r="B6" s="27" t="s">
        <v>69</v>
      </c>
      <c r="C6" s="28" t="s">
        <v>70</v>
      </c>
      <c r="D6" s="28"/>
    </row>
    <row r="7" spans="1:7">
      <c r="B7" s="27" t="s">
        <v>71</v>
      </c>
      <c r="C7" s="28" t="s">
        <v>72</v>
      </c>
      <c r="D7" s="28"/>
    </row>
    <row r="8" spans="1:7">
      <c r="B8" s="27" t="s">
        <v>73</v>
      </c>
      <c r="C8" s="28" t="s">
        <v>74</v>
      </c>
      <c r="D8" s="28"/>
    </row>
    <row r="9" spans="1:7">
      <c r="B9" s="27" t="s">
        <v>75</v>
      </c>
      <c r="C9" s="28" t="s">
        <v>76</v>
      </c>
      <c r="D9" s="28"/>
    </row>
    <row r="10" spans="1:7">
      <c r="B10" s="27" t="s">
        <v>77</v>
      </c>
      <c r="C10" s="29">
        <v>28</v>
      </c>
      <c r="D10" s="7" t="str">
        <f>Currency&amp;"/h"</f>
        <v>USD/h</v>
      </c>
    </row>
    <row r="11" spans="1:7">
      <c r="B11" s="27" t="s">
        <v>78</v>
      </c>
      <c r="C11" s="30">
        <v>3</v>
      </c>
      <c r="D11" s="7" t="s">
        <v>79</v>
      </c>
    </row>
    <row r="12" spans="1:7">
      <c r="B12" s="27" t="s">
        <v>80</v>
      </c>
      <c r="C12" s="29">
        <v>165</v>
      </c>
      <c r="D12" s="7" t="str">
        <f>Currency&amp;"/h"</f>
        <v>USD/h</v>
      </c>
    </row>
    <row r="13" spans="1:7">
      <c r="B13" s="27" t="s">
        <v>81</v>
      </c>
      <c r="C13" s="31">
        <v>0.3</v>
      </c>
      <c r="D13" s="7"/>
    </row>
    <row r="15" spans="1:7" ht="35.4" customHeight="1">
      <c r="B15" s="25" t="s">
        <v>82</v>
      </c>
      <c r="C15" s="25"/>
      <c r="D15" s="25"/>
      <c r="E15" s="25"/>
      <c r="F15" s="25"/>
      <c r="G15" s="25"/>
    </row>
    <row r="17" spans="2:7" ht="21" customHeight="1">
      <c r="B17" s="8" t="s">
        <v>83</v>
      </c>
      <c r="C17" s="8"/>
      <c r="D17" s="8"/>
      <c r="E17" s="8"/>
      <c r="F17" s="8"/>
      <c r="G17" s="8"/>
    </row>
    <row r="18" spans="2:7" ht="5" customHeight="1"/>
    <row r="19" spans="2:7">
      <c r="B19" s="21" t="s">
        <v>84</v>
      </c>
      <c r="C19" s="21"/>
      <c r="D19" s="21"/>
      <c r="E19" s="21"/>
      <c r="F19" s="21"/>
      <c r="G19" s="21"/>
    </row>
    <row r="20" spans="2:7">
      <c r="B20" s="32" t="s">
        <v>85</v>
      </c>
      <c r="C20" s="32"/>
      <c r="D20" s="32"/>
      <c r="E20" s="32"/>
      <c r="F20" s="32"/>
      <c r="G20" s="32"/>
    </row>
    <row r="21" spans="2:7" ht="14" customHeight="1">
      <c r="B21" s="33"/>
      <c r="C21" s="33" t="str">
        <f>Currency&amp;"/unit"</f>
        <v>USD/unit</v>
      </c>
      <c r="D21" s="33"/>
      <c r="E21" s="33" t="s">
        <v>86</v>
      </c>
      <c r="F21" s="33" t="str">
        <f>Currency&amp;"/kg"</f>
        <v>USD/kg</v>
      </c>
      <c r="G21" s="33"/>
    </row>
    <row r="22" spans="2:7" ht="20" customHeight="1">
      <c r="B22" s="34" t="s">
        <v>62</v>
      </c>
      <c r="C22" s="34" t="s">
        <v>63</v>
      </c>
      <c r="D22" s="34" t="s">
        <v>64</v>
      </c>
      <c r="E22" s="34" t="s">
        <v>65</v>
      </c>
      <c r="F22" s="34" t="s">
        <v>66</v>
      </c>
      <c r="G22" s="34" t="s">
        <v>67</v>
      </c>
    </row>
    <row r="23" spans="2:7">
      <c r="B23" s="35" t="s">
        <v>87</v>
      </c>
      <c r="C23" s="29">
        <v>9.5</v>
      </c>
      <c r="D23" s="28" t="s">
        <v>88</v>
      </c>
      <c r="E23" s="29">
        <v>1.55</v>
      </c>
      <c r="F23" s="36">
        <f>IF(tblPowders[[#This Row],[Price unit]]="lb",tblPowders[[#This Row],[Price]]/0.45359237,IF(tblPowders[[#This Row],[Price unit]]="kg",tblPowders[[#This Row],[Price]],""))</f>
        <v>9.5</v>
      </c>
      <c r="G23" s="37" t="str">
        <f>IF(tblPowders[[#This Row],[Price]]="","Missing price",IF(tblPowders[[#This Row],[Price unit]]="","Missing price unit",IF(tblPowders[[#This Row],[Specific gravity]]="","Missing specific gravity","OK")))</f>
        <v>OK</v>
      </c>
    </row>
    <row r="24" spans="2:7">
      <c r="B24" s="35" t="s">
        <v>89</v>
      </c>
      <c r="C24" s="29">
        <v>10.2</v>
      </c>
      <c r="D24" s="28" t="s">
        <v>88</v>
      </c>
      <c r="E24" s="29">
        <v>1.5</v>
      </c>
      <c r="F24" s="36">
        <f>IF(tblPowders[[#This Row],[Price unit]]="lb",tblPowders[[#This Row],[Price]]/0.45359237,IF(tblPowders[[#This Row],[Price unit]]="kg",tblPowders[[#This Row],[Price]],""))</f>
        <v>10.2</v>
      </c>
      <c r="G24" s="37" t="str">
        <f>IF(tblPowders[[#This Row],[Price]]="","Missing price",IF(tblPowders[[#This Row],[Price unit]]="","Missing price unit",IF(tblPowders[[#This Row],[Specific gravity]]="","Missing specific gravity","OK")))</f>
        <v>OK</v>
      </c>
    </row>
    <row r="25" spans="2:7">
      <c r="B25" s="35" t="s">
        <v>90</v>
      </c>
      <c r="C25" s="29">
        <v>11</v>
      </c>
      <c r="D25" s="28" t="s">
        <v>88</v>
      </c>
      <c r="E25" s="29">
        <v>1.45</v>
      </c>
      <c r="F25" s="36">
        <f>IF(tblPowders[[#This Row],[Price unit]]="lb",tblPowders[[#This Row],[Price]]/0.45359237,IF(tblPowders[[#This Row],[Price unit]]="kg",tblPowders[[#This Row],[Price]],""))</f>
        <v>11</v>
      </c>
      <c r="G25" s="37" t="str">
        <f>IF(tblPowders[[#This Row],[Price]]="","Missing price",IF(tblPowders[[#This Row],[Price unit]]="","Missing price unit",IF(tblPowders[[#This Row],[Specific gravity]]="","Missing specific gravity","OK")))</f>
        <v>OK</v>
      </c>
    </row>
    <row r="26" spans="2:7">
      <c r="B26" s="35" t="s">
        <v>91</v>
      </c>
      <c r="C26" s="29">
        <v>8.800000000000001</v>
      </c>
      <c r="D26" s="28" t="s">
        <v>88</v>
      </c>
      <c r="E26" s="29">
        <v>1.6</v>
      </c>
      <c r="F26" s="36">
        <f>IF(tblPowders[[#This Row],[Price unit]]="lb",tblPowders[[#This Row],[Price]]/0.45359237,IF(tblPowders[[#This Row],[Price unit]]="kg",tblPowders[[#This Row],[Price]],""))</f>
        <v>8.8</v>
      </c>
      <c r="G26" s="37" t="str">
        <f>IF(tblPowders[[#This Row],[Price]]="","Missing price",IF(tblPowders[[#This Row],[Price unit]]="","Missing price unit",IF(tblPowders[[#This Row],[Specific gravity]]="","Missing specific gravity","OK")))</f>
        <v>OK</v>
      </c>
    </row>
    <row r="27" spans="2:7">
      <c r="B27" s="35" t="s">
        <v>92</v>
      </c>
      <c r="C27" s="29">
        <v>7.2</v>
      </c>
      <c r="D27" s="28" t="s">
        <v>93</v>
      </c>
      <c r="E27" s="29">
        <v>1.4</v>
      </c>
      <c r="F27" s="36">
        <f>IF(tblPowders[[#This Row],[Price unit]]="lb",tblPowders[[#This Row],[Price]]/0.45359237,IF(tblPowders[[#This Row],[Price unit]]="kg",tblPowders[[#This Row],[Price]],""))</f>
        <v>15.8732828773112</v>
      </c>
      <c r="G27" s="37" t="str">
        <f>IF(tblPowders[[#This Row],[Price]]="","Missing price",IF(tblPowders[[#This Row],[Price unit]]="","Missing price unit",IF(tblPowders[[#This Row],[Specific gravity]]="","Missing specific gravity","OK")))</f>
        <v>OK</v>
      </c>
    </row>
    <row r="28" spans="2:7">
      <c r="B28" s="35" t="s">
        <v>94</v>
      </c>
      <c r="C28" s="29">
        <v>16.5</v>
      </c>
      <c r="D28" s="28" t="s">
        <v>88</v>
      </c>
      <c r="E28" s="29">
        <v>2.6</v>
      </c>
      <c r="F28" s="36">
        <f>IF(tblPowders[[#This Row],[Price unit]]="lb",tblPowders[[#This Row],[Price]]/0.45359237,IF(tblPowders[[#This Row],[Price unit]]="kg",tblPowders[[#This Row],[Price]],""))</f>
        <v>16.5</v>
      </c>
      <c r="G28" s="37" t="str">
        <f>IF(tblPowders[[#This Row],[Price]]="","Missing price",IF(tblPowders[[#This Row],[Price unit]]="","Missing price unit",IF(tblPowders[[#This Row],[Specific gravity]]="","Missing specific gravity","OK")))</f>
        <v>OK</v>
      </c>
    </row>
  </sheetData>
  <mergeCells count="11">
    <mergeCell ref="A1:G1"/>
    <mergeCell ref="B2:F2"/>
    <mergeCell ref="B4:G4"/>
    <mergeCell ref="C6:D6"/>
    <mergeCell ref="C7:D7"/>
    <mergeCell ref="C8:D8"/>
    <mergeCell ref="C9:D9"/>
    <mergeCell ref="B15:G15"/>
    <mergeCell ref="B17:G17"/>
    <mergeCell ref="B19:G19"/>
    <mergeCell ref="B20:G20"/>
  </mergeCells>
  <conditionalFormatting sqref="G23:G128">
    <cfRule type="expression" dxfId="3" priority="1">
      <formula>$G23="OK"</formula>
    </cfRule>
    <cfRule type="expression" dxfId="1" priority="2">
      <formula>AND($G23&lt;&gt;"",$G23&lt;&gt;"OK")</formula>
    </cfRule>
  </conditionalFormatting>
  <dataValidations count="12">
    <dataValidation type="textLength" allowBlank="1" showInputMessage="1" showErrorMessage="1" errorTitle="Check this entry" error="Text up to 80 characters." promptTitle="Company or line" prompt="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USD, EUR, GBP, INR, AUD. No exchange rate is applied. Text up to 12 characters." sqref="C7">
      <formula1>0</formula1>
      <formula2>12</formula2>
    </dataValidation>
    <dataValidation type="list" allowBlank="1" showInputMessage="1" showErrorMessage="1" errorTitle="Check this entry" error="Pick one of: m2, ft2." promptTitle="Area unit" prompt="Unit of the area per part on Coating Jobs. ft2 is converted exactly: 1 ft2 = 0.09290304 m2. Pick one of: m2, ft2." sqref="C8">
      <formula1>"m2,ft2"</formula1>
    </dataValidation>
    <dataValidation type="list" allowBlank="1" showInputMessage="1" showErrorMessage="1" errorTitle="Check this entry" error="Pick one of: um, mil." promptTitle="Film thickness unit" prompt="Micrometres (um) or mils (thousandths of an inch). mil is converted exactly: 1 mil = 25.4 um. Pick one of: um, mil." sqref="C9">
      <formula1>"um,mil"</formula1>
    </dataValidation>
    <dataValidation type="decimal" allowBlank="1" showInputMessage="1" showErrorMessage="1" errorTitle="Check this entry" error="Enter a number from 0 to 10,000." promptTitle="Labour rate, loaded" prompt="Wage plus payroll taxes and benefits per worked hour. Enter a number from 0 to 10,000." sqref="C10">
      <formula1>0</formula1>
      <formula2>10000</formula2>
    </dataValidation>
    <dataValidation type="decimal" allowBlank="1" showInputMessage="1" showErrorMessage="1" errorTitle="Check this entry" error="Enter a number from 0 to 50." promptTitle="Line crew while the line runs" prompt="People on the line for every line hour: loaders, sprayer, unloaders. Off-line masking and packing go in handling minutes per part. Enter a number from 0 to 50." sqref="C11">
      <formula1>0</formula1>
      <formula2>50</formula2>
    </dataValidation>
    <dataValidation type="decimal" allowBlank="1" showInputMessage="1" showErrorMessage="1" errorTitle="Check this entry" error="Enter a number from 0 to 100,000." promptTitle="Line cost per running hour, e..." prompt="Pretreatment chemicals, oven and washer gas, power, booth filters, maintenance and depreciation per hour the line runs. Enter a number from 0 to 100,000." sqref="C12">
      <formula1>0</formula1>
      <formula2>100000</formula2>
    </dataValidation>
    <dataValidation type="decimal" allowBlank="1" showInputMessage="1" showErrorMessage="1" errorTitle="Check this entry" error="Enter a percentage from 0% to 95% (type 85% or 0.85)." promptTitle="Target margin on price" prompt="Your own target: margin = (price - cost per part) / price. No industry benchmark is assumed. Enter a percentage from 0% to 95% (type 85% or 0.85)." sqref="C13">
      <formula1>0</formula1>
      <formula2>0.95</formula2>
    </dataValidation>
    <dataValidation type="textLength" allowBlank="1" showInputMessage="1" showErrorMessage="1" errorTitle="Check this entry" error="Text up to 50 characters." promptTitle="Powder" prompt="Text up to 50 characters." sqref="B23:B128">
      <formula1>0</formula1>
      <formula2>50</formula2>
    </dataValidation>
    <dataValidation type="decimal" allowBlank="1" showInputMessage="1" showErrorMessage="1" errorTitle="Check this entry" error="Enter a number from 0 to 100,000." promptTitle="Price" prompt="Price per kg or per lb, as chosen in Price unit. Enter a number from 0 to 100,000." sqref="C23:C128">
      <formula1>0</formula1>
      <formula2>100000.0</formula2>
    </dataValidation>
    <dataValidation type="list" allowBlank="1" showInputMessage="1" showErrorMessage="1" errorTitle="Check this entry" error="Pick one of: kg, lb." promptTitle="Price unit" prompt="kg or lb. Pick one of: kg, lb." sqref="D23:D128">
      <formula1>"kg,lb"</formula1>
    </dataValidation>
    <dataValidation type="decimal" allowBlank="1" showInputMessage="1" showErrorMessage="1" errorTitle="Check this entry" error="Enter a number from 0.5 to 8." promptTitle="Specific gravity" prompt="From the technical data sheet, typically 1.2 to 1.8 for organic powders. Enter a number from 0.5 to 8." sqref="E23:E128">
      <formula1>0.5</formula1>
      <formula2>8</formula2>
    </dataValidation>
  </dataValidations>
  <hyperlinks>
    <hyperlink ref="G2" r:id="rId1" tooltip="Free manufacturing calculators and templates"/>
  </hyperlinks>
  <pageMargins left="0.4" right="0.4" top="0.7" bottom="0.65" header="0.3" footer="0.3"/>
  <pageSetup fitToHeight="0" orientation="landscape"/>
  <headerFooter>
    <oddHeader>&amp;L&amp;8MFG Calcs - Powder Coating Cost per Part&amp;R&amp;8&amp;A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AF18"/>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2.7109375" customWidth="1"/>
    <col min="2" max="2" width="8.7109375" customWidth="1"/>
    <col min="3" max="3" width="16.7109375" customWidth="1"/>
    <col min="4" max="4" width="18.7109375" customWidth="1"/>
    <col min="5" max="7" width="8.7109375" customWidth="1"/>
    <col min="8" max="8" width="9.28515625" customWidth="1"/>
    <col min="9" max="10" width="8.7109375" customWidth="1"/>
    <col min="11" max="12" width="9.28515625" customWidth="1"/>
    <col min="13" max="13" width="8.28515625" customWidth="1"/>
    <col min="14" max="19" width="8.7109375" customWidth="1"/>
    <col min="20" max="20" width="8.28515625" customWidth="1"/>
    <col min="21" max="24" width="8.7109375" customWidth="1"/>
    <col min="25" max="25" width="9.28515625" customWidth="1"/>
    <col min="26" max="26" width="8.7109375" customWidth="1"/>
    <col min="27" max="27" width="11.7109375" customWidth="1"/>
    <col min="28" max="30" width="9.7109375" customWidth="1"/>
    <col min="31" max="31" width="22.7109375" customWidth="1"/>
    <col min="32" max="32" width="20.7109375" customWidth="1"/>
  </cols>
  <sheetData>
    <row r="1" spans="1:32" ht="30"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t="21" customHeight="1">
      <c r="B2" s="2" t="s">
        <v>22</v>
      </c>
      <c r="C2" s="2"/>
      <c r="D2" s="2"/>
      <c r="E2" s="2"/>
      <c r="F2" s="2"/>
      <c r="G2" s="2"/>
      <c r="H2" s="2"/>
      <c r="I2" s="2"/>
      <c r="J2" s="2"/>
      <c r="K2" s="2"/>
      <c r="L2" s="2"/>
      <c r="M2" s="2"/>
      <c r="N2" s="2"/>
      <c r="O2" s="2"/>
      <c r="P2" s="2"/>
      <c r="Q2" s="2"/>
      <c r="R2" s="2"/>
      <c r="S2" s="2"/>
      <c r="T2" s="2"/>
      <c r="U2" s="2"/>
      <c r="V2" s="2"/>
      <c r="W2" s="2"/>
      <c r="X2" s="2"/>
      <c r="Y2" s="2"/>
      <c r="Z2" s="2"/>
      <c r="AA2" s="2"/>
      <c r="AB2" s="2"/>
      <c r="AC2" s="2"/>
      <c r="AD2" s="2"/>
      <c r="AE2" s="2"/>
      <c r="AF2" s="3" t="s">
        <v>2</v>
      </c>
    </row>
    <row r="3" spans="1:32" ht="6" customHeight="1"/>
    <row r="4" spans="1:32" ht="18" customHeight="1">
      <c r="B4" s="38" t="s">
        <v>121</v>
      </c>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row>
    <row r="5" spans="1:32" ht="14" customHeight="1">
      <c r="B5" s="33"/>
      <c r="C5" s="33"/>
      <c r="D5" s="33"/>
      <c r="E5" s="33" t="s">
        <v>122</v>
      </c>
      <c r="F5" s="33" t="str">
        <f>AreaUnit</f>
        <v>m2</v>
      </c>
      <c r="G5" s="33" t="str">
        <f>FilmUnit</f>
        <v>um</v>
      </c>
      <c r="H5" s="33" t="s">
        <v>123</v>
      </c>
      <c r="I5" s="33" t="s">
        <v>124</v>
      </c>
      <c r="J5" s="33" t="s">
        <v>125</v>
      </c>
      <c r="K5" s="33" t="s">
        <v>125</v>
      </c>
      <c r="L5" s="33" t="str">
        <f>Currency&amp;"/part"</f>
        <v>USD/part</v>
      </c>
      <c r="M5" s="33" t="s">
        <v>123</v>
      </c>
      <c r="N5" s="33" t="str">
        <f>Currency&amp;"/part"</f>
        <v>USD/part</v>
      </c>
      <c r="O5" s="33" t="str">
        <f>Currency&amp;"/kg"</f>
        <v>USD/kg</v>
      </c>
      <c r="P5" s="33" t="s">
        <v>86</v>
      </c>
      <c r="Q5" s="33" t="s">
        <v>126</v>
      </c>
      <c r="R5" s="33" t="s">
        <v>122</v>
      </c>
      <c r="S5" s="33" t="s">
        <v>88</v>
      </c>
      <c r="T5" s="33" t="s">
        <v>127</v>
      </c>
      <c r="U5" s="33" t="str">
        <f>Currency&amp;"/part"</f>
        <v>USD/part</v>
      </c>
      <c r="V5" s="33" t="str">
        <f>Currency&amp;"/part"</f>
        <v>USD/part</v>
      </c>
      <c r="W5" s="33" t="str">
        <f>Currency&amp;"/part"</f>
        <v>USD/part</v>
      </c>
      <c r="X5" s="33" t="str">
        <f>Currency&amp;"/part"</f>
        <v>USD/part</v>
      </c>
      <c r="Y5" s="33" t="str">
        <f>Currency&amp;"/good part"</f>
        <v>USD/good part</v>
      </c>
      <c r="Z5" s="33" t="s">
        <v>128</v>
      </c>
      <c r="AA5" s="33"/>
      <c r="AB5" s="33" t="str">
        <f>Currency&amp;"/job"</f>
        <v>USD/job</v>
      </c>
      <c r="AC5" s="33" t="str">
        <f>Currency&amp;"/job"</f>
        <v>USD/job</v>
      </c>
      <c r="AD5" s="33" t="str">
        <f>Currency&amp;"/job"</f>
        <v>USD/job</v>
      </c>
      <c r="AE5" s="33"/>
      <c r="AF5" s="33"/>
    </row>
    <row r="6" spans="1:32" ht="45.5" customHeight="1">
      <c r="B6" s="34" t="s">
        <v>95</v>
      </c>
      <c r="C6" s="34" t="s">
        <v>96</v>
      </c>
      <c r="D6" s="34" t="s">
        <v>62</v>
      </c>
      <c r="E6" s="34" t="s">
        <v>97</v>
      </c>
      <c r="F6" s="34" t="s">
        <v>98</v>
      </c>
      <c r="G6" s="34" t="s">
        <v>99</v>
      </c>
      <c r="H6" s="34" t="s">
        <v>100</v>
      </c>
      <c r="I6" s="34" t="s">
        <v>101</v>
      </c>
      <c r="J6" s="34" t="s">
        <v>102</v>
      </c>
      <c r="K6" s="34" t="s">
        <v>103</v>
      </c>
      <c r="L6" s="34" t="s">
        <v>104</v>
      </c>
      <c r="M6" s="34" t="s">
        <v>105</v>
      </c>
      <c r="N6" s="34" t="s">
        <v>63</v>
      </c>
      <c r="O6" s="34" t="s">
        <v>66</v>
      </c>
      <c r="P6" s="34" t="s">
        <v>65</v>
      </c>
      <c r="Q6" s="34" t="s">
        <v>106</v>
      </c>
      <c r="R6" s="34" t="s">
        <v>107</v>
      </c>
      <c r="S6" s="34" t="s">
        <v>108</v>
      </c>
      <c r="T6" s="34" t="s">
        <v>109</v>
      </c>
      <c r="U6" s="34" t="s">
        <v>110</v>
      </c>
      <c r="V6" s="34" t="s">
        <v>111</v>
      </c>
      <c r="W6" s="34" t="s">
        <v>112</v>
      </c>
      <c r="X6" s="34" t="s">
        <v>113</v>
      </c>
      <c r="Y6" s="34" t="s">
        <v>114</v>
      </c>
      <c r="Z6" s="34" t="s">
        <v>115</v>
      </c>
      <c r="AA6" s="34" t="s">
        <v>116</v>
      </c>
      <c r="AB6" s="34" t="s">
        <v>117</v>
      </c>
      <c r="AC6" s="34" t="s">
        <v>118</v>
      </c>
      <c r="AD6" s="34" t="s">
        <v>119</v>
      </c>
      <c r="AE6" s="34" t="s">
        <v>67</v>
      </c>
      <c r="AF6" s="34" t="s">
        <v>120</v>
      </c>
    </row>
    <row r="7" spans="1:32">
      <c r="B7" s="28" t="s">
        <v>129</v>
      </c>
      <c r="C7" s="28" t="s">
        <v>130</v>
      </c>
      <c r="D7" s="28" t="s">
        <v>87</v>
      </c>
      <c r="E7" s="39">
        <v>1200</v>
      </c>
      <c r="F7" s="40">
        <v>0.045</v>
      </c>
      <c r="G7" s="30">
        <v>70</v>
      </c>
      <c r="H7" s="31">
        <v>0.65</v>
      </c>
      <c r="I7" s="30">
        <v>600</v>
      </c>
      <c r="J7" s="39">
        <v>20</v>
      </c>
      <c r="K7" s="29">
        <v>0.15</v>
      </c>
      <c r="L7" s="29">
        <v>0</v>
      </c>
      <c r="M7" s="31">
        <v>0.02</v>
      </c>
      <c r="N7" s="29">
        <v>0.95</v>
      </c>
      <c r="O7" s="36">
        <f>IF(tblCoat[[#This Row],[Job]]="","",IFERROR(INDEX(tblPowders[Cost per kg],MATCH(tblCoat[[#This Row],[Powder]],tblPowders[Powder],0)),""))</f>
        <v>9.5</v>
      </c>
      <c r="P7" s="36">
        <f>IF(tblCoat[[#This Row],[Job]]="","",IFERROR(INDEX(tblPowders[Specific gravity],MATCH(tblCoat[[#This Row],[Powder]],tblPowders[Powder],0)),""))</f>
        <v>1.55</v>
      </c>
      <c r="Q7" s="41">
        <f>IF(tblCoat[[#This Row],[Job]]="","",IF(OR(tblCoat[[#This Row],[Specific gravity]]="",tblCoat[[#This Row],[Transfer efficiency]]=0),"",IF(AreaUnit="ft2",tblCoat[[#This Row],[Area per part]]*0.09290304,tblCoat[[#This Row],[Area per part]])*IF(FilmUnit="mil",tblCoat[[#This Row],[Film thickness]]*25.4,tblCoat[[#This Row],[Film thickness]])*tblCoat[[#This Row],[Specific gravity]]/tblCoat[[#This Row],[Transfer efficiency]]))</f>
        <v>7.51153846153846</v>
      </c>
      <c r="R7" s="42">
        <f>IF(tblCoat[[#This Row],[Job]]="","",IF(tblCoat[[#This Row],[Reject rate]]&lt;1,ROUNDUP(tblCoat[[#This Row],[Good parts]]/(1-tblCoat[[#This Row],[Reject rate]]),0),""))</f>
        <v>1225</v>
      </c>
      <c r="S7" s="41">
        <f>IF(tblCoat[[#This Row],[Job]]="","",IFERROR(tblCoat[[#This Row],[Powder (g/part)]]*tblCoat[[#This Row],[Parts coated]]/1000,""))</f>
        <v>9.20163461538462</v>
      </c>
      <c r="T7" s="36">
        <f>IF(tblCoat[[#This Row],[Job]]="","",IF(tblCoat[[#This Row],[Parts per hour]]&gt;0,tblCoat[[#This Row],[Parts coated]]/tblCoat[[#This Row],[Parts per hour]]+tblCoat[[#This Row],[Colour change (min)]]/60,""))</f>
        <v>2.375</v>
      </c>
      <c r="U7" s="36">
        <f>IF(tblCoat[[#This Row],[Job]]="","",IFERROR(tblCoat[[#This Row],[Powder used (kg)]]*tblCoat[[#This Row],[Cost per kg]]/tblCoat[[#This Row],[Good parts]],""))</f>
        <v>0.0728462740384615</v>
      </c>
      <c r="V7" s="36">
        <f>IF(tblCoat[[#This Row],[Job]]="","",IFERROR(tblCoat[[#This Row],[Parts coated]]*tblCoat[[#This Row],[Masking materials]]/tblCoat[[#This Row],[Good parts]],""))</f>
        <v>0</v>
      </c>
      <c r="W7" s="36">
        <f>IF(tblCoat[[#This Row],[Job]]="","",IFERROR(tblCoat[[#This Row],[Line hours]]*LineRate/tblCoat[[#This Row],[Good parts]],""))</f>
        <v>0.3265625</v>
      </c>
      <c r="X7" s="36">
        <f>IF(tblCoat[[#This Row],[Job]]="","",IFERROR((tblCoat[[#This Row],[Line hours]]*Crew+tblCoat[[#This Row],[Parts coated]]*tblCoat[[#This Row],[Handling (min/part)]]/60)*LabourRate/tblCoat[[#This Row],[Good parts]],""))</f>
        <v>0.237708333333333</v>
      </c>
      <c r="Y7" s="43">
        <f>IF(tblCoat[[#This Row],[Job]]="","",IFERROR(tblCoat[[#This Row],[Powder cost]]+tblCoat[[#This Row],[Masking cost]]+tblCoat[[#This Row],[Line cost]]+tblCoat[[#This Row],[Labour cost]],""))</f>
        <v>0.637117107371795</v>
      </c>
      <c r="Z7" s="44">
        <f>IF(tblCoat[[#This Row],[Job]]="","",IF(AND(tblCoat[[#This Row],[Price]]&gt;0,ISNUMBER(tblCoat[[#This Row],[Cost per part]])),(tblCoat[[#This Row],[Price]]-tblCoat[[#This Row],[Cost per part]])/tblCoat[[#This Row],[Price]],""))</f>
        <v>0.329350413292848</v>
      </c>
      <c r="AA7" s="45" t="str">
        <f>IF(NOT(ISNUMBER(tblCoat[[#This Row],[Margin]])),"",IF(tblCoat[[#This Row],[Margin]]&gt;=TargetMargin,"On target",IF(tblCoat[[#This Row],[Margin]]&gt;=TargetMargin*(1-0.05),"Near target","Below target")))</f>
        <v>On target</v>
      </c>
      <c r="AB7" s="36">
        <f>IF(tblCoat[[#This Row],[Job]]="","",IFERROR(tblCoat[[#This Row],[Cost per part]]*tblCoat[[#This Row],[Good parts]],""))</f>
        <v>764.540528846154</v>
      </c>
      <c r="AC7" s="36">
        <f>IF(tblCoat[[#This Row],[Job]]="","",IF(tblCoat[[#This Row],[Price]]&gt;0,tblCoat[[#This Row],[Price]]*tblCoat[[#This Row],[Good parts]],""))</f>
        <v>1140</v>
      </c>
      <c r="AD7" s="36">
        <f>IF(tblCoat[[#This Row],[Job]]="","",IF(AND(tblCoat[[#This Row],[Price]]&gt;0,ISNUMBER(tblCoat[[#This Row],[Job cost]])),tblCoat[[#This Row],[Job value]]-tblCoat[[#This Row],[Job cost]],""))</f>
        <v>375.459471153846</v>
      </c>
      <c r="AE7" s="37" t="str">
        <f>IF(tblCoat[[#This Row],[Job]]="","",IF(tblCoat[[#This Row],[Good parts]]="","Missing good parts",IF(tblCoat[[#This Row],[Area per part]]="","Missing area per part",IF(tblCoat[[#This Row],[Film thickness]]="","Missing film thickness",IF(tblCoat[[#This Row],[Transfer efficiency]]="","Missing transfer efficiency",IF(tblCoat[[#This Row],[Parts per hour]]="","Missing parts per hour",IF(tblCoat[[#This Row],[Cost per kg]]="","Powder not on Setup list or no price",IF(COUNTIF(tblCoat[Job],tblCoat[[#This Row],[Job]])&gt;1,"Duplicate job","OK"))))))))</f>
        <v>OK</v>
      </c>
      <c r="AF7" s="28" t="s">
        <v>131</v>
      </c>
    </row>
    <row r="8" spans="1:32">
      <c r="B8" s="28" t="s">
        <v>132</v>
      </c>
      <c r="C8" s="28" t="s">
        <v>133</v>
      </c>
      <c r="D8" s="28" t="s">
        <v>89</v>
      </c>
      <c r="E8" s="39">
        <v>80</v>
      </c>
      <c r="F8" s="40">
        <v>2.4</v>
      </c>
      <c r="G8" s="30">
        <v>80</v>
      </c>
      <c r="H8" s="31">
        <v>0.55</v>
      </c>
      <c r="I8" s="30">
        <v>30</v>
      </c>
      <c r="J8" s="39">
        <v>25</v>
      </c>
      <c r="K8" s="29">
        <v>3</v>
      </c>
      <c r="L8" s="29">
        <v>0.4</v>
      </c>
      <c r="M8" s="31">
        <v>0.04</v>
      </c>
      <c r="N8" s="29">
        <v>26</v>
      </c>
      <c r="O8" s="36">
        <f>IF(tblCoat[[#This Row],[Job]]="","",IFERROR(INDEX(tblPowders[Cost per kg],MATCH(tblCoat[[#This Row],[Powder]],tblPowders[Powder],0)),""))</f>
        <v>10.2</v>
      </c>
      <c r="P8" s="36">
        <f>IF(tblCoat[[#This Row],[Job]]="","",IFERROR(INDEX(tblPowders[Specific gravity],MATCH(tblCoat[[#This Row],[Powder]],tblPowders[Powder],0)),""))</f>
        <v>1.5</v>
      </c>
      <c r="Q8" s="41">
        <f>IF(tblCoat[[#This Row],[Job]]="","",IF(OR(tblCoat[[#This Row],[Specific gravity]]="",tblCoat[[#This Row],[Transfer efficiency]]=0),"",IF(AreaUnit="ft2",tblCoat[[#This Row],[Area per part]]*0.09290304,tblCoat[[#This Row],[Area per part]])*IF(FilmUnit="mil",tblCoat[[#This Row],[Film thickness]]*25.4,tblCoat[[#This Row],[Film thickness]])*tblCoat[[#This Row],[Specific gravity]]/tblCoat[[#This Row],[Transfer efficiency]]))</f>
        <v>523.636363636364</v>
      </c>
      <c r="R8" s="42">
        <f>IF(tblCoat[[#This Row],[Job]]="","",IF(tblCoat[[#This Row],[Reject rate]]&lt;1,ROUNDUP(tblCoat[[#This Row],[Good parts]]/(1-tblCoat[[#This Row],[Reject rate]]),0),""))</f>
        <v>84</v>
      </c>
      <c r="S8" s="41">
        <f>IF(tblCoat[[#This Row],[Job]]="","",IFERROR(tblCoat[[#This Row],[Powder (g/part)]]*tblCoat[[#This Row],[Parts coated]]/1000,""))</f>
        <v>43.9854545454545</v>
      </c>
      <c r="T8" s="36">
        <f>IF(tblCoat[[#This Row],[Job]]="","",IF(tblCoat[[#This Row],[Parts per hour]]&gt;0,tblCoat[[#This Row],[Parts coated]]/tblCoat[[#This Row],[Parts per hour]]+tblCoat[[#This Row],[Colour change (min)]]/60,""))</f>
        <v>3.21666666666667</v>
      </c>
      <c r="U8" s="36">
        <f>IF(tblCoat[[#This Row],[Job]]="","",IFERROR(tblCoat[[#This Row],[Powder used (kg)]]*tblCoat[[#This Row],[Cost per kg]]/tblCoat[[#This Row],[Good parts]],""))</f>
        <v>5.60814545454545</v>
      </c>
      <c r="V8" s="36">
        <f>IF(tblCoat[[#This Row],[Job]]="","",IFERROR(tblCoat[[#This Row],[Parts coated]]*tblCoat[[#This Row],[Masking materials]]/tblCoat[[#This Row],[Good parts]],""))</f>
        <v>0.42</v>
      </c>
      <c r="W8" s="36">
        <f>IF(tblCoat[[#This Row],[Job]]="","",IFERROR(tblCoat[[#This Row],[Line hours]]*LineRate/tblCoat[[#This Row],[Good parts]],""))</f>
        <v>6.634375</v>
      </c>
      <c r="X8" s="36">
        <f>IF(tblCoat[[#This Row],[Job]]="","",IFERROR((tblCoat[[#This Row],[Line hours]]*Crew+tblCoat[[#This Row],[Parts coated]]*tblCoat[[#This Row],[Handling (min/part)]]/60)*LabourRate/tblCoat[[#This Row],[Good parts]],""))</f>
        <v>4.8475</v>
      </c>
      <c r="Y8" s="43">
        <f>IF(tblCoat[[#This Row],[Job]]="","",IFERROR(tblCoat[[#This Row],[Powder cost]]+tblCoat[[#This Row],[Masking cost]]+tblCoat[[#This Row],[Line cost]]+tblCoat[[#This Row],[Labour cost]],""))</f>
        <v>17.5100204545455</v>
      </c>
      <c r="Z8" s="44">
        <f>IF(tblCoat[[#This Row],[Job]]="","",IF(AND(tblCoat[[#This Row],[Price]]&gt;0,ISNUMBER(tblCoat[[#This Row],[Cost per part]])),(tblCoat[[#This Row],[Price]]-tblCoat[[#This Row],[Cost per part]])/tblCoat[[#This Row],[Price]],""))</f>
        <v>0.326537674825175</v>
      </c>
      <c r="AA8" s="45" t="str">
        <f>IF(NOT(ISNUMBER(tblCoat[[#This Row],[Margin]])),"",IF(tblCoat[[#This Row],[Margin]]&gt;=TargetMargin,"On target",IF(tblCoat[[#This Row],[Margin]]&gt;=TargetMargin*(1-0.05),"Near target","Below target")))</f>
        <v>On target</v>
      </c>
      <c r="AB8" s="36">
        <f>IF(tblCoat[[#This Row],[Job]]="","",IFERROR(tblCoat[[#This Row],[Cost per part]]*tblCoat[[#This Row],[Good parts]],""))</f>
        <v>1400.80163636364</v>
      </c>
      <c r="AC8" s="36">
        <f>IF(tblCoat[[#This Row],[Job]]="","",IF(tblCoat[[#This Row],[Price]]&gt;0,tblCoat[[#This Row],[Price]]*tblCoat[[#This Row],[Good parts]],""))</f>
        <v>2080</v>
      </c>
      <c r="AD8" s="36">
        <f>IF(tblCoat[[#This Row],[Job]]="","",IF(AND(tblCoat[[#This Row],[Price]]&gt;0,ISNUMBER(tblCoat[[#This Row],[Job cost]])),tblCoat[[#This Row],[Job value]]-tblCoat[[#This Row],[Job cost]],""))</f>
        <v>679.198363636364</v>
      </c>
      <c r="AE8" s="37" t="str">
        <f>IF(tblCoat[[#This Row],[Job]]="","",IF(tblCoat[[#This Row],[Good parts]]="","Missing good parts",IF(tblCoat[[#This Row],[Area per part]]="","Missing area per part",IF(tblCoat[[#This Row],[Film thickness]]="","Missing film thickness",IF(tblCoat[[#This Row],[Transfer efficiency]]="","Missing transfer efficiency",IF(tblCoat[[#This Row],[Parts per hour]]="","Missing parts per hour",IF(tblCoat[[#This Row],[Cost per kg]]="","Powder not on Setup list or no price",IF(COUNTIF(tblCoat[Job],tblCoat[[#This Row],[Job]])&gt;1,"Duplicate job","OK"))))))))</f>
        <v>OK</v>
      </c>
      <c r="AF8" s="28" t="s">
        <v>131</v>
      </c>
    </row>
    <row r="9" spans="1:32">
      <c r="B9" s="28" t="s">
        <v>134</v>
      </c>
      <c r="C9" s="28" t="s">
        <v>135</v>
      </c>
      <c r="D9" s="28" t="s">
        <v>90</v>
      </c>
      <c r="E9" s="39">
        <v>400</v>
      </c>
      <c r="F9" s="40">
        <v>0.38</v>
      </c>
      <c r="G9" s="30">
        <v>90</v>
      </c>
      <c r="H9" s="31">
        <v>0.6</v>
      </c>
      <c r="I9" s="30">
        <v>160</v>
      </c>
      <c r="J9" s="39">
        <v>20</v>
      </c>
      <c r="K9" s="29">
        <v>0.6</v>
      </c>
      <c r="L9" s="29">
        <v>0.35</v>
      </c>
      <c r="M9" s="31">
        <v>0.03</v>
      </c>
      <c r="N9" s="29">
        <v>5</v>
      </c>
      <c r="O9" s="36">
        <f>IF(tblCoat[[#This Row],[Job]]="","",IFERROR(INDEX(tblPowders[Cost per kg],MATCH(tblCoat[[#This Row],[Powder]],tblPowders[Powder],0)),""))</f>
        <v>11</v>
      </c>
      <c r="P9" s="36">
        <f>IF(tblCoat[[#This Row],[Job]]="","",IFERROR(INDEX(tblPowders[Specific gravity],MATCH(tblCoat[[#This Row],[Powder]],tblPowders[Powder],0)),""))</f>
        <v>1.45</v>
      </c>
      <c r="Q9" s="41">
        <f>IF(tblCoat[[#This Row],[Job]]="","",IF(OR(tblCoat[[#This Row],[Specific gravity]]="",tblCoat[[#This Row],[Transfer efficiency]]=0),"",IF(AreaUnit="ft2",tblCoat[[#This Row],[Area per part]]*0.09290304,tblCoat[[#This Row],[Area per part]])*IF(FilmUnit="mil",tblCoat[[#This Row],[Film thickness]]*25.4,tblCoat[[#This Row],[Film thickness]])*tblCoat[[#This Row],[Specific gravity]]/tblCoat[[#This Row],[Transfer efficiency]]))</f>
        <v>82.65</v>
      </c>
      <c r="R9" s="42">
        <f>IF(tblCoat[[#This Row],[Job]]="","",IF(tblCoat[[#This Row],[Reject rate]]&lt;1,ROUNDUP(tblCoat[[#This Row],[Good parts]]/(1-tblCoat[[#This Row],[Reject rate]]),0),""))</f>
        <v>413</v>
      </c>
      <c r="S9" s="41">
        <f>IF(tblCoat[[#This Row],[Job]]="","",IFERROR(tblCoat[[#This Row],[Powder (g/part)]]*tblCoat[[#This Row],[Parts coated]]/1000,""))</f>
        <v>34.13445</v>
      </c>
      <c r="T9" s="36">
        <f>IF(tblCoat[[#This Row],[Job]]="","",IF(tblCoat[[#This Row],[Parts per hour]]&gt;0,tblCoat[[#This Row],[Parts coated]]/tblCoat[[#This Row],[Parts per hour]]+tblCoat[[#This Row],[Colour change (min)]]/60,""))</f>
        <v>2.91458333333333</v>
      </c>
      <c r="U9" s="36">
        <f>IF(tblCoat[[#This Row],[Job]]="","",IFERROR(tblCoat[[#This Row],[Powder used (kg)]]*tblCoat[[#This Row],[Cost per kg]]/tblCoat[[#This Row],[Good parts]],""))</f>
        <v>0.938697375</v>
      </c>
      <c r="V9" s="36">
        <f>IF(tblCoat[[#This Row],[Job]]="","",IFERROR(tblCoat[[#This Row],[Parts coated]]*tblCoat[[#This Row],[Masking materials]]/tblCoat[[#This Row],[Good parts]],""))</f>
        <v>0.361375</v>
      </c>
      <c r="W9" s="36">
        <f>IF(tblCoat[[#This Row],[Job]]="","",IFERROR(tblCoat[[#This Row],[Line hours]]*LineRate/tblCoat[[#This Row],[Good parts]],""))</f>
        <v>1.202265625</v>
      </c>
      <c r="X9" s="36">
        <f>IF(tblCoat[[#This Row],[Job]]="","",IFERROR((tblCoat[[#This Row],[Line hours]]*Crew+tblCoat[[#This Row],[Parts coated]]*tblCoat[[#This Row],[Handling (min/part)]]/60)*LabourRate/tblCoat[[#This Row],[Good parts]],""))</f>
        <v>0.9011625</v>
      </c>
      <c r="Y9" s="43">
        <f>IF(tblCoat[[#This Row],[Job]]="","",IFERROR(tblCoat[[#This Row],[Powder cost]]+tblCoat[[#This Row],[Masking cost]]+tblCoat[[#This Row],[Line cost]]+tblCoat[[#This Row],[Labour cost]],""))</f>
        <v>3.4035005</v>
      </c>
      <c r="Z9" s="44">
        <f>IF(tblCoat[[#This Row],[Job]]="","",IF(AND(tblCoat[[#This Row],[Price]]&gt;0,ISNUMBER(tblCoat[[#This Row],[Cost per part]])),(tblCoat[[#This Row],[Price]]-tblCoat[[#This Row],[Cost per part]])/tblCoat[[#This Row],[Price]],""))</f>
        <v>0.3192999</v>
      </c>
      <c r="AA9" s="45" t="str">
        <f>IF(NOT(ISNUMBER(tblCoat[[#This Row],[Margin]])),"",IF(tblCoat[[#This Row],[Margin]]&gt;=TargetMargin,"On target",IF(tblCoat[[#This Row],[Margin]]&gt;=TargetMargin*(1-0.05),"Near target","Below target")))</f>
        <v>On target</v>
      </c>
      <c r="AB9" s="36">
        <f>IF(tblCoat[[#This Row],[Job]]="","",IFERROR(tblCoat[[#This Row],[Cost per part]]*tblCoat[[#This Row],[Good parts]],""))</f>
        <v>1361.4002</v>
      </c>
      <c r="AC9" s="36">
        <f>IF(tblCoat[[#This Row],[Job]]="","",IF(tblCoat[[#This Row],[Price]]&gt;0,tblCoat[[#This Row],[Price]]*tblCoat[[#This Row],[Good parts]],""))</f>
        <v>2000</v>
      </c>
      <c r="AD9" s="36">
        <f>IF(tblCoat[[#This Row],[Job]]="","",IF(AND(tblCoat[[#This Row],[Price]]&gt;0,ISNUMBER(tblCoat[[#This Row],[Job cost]])),tblCoat[[#This Row],[Job value]]-tblCoat[[#This Row],[Job cost]],""))</f>
        <v>638.5998</v>
      </c>
      <c r="AE9" s="37" t="str">
        <f>IF(tblCoat[[#This Row],[Job]]="","",IF(tblCoat[[#This Row],[Good parts]]="","Missing good parts",IF(tblCoat[[#This Row],[Area per part]]="","Missing area per part",IF(tblCoat[[#This Row],[Film thickness]]="","Missing film thickness",IF(tblCoat[[#This Row],[Transfer efficiency]]="","Missing transfer efficiency",IF(tblCoat[[#This Row],[Parts per hour]]="","Missing parts per hour",IF(tblCoat[[#This Row],[Cost per kg]]="","Powder not on Setup list or no price",IF(COUNTIF(tblCoat[Job],tblCoat[[#This Row],[Job]])&gt;1,"Duplicate job","OK"))))))))</f>
        <v>OK</v>
      </c>
      <c r="AF9" s="28" t="s">
        <v>131</v>
      </c>
    </row>
    <row r="10" spans="1:32">
      <c r="B10" s="28" t="s">
        <v>136</v>
      </c>
      <c r="C10" s="28" t="s">
        <v>137</v>
      </c>
      <c r="D10" s="28" t="s">
        <v>91</v>
      </c>
      <c r="E10" s="39">
        <v>150</v>
      </c>
      <c r="F10" s="40">
        <v>0.9</v>
      </c>
      <c r="G10" s="30">
        <v>60</v>
      </c>
      <c r="H10" s="31">
        <v>0.6</v>
      </c>
      <c r="I10" s="30">
        <v>90</v>
      </c>
      <c r="J10" s="39">
        <v>30</v>
      </c>
      <c r="K10" s="29">
        <v>1</v>
      </c>
      <c r="L10" s="29">
        <v>0</v>
      </c>
      <c r="M10" s="31">
        <v>0.02</v>
      </c>
      <c r="N10" s="29">
        <v>8</v>
      </c>
      <c r="O10" s="36">
        <f>IF(tblCoat[[#This Row],[Job]]="","",IFERROR(INDEX(tblPowders[Cost per kg],MATCH(tblCoat[[#This Row],[Powder]],tblPowders[Powder],0)),""))</f>
        <v>8.8</v>
      </c>
      <c r="P10" s="36">
        <f>IF(tblCoat[[#This Row],[Job]]="","",IFERROR(INDEX(tblPowders[Specific gravity],MATCH(tblCoat[[#This Row],[Powder]],tblPowders[Powder],0)),""))</f>
        <v>1.6</v>
      </c>
      <c r="Q10" s="41">
        <f>IF(tblCoat[[#This Row],[Job]]="","",IF(OR(tblCoat[[#This Row],[Specific gravity]]="",tblCoat[[#This Row],[Transfer efficiency]]=0),"",IF(AreaUnit="ft2",tblCoat[[#This Row],[Area per part]]*0.09290304,tblCoat[[#This Row],[Area per part]])*IF(FilmUnit="mil",tblCoat[[#This Row],[Film thickness]]*25.4,tblCoat[[#This Row],[Film thickness]])*tblCoat[[#This Row],[Specific gravity]]/tblCoat[[#This Row],[Transfer efficiency]]))</f>
        <v>144</v>
      </c>
      <c r="R10" s="42">
        <f>IF(tblCoat[[#This Row],[Job]]="","",IF(tblCoat[[#This Row],[Reject rate]]&lt;1,ROUNDUP(tblCoat[[#This Row],[Good parts]]/(1-tblCoat[[#This Row],[Reject rate]]),0),""))</f>
        <v>154</v>
      </c>
      <c r="S10" s="41">
        <f>IF(tblCoat[[#This Row],[Job]]="","",IFERROR(tblCoat[[#This Row],[Powder (g/part)]]*tblCoat[[#This Row],[Parts coated]]/1000,""))</f>
        <v>22.176</v>
      </c>
      <c r="T10" s="36">
        <f>IF(tblCoat[[#This Row],[Job]]="","",IF(tblCoat[[#This Row],[Parts per hour]]&gt;0,tblCoat[[#This Row],[Parts coated]]/tblCoat[[#This Row],[Parts per hour]]+tblCoat[[#This Row],[Colour change (min)]]/60,""))</f>
        <v>2.21111111111111</v>
      </c>
      <c r="U10" s="36">
        <f>IF(tblCoat[[#This Row],[Job]]="","",IFERROR(tblCoat[[#This Row],[Powder used (kg)]]*tblCoat[[#This Row],[Cost per kg]]/tblCoat[[#This Row],[Good parts]],""))</f>
        <v>1.300992</v>
      </c>
      <c r="V10" s="36">
        <f>IF(tblCoat[[#This Row],[Job]]="","",IFERROR(tblCoat[[#This Row],[Parts coated]]*tblCoat[[#This Row],[Masking materials]]/tblCoat[[#This Row],[Good parts]],""))</f>
        <v>0</v>
      </c>
      <c r="W10" s="36">
        <f>IF(tblCoat[[#This Row],[Job]]="","",IFERROR(tblCoat[[#This Row],[Line hours]]*LineRate/tblCoat[[#This Row],[Good parts]],""))</f>
        <v>2.43222222222222</v>
      </c>
      <c r="X10" s="36">
        <f>IF(tblCoat[[#This Row],[Job]]="","",IFERROR((tblCoat[[#This Row],[Line hours]]*Crew+tblCoat[[#This Row],[Parts coated]]*tblCoat[[#This Row],[Handling (min/part)]]/60)*LabourRate/tblCoat[[#This Row],[Good parts]],""))</f>
        <v>1.71733333333333</v>
      </c>
      <c r="Y10" s="43">
        <f>IF(tblCoat[[#This Row],[Job]]="","",IFERROR(tblCoat[[#This Row],[Powder cost]]+tblCoat[[#This Row],[Masking cost]]+tblCoat[[#This Row],[Line cost]]+tblCoat[[#This Row],[Labour cost]],""))</f>
        <v>5.45054755555556</v>
      </c>
      <c r="Z10" s="44">
        <f>IF(tblCoat[[#This Row],[Job]]="","",IF(AND(tblCoat[[#This Row],[Price]]&gt;0,ISNUMBER(tblCoat[[#This Row],[Cost per part]])),(tblCoat[[#This Row],[Price]]-tblCoat[[#This Row],[Cost per part]])/tblCoat[[#This Row],[Price]],""))</f>
        <v>0.318681555555556</v>
      </c>
      <c r="AA10" s="45" t="str">
        <f>IF(NOT(ISNUMBER(tblCoat[[#This Row],[Margin]])),"",IF(tblCoat[[#This Row],[Margin]]&gt;=TargetMargin,"On target",IF(tblCoat[[#This Row],[Margin]]&gt;=TargetMargin*(1-0.05),"Near target","Below target")))</f>
        <v>On target</v>
      </c>
      <c r="AB10" s="36">
        <f>IF(tblCoat[[#This Row],[Job]]="","",IFERROR(tblCoat[[#This Row],[Cost per part]]*tblCoat[[#This Row],[Good parts]],""))</f>
        <v>817.582133333333</v>
      </c>
      <c r="AC10" s="36">
        <f>IF(tblCoat[[#This Row],[Job]]="","",IF(tblCoat[[#This Row],[Price]]&gt;0,tblCoat[[#This Row],[Price]]*tblCoat[[#This Row],[Good parts]],""))</f>
        <v>1200</v>
      </c>
      <c r="AD10" s="36">
        <f>IF(tblCoat[[#This Row],[Job]]="","",IF(AND(tblCoat[[#This Row],[Price]]&gt;0,ISNUMBER(tblCoat[[#This Row],[Job cost]])),tblCoat[[#This Row],[Job value]]-tblCoat[[#This Row],[Job cost]],""))</f>
        <v>382.417866666667</v>
      </c>
      <c r="AE10" s="37" t="str">
        <f>IF(tblCoat[[#This Row],[Job]]="","",IF(tblCoat[[#This Row],[Good parts]]="","Missing good parts",IF(tblCoat[[#This Row],[Area per part]]="","Missing area per part",IF(tblCoat[[#This Row],[Film thickness]]="","Missing film thickness",IF(tblCoat[[#This Row],[Transfer efficiency]]="","Missing transfer efficiency",IF(tblCoat[[#This Row],[Parts per hour]]="","Missing parts per hour",IF(tblCoat[[#This Row],[Cost per kg]]="","Powder not on Setup list or no price",IF(COUNTIF(tblCoat[Job],tblCoat[[#This Row],[Job]])&gt;1,"Duplicate job","OK"))))))))</f>
        <v>OK</v>
      </c>
      <c r="AF10" s="28" t="s">
        <v>131</v>
      </c>
    </row>
    <row r="11" spans="1:32">
      <c r="B11" s="28" t="s">
        <v>138</v>
      </c>
      <c r="C11" s="28" t="s">
        <v>139</v>
      </c>
      <c r="D11" s="28" t="s">
        <v>92</v>
      </c>
      <c r="E11" s="39">
        <v>60</v>
      </c>
      <c r="F11" s="40">
        <v>0.75</v>
      </c>
      <c r="G11" s="30">
        <v>80</v>
      </c>
      <c r="H11" s="31">
        <v>0.4</v>
      </c>
      <c r="I11" s="30">
        <v>40</v>
      </c>
      <c r="J11" s="39">
        <v>30</v>
      </c>
      <c r="K11" s="29">
        <v>4</v>
      </c>
      <c r="L11" s="29">
        <v>1.2</v>
      </c>
      <c r="M11" s="31">
        <v>0.06</v>
      </c>
      <c r="N11" s="29">
        <v>17.5</v>
      </c>
      <c r="O11" s="36">
        <f>IF(tblCoat[[#This Row],[Job]]="","",IFERROR(INDEX(tblPowders[Cost per kg],MATCH(tblCoat[[#This Row],[Powder]],tblPowders[Powder],0)),""))</f>
        <v>15.8732828773112</v>
      </c>
      <c r="P11" s="36">
        <f>IF(tblCoat[[#This Row],[Job]]="","",IFERROR(INDEX(tblPowders[Specific gravity],MATCH(tblCoat[[#This Row],[Powder]],tblPowders[Powder],0)),""))</f>
        <v>1.4</v>
      </c>
      <c r="Q11" s="41">
        <f>IF(tblCoat[[#This Row],[Job]]="","",IF(OR(tblCoat[[#This Row],[Specific gravity]]="",tblCoat[[#This Row],[Transfer efficiency]]=0),"",IF(AreaUnit="ft2",tblCoat[[#This Row],[Area per part]]*0.09290304,tblCoat[[#This Row],[Area per part]])*IF(FilmUnit="mil",tblCoat[[#This Row],[Film thickness]]*25.4,tblCoat[[#This Row],[Film thickness]])*tblCoat[[#This Row],[Specific gravity]]/tblCoat[[#This Row],[Transfer efficiency]]))</f>
        <v>210</v>
      </c>
      <c r="R11" s="42">
        <f>IF(tblCoat[[#This Row],[Job]]="","",IF(tblCoat[[#This Row],[Reject rate]]&lt;1,ROUNDUP(tblCoat[[#This Row],[Good parts]]/(1-tblCoat[[#This Row],[Reject rate]]),0),""))</f>
        <v>64</v>
      </c>
      <c r="S11" s="41">
        <f>IF(tblCoat[[#This Row],[Job]]="","",IFERROR(tblCoat[[#This Row],[Powder (g/part)]]*tblCoat[[#This Row],[Parts coated]]/1000,""))</f>
        <v>13.44</v>
      </c>
      <c r="T11" s="36">
        <f>IF(tblCoat[[#This Row],[Job]]="","",IF(tblCoat[[#This Row],[Parts per hour]]&gt;0,tblCoat[[#This Row],[Parts coated]]/tblCoat[[#This Row],[Parts per hour]]+tblCoat[[#This Row],[Colour change (min)]]/60,""))</f>
        <v>2.1</v>
      </c>
      <c r="U11" s="36">
        <f>IF(tblCoat[[#This Row],[Job]]="","",IFERROR(tblCoat[[#This Row],[Powder used (kg)]]*tblCoat[[#This Row],[Cost per kg]]/tblCoat[[#This Row],[Good parts]],""))</f>
        <v>3.55561536451771</v>
      </c>
      <c r="V11" s="36">
        <f>IF(tblCoat[[#This Row],[Job]]="","",IFERROR(tblCoat[[#This Row],[Parts coated]]*tblCoat[[#This Row],[Masking materials]]/tblCoat[[#This Row],[Good parts]],""))</f>
        <v>1.28</v>
      </c>
      <c r="W11" s="36">
        <f>IF(tblCoat[[#This Row],[Job]]="","",IFERROR(tblCoat[[#This Row],[Line hours]]*LineRate/tblCoat[[#This Row],[Good parts]],""))</f>
        <v>5.775</v>
      </c>
      <c r="X11" s="36">
        <f>IF(tblCoat[[#This Row],[Job]]="","",IFERROR((tblCoat[[#This Row],[Line hours]]*Crew+tblCoat[[#This Row],[Parts coated]]*tblCoat[[#This Row],[Handling (min/part)]]/60)*LabourRate/tblCoat[[#This Row],[Good parts]],""))</f>
        <v>4.93111111111111</v>
      </c>
      <c r="Y11" s="43">
        <f>IF(tblCoat[[#This Row],[Job]]="","",IFERROR(tblCoat[[#This Row],[Powder cost]]+tblCoat[[#This Row],[Masking cost]]+tblCoat[[#This Row],[Line cost]]+tblCoat[[#This Row],[Labour cost]],""))</f>
        <v>15.5417264756288</v>
      </c>
      <c r="Z11" s="44">
        <f>IF(tblCoat[[#This Row],[Job]]="","",IF(AND(tblCoat[[#This Row],[Price]]&gt;0,ISNUMBER(tblCoat[[#This Row],[Cost per part]])),(tblCoat[[#This Row],[Price]]-tblCoat[[#This Row],[Cost per part]])/tblCoat[[#This Row],[Price]],""))</f>
        <v>0.111901344249782</v>
      </c>
      <c r="AA11" s="45" t="str">
        <f>IF(NOT(ISNUMBER(tblCoat[[#This Row],[Margin]])),"",IF(tblCoat[[#This Row],[Margin]]&gt;=TargetMargin,"On target",IF(tblCoat[[#This Row],[Margin]]&gt;=TargetMargin*(1-0.05),"Near target","Below target")))</f>
        <v>Below target</v>
      </c>
      <c r="AB11" s="36">
        <f>IF(tblCoat[[#This Row],[Job]]="","",IFERROR(tblCoat[[#This Row],[Cost per part]]*tblCoat[[#This Row],[Good parts]],""))</f>
        <v>932.503588537729</v>
      </c>
      <c r="AC11" s="36">
        <f>IF(tblCoat[[#This Row],[Job]]="","",IF(tblCoat[[#This Row],[Price]]&gt;0,tblCoat[[#This Row],[Price]]*tblCoat[[#This Row],[Good parts]],""))</f>
        <v>1050</v>
      </c>
      <c r="AD11" s="36">
        <f>IF(tblCoat[[#This Row],[Job]]="","",IF(AND(tblCoat[[#This Row],[Price]]&gt;0,ISNUMBER(tblCoat[[#This Row],[Job cost]])),tblCoat[[#This Row],[Job value]]-tblCoat[[#This Row],[Job cost]],""))</f>
        <v>117.496411462271</v>
      </c>
      <c r="AE11" s="37" t="str">
        <f>IF(tblCoat[[#This Row],[Job]]="","",IF(tblCoat[[#This Row],[Good parts]]="","Missing good parts",IF(tblCoat[[#This Row],[Area per part]]="","Missing area per part",IF(tblCoat[[#This Row],[Film thickness]]="","Missing film thickness",IF(tblCoat[[#This Row],[Transfer efficiency]]="","Missing transfer efficiency",IF(tblCoat[[#This Row],[Parts per hour]]="","Missing parts per hour",IF(tblCoat[[#This Row],[Cost per kg]]="","Powder not on Setup list or no price",IF(COUNTIF(tblCoat[Job],tblCoat[[#This Row],[Job]])&gt;1,"Duplicate job","OK"))))))))</f>
        <v>OK</v>
      </c>
      <c r="AF11" s="28" t="s">
        <v>131</v>
      </c>
    </row>
    <row r="12" spans="1:32">
      <c r="B12" s="28" t="s">
        <v>140</v>
      </c>
      <c r="C12" s="28" t="s">
        <v>141</v>
      </c>
      <c r="D12" s="28" t="s">
        <v>87</v>
      </c>
      <c r="E12" s="39">
        <v>250</v>
      </c>
      <c r="F12" s="40">
        <v>1.1</v>
      </c>
      <c r="G12" s="30">
        <v>70</v>
      </c>
      <c r="H12" s="31">
        <v>0.6</v>
      </c>
      <c r="I12" s="30">
        <v>80</v>
      </c>
      <c r="J12" s="39">
        <v>20</v>
      </c>
      <c r="K12" s="29">
        <v>1.2</v>
      </c>
      <c r="L12" s="29">
        <v>0.1</v>
      </c>
      <c r="M12" s="31">
        <v>0.03</v>
      </c>
      <c r="N12" s="29">
        <v>9</v>
      </c>
      <c r="O12" s="36">
        <f>IF(tblCoat[[#This Row],[Job]]="","",IFERROR(INDEX(tblPowders[Cost per kg],MATCH(tblCoat[[#This Row],[Powder]],tblPowders[Powder],0)),""))</f>
        <v>9.5</v>
      </c>
      <c r="P12" s="36">
        <f>IF(tblCoat[[#This Row],[Job]]="","",IFERROR(INDEX(tblPowders[Specific gravity],MATCH(tblCoat[[#This Row],[Powder]],tblPowders[Powder],0)),""))</f>
        <v>1.55</v>
      </c>
      <c r="Q12" s="41">
        <f>IF(tblCoat[[#This Row],[Job]]="","",IF(OR(tblCoat[[#This Row],[Specific gravity]]="",tblCoat[[#This Row],[Transfer efficiency]]=0),"",IF(AreaUnit="ft2",tblCoat[[#This Row],[Area per part]]*0.09290304,tblCoat[[#This Row],[Area per part]])*IF(FilmUnit="mil",tblCoat[[#This Row],[Film thickness]]*25.4,tblCoat[[#This Row],[Film thickness]])*tblCoat[[#This Row],[Specific gravity]]/tblCoat[[#This Row],[Transfer efficiency]]))</f>
        <v>198.916666666667</v>
      </c>
      <c r="R12" s="42">
        <f>IF(tblCoat[[#This Row],[Job]]="","",IF(tblCoat[[#This Row],[Reject rate]]&lt;1,ROUNDUP(tblCoat[[#This Row],[Good parts]]/(1-tblCoat[[#This Row],[Reject rate]]),0),""))</f>
        <v>258</v>
      </c>
      <c r="S12" s="41">
        <f>IF(tblCoat[[#This Row],[Job]]="","",IFERROR(tblCoat[[#This Row],[Powder (g/part)]]*tblCoat[[#This Row],[Parts coated]]/1000,""))</f>
        <v>51.3205</v>
      </c>
      <c r="T12" s="36">
        <f>IF(tblCoat[[#This Row],[Job]]="","",IF(tblCoat[[#This Row],[Parts per hour]]&gt;0,tblCoat[[#This Row],[Parts coated]]/tblCoat[[#This Row],[Parts per hour]]+tblCoat[[#This Row],[Colour change (min)]]/60,""))</f>
        <v>3.55833333333333</v>
      </c>
      <c r="U12" s="36">
        <f>IF(tblCoat[[#This Row],[Job]]="","",IFERROR(tblCoat[[#This Row],[Powder used (kg)]]*tblCoat[[#This Row],[Cost per kg]]/tblCoat[[#This Row],[Good parts]],""))</f>
        <v>1.950179</v>
      </c>
      <c r="V12" s="36">
        <f>IF(tblCoat[[#This Row],[Job]]="","",IFERROR(tblCoat[[#This Row],[Parts coated]]*tblCoat[[#This Row],[Masking materials]]/tblCoat[[#This Row],[Good parts]],""))</f>
        <v>0.1032</v>
      </c>
      <c r="W12" s="36">
        <f>IF(tblCoat[[#This Row],[Job]]="","",IFERROR(tblCoat[[#This Row],[Line hours]]*LineRate/tblCoat[[#This Row],[Good parts]],""))</f>
        <v>2.3485</v>
      </c>
      <c r="X12" s="36">
        <f>IF(tblCoat[[#This Row],[Job]]="","",IFERROR((tblCoat[[#This Row],[Line hours]]*Crew+tblCoat[[#This Row],[Parts coated]]*tblCoat[[#This Row],[Handling (min/part)]]/60)*LabourRate/tblCoat[[#This Row],[Good parts]],""))</f>
        <v>1.77352</v>
      </c>
      <c r="Y12" s="43">
        <f>IF(tblCoat[[#This Row],[Job]]="","",IFERROR(tblCoat[[#This Row],[Powder cost]]+tblCoat[[#This Row],[Masking cost]]+tblCoat[[#This Row],[Line cost]]+tblCoat[[#This Row],[Labour cost]],""))</f>
        <v>6.175399</v>
      </c>
      <c r="Z12" s="44">
        <f>IF(tblCoat[[#This Row],[Job]]="","",IF(AND(tblCoat[[#This Row],[Price]]&gt;0,ISNUMBER(tblCoat[[#This Row],[Cost per part]])),(tblCoat[[#This Row],[Price]]-tblCoat[[#This Row],[Cost per part]])/tblCoat[[#This Row],[Price]],""))</f>
        <v>0.313844555555556</v>
      </c>
      <c r="AA12" s="45" t="str">
        <f>IF(NOT(ISNUMBER(tblCoat[[#This Row],[Margin]])),"",IF(tblCoat[[#This Row],[Margin]]&gt;=TargetMargin,"On target",IF(tblCoat[[#This Row],[Margin]]&gt;=TargetMargin*(1-0.05),"Near target","Below target")))</f>
        <v>On target</v>
      </c>
      <c r="AB12" s="36">
        <f>IF(tblCoat[[#This Row],[Job]]="","",IFERROR(tblCoat[[#This Row],[Cost per part]]*tblCoat[[#This Row],[Good parts]],""))</f>
        <v>1543.84975</v>
      </c>
      <c r="AC12" s="36">
        <f>IF(tblCoat[[#This Row],[Job]]="","",IF(tblCoat[[#This Row],[Price]]&gt;0,tblCoat[[#This Row],[Price]]*tblCoat[[#This Row],[Good parts]],""))</f>
        <v>2250</v>
      </c>
      <c r="AD12" s="36">
        <f>IF(tblCoat[[#This Row],[Job]]="","",IF(AND(tblCoat[[#This Row],[Price]]&gt;0,ISNUMBER(tblCoat[[#This Row],[Job cost]])),tblCoat[[#This Row],[Job value]]-tblCoat[[#This Row],[Job cost]],""))</f>
        <v>706.15025</v>
      </c>
      <c r="AE12" s="37" t="str">
        <f>IF(tblCoat[[#This Row],[Job]]="","",IF(tblCoat[[#This Row],[Good parts]]="","Missing good parts",IF(tblCoat[[#This Row],[Area per part]]="","Missing area per part",IF(tblCoat[[#This Row],[Film thickness]]="","Missing film thickness",IF(tblCoat[[#This Row],[Transfer efficiency]]="","Missing transfer efficiency",IF(tblCoat[[#This Row],[Parts per hour]]="","Missing parts per hour",IF(tblCoat[[#This Row],[Cost per kg]]="","Powder not on Setup list or no price",IF(COUNTIF(tblCoat[Job],tblCoat[[#This Row],[Job]])&gt;1,"Duplicate job","OK"))))))))</f>
        <v>OK</v>
      </c>
      <c r="AF12" s="28" t="s">
        <v>131</v>
      </c>
    </row>
    <row r="13" spans="1:32">
      <c r="B13" s="28" t="s">
        <v>142</v>
      </c>
      <c r="C13" s="28" t="s">
        <v>143</v>
      </c>
      <c r="D13" s="28" t="s">
        <v>89</v>
      </c>
      <c r="E13" s="39">
        <v>500</v>
      </c>
      <c r="F13" s="40">
        <v>0.6</v>
      </c>
      <c r="G13" s="30">
        <v>70</v>
      </c>
      <c r="H13" s="31">
        <v>0.35</v>
      </c>
      <c r="I13" s="30">
        <v>240</v>
      </c>
      <c r="J13" s="39">
        <v>15</v>
      </c>
      <c r="K13" s="29">
        <v>0.3</v>
      </c>
      <c r="L13" s="29">
        <v>0</v>
      </c>
      <c r="M13" s="31">
        <v>0.02</v>
      </c>
      <c r="N13" s="29">
        <v>4.5</v>
      </c>
      <c r="O13" s="36">
        <f>IF(tblCoat[[#This Row],[Job]]="","",IFERROR(INDEX(tblPowders[Cost per kg],MATCH(tblCoat[[#This Row],[Powder]],tblPowders[Powder],0)),""))</f>
        <v>10.2</v>
      </c>
      <c r="P13" s="36">
        <f>IF(tblCoat[[#This Row],[Job]]="","",IFERROR(INDEX(tblPowders[Specific gravity],MATCH(tblCoat[[#This Row],[Powder]],tblPowders[Powder],0)),""))</f>
        <v>1.5</v>
      </c>
      <c r="Q13" s="41">
        <f>IF(tblCoat[[#This Row],[Job]]="","",IF(OR(tblCoat[[#This Row],[Specific gravity]]="",tblCoat[[#This Row],[Transfer efficiency]]=0),"",IF(AreaUnit="ft2",tblCoat[[#This Row],[Area per part]]*0.09290304,tblCoat[[#This Row],[Area per part]])*IF(FilmUnit="mil",tblCoat[[#This Row],[Film thickness]]*25.4,tblCoat[[#This Row],[Film thickness]])*tblCoat[[#This Row],[Specific gravity]]/tblCoat[[#This Row],[Transfer efficiency]]))</f>
        <v>180</v>
      </c>
      <c r="R13" s="42">
        <f>IF(tblCoat[[#This Row],[Job]]="","",IF(tblCoat[[#This Row],[Reject rate]]&lt;1,ROUNDUP(tblCoat[[#This Row],[Good parts]]/(1-tblCoat[[#This Row],[Reject rate]]),0),""))</f>
        <v>511</v>
      </c>
      <c r="S13" s="41">
        <f>IF(tblCoat[[#This Row],[Job]]="","",IFERROR(tblCoat[[#This Row],[Powder (g/part)]]*tblCoat[[#This Row],[Parts coated]]/1000,""))</f>
        <v>91.98</v>
      </c>
      <c r="T13" s="36">
        <f>IF(tblCoat[[#This Row],[Job]]="","",IF(tblCoat[[#This Row],[Parts per hour]]&gt;0,tblCoat[[#This Row],[Parts coated]]/tblCoat[[#This Row],[Parts per hour]]+tblCoat[[#This Row],[Colour change (min)]]/60,""))</f>
        <v>2.37916666666667</v>
      </c>
      <c r="U13" s="36">
        <f>IF(tblCoat[[#This Row],[Job]]="","",IFERROR(tblCoat[[#This Row],[Powder used (kg)]]*tblCoat[[#This Row],[Cost per kg]]/tblCoat[[#This Row],[Good parts]],""))</f>
        <v>1.876392</v>
      </c>
      <c r="V13" s="36">
        <f>IF(tblCoat[[#This Row],[Job]]="","",IFERROR(tblCoat[[#This Row],[Parts coated]]*tblCoat[[#This Row],[Masking materials]]/tblCoat[[#This Row],[Good parts]],""))</f>
        <v>0</v>
      </c>
      <c r="W13" s="36">
        <f>IF(tblCoat[[#This Row],[Job]]="","",IFERROR(tblCoat[[#This Row],[Line hours]]*LineRate/tblCoat[[#This Row],[Good parts]],""))</f>
        <v>0.785125</v>
      </c>
      <c r="X13" s="36">
        <f>IF(tblCoat[[#This Row],[Job]]="","",IFERROR((tblCoat[[#This Row],[Line hours]]*Crew+tblCoat[[#This Row],[Parts coated]]*tblCoat[[#This Row],[Handling (min/part)]]/60)*LabourRate/tblCoat[[#This Row],[Good parts]],""))</f>
        <v>0.54278</v>
      </c>
      <c r="Y13" s="43">
        <f>IF(tblCoat[[#This Row],[Job]]="","",IFERROR(tblCoat[[#This Row],[Powder cost]]+tblCoat[[#This Row],[Masking cost]]+tblCoat[[#This Row],[Line cost]]+tblCoat[[#This Row],[Labour cost]],""))</f>
        <v>3.204297</v>
      </c>
      <c r="Z13" s="44">
        <f>IF(tblCoat[[#This Row],[Job]]="","",IF(AND(tblCoat[[#This Row],[Price]]&gt;0,ISNUMBER(tblCoat[[#This Row],[Cost per part]])),(tblCoat[[#This Row],[Price]]-tblCoat[[#This Row],[Cost per part]])/tblCoat[[#This Row],[Price]],""))</f>
        <v>0.287934</v>
      </c>
      <c r="AA13" s="45" t="str">
        <f>IF(NOT(ISNUMBER(tblCoat[[#This Row],[Margin]])),"",IF(tblCoat[[#This Row],[Margin]]&gt;=TargetMargin,"On target",IF(tblCoat[[#This Row],[Margin]]&gt;=TargetMargin*(1-0.05),"Near target","Below target")))</f>
        <v>Near target</v>
      </c>
      <c r="AB13" s="36">
        <f>IF(tblCoat[[#This Row],[Job]]="","",IFERROR(tblCoat[[#This Row],[Cost per part]]*tblCoat[[#This Row],[Good parts]],""))</f>
        <v>1602.1485</v>
      </c>
      <c r="AC13" s="36">
        <f>IF(tblCoat[[#This Row],[Job]]="","",IF(tblCoat[[#This Row],[Price]]&gt;0,tblCoat[[#This Row],[Price]]*tblCoat[[#This Row],[Good parts]],""))</f>
        <v>2250</v>
      </c>
      <c r="AD13" s="36">
        <f>IF(tblCoat[[#This Row],[Job]]="","",IF(AND(tblCoat[[#This Row],[Price]]&gt;0,ISNUMBER(tblCoat[[#This Row],[Job cost]])),tblCoat[[#This Row],[Job value]]-tblCoat[[#This Row],[Job cost]],""))</f>
        <v>647.8515</v>
      </c>
      <c r="AE13" s="37" t="str">
        <f>IF(tblCoat[[#This Row],[Job]]="","",IF(tblCoat[[#This Row],[Good parts]]="","Missing good parts",IF(tblCoat[[#This Row],[Area per part]]="","Missing area per part",IF(tblCoat[[#This Row],[Film thickness]]="","Missing film thickness",IF(tblCoat[[#This Row],[Transfer efficiency]]="","Missing transfer efficiency",IF(tblCoat[[#This Row],[Parts per hour]]="","Missing parts per hour",IF(tblCoat[[#This Row],[Cost per kg]]="","Powder not on Setup list or no price",IF(COUNTIF(tblCoat[Job],tblCoat[[#This Row],[Job]])&gt;1,"Duplicate job","OK"))))))))</f>
        <v>OK</v>
      </c>
      <c r="AF13" s="28" t="s">
        <v>131</v>
      </c>
    </row>
    <row r="14" spans="1:32">
      <c r="B14" s="28" t="s">
        <v>144</v>
      </c>
      <c r="C14" s="28" t="s">
        <v>145</v>
      </c>
      <c r="D14" s="28" t="s">
        <v>92</v>
      </c>
      <c r="E14" s="39">
        <v>120</v>
      </c>
      <c r="F14" s="40">
        <v>1.6</v>
      </c>
      <c r="G14" s="30">
        <v>90</v>
      </c>
      <c r="H14" s="31">
        <v>0.5</v>
      </c>
      <c r="I14" s="30">
        <v>45</v>
      </c>
      <c r="J14" s="39">
        <v>30</v>
      </c>
      <c r="K14" s="29">
        <v>2</v>
      </c>
      <c r="L14" s="29">
        <v>0.3</v>
      </c>
      <c r="M14" s="31">
        <v>0.05</v>
      </c>
      <c r="N14" s="29">
        <v>21</v>
      </c>
      <c r="O14" s="36">
        <f>IF(tblCoat[[#This Row],[Job]]="","",IFERROR(INDEX(tblPowders[Cost per kg],MATCH(tblCoat[[#This Row],[Powder]],tblPowders[Powder],0)),""))</f>
        <v>15.8732828773112</v>
      </c>
      <c r="P14" s="36">
        <f>IF(tblCoat[[#This Row],[Job]]="","",IFERROR(INDEX(tblPowders[Specific gravity],MATCH(tblCoat[[#This Row],[Powder]],tblPowders[Powder],0)),""))</f>
        <v>1.4</v>
      </c>
      <c r="Q14" s="41">
        <f>IF(tblCoat[[#This Row],[Job]]="","",IF(OR(tblCoat[[#This Row],[Specific gravity]]="",tblCoat[[#This Row],[Transfer efficiency]]=0),"",IF(AreaUnit="ft2",tblCoat[[#This Row],[Area per part]]*0.09290304,tblCoat[[#This Row],[Area per part]])*IF(FilmUnit="mil",tblCoat[[#This Row],[Film thickness]]*25.4,tblCoat[[#This Row],[Film thickness]])*tblCoat[[#This Row],[Specific gravity]]/tblCoat[[#This Row],[Transfer efficiency]]))</f>
        <v>403.2</v>
      </c>
      <c r="R14" s="42">
        <f>IF(tblCoat[[#This Row],[Job]]="","",IF(tblCoat[[#This Row],[Reject rate]]&lt;1,ROUNDUP(tblCoat[[#This Row],[Good parts]]/(1-tblCoat[[#This Row],[Reject rate]]),0),""))</f>
        <v>127</v>
      </c>
      <c r="S14" s="41">
        <f>IF(tblCoat[[#This Row],[Job]]="","",IFERROR(tblCoat[[#This Row],[Powder (g/part)]]*tblCoat[[#This Row],[Parts coated]]/1000,""))</f>
        <v>51.2064</v>
      </c>
      <c r="T14" s="36">
        <f>IF(tblCoat[[#This Row],[Job]]="","",IF(tblCoat[[#This Row],[Parts per hour]]&gt;0,tblCoat[[#This Row],[Parts coated]]/tblCoat[[#This Row],[Parts per hour]]+tblCoat[[#This Row],[Colour change (min)]]/60,""))</f>
        <v>3.32222222222222</v>
      </c>
      <c r="U14" s="36">
        <f>IF(tblCoat[[#This Row],[Job]]="","",IFERROR(tblCoat[[#This Row],[Powder used (kg)]]*tblCoat[[#This Row],[Cost per kg]]/tblCoat[[#This Row],[Good parts]],""))</f>
        <v>6.77344726940623</v>
      </c>
      <c r="V14" s="36">
        <f>IF(tblCoat[[#This Row],[Job]]="","",IFERROR(tblCoat[[#This Row],[Parts coated]]*tblCoat[[#This Row],[Masking materials]]/tblCoat[[#This Row],[Good parts]],""))</f>
        <v>0.3175</v>
      </c>
      <c r="W14" s="36">
        <f>IF(tblCoat[[#This Row],[Job]]="","",IFERROR(tblCoat[[#This Row],[Line hours]]*LineRate/tblCoat[[#This Row],[Good parts]],""))</f>
        <v>4.56805555555556</v>
      </c>
      <c r="X14" s="36">
        <f>IF(tblCoat[[#This Row],[Job]]="","",IFERROR((tblCoat[[#This Row],[Line hours]]*Crew+tblCoat[[#This Row],[Parts coated]]*tblCoat[[#This Row],[Handling (min/part)]]/60)*LabourRate/tblCoat[[#This Row],[Good parts]],""))</f>
        <v>3.31333333333333</v>
      </c>
      <c r="Y14" s="43">
        <f>IF(tblCoat[[#This Row],[Job]]="","",IFERROR(tblCoat[[#This Row],[Powder cost]]+tblCoat[[#This Row],[Masking cost]]+tblCoat[[#This Row],[Line cost]]+tblCoat[[#This Row],[Labour cost]],""))</f>
        <v>14.9723361582951</v>
      </c>
      <c r="Z14" s="44">
        <f>IF(tblCoat[[#This Row],[Job]]="","",IF(AND(tblCoat[[#This Row],[Price]]&gt;0,ISNUMBER(tblCoat[[#This Row],[Cost per part]])),(tblCoat[[#This Row],[Price]]-tblCoat[[#This Row],[Cost per part]])/tblCoat[[#This Row],[Price]],""))</f>
        <v>0.287031611509756</v>
      </c>
      <c r="AA14" s="45" t="str">
        <f>IF(NOT(ISNUMBER(tblCoat[[#This Row],[Margin]])),"",IF(tblCoat[[#This Row],[Margin]]&gt;=TargetMargin,"On target",IF(tblCoat[[#This Row],[Margin]]&gt;=TargetMargin*(1-0.05),"Near target","Below target")))</f>
        <v>Near target</v>
      </c>
      <c r="AB14" s="36">
        <f>IF(tblCoat[[#This Row],[Job]]="","",IFERROR(tblCoat[[#This Row],[Cost per part]]*tblCoat[[#This Row],[Good parts]],""))</f>
        <v>1796.68033899541</v>
      </c>
      <c r="AC14" s="36">
        <f>IF(tblCoat[[#This Row],[Job]]="","",IF(tblCoat[[#This Row],[Price]]&gt;0,tblCoat[[#This Row],[Price]]*tblCoat[[#This Row],[Good parts]],""))</f>
        <v>2520</v>
      </c>
      <c r="AD14" s="36">
        <f>IF(tblCoat[[#This Row],[Job]]="","",IF(AND(tblCoat[[#This Row],[Price]]&gt;0,ISNUMBER(tblCoat[[#This Row],[Job cost]])),tblCoat[[#This Row],[Job value]]-tblCoat[[#This Row],[Job cost]],""))</f>
        <v>723.319661004586</v>
      </c>
      <c r="AE14" s="37" t="str">
        <f>IF(tblCoat[[#This Row],[Job]]="","",IF(tblCoat[[#This Row],[Good parts]]="","Missing good parts",IF(tblCoat[[#This Row],[Area per part]]="","Missing area per part",IF(tblCoat[[#This Row],[Film thickness]]="","Missing film thickness",IF(tblCoat[[#This Row],[Transfer efficiency]]="","Missing transfer efficiency",IF(tblCoat[[#This Row],[Parts per hour]]="","Missing parts per hour",IF(tblCoat[[#This Row],[Cost per kg]]="","Powder not on Setup list or no price",IF(COUNTIF(tblCoat[Job],tblCoat[[#This Row],[Job]])&gt;1,"Duplicate job","OK"))))))))</f>
        <v>OK</v>
      </c>
      <c r="AF14" s="28" t="s">
        <v>131</v>
      </c>
    </row>
    <row r="15" spans="1:32">
      <c r="B15" s="28" t="s">
        <v>146</v>
      </c>
      <c r="C15" s="28" t="s">
        <v>147</v>
      </c>
      <c r="D15" s="28" t="s">
        <v>94</v>
      </c>
      <c r="E15" s="39">
        <v>300</v>
      </c>
      <c r="F15" s="40">
        <v>0.12</v>
      </c>
      <c r="G15" s="30">
        <v>75</v>
      </c>
      <c r="H15" s="31">
        <v>0.6</v>
      </c>
      <c r="I15" s="30">
        <v>400</v>
      </c>
      <c r="J15" s="39">
        <v>30</v>
      </c>
      <c r="K15" s="29">
        <v>0.2</v>
      </c>
      <c r="L15" s="29">
        <v>0</v>
      </c>
      <c r="M15" s="31">
        <v>0.02</v>
      </c>
      <c r="N15" s="29">
        <v>2.1</v>
      </c>
      <c r="O15" s="36">
        <f>IF(tblCoat[[#This Row],[Job]]="","",IFERROR(INDEX(tblPowders[Cost per kg],MATCH(tblCoat[[#This Row],[Powder]],tblPowders[Powder],0)),""))</f>
        <v>16.5</v>
      </c>
      <c r="P15" s="36">
        <f>IF(tblCoat[[#This Row],[Job]]="","",IFERROR(INDEX(tblPowders[Specific gravity],MATCH(tblCoat[[#This Row],[Powder]],tblPowders[Powder],0)),""))</f>
        <v>2.6</v>
      </c>
      <c r="Q15" s="41">
        <f>IF(tblCoat[[#This Row],[Job]]="","",IF(OR(tblCoat[[#This Row],[Specific gravity]]="",tblCoat[[#This Row],[Transfer efficiency]]=0),"",IF(AreaUnit="ft2",tblCoat[[#This Row],[Area per part]]*0.09290304,tblCoat[[#This Row],[Area per part]])*IF(FilmUnit="mil",tblCoat[[#This Row],[Film thickness]]*25.4,tblCoat[[#This Row],[Film thickness]])*tblCoat[[#This Row],[Specific gravity]]/tblCoat[[#This Row],[Transfer efficiency]]))</f>
        <v>39</v>
      </c>
      <c r="R15" s="42">
        <f>IF(tblCoat[[#This Row],[Job]]="","",IF(tblCoat[[#This Row],[Reject rate]]&lt;1,ROUNDUP(tblCoat[[#This Row],[Good parts]]/(1-tblCoat[[#This Row],[Reject rate]]),0),""))</f>
        <v>307</v>
      </c>
      <c r="S15" s="41">
        <f>IF(tblCoat[[#This Row],[Job]]="","",IFERROR(tblCoat[[#This Row],[Powder (g/part)]]*tblCoat[[#This Row],[Parts coated]]/1000,""))</f>
        <v>11.973</v>
      </c>
      <c r="T15" s="36">
        <f>IF(tblCoat[[#This Row],[Job]]="","",IF(tblCoat[[#This Row],[Parts per hour]]&gt;0,tblCoat[[#This Row],[Parts coated]]/tblCoat[[#This Row],[Parts per hour]]+tblCoat[[#This Row],[Colour change (min)]]/60,""))</f>
        <v>1.2675</v>
      </c>
      <c r="U15" s="36">
        <f>IF(tblCoat[[#This Row],[Job]]="","",IFERROR(tblCoat[[#This Row],[Powder used (kg)]]*tblCoat[[#This Row],[Cost per kg]]/tblCoat[[#This Row],[Good parts]],""))</f>
        <v>0.658515</v>
      </c>
      <c r="V15" s="36">
        <f>IF(tblCoat[[#This Row],[Job]]="","",IFERROR(tblCoat[[#This Row],[Parts coated]]*tblCoat[[#This Row],[Masking materials]]/tblCoat[[#This Row],[Good parts]],""))</f>
        <v>0</v>
      </c>
      <c r="W15" s="36">
        <f>IF(tblCoat[[#This Row],[Job]]="","",IFERROR(tblCoat[[#This Row],[Line hours]]*LineRate/tblCoat[[#This Row],[Good parts]],""))</f>
        <v>0.697125</v>
      </c>
      <c r="X15" s="36">
        <f>IF(tblCoat[[#This Row],[Job]]="","",IFERROR((tblCoat[[#This Row],[Line hours]]*Crew+tblCoat[[#This Row],[Parts coated]]*tblCoat[[#This Row],[Handling (min/part)]]/60)*LabourRate/tblCoat[[#This Row],[Good parts]],""))</f>
        <v>0.450411111111111</v>
      </c>
      <c r="Y15" s="43">
        <f>IF(tblCoat[[#This Row],[Job]]="","",IFERROR(tblCoat[[#This Row],[Powder cost]]+tblCoat[[#This Row],[Masking cost]]+tblCoat[[#This Row],[Line cost]]+tblCoat[[#This Row],[Labour cost]],""))</f>
        <v>1.80605111111111</v>
      </c>
      <c r="Z15" s="44">
        <f>IF(tblCoat[[#This Row],[Job]]="","",IF(AND(tblCoat[[#This Row],[Price]]&gt;0,ISNUMBER(tblCoat[[#This Row],[Cost per part]])),(tblCoat[[#This Row],[Price]]-tblCoat[[#This Row],[Cost per part]])/tblCoat[[#This Row],[Price]],""))</f>
        <v>0.139975661375661</v>
      </c>
      <c r="AA15" s="45" t="str">
        <f>IF(NOT(ISNUMBER(tblCoat[[#This Row],[Margin]])),"",IF(tblCoat[[#This Row],[Margin]]&gt;=TargetMargin,"On target",IF(tblCoat[[#This Row],[Margin]]&gt;=TargetMargin*(1-0.05),"Near target","Below target")))</f>
        <v>Below target</v>
      </c>
      <c r="AB15" s="36">
        <f>IF(tblCoat[[#This Row],[Job]]="","",IFERROR(tblCoat[[#This Row],[Cost per part]]*tblCoat[[#This Row],[Good parts]],""))</f>
        <v>541.815333333333</v>
      </c>
      <c r="AC15" s="36">
        <f>IF(tblCoat[[#This Row],[Job]]="","",IF(tblCoat[[#This Row],[Price]]&gt;0,tblCoat[[#This Row],[Price]]*tblCoat[[#This Row],[Good parts]],""))</f>
        <v>630</v>
      </c>
      <c r="AD15" s="36">
        <f>IF(tblCoat[[#This Row],[Job]]="","",IF(AND(tblCoat[[#This Row],[Price]]&gt;0,ISNUMBER(tblCoat[[#This Row],[Job cost]])),tblCoat[[#This Row],[Job value]]-tblCoat[[#This Row],[Job cost]],""))</f>
        <v>88.1846666666667</v>
      </c>
      <c r="AE15" s="37" t="str">
        <f>IF(tblCoat[[#This Row],[Job]]="","",IF(tblCoat[[#This Row],[Good parts]]="","Missing good parts",IF(tblCoat[[#This Row],[Area per part]]="","Missing area per part",IF(tblCoat[[#This Row],[Film thickness]]="","Missing film thickness",IF(tblCoat[[#This Row],[Transfer efficiency]]="","Missing transfer efficiency",IF(tblCoat[[#This Row],[Parts per hour]]="","Missing parts per hour",IF(tblCoat[[#This Row],[Cost per kg]]="","Powder not on Setup list or no price",IF(COUNTIF(tblCoat[Job],tblCoat[[#This Row],[Job]])&gt;1,"Duplicate job","OK"))))))))</f>
        <v>OK</v>
      </c>
      <c r="AF15" s="28" t="s">
        <v>131</v>
      </c>
    </row>
    <row r="16" spans="1:32">
      <c r="B16" s="28" t="s">
        <v>148</v>
      </c>
      <c r="C16" s="28" t="s">
        <v>149</v>
      </c>
      <c r="D16" s="28" t="s">
        <v>90</v>
      </c>
      <c r="E16" s="39">
        <v>40</v>
      </c>
      <c r="F16" s="40">
        <v>3.2</v>
      </c>
      <c r="G16" s="30">
        <v>90</v>
      </c>
      <c r="H16" s="31">
        <v>0.6</v>
      </c>
      <c r="I16" s="30">
        <v>20</v>
      </c>
      <c r="J16" s="39">
        <v>20</v>
      </c>
      <c r="K16" s="29">
        <v>6</v>
      </c>
      <c r="L16" s="29">
        <v>2.5</v>
      </c>
      <c r="M16" s="31">
        <v>0.05</v>
      </c>
      <c r="N16" s="29">
        <v>44</v>
      </c>
      <c r="O16" s="36">
        <f>IF(tblCoat[[#This Row],[Job]]="","",IFERROR(INDEX(tblPowders[Cost per kg],MATCH(tblCoat[[#This Row],[Powder]],tblPowders[Powder],0)),""))</f>
        <v>11</v>
      </c>
      <c r="P16" s="36">
        <f>IF(tblCoat[[#This Row],[Job]]="","",IFERROR(INDEX(tblPowders[Specific gravity],MATCH(tblCoat[[#This Row],[Powder]],tblPowders[Powder],0)),""))</f>
        <v>1.45</v>
      </c>
      <c r="Q16" s="41">
        <f>IF(tblCoat[[#This Row],[Job]]="","",IF(OR(tblCoat[[#This Row],[Specific gravity]]="",tblCoat[[#This Row],[Transfer efficiency]]=0),"",IF(AreaUnit="ft2",tblCoat[[#This Row],[Area per part]]*0.09290304,tblCoat[[#This Row],[Area per part]])*IF(FilmUnit="mil",tblCoat[[#This Row],[Film thickness]]*25.4,tblCoat[[#This Row],[Film thickness]])*tblCoat[[#This Row],[Specific gravity]]/tblCoat[[#This Row],[Transfer efficiency]]))</f>
        <v>696</v>
      </c>
      <c r="R16" s="42">
        <f>IF(tblCoat[[#This Row],[Job]]="","",IF(tblCoat[[#This Row],[Reject rate]]&lt;1,ROUNDUP(tblCoat[[#This Row],[Good parts]]/(1-tblCoat[[#This Row],[Reject rate]]),0),""))</f>
        <v>43</v>
      </c>
      <c r="S16" s="41">
        <f>IF(tblCoat[[#This Row],[Job]]="","",IFERROR(tblCoat[[#This Row],[Powder (g/part)]]*tblCoat[[#This Row],[Parts coated]]/1000,""))</f>
        <v>29.928</v>
      </c>
      <c r="T16" s="36">
        <f>IF(tblCoat[[#This Row],[Job]]="","",IF(tblCoat[[#This Row],[Parts per hour]]&gt;0,tblCoat[[#This Row],[Parts coated]]/tblCoat[[#This Row],[Parts per hour]]+tblCoat[[#This Row],[Colour change (min)]]/60,""))</f>
        <v>2.48333333333333</v>
      </c>
      <c r="U16" s="36">
        <f>IF(tblCoat[[#This Row],[Job]]="","",IFERROR(tblCoat[[#This Row],[Powder used (kg)]]*tblCoat[[#This Row],[Cost per kg]]/tblCoat[[#This Row],[Good parts]],""))</f>
        <v>8.2302</v>
      </c>
      <c r="V16" s="36">
        <f>IF(tblCoat[[#This Row],[Job]]="","",IFERROR(tblCoat[[#This Row],[Parts coated]]*tblCoat[[#This Row],[Masking materials]]/tblCoat[[#This Row],[Good parts]],""))</f>
        <v>2.6875</v>
      </c>
      <c r="W16" s="36">
        <f>IF(tblCoat[[#This Row],[Job]]="","",IFERROR(tblCoat[[#This Row],[Line hours]]*LineRate/tblCoat[[#This Row],[Good parts]],""))</f>
        <v>10.24375</v>
      </c>
      <c r="X16" s="36">
        <f>IF(tblCoat[[#This Row],[Job]]="","",IFERROR((tblCoat[[#This Row],[Line hours]]*Crew+tblCoat[[#This Row],[Parts coated]]*tblCoat[[#This Row],[Handling (min/part)]]/60)*LabourRate/tblCoat[[#This Row],[Good parts]],""))</f>
        <v>8.225</v>
      </c>
      <c r="Y16" s="43">
        <f>IF(tblCoat[[#This Row],[Job]]="","",IFERROR(tblCoat[[#This Row],[Powder cost]]+tblCoat[[#This Row],[Masking cost]]+tblCoat[[#This Row],[Line cost]]+tblCoat[[#This Row],[Labour cost]],""))</f>
        <v>29.38645</v>
      </c>
      <c r="Z16" s="44">
        <f>IF(tblCoat[[#This Row],[Job]]="","",IF(AND(tblCoat[[#This Row],[Price]]&gt;0,ISNUMBER(tblCoat[[#This Row],[Cost per part]])),(tblCoat[[#This Row],[Price]]-tblCoat[[#This Row],[Cost per part]])/tblCoat[[#This Row],[Price]],""))</f>
        <v>0.332126136363636</v>
      </c>
      <c r="AA16" s="45" t="str">
        <f>IF(NOT(ISNUMBER(tblCoat[[#This Row],[Margin]])),"",IF(tblCoat[[#This Row],[Margin]]&gt;=TargetMargin,"On target",IF(tblCoat[[#This Row],[Margin]]&gt;=TargetMargin*(1-0.05),"Near target","Below target")))</f>
        <v>On target</v>
      </c>
      <c r="AB16" s="36">
        <f>IF(tblCoat[[#This Row],[Job]]="","",IFERROR(tblCoat[[#This Row],[Cost per part]]*tblCoat[[#This Row],[Good parts]],""))</f>
        <v>1175.458</v>
      </c>
      <c r="AC16" s="36">
        <f>IF(tblCoat[[#This Row],[Job]]="","",IF(tblCoat[[#This Row],[Price]]&gt;0,tblCoat[[#This Row],[Price]]*tblCoat[[#This Row],[Good parts]],""))</f>
        <v>1760</v>
      </c>
      <c r="AD16" s="36">
        <f>IF(tblCoat[[#This Row],[Job]]="","",IF(AND(tblCoat[[#This Row],[Price]]&gt;0,ISNUMBER(tblCoat[[#This Row],[Job cost]])),tblCoat[[#This Row],[Job value]]-tblCoat[[#This Row],[Job cost]],""))</f>
        <v>584.542</v>
      </c>
      <c r="AE16" s="37" t="str">
        <f>IF(tblCoat[[#This Row],[Job]]="","",IF(tblCoat[[#This Row],[Good parts]]="","Missing good parts",IF(tblCoat[[#This Row],[Area per part]]="","Missing area per part",IF(tblCoat[[#This Row],[Film thickness]]="","Missing film thickness",IF(tblCoat[[#This Row],[Transfer efficiency]]="","Missing transfer efficiency",IF(tblCoat[[#This Row],[Parts per hour]]="","Missing parts per hour",IF(tblCoat[[#This Row],[Cost per kg]]="","Powder not on Setup list or no price",IF(COUNTIF(tblCoat[Job],tblCoat[[#This Row],[Job]])&gt;1,"Duplicate job","OK"))))))))</f>
        <v>OK</v>
      </c>
      <c r="AF16" s="28" t="s">
        <v>150</v>
      </c>
    </row>
    <row r="17" spans="2:32">
      <c r="B17" s="28" t="s">
        <v>151</v>
      </c>
      <c r="C17" s="28" t="s">
        <v>152</v>
      </c>
      <c r="D17" s="28" t="s">
        <v>87</v>
      </c>
      <c r="E17" s="39">
        <v>600</v>
      </c>
      <c r="F17" s="40">
        <v>0.22</v>
      </c>
      <c r="G17" s="30">
        <v>70</v>
      </c>
      <c r="H17" s="31">
        <v>0.65</v>
      </c>
      <c r="I17" s="30">
        <v>300</v>
      </c>
      <c r="J17" s="39">
        <v>20</v>
      </c>
      <c r="K17" s="29">
        <v>0.25</v>
      </c>
      <c r="L17" s="29">
        <v>0.05</v>
      </c>
      <c r="M17" s="31">
        <v>0.02</v>
      </c>
      <c r="N17" s="29">
        <v>2.2</v>
      </c>
      <c r="O17" s="36">
        <f>IF(tblCoat[[#This Row],[Job]]="","",IFERROR(INDEX(tblPowders[Cost per kg],MATCH(tblCoat[[#This Row],[Powder]],tblPowders[Powder],0)),""))</f>
        <v>9.5</v>
      </c>
      <c r="P17" s="36">
        <f>IF(tblCoat[[#This Row],[Job]]="","",IFERROR(INDEX(tblPowders[Specific gravity],MATCH(tblCoat[[#This Row],[Powder]],tblPowders[Powder],0)),""))</f>
        <v>1.55</v>
      </c>
      <c r="Q17" s="41">
        <f>IF(tblCoat[[#This Row],[Job]]="","",IF(OR(tblCoat[[#This Row],[Specific gravity]]="",tblCoat[[#This Row],[Transfer efficiency]]=0),"",IF(AreaUnit="ft2",tblCoat[[#This Row],[Area per part]]*0.09290304,tblCoat[[#This Row],[Area per part]])*IF(FilmUnit="mil",tblCoat[[#This Row],[Film thickness]]*25.4,tblCoat[[#This Row],[Film thickness]])*tblCoat[[#This Row],[Specific gravity]]/tblCoat[[#This Row],[Transfer efficiency]]))</f>
        <v>36.7230769230769</v>
      </c>
      <c r="R17" s="42">
        <f>IF(tblCoat[[#This Row],[Job]]="","",IF(tblCoat[[#This Row],[Reject rate]]&lt;1,ROUNDUP(tblCoat[[#This Row],[Good parts]]/(1-tblCoat[[#This Row],[Reject rate]]),0),""))</f>
        <v>613</v>
      </c>
      <c r="S17" s="41">
        <f>IF(tblCoat[[#This Row],[Job]]="","",IFERROR(tblCoat[[#This Row],[Powder (g/part)]]*tblCoat[[#This Row],[Parts coated]]/1000,""))</f>
        <v>22.5112461538462</v>
      </c>
      <c r="T17" s="36">
        <f>IF(tblCoat[[#This Row],[Job]]="","",IF(tblCoat[[#This Row],[Parts per hour]]&gt;0,tblCoat[[#This Row],[Parts coated]]/tblCoat[[#This Row],[Parts per hour]]+tblCoat[[#This Row],[Colour change (min)]]/60,""))</f>
        <v>2.37666666666667</v>
      </c>
      <c r="U17" s="36">
        <f>IF(tblCoat[[#This Row],[Job]]="","",IFERROR(tblCoat[[#This Row],[Powder used (kg)]]*tblCoat[[#This Row],[Cost per kg]]/tblCoat[[#This Row],[Good parts]],""))</f>
        <v>0.356428064102564</v>
      </c>
      <c r="V17" s="36">
        <f>IF(tblCoat[[#This Row],[Job]]="","",IFERROR(tblCoat[[#This Row],[Parts coated]]*tblCoat[[#This Row],[Masking materials]]/tblCoat[[#This Row],[Good parts]],""))</f>
        <v>0.0510833333333333</v>
      </c>
      <c r="W17" s="36">
        <f>IF(tblCoat[[#This Row],[Job]]="","",IFERROR(tblCoat[[#This Row],[Line hours]]*LineRate/tblCoat[[#This Row],[Good parts]],""))</f>
        <v>0.653583333333333</v>
      </c>
      <c r="X17" s="36">
        <f>IF(tblCoat[[#This Row],[Job]]="","",IFERROR((tblCoat[[#This Row],[Line hours]]*Crew+tblCoat[[#This Row],[Parts coated]]*tblCoat[[#This Row],[Handling (min/part)]]/60)*LabourRate/tblCoat[[#This Row],[Good parts]],""))</f>
        <v>0.451927777777778</v>
      </c>
      <c r="Y17" s="43">
        <f>IF(tblCoat[[#This Row],[Job]]="","",IFERROR(tblCoat[[#This Row],[Powder cost]]+tblCoat[[#This Row],[Masking cost]]+tblCoat[[#This Row],[Line cost]]+tblCoat[[#This Row],[Labour cost]],""))</f>
        <v>1.51302250854701</v>
      </c>
      <c r="Z17" s="44">
        <f>IF(tblCoat[[#This Row],[Job]]="","",IF(AND(tblCoat[[#This Row],[Price]]&gt;0,ISNUMBER(tblCoat[[#This Row],[Cost per part]])),(tblCoat[[#This Row],[Price]]-tblCoat[[#This Row],[Cost per part]])/tblCoat[[#This Row],[Price]],""))</f>
        <v>0.312262496114996</v>
      </c>
      <c r="AA17" s="45" t="str">
        <f>IF(NOT(ISNUMBER(tblCoat[[#This Row],[Margin]])),"",IF(tblCoat[[#This Row],[Margin]]&gt;=TargetMargin,"On target",IF(tblCoat[[#This Row],[Margin]]&gt;=TargetMargin*(1-0.05),"Near target","Below target")))</f>
        <v>On target</v>
      </c>
      <c r="AB17" s="36">
        <f>IF(tblCoat[[#This Row],[Job]]="","",IFERROR(tblCoat[[#This Row],[Cost per part]]*tblCoat[[#This Row],[Good parts]],""))</f>
        <v>907.813505128205</v>
      </c>
      <c r="AC17" s="36">
        <f>IF(tblCoat[[#This Row],[Job]]="","",IF(tblCoat[[#This Row],[Price]]&gt;0,tblCoat[[#This Row],[Price]]*tblCoat[[#This Row],[Good parts]],""))</f>
        <v>1320</v>
      </c>
      <c r="AD17" s="36">
        <f>IF(tblCoat[[#This Row],[Job]]="","",IF(AND(tblCoat[[#This Row],[Price]]&gt;0,ISNUMBER(tblCoat[[#This Row],[Job cost]])),tblCoat[[#This Row],[Job value]]-tblCoat[[#This Row],[Job cost]],""))</f>
        <v>412.186494871795</v>
      </c>
      <c r="AE17" s="37" t="str">
        <f>IF(tblCoat[[#This Row],[Job]]="","",IF(tblCoat[[#This Row],[Good parts]]="","Missing good parts",IF(tblCoat[[#This Row],[Area per part]]="","Missing area per part",IF(tblCoat[[#This Row],[Film thickness]]="","Missing film thickness",IF(tblCoat[[#This Row],[Transfer efficiency]]="","Missing transfer efficiency",IF(tblCoat[[#This Row],[Parts per hour]]="","Missing parts per hour",IF(tblCoat[[#This Row],[Cost per kg]]="","Powder not on Setup list or no price",IF(COUNTIF(tblCoat[Job],tblCoat[[#This Row],[Job]])&gt;1,"Duplicate job","OK"))))))))</f>
        <v>OK</v>
      </c>
      <c r="AF17" s="28" t="s">
        <v>131</v>
      </c>
    </row>
    <row r="18" spans="2:32">
      <c r="B18" s="28" t="s">
        <v>153</v>
      </c>
      <c r="C18" s="28" t="s">
        <v>154</v>
      </c>
      <c r="D18" s="28" t="s">
        <v>89</v>
      </c>
      <c r="E18" s="39">
        <v>100</v>
      </c>
      <c r="F18" s="40">
        <v>1.4</v>
      </c>
      <c r="G18" s="30">
        <v>80</v>
      </c>
      <c r="H18" s="31">
        <v>0.6</v>
      </c>
      <c r="I18" s="30">
        <v>60</v>
      </c>
      <c r="J18" s="39">
        <v>20</v>
      </c>
      <c r="K18" s="29">
        <v>1.5</v>
      </c>
      <c r="L18" s="29">
        <v>0</v>
      </c>
      <c r="M18" s="31">
        <v>0.03</v>
      </c>
      <c r="N18" s="29">
        <v>13</v>
      </c>
      <c r="O18" s="36">
        <f>IF(tblCoat[[#This Row],[Job]]="","",IFERROR(INDEX(tblPowders[Cost per kg],MATCH(tblCoat[[#This Row],[Powder]],tblPowders[Powder],0)),""))</f>
        <v>10.2</v>
      </c>
      <c r="P18" s="36">
        <f>IF(tblCoat[[#This Row],[Job]]="","",IFERROR(INDEX(tblPowders[Specific gravity],MATCH(tblCoat[[#This Row],[Powder]],tblPowders[Powder],0)),""))</f>
        <v>1.5</v>
      </c>
      <c r="Q18" s="41">
        <f>IF(tblCoat[[#This Row],[Job]]="","",IF(OR(tblCoat[[#This Row],[Specific gravity]]="",tblCoat[[#This Row],[Transfer efficiency]]=0),"",IF(AreaUnit="ft2",tblCoat[[#This Row],[Area per part]]*0.09290304,tblCoat[[#This Row],[Area per part]])*IF(FilmUnit="mil",tblCoat[[#This Row],[Film thickness]]*25.4,tblCoat[[#This Row],[Film thickness]])*tblCoat[[#This Row],[Specific gravity]]/tblCoat[[#This Row],[Transfer efficiency]]))</f>
        <v>280</v>
      </c>
      <c r="R18" s="42">
        <f>IF(tblCoat[[#This Row],[Job]]="","",IF(tblCoat[[#This Row],[Reject rate]]&lt;1,ROUNDUP(tblCoat[[#This Row],[Good parts]]/(1-tblCoat[[#This Row],[Reject rate]]),0),""))</f>
        <v>104</v>
      </c>
      <c r="S18" s="41">
        <f>IF(tblCoat[[#This Row],[Job]]="","",IFERROR(tblCoat[[#This Row],[Powder (g/part)]]*tblCoat[[#This Row],[Parts coated]]/1000,""))</f>
        <v>29.12</v>
      </c>
      <c r="T18" s="36">
        <f>IF(tblCoat[[#This Row],[Job]]="","",IF(tblCoat[[#This Row],[Parts per hour]]&gt;0,tblCoat[[#This Row],[Parts coated]]/tblCoat[[#This Row],[Parts per hour]]+tblCoat[[#This Row],[Colour change (min)]]/60,""))</f>
        <v>2.06666666666667</v>
      </c>
      <c r="U18" s="36">
        <f>IF(tblCoat[[#This Row],[Job]]="","",IFERROR(tblCoat[[#This Row],[Powder used (kg)]]*tblCoat[[#This Row],[Cost per kg]]/tblCoat[[#This Row],[Good parts]],""))</f>
        <v>2.97024</v>
      </c>
      <c r="V18" s="36">
        <f>IF(tblCoat[[#This Row],[Job]]="","",IFERROR(tblCoat[[#This Row],[Parts coated]]*tblCoat[[#This Row],[Masking materials]]/tblCoat[[#This Row],[Good parts]],""))</f>
        <v>0</v>
      </c>
      <c r="W18" s="36">
        <f>IF(tblCoat[[#This Row],[Job]]="","",IFERROR(tblCoat[[#This Row],[Line hours]]*LineRate/tblCoat[[#This Row],[Good parts]],""))</f>
        <v>3.41</v>
      </c>
      <c r="X18" s="36">
        <f>IF(tblCoat[[#This Row],[Job]]="","",IFERROR((tblCoat[[#This Row],[Line hours]]*Crew+tblCoat[[#This Row],[Parts coated]]*tblCoat[[#This Row],[Handling (min/part)]]/60)*LabourRate/tblCoat[[#This Row],[Good parts]],""))</f>
        <v>2.464</v>
      </c>
      <c r="Y18" s="43">
        <f>IF(tblCoat[[#This Row],[Job]]="","",IFERROR(tblCoat[[#This Row],[Powder cost]]+tblCoat[[#This Row],[Masking cost]]+tblCoat[[#This Row],[Line cost]]+tblCoat[[#This Row],[Labour cost]],""))</f>
        <v>8.84424</v>
      </c>
      <c r="Z18" s="44">
        <f>IF(tblCoat[[#This Row],[Job]]="","",IF(AND(tblCoat[[#This Row],[Price]]&gt;0,ISNUMBER(tblCoat[[#This Row],[Cost per part]])),(tblCoat[[#This Row],[Price]]-tblCoat[[#This Row],[Cost per part]])/tblCoat[[#This Row],[Price]],""))</f>
        <v>0.319673846153846</v>
      </c>
      <c r="AA18" s="45" t="str">
        <f>IF(NOT(ISNUMBER(tblCoat[[#This Row],[Margin]])),"",IF(tblCoat[[#This Row],[Margin]]&gt;=TargetMargin,"On target",IF(tblCoat[[#This Row],[Margin]]&gt;=TargetMargin*(1-0.05),"Near target","Below target")))</f>
        <v>On target</v>
      </c>
      <c r="AB18" s="36">
        <f>IF(tblCoat[[#This Row],[Job]]="","",IFERROR(tblCoat[[#This Row],[Cost per part]]*tblCoat[[#This Row],[Good parts]],""))</f>
        <v>884.424</v>
      </c>
      <c r="AC18" s="36">
        <f>IF(tblCoat[[#This Row],[Job]]="","",IF(tblCoat[[#This Row],[Price]]&gt;0,tblCoat[[#This Row],[Price]]*tblCoat[[#This Row],[Good parts]],""))</f>
        <v>1300</v>
      </c>
      <c r="AD18" s="36">
        <f>IF(tblCoat[[#This Row],[Job]]="","",IF(AND(tblCoat[[#This Row],[Price]]&gt;0,ISNUMBER(tblCoat[[#This Row],[Job cost]])),tblCoat[[#This Row],[Job value]]-tblCoat[[#This Row],[Job cost]],""))</f>
        <v>415.576</v>
      </c>
      <c r="AE18" s="37" t="str">
        <f>IF(tblCoat[[#This Row],[Job]]="","",IF(tblCoat[[#This Row],[Good parts]]="","Missing good parts",IF(tblCoat[[#This Row],[Area per part]]="","Missing area per part",IF(tblCoat[[#This Row],[Film thickness]]="","Missing film thickness",IF(tblCoat[[#This Row],[Transfer efficiency]]="","Missing transfer efficiency",IF(tblCoat[[#This Row],[Parts per hour]]="","Missing parts per hour",IF(tblCoat[[#This Row],[Cost per kg]]="","Powder not on Setup list or no price",IF(COUNTIF(tblCoat[Job],tblCoat[[#This Row],[Job]])&gt;1,"Duplicate job","OK"))))))))</f>
        <v>OK</v>
      </c>
      <c r="AF18" s="28" t="s">
        <v>131</v>
      </c>
    </row>
  </sheetData>
  <mergeCells count="3">
    <mergeCell ref="A1:AF1"/>
    <mergeCell ref="B2:AE2"/>
    <mergeCell ref="B4:AF4"/>
  </mergeCells>
  <conditionalFormatting sqref="AA7:AA518">
    <cfRule type="cellIs" dxfId="0" priority="4" operator="equal">
      <formula>"On target"</formula>
    </cfRule>
    <cfRule type="cellIs" dxfId="0" priority="5" operator="equal">
      <formula>"PASS"</formula>
    </cfRule>
    <cfRule type="cellIs" dxfId="0" priority="6" operator="equal">
      <formula>"OK"</formula>
    </cfRule>
    <cfRule type="cellIs" dxfId="0" priority="7" operator="equal">
      <formula>"Within limits"</formula>
    </cfRule>
    <cfRule type="cellIs" dxfId="0" priority="8" operator="equal">
      <formula>"Under capacity"</formula>
    </cfRule>
    <cfRule type="cellIs" dxfId="0" priority="9" operator="equal">
      <formula>"Complete"</formula>
    </cfRule>
    <cfRule type="cellIs" dxfId="0" priority="10" operator="equal">
      <formula>"Yes"</formula>
    </cfRule>
    <cfRule type="cellIs" dxfId="1" priority="11" operator="equal">
      <formula>"Near target"</formula>
    </cfRule>
    <cfRule type="cellIs" dxfId="1" priority="12" operator="equal">
      <formula>"Check"</formula>
    </cfRule>
    <cfRule type="cellIs" dxfId="1" priority="13" operator="equal">
      <formula>"Due soon"</formula>
    </cfRule>
    <cfRule type="cellIs" dxfId="1" priority="14" operator="equal">
      <formula>"Near capacity"</formula>
    </cfRule>
    <cfRule type="cellIs" dxfId="1" priority="15" operator="equal">
      <formula>"In progress"</formula>
    </cfRule>
    <cfRule type="cellIs" dxfId="1" priority="16" operator="equal">
      <formula>"Partial"</formula>
    </cfRule>
    <cfRule type="cellIs" dxfId="2" priority="17" operator="equal">
      <formula>"Below target"</formula>
    </cfRule>
    <cfRule type="cellIs" dxfId="2" priority="18" operator="equal">
      <formula>"Above target"</formula>
    </cfRule>
    <cfRule type="cellIs" dxfId="2" priority="19" operator="equal">
      <formula>"FAIL"</formula>
    </cfRule>
    <cfRule type="cellIs" dxfId="2" priority="20" operator="equal">
      <formula>"Over capacity"</formula>
    </cfRule>
    <cfRule type="cellIs" dxfId="2" priority="21" operator="equal">
      <formula>"Overdue"</formula>
    </cfRule>
    <cfRule type="cellIs" dxfId="2" priority="22" operator="equal">
      <formula>"Out of limits"</formula>
    </cfRule>
    <cfRule type="cellIs" dxfId="2" priority="23" operator="equal">
      <formula>"No"</formula>
    </cfRule>
  </conditionalFormatting>
  <conditionalFormatting sqref="AE7:AE518">
    <cfRule type="expression" dxfId="3" priority="24">
      <formula>$AE7="OK"</formula>
    </cfRule>
    <cfRule type="expression" dxfId="1" priority="25">
      <formula>AND($AE7&lt;&gt;"",$AE7&lt;&gt;"OK")</formula>
    </cfRule>
  </conditionalFormatting>
  <conditionalFormatting sqref="Z7:Z518">
    <cfRule type="expression" dxfId="3" priority="1" stopIfTrue="1">
      <formula>AND(ISNUMBER(Z7),Z7&gt;=(TargetMargin))</formula>
    </cfRule>
    <cfRule type="expression" dxfId="4" priority="2" stopIfTrue="1">
      <formula>AND(ISNUMBER(Z7),Z7&gt;=(TargetMargin)*(1-0.05))</formula>
    </cfRule>
    <cfRule type="expression" dxfId="5" priority="3">
      <formula>ISNUMBER(Z7)</formula>
    </cfRule>
  </conditionalFormatting>
  <dataValidations count="14">
    <dataValidation type="textLength" allowBlank="1" showInputMessage="1" showErrorMessage="1" errorTitle="Check this entry" error="Text up to 30 characters." promptTitle="Job" prompt="Text up to 30 characters." sqref="B7:B518">
      <formula1>0</formula1>
      <formula2>30</formula2>
    </dataValidation>
    <dataValidation type="textLength" allowBlank="1" showInputMessage="1" showErrorMessage="1" errorTitle="Check this entry" error="Text up to 60 characters." promptTitle="Part" prompt="Text up to 60 characters." sqref="C7:C518">
      <formula1>0</formula1>
      <formula2>60</formula2>
    </dataValidation>
    <dataValidation type="list" allowBlank="1" showInputMessage="1" showErrorMessage="1" errorTitle="Check this entry" error="Pick from the list (edit the list on Setup: Powders)." promptTitle="Powder" prompt="Pick from the list (edit the list on Setup: Powders)." sqref="D7:D518">
      <formula1>Powders</formula1>
    </dataValidation>
    <dataValidation type="whole" allowBlank="1" showInputMessage="1" showErrorMessage="1" errorTitle="Check this entry" error="Enter a whole number from 1 to 10,000,000." promptTitle="Good parts" prompt="Good coated parts to ship. Enter a whole number from 1 to 10,000,000." sqref="E7:E518">
      <formula1>1</formula1>
      <formula2>10000000</formula2>
    </dataValidation>
    <dataValidation type="decimal" allowBlank="1" showInputMessage="1" showErrorMessage="1" errorTitle="Check this entry" error="Enter a number from 0 to 10,000." promptTitle="Area per part" prompt="Coated surface area of one part, both sides and edges where coated, in the area unit on Setup. Enter a number from 0 to 10,000." sqref="F7:F518">
      <formula1>0</formula1>
      <formula2>10000.0</formula2>
    </dataValidation>
    <dataValidation type="decimal" allowBlank="1" showInputMessage="1" showErrorMessage="1" errorTitle="Check this entry" error="Enter a number from 0 to 2,000." promptTitle="Film thickness" prompt="Average dry film thickness in the film unit on Setup. Enter a number from 0 to 2,000." sqref="G7:G518">
      <formula1>0</formula1>
      <formula2>2000</formula2>
    </dataValidation>
    <dataValidation type="decimal" allowBlank="1" showInputMessage="1" showErrorMessage="1" errorTitle="Check this entry" error="Enter a percentage from 5% to 100% (type 85% or 0.85)." promptTitle="Transfer efficiency" prompt="Share of the powder sprayed that ends up on the part, after reclaim. Measure it: powder used / theoretical. Enter a percentage from 5% to 100% (type 85% or 0.85)." sqref="H7:H518">
      <formula1>0.05</formula1>
      <formula2>1</formula2>
    </dataValidation>
    <dataValidation type="decimal" allowBlank="1" showInputMessage="1" showErrorMessage="1" errorTitle="Check this entry" error="Enter a number from 0.1 to 1,000,000." promptTitle="Parts per hour" prompt="Line throughput for this part: line speed x 60 / hanger pitch x parts per hanger. Enter a number from 0.1 to 1,000,000." sqref="I7:I518">
      <formula1>0.1</formula1>
      <formula2>1000000.0</formula2>
    </dataValidation>
    <dataValidation type="decimal" allowBlank="1" showInputMessage="1" showErrorMessage="1" errorTitle="Check this entry" error="Enter a number from 0 to 1,000." promptTitle="Colour change (min)" prompt="Line minutes lost to the colour change and setup for this job. Enter a number from 0 to 1,000." sqref="J7:J518">
      <formula1>0</formula1>
      <formula2>1000</formula2>
    </dataValidation>
    <dataValidation type="decimal" allowBlank="1" showInputMessage="1" showErrorMessage="1" errorTitle="Check this entry" error="Enter a number from 0 to 1,000." promptTitle="Handling (min/part)" prompt="Off-line labour per part: masking, racking, unmasking, inspection and packing. Enter a number from 0 to 1,000." sqref="K7:K518">
      <formula1>0</formula1>
      <formula2>1000</formula2>
    </dataValidation>
    <dataValidation type="decimal" allowBlank="1" showInputMessage="1" showErrorMessage="1" errorTitle="Check this entry" error="Enter a number from 0 to 100,000." promptTitle="Masking materials" prompt="Plugs, caps, tape and hooks consumed per part coated. Enter a number from 0 to 100,000." sqref="L7:L518">
      <formula1>0</formula1>
      <formula2>100000.0</formula2>
    </dataValidation>
    <dataValidation type="decimal" allowBlank="1" showInputMessage="1" showErrorMessage="1" errorTitle="Check this entry" error="Enter a percentage from 0% to 90% (type 85% or 0.85)." promptTitle="Reject rate" prompt="Share of parts coated that must be stripped and recoated or scrapped (your own records). Enter a percentage from 0% to 90% (type 85% or 0.85)." sqref="M7:M518">
      <formula1>0</formula1>
      <formula2>0.9</formula2>
    </dataValidation>
    <dataValidation type="decimal" allowBlank="1" showInputMessage="1" showErrorMessage="1" errorTitle="Check this entry" error="Enter a number from 0 to 10,000,000." promptTitle="Price" prompt="Quoted price per good part. Leave blank if not priced yet. Enter a number from 0 to 10,000,000." sqref="N7:N518">
      <formula1>0</formula1>
      <formula2>10000000.0</formula2>
    </dataValidation>
    <dataValidation type="textLength" allowBlank="1" showInputMessage="1" showErrorMessage="1" errorTitle="Check this entry" error="Text up to 255 characters." promptTitle="Notes" prompt="Text up to 255 characters." sqref="AF7:AF518">
      <formula1>0</formula1>
      <formula2>255</formula2>
    </dataValidation>
  </dataValidations>
  <hyperlinks>
    <hyperlink ref="AF2" r:id="rId1" tooltip="Free manufacturing calculators and templates"/>
  </hyperlinks>
  <pageMargins left="0.4" right="0.4" top="0.7" bottom="0.65" header="0.3" footer="0.3"/>
  <pageSetup fitToHeight="0" orientation="landscape"/>
  <headerFooter>
    <oddHeader>&amp;L&amp;8MFG Calcs - Powder Coating Cost per Part&amp;R&amp;8&amp;A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72"/>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24</v>
      </c>
      <c r="C2" s="2"/>
      <c r="D2" s="2"/>
      <c r="E2" s="2"/>
      <c r="F2" s="2"/>
      <c r="G2" s="2"/>
      <c r="H2" s="2"/>
      <c r="I2" s="2"/>
      <c r="J2" s="2"/>
      <c r="K2" s="3" t="s">
        <v>2</v>
      </c>
      <c r="L2" s="3"/>
    </row>
    <row r="3" spans="1:12" ht="6" customHeight="1" x14ac:dyDescent="0.25"/>
    <row r="4" spans="1:12" ht="18" customHeight="1" x14ac:dyDescent="0.25">
      <c r="B4" s="46" t="s">
        <v>155</v>
      </c>
      <c r="C4" s="46"/>
      <c r="D4" s="46" t="s">
        <v>156</v>
      </c>
      <c r="E4" s="46"/>
      <c r="F4" s="46"/>
      <c r="G4" s="46" t="s">
        <v>157</v>
      </c>
      <c r="H4" s="46"/>
      <c r="I4" s="46"/>
      <c r="J4" s="46" t="s">
        <v>158</v>
      </c>
      <c r="K4" s="46"/>
      <c r="L4" s="46"/>
    </row>
    <row r="5" spans="1:12" ht="21" customHeight="1" x14ac:dyDescent="0.25">
      <c r="B5" s="47">
        <f>IF((SUM(tblCoat[Job value]))=0,"",(SUM(tblCoat[Job margin]))/(SUM(tblCoat[Job value])))</f>
        <v>0.295947819767292</v>
      </c>
      <c r="C5" s="47"/>
      <c r="D5" s="48">
        <f>COUNTIF(tblCoat[Margin status],"Below target")</f>
        <v>2</v>
      </c>
      <c r="E5" s="48"/>
      <c r="F5" s="48"/>
      <c r="G5" s="49">
        <f>SUM(tblCoat[Powder used (kg)])</f>
        <v>410.976685314685</v>
      </c>
      <c r="H5" s="49"/>
      <c r="I5" s="49"/>
      <c r="J5" s="49">
        <f>SUM(tblCoat[Line hours])</f>
        <v>30.27125</v>
      </c>
      <c r="K5" s="49"/>
      <c r="L5" s="49"/>
    </row>
    <row r="6" spans="1:12" ht="21" customHeight="1" x14ac:dyDescent="0.25">
      <c r="B6" s="47"/>
      <c r="C6" s="47"/>
      <c r="D6" s="48"/>
      <c r="E6" s="48"/>
      <c r="F6" s="48"/>
      <c r="G6" s="49"/>
      <c r="H6" s="49"/>
      <c r="I6" s="49"/>
      <c r="J6" s="49"/>
      <c r="K6" s="49"/>
      <c r="L6" s="49"/>
    </row>
    <row r="7" spans="1:12" x14ac:dyDescent="0.25">
      <c r="B7" s="50">
        <f>TargetMargin</f>
        <v>0.3</v>
      </c>
      <c r="C7" s="50"/>
      <c r="D7" s="51" t="s">
        <v>159</v>
      </c>
      <c r="E7" s="51"/>
      <c r="F7" s="51"/>
      <c r="G7" s="51" t="s">
        <v>160</v>
      </c>
      <c r="H7" s="51"/>
      <c r="I7" s="51"/>
      <c r="J7" s="51" t="s">
        <v>161</v>
      </c>
      <c r="K7" s="51"/>
      <c r="L7" s="51"/>
    </row>
    <row r="8" spans="1:12" ht="18" customHeight="1" x14ac:dyDescent="0.25">
      <c r="B8" s="52" t="str">
        <f>IF(NOT(ISNUMBER(KpiMargin)),"No data",IF(KpiMargin&gt;=(TargetMargin),"On target",IF(KpiMargin&gt;=(TargetMargin)*(1-0.05),"Near target","Below target")))</f>
        <v>Near target</v>
      </c>
      <c r="C8" s="52"/>
      <c r="D8" s="52"/>
      <c r="E8" s="52"/>
      <c r="F8" s="52"/>
      <c r="G8" s="52"/>
      <c r="H8" s="52"/>
      <c r="I8" s="52"/>
      <c r="J8" s="52"/>
      <c r="K8" s="52"/>
      <c r="L8" s="52"/>
    </row>
    <row r="28" spans="2:12" x14ac:dyDescent="0.25">
      <c r="B28" s="32" t="s">
        <v>162</v>
      </c>
      <c r="C28" s="32"/>
      <c r="D28" s="32"/>
      <c r="E28" s="32"/>
      <c r="F28" s="32"/>
      <c r="G28" s="32"/>
      <c r="H28" s="32"/>
      <c r="I28" s="32"/>
      <c r="J28" s="32"/>
      <c r="K28" s="32"/>
      <c r="L28" s="32"/>
    </row>
    <row r="29" spans="2:12" ht="32" customHeight="1" x14ac:dyDescent="0.25">
      <c r="B29" s="53" t="s">
        <v>95</v>
      </c>
      <c r="C29" s="34" t="s">
        <v>96</v>
      </c>
      <c r="D29" s="34"/>
      <c r="E29" s="34" t="s">
        <v>62</v>
      </c>
      <c r="F29" s="34"/>
      <c r="G29" s="34" t="s">
        <v>114</v>
      </c>
      <c r="H29" s="34" t="s">
        <v>63</v>
      </c>
      <c r="I29" s="34" t="s">
        <v>115</v>
      </c>
      <c r="J29" s="34" t="s">
        <v>163</v>
      </c>
      <c r="K29" s="34" t="s">
        <v>116</v>
      </c>
      <c r="L29" s="34" t="s">
        <v>119</v>
      </c>
    </row>
    <row r="30" spans="2:12" ht="14" customHeight="1" x14ac:dyDescent="0.25">
      <c r="B30" s="33"/>
      <c r="C30" s="33"/>
      <c r="D30" s="33"/>
      <c r="E30" s="33"/>
      <c r="F30" s="33"/>
      <c r="G30" s="33" t="str">
        <f>Currency&amp;"/part"</f>
        <v>USD/part</v>
      </c>
      <c r="H30" s="33" t="str">
        <f>Currency&amp;"/part"</f>
        <v>USD/part</v>
      </c>
      <c r="I30" s="33" t="s">
        <v>128</v>
      </c>
      <c r="J30" s="33" t="s">
        <v>123</v>
      </c>
      <c r="K30" s="33"/>
      <c r="L30" s="33" t="str">
        <f>Currency&amp;"/job"</f>
        <v>USD/job</v>
      </c>
    </row>
    <row r="31" spans="2:12" x14ac:dyDescent="0.25">
      <c r="B31" s="54" t="str">
        <f>IFERROR(INDEX(tblCoat[Job],1)&amp;"","")</f>
        <v>PC-301</v>
      </c>
      <c r="C31" s="55" t="str">
        <f>IF($B$31="","",IFERROR(INDEX(tblCoat[Part],MATCH($B$31,tblCoat[Job],0)),""))</f>
        <v>Shelf brackets</v>
      </c>
      <c r="D31" s="55"/>
      <c r="E31" s="55" t="str">
        <f>IF($B$31="","",IFERROR(INDEX(tblCoat[Powder],MATCH($B$31,tblCoat[Job],0)),""))</f>
        <v>Polyester white gloss</v>
      </c>
      <c r="F31" s="55"/>
      <c r="G31" s="36">
        <f>IF($B$31="","",IFERROR(INDEX(tblCoat[Cost per part],MATCH($B$31,tblCoat[Job],0)),""))</f>
        <v>0.637117107371795</v>
      </c>
      <c r="H31" s="36">
        <f>IF($B$31="","",IFERROR(INDEX(tblCoat[Price],MATCH($B$31,tblCoat[Job],0)),""))</f>
        <v>0.95</v>
      </c>
      <c r="I31" s="44">
        <f>IF($B$31="","",IFERROR(INDEX(tblCoat[Margin],MATCH($B$31,tblCoat[Job],0)),""))</f>
        <v>0.329350413292848</v>
      </c>
      <c r="J31" s="56">
        <f>TargetMargin</f>
        <v>0.3</v>
      </c>
      <c r="K31" s="57" t="str">
        <f>IF($B$31="","",IFERROR(INDEX(tblCoat[Margin status],MATCH($B$31,tblCoat[Job],0)),""))</f>
        <v>On target</v>
      </c>
      <c r="L31" s="42">
        <f>IF($B$31="","",IFERROR(INDEX(tblCoat[Job margin],MATCH($B$31,tblCoat[Job],0)),""))</f>
        <v>375.459471153846</v>
      </c>
    </row>
    <row r="32" spans="2:12" x14ac:dyDescent="0.25">
      <c r="B32" s="54" t="str">
        <f>IFERROR(INDEX(tblCoat[Job],2)&amp;"","")</f>
        <v>PC-302</v>
      </c>
      <c r="C32" s="55" t="str">
        <f>IF($B$32="","",IFERROR(INDEX(tblCoat[Part],MATCH($B$32,tblCoat[Job],0)),""))</f>
        <v>Gate panels</v>
      </c>
      <c r="D32" s="55"/>
      <c r="E32" s="55" t="str">
        <f>IF($B$32="","",IFERROR(INDEX(tblCoat[Powder],MATCH($B$32,tblCoat[Job],0)),""))</f>
        <v>Polyester black matt</v>
      </c>
      <c r="F32" s="55"/>
      <c r="G32" s="36">
        <f>IF($B$32="","",IFERROR(INDEX(tblCoat[Cost per part],MATCH($B$32,tblCoat[Job],0)),""))</f>
        <v>17.5100204545455</v>
      </c>
      <c r="H32" s="36">
        <f>IF($B$32="","",IFERROR(INDEX(tblCoat[Price],MATCH($B$32,tblCoat[Job],0)),""))</f>
        <v>26</v>
      </c>
      <c r="I32" s="44">
        <f>IF($B$32="","",IFERROR(INDEX(tblCoat[Margin],MATCH($B$32,tblCoat[Job],0)),""))</f>
        <v>0.326537674825175</v>
      </c>
      <c r="J32" s="56">
        <f>TargetMargin</f>
        <v>0.3</v>
      </c>
      <c r="K32" s="57" t="str">
        <f>IF($B$32="","",IFERROR(INDEX(tblCoat[Margin status],MATCH($B$32,tblCoat[Job],0)),""))</f>
        <v>On target</v>
      </c>
      <c r="L32" s="42">
        <f>IF($B$32="","",IFERROR(INDEX(tblCoat[Job margin],MATCH($B$32,tblCoat[Job],0)),""))</f>
        <v>679.198363636364</v>
      </c>
    </row>
    <row r="33" spans="2:12" x14ac:dyDescent="0.25">
      <c r="B33" s="54" t="str">
        <f>IFERROR(INDEX(tblCoat[Job],3)&amp;"","")</f>
        <v>PC-303</v>
      </c>
      <c r="C33" s="55" t="str">
        <f>IF($B$33="","",IFERROR(INDEX(tblCoat[Part],MATCH($B$33,tblCoat[Job],0)),""))</f>
        <v>Enclosure lids</v>
      </c>
      <c r="D33" s="55"/>
      <c r="E33" s="55" t="str">
        <f>IF($B$33="","",IFERROR(INDEX(tblCoat[Powder],MATCH($B$33,tblCoat[Job],0)),""))</f>
        <v>Polyester textured black</v>
      </c>
      <c r="F33" s="55"/>
      <c r="G33" s="36">
        <f>IF($B$33="","",IFERROR(INDEX(tblCoat[Cost per part],MATCH($B$33,tblCoat[Job],0)),""))</f>
        <v>3.4035005</v>
      </c>
      <c r="H33" s="36">
        <f>IF($B$33="","",IFERROR(INDEX(tblCoat[Price],MATCH($B$33,tblCoat[Job],0)),""))</f>
        <v>5</v>
      </c>
      <c r="I33" s="44">
        <f>IF($B$33="","",IFERROR(INDEX(tblCoat[Margin],MATCH($B$33,tblCoat[Job],0)),""))</f>
        <v>0.3192999</v>
      </c>
      <c r="J33" s="56">
        <f>TargetMargin</f>
        <v>0.3</v>
      </c>
      <c r="K33" s="57" t="str">
        <f>IF($B$33="","",IFERROR(INDEX(tblCoat[Margin status],MATCH($B$33,tblCoat[Job],0)),""))</f>
        <v>On target</v>
      </c>
      <c r="L33" s="42">
        <f>IF($B$33="","",IFERROR(INDEX(tblCoat[Job margin],MATCH($B$33,tblCoat[Job],0)),""))</f>
        <v>638.5998</v>
      </c>
    </row>
    <row r="34" spans="2:12" x14ac:dyDescent="0.25">
      <c r="B34" s="54" t="str">
        <f>IFERROR(INDEX(tblCoat[Job],4)&amp;"","")</f>
        <v>PC-304</v>
      </c>
      <c r="C34" s="55" t="str">
        <f>IF($B$34="","",IFERROR(INDEX(tblCoat[Part],MATCH($B$34,tblCoat[Job],0)),""))</f>
        <v>Railing posts</v>
      </c>
      <c r="D34" s="55"/>
      <c r="E34" s="55" t="str">
        <f>IF($B$34="","",IFERROR(INDEX(tblCoat[Powder],MATCH($B$34,tblCoat[Job],0)),""))</f>
        <v>Epoxy primer grey</v>
      </c>
      <c r="F34" s="55"/>
      <c r="G34" s="36">
        <f>IF($B$34="","",IFERROR(INDEX(tblCoat[Cost per part],MATCH($B$34,tblCoat[Job],0)),""))</f>
        <v>5.45054755555556</v>
      </c>
      <c r="H34" s="36">
        <f>IF($B$34="","",IFERROR(INDEX(tblCoat[Price],MATCH($B$34,tblCoat[Job],0)),""))</f>
        <v>8</v>
      </c>
      <c r="I34" s="44">
        <f>IF($B$34="","",IFERROR(INDEX(tblCoat[Margin],MATCH($B$34,tblCoat[Job],0)),""))</f>
        <v>0.318681555555556</v>
      </c>
      <c r="J34" s="56">
        <f>TargetMargin</f>
        <v>0.3</v>
      </c>
      <c r="K34" s="57" t="str">
        <f>IF($B$34="","",IFERROR(INDEX(tblCoat[Margin status],MATCH($B$34,tblCoat[Job],0)),""))</f>
        <v>On target</v>
      </c>
      <c r="L34" s="42">
        <f>IF($B$34="","",IFERROR(INDEX(tblCoat[Job margin],MATCH($B$34,tblCoat[Job],0)),""))</f>
        <v>382.417866666667</v>
      </c>
    </row>
    <row r="35" spans="2:12" x14ac:dyDescent="0.25">
      <c r="B35" s="54" t="str">
        <f>IFERROR(INDEX(tblCoat[Job],5)&amp;"","")</f>
        <v>PC-305</v>
      </c>
      <c r="C35" s="55" t="str">
        <f>IF($B$35="","",IFERROR(INDEX(tblCoat[Part],MATCH($B$35,tblCoat[Job],0)),""))</f>
        <v>Bicycle frames</v>
      </c>
      <c r="D35" s="55"/>
      <c r="E35" s="55" t="str">
        <f>IF($B$35="","",IFERROR(INDEX(tblCoat[Powder],MATCH($B$35,tblCoat[Job],0)),""))</f>
        <v>Super-durable bronze</v>
      </c>
      <c r="F35" s="55"/>
      <c r="G35" s="36">
        <f>IF($B$35="","",IFERROR(INDEX(tblCoat[Cost per part],MATCH($B$35,tblCoat[Job],0)),""))</f>
        <v>15.5417264756288</v>
      </c>
      <c r="H35" s="36">
        <f>IF($B$35="","",IFERROR(INDEX(tblCoat[Price],MATCH($B$35,tblCoat[Job],0)),""))</f>
        <v>17.5</v>
      </c>
      <c r="I35" s="44">
        <f>IF($B$35="","",IFERROR(INDEX(tblCoat[Margin],MATCH($B$35,tblCoat[Job],0)),""))</f>
        <v>0.111901344249782</v>
      </c>
      <c r="J35" s="56">
        <f>TargetMargin</f>
        <v>0.3</v>
      </c>
      <c r="K35" s="57" t="str">
        <f>IF($B$35="","",IFERROR(INDEX(tblCoat[Margin status],MATCH($B$35,tblCoat[Job],0)),""))</f>
        <v>Below target</v>
      </c>
      <c r="L35" s="42">
        <f>IF($B$35="","",IFERROR(INDEX(tblCoat[Job margin],MATCH($B$35,tblCoat[Job],0)),""))</f>
        <v>117.496411462271</v>
      </c>
    </row>
    <row r="36" spans="2:12" x14ac:dyDescent="0.25">
      <c r="B36" s="54" t="str">
        <f>IFERROR(INDEX(tblCoat[Job],6)&amp;"","")</f>
        <v>PC-306</v>
      </c>
      <c r="C36" s="55" t="str">
        <f>IF($B$36="","",IFERROR(INDEX(tblCoat[Part],MATCH($B$36,tblCoat[Job],0)),""))</f>
        <v>Machine guards</v>
      </c>
      <c r="D36" s="55"/>
      <c r="E36" s="55" t="str">
        <f>IF($B$36="","",IFERROR(INDEX(tblCoat[Powder],MATCH($B$36,tblCoat[Job],0)),""))</f>
        <v>Polyester white gloss</v>
      </c>
      <c r="F36" s="55"/>
      <c r="G36" s="36">
        <f>IF($B$36="","",IFERROR(INDEX(tblCoat[Cost per part],MATCH($B$36,tblCoat[Job],0)),""))</f>
        <v>6.175399</v>
      </c>
      <c r="H36" s="36">
        <f>IF($B$36="","",IFERROR(INDEX(tblCoat[Price],MATCH($B$36,tblCoat[Job],0)),""))</f>
        <v>9</v>
      </c>
      <c r="I36" s="44">
        <f>IF($B$36="","",IFERROR(INDEX(tblCoat[Margin],MATCH($B$36,tblCoat[Job],0)),""))</f>
        <v>0.313844555555556</v>
      </c>
      <c r="J36" s="56">
        <f>TargetMargin</f>
        <v>0.3</v>
      </c>
      <c r="K36" s="57" t="str">
        <f>IF($B$36="","",IFERROR(INDEX(tblCoat[Margin status],MATCH($B$36,tblCoat[Job],0)),""))</f>
        <v>On target</v>
      </c>
      <c r="L36" s="42">
        <f>IF($B$36="","",IFERROR(INDEX(tblCoat[Job margin],MATCH($B$36,tblCoat[Job],0)),""))</f>
        <v>706.15025</v>
      </c>
    </row>
    <row r="37" spans="2:12" x14ac:dyDescent="0.25">
      <c r="B37" s="54" t="str">
        <f>IFERROR(INDEX(tblCoat[Job],7)&amp;"","")</f>
        <v>PC-307</v>
      </c>
      <c r="C37" s="55" t="str">
        <f>IF($B$37="","",IFERROR(INDEX(tblCoat[Part],MATCH($B$37,tblCoat[Job],0)),""))</f>
        <v>Wire baskets</v>
      </c>
      <c r="D37" s="55"/>
      <c r="E37" s="55" t="str">
        <f>IF($B$37="","",IFERROR(INDEX(tblCoat[Powder],MATCH($B$37,tblCoat[Job],0)),""))</f>
        <v>Polyester black matt</v>
      </c>
      <c r="F37" s="55"/>
      <c r="G37" s="36">
        <f>IF($B$37="","",IFERROR(INDEX(tblCoat[Cost per part],MATCH($B$37,tblCoat[Job],0)),""))</f>
        <v>3.204297</v>
      </c>
      <c r="H37" s="36">
        <f>IF($B$37="","",IFERROR(INDEX(tblCoat[Price],MATCH($B$37,tblCoat[Job],0)),""))</f>
        <v>4.5</v>
      </c>
      <c r="I37" s="44">
        <f>IF($B$37="","",IFERROR(INDEX(tblCoat[Margin],MATCH($B$37,tblCoat[Job],0)),""))</f>
        <v>0.287934</v>
      </c>
      <c r="J37" s="56">
        <f>TargetMargin</f>
        <v>0.3</v>
      </c>
      <c r="K37" s="57" t="str">
        <f>IF($B$37="","",IFERROR(INDEX(tblCoat[Margin status],MATCH($B$37,tblCoat[Job],0)),""))</f>
        <v>Near target</v>
      </c>
      <c r="L37" s="42">
        <f>IF($B$37="","",IFERROR(INDEX(tblCoat[Job margin],MATCH($B$37,tblCoat[Job],0)),""))</f>
        <v>647.8515</v>
      </c>
    </row>
    <row r="38" spans="2:12" x14ac:dyDescent="0.25">
      <c r="B38" s="54" t="str">
        <f>IFERROR(INDEX(tblCoat[Job],8)&amp;"","")</f>
        <v>PC-308</v>
      </c>
      <c r="C38" s="55" t="str">
        <f>IF($B$38="","",IFERROR(INDEX(tblCoat[Part],MATCH($B$38,tblCoat[Job],0)),""))</f>
        <v>Patio chair frames</v>
      </c>
      <c r="D38" s="55"/>
      <c r="E38" s="55" t="str">
        <f>IF($B$38="","",IFERROR(INDEX(tblCoat[Powder],MATCH($B$38,tblCoat[Job],0)),""))</f>
        <v>Super-durable bronze</v>
      </c>
      <c r="F38" s="55"/>
      <c r="G38" s="36">
        <f>IF($B$38="","",IFERROR(INDEX(tblCoat[Cost per part],MATCH($B$38,tblCoat[Job],0)),""))</f>
        <v>14.9723361582951</v>
      </c>
      <c r="H38" s="36">
        <f>IF($B$38="","",IFERROR(INDEX(tblCoat[Price],MATCH($B$38,tblCoat[Job],0)),""))</f>
        <v>21</v>
      </c>
      <c r="I38" s="44">
        <f>IF($B$38="","",IFERROR(INDEX(tblCoat[Margin],MATCH($B$38,tblCoat[Job],0)),""))</f>
        <v>0.287031611509756</v>
      </c>
      <c r="J38" s="56">
        <f>TargetMargin</f>
        <v>0.3</v>
      </c>
      <c r="K38" s="57" t="str">
        <f>IF($B$38="","",IFERROR(INDEX(tblCoat[Margin status],MATCH($B$38,tblCoat[Job],0)),""))</f>
        <v>Near target</v>
      </c>
      <c r="L38" s="42">
        <f>IF($B$38="","",IFERROR(INDEX(tblCoat[Job margin],MATCH($B$38,tblCoat[Job],0)),""))</f>
        <v>723.319661004586</v>
      </c>
    </row>
    <row r="39" spans="2:12" x14ac:dyDescent="0.25">
      <c r="B39" s="54" t="str">
        <f>IFERROR(INDEX(tblCoat[Job],9)&amp;"","")</f>
        <v>PC-309</v>
      </c>
      <c r="C39" s="55" t="str">
        <f>IF($B$39="","",IFERROR(INDEX(tblCoat[Part],MATCH($B$39,tblCoat[Job],0)),""))</f>
        <v>Mounting brackets</v>
      </c>
      <c r="D39" s="55"/>
      <c r="E39" s="55" t="str">
        <f>IF($B$39="","",IFERROR(INDEX(tblCoat[Powder],MATCH($B$39,tblCoat[Job],0)),""))</f>
        <v>Zinc-rich epoxy primer</v>
      </c>
      <c r="F39" s="55"/>
      <c r="G39" s="36">
        <f>IF($B$39="","",IFERROR(INDEX(tblCoat[Cost per part],MATCH($B$39,tblCoat[Job],0)),""))</f>
        <v>1.80605111111111</v>
      </c>
      <c r="H39" s="36">
        <f>IF($B$39="","",IFERROR(INDEX(tblCoat[Price],MATCH($B$39,tblCoat[Job],0)),""))</f>
        <v>2.1</v>
      </c>
      <c r="I39" s="44">
        <f>IF($B$39="","",IFERROR(INDEX(tblCoat[Margin],MATCH($B$39,tblCoat[Job],0)),""))</f>
        <v>0.139975661375661</v>
      </c>
      <c r="J39" s="56">
        <f>TargetMargin</f>
        <v>0.3</v>
      </c>
      <c r="K39" s="57" t="str">
        <f>IF($B$39="","",IFERROR(INDEX(tblCoat[Margin status],MATCH($B$39,tblCoat[Job],0)),""))</f>
        <v>Below target</v>
      </c>
      <c r="L39" s="42">
        <f>IF($B$39="","",IFERROR(INDEX(tblCoat[Job margin],MATCH($B$39,tblCoat[Job],0)),""))</f>
        <v>88.1846666666667</v>
      </c>
    </row>
    <row r="40" spans="2:12" x14ac:dyDescent="0.25">
      <c r="B40" s="54" t="str">
        <f>IFERROR(INDEX(tblCoat[Job],10)&amp;"","")</f>
        <v>PC-310</v>
      </c>
      <c r="C40" s="55" t="str">
        <f>IF($B$40="","",IFERROR(INDEX(tblCoat[Part],MATCH($B$40,tblCoat[Job],0)),""))</f>
        <v>Control cabinets</v>
      </c>
      <c r="D40" s="55"/>
      <c r="E40" s="55" t="str">
        <f>IF($B$40="","",IFERROR(INDEX(tblCoat[Powder],MATCH($B$40,tblCoat[Job],0)),""))</f>
        <v>Polyester textured black</v>
      </c>
      <c r="F40" s="55"/>
      <c r="G40" s="36">
        <f>IF($B$40="","",IFERROR(INDEX(tblCoat[Cost per part],MATCH($B$40,tblCoat[Job],0)),""))</f>
        <v>29.38645</v>
      </c>
      <c r="H40" s="36">
        <f>IF($B$40="","",IFERROR(INDEX(tblCoat[Price],MATCH($B$40,tblCoat[Job],0)),""))</f>
        <v>44</v>
      </c>
      <c r="I40" s="44">
        <f>IF($B$40="","",IFERROR(INDEX(tblCoat[Margin],MATCH($B$40,tblCoat[Job],0)),""))</f>
        <v>0.332126136363636</v>
      </c>
      <c r="J40" s="56">
        <f>TargetMargin</f>
        <v>0.3</v>
      </c>
      <c r="K40" s="57" t="str">
        <f>IF($B$40="","",IFERROR(INDEX(tblCoat[Margin status],MATCH($B$40,tblCoat[Job],0)),""))</f>
        <v>On target</v>
      </c>
      <c r="L40" s="42">
        <f>IF($B$40="","",IFERROR(INDEX(tblCoat[Job margin],MATCH($B$40,tblCoat[Job],0)),""))</f>
        <v>584.542</v>
      </c>
    </row>
    <row r="41" spans="2:12" x14ac:dyDescent="0.25">
      <c r="B41" s="54" t="str">
        <f>IFERROR(INDEX(tblCoat[Job],11)&amp;"","")</f>
        <v>PC-311</v>
      </c>
      <c r="C41" s="55" t="str">
        <f>IF($B$41="","",IFERROR(INDEX(tblCoat[Part],MATCH($B$41,tblCoat[Job],0)),""))</f>
        <v>Heater housings</v>
      </c>
      <c r="D41" s="55"/>
      <c r="E41" s="55" t="str">
        <f>IF($B$41="","",IFERROR(INDEX(tblCoat[Powder],MATCH($B$41,tblCoat[Job],0)),""))</f>
        <v>Polyester white gloss</v>
      </c>
      <c r="F41" s="55"/>
      <c r="G41" s="36">
        <f>IF($B$41="","",IFERROR(INDEX(tblCoat[Cost per part],MATCH($B$41,tblCoat[Job],0)),""))</f>
        <v>1.51302250854701</v>
      </c>
      <c r="H41" s="36">
        <f>IF($B$41="","",IFERROR(INDEX(tblCoat[Price],MATCH($B$41,tblCoat[Job],0)),""))</f>
        <v>2.2</v>
      </c>
      <c r="I41" s="44">
        <f>IF($B$41="","",IFERROR(INDEX(tblCoat[Margin],MATCH($B$41,tblCoat[Job],0)),""))</f>
        <v>0.312262496114996</v>
      </c>
      <c r="J41" s="56">
        <f>TargetMargin</f>
        <v>0.3</v>
      </c>
      <c r="K41" s="57" t="str">
        <f>IF($B$41="","",IFERROR(INDEX(tblCoat[Margin status],MATCH($B$41,tblCoat[Job],0)),""))</f>
        <v>On target</v>
      </c>
      <c r="L41" s="42">
        <f>IF($B$41="","",IFERROR(INDEX(tblCoat[Job margin],MATCH($B$41,tblCoat[Job],0)),""))</f>
        <v>412.186494871795</v>
      </c>
    </row>
    <row r="42" spans="2:12" x14ac:dyDescent="0.25">
      <c r="B42" s="54" t="str">
        <f>IFERROR(INDEX(tblCoat[Job],12)&amp;"","")</f>
        <v>PC-312</v>
      </c>
      <c r="C42" s="55" t="str">
        <f>IF($B$42="","",IFERROR(INDEX(tblCoat[Part],MATCH($B$42,tblCoat[Job],0)),""))</f>
        <v>Trailer fenders</v>
      </c>
      <c r="D42" s="55"/>
      <c r="E42" s="55" t="str">
        <f>IF($B$42="","",IFERROR(INDEX(tblCoat[Powder],MATCH($B$42,tblCoat[Job],0)),""))</f>
        <v>Polyester black matt</v>
      </c>
      <c r="F42" s="55"/>
      <c r="G42" s="36">
        <f>IF($B$42="","",IFERROR(INDEX(tblCoat[Cost per part],MATCH($B$42,tblCoat[Job],0)),""))</f>
        <v>8.84424</v>
      </c>
      <c r="H42" s="36">
        <f>IF($B$42="","",IFERROR(INDEX(tblCoat[Price],MATCH($B$42,tblCoat[Job],0)),""))</f>
        <v>13</v>
      </c>
      <c r="I42" s="44">
        <f>IF($B$42="","",IFERROR(INDEX(tblCoat[Margin],MATCH($B$42,tblCoat[Job],0)),""))</f>
        <v>0.319673846153846</v>
      </c>
      <c r="J42" s="56">
        <f>TargetMargin</f>
        <v>0.3</v>
      </c>
      <c r="K42" s="57" t="str">
        <f>IF($B$42="","",IFERROR(INDEX(tblCoat[Margin status],MATCH($B$42,tblCoat[Job],0)),""))</f>
        <v>On target</v>
      </c>
      <c r="L42" s="42">
        <f>IF($B$42="","",IFERROR(INDEX(tblCoat[Job margin],MATCH($B$42,tblCoat[Job],0)),""))</f>
        <v>415.576</v>
      </c>
    </row>
    <row r="44" spans="2:12" x14ac:dyDescent="0.25">
      <c r="B44" s="32" t="s">
        <v>164</v>
      </c>
      <c r="C44" s="32"/>
      <c r="D44" s="32"/>
      <c r="E44" s="32"/>
      <c r="F44" s="32"/>
      <c r="G44" s="32"/>
    </row>
    <row r="45" spans="2:12" ht="32" customHeight="1" x14ac:dyDescent="0.25">
      <c r="B45" s="53" t="s">
        <v>62</v>
      </c>
      <c r="C45" s="34" t="s">
        <v>165</v>
      </c>
      <c r="D45" s="34" t="s">
        <v>166</v>
      </c>
      <c r="E45" s="34" t="s">
        <v>167</v>
      </c>
      <c r="F45" s="34" t="s">
        <v>117</v>
      </c>
      <c r="G45" s="34" t="s">
        <v>115</v>
      </c>
    </row>
    <row r="46" spans="2:12" ht="14" customHeight="1" x14ac:dyDescent="0.25">
      <c r="B46" s="33"/>
      <c r="C46" s="33" t="s">
        <v>168</v>
      </c>
      <c r="D46" s="33" t="s">
        <v>88</v>
      </c>
      <c r="E46" s="33" t="str">
        <f>Currency</f>
        <v>USD</v>
      </c>
      <c r="F46" s="33" t="str">
        <f>Currency</f>
        <v>USD</v>
      </c>
      <c r="G46" s="33" t="s">
        <v>128</v>
      </c>
    </row>
    <row r="47" spans="2:12" x14ac:dyDescent="0.25">
      <c r="B47" s="54" t="str">
        <f>IFERROR(INDEX(tblPowders[Powder],1)&amp;"","")</f>
        <v>Polyester white gloss</v>
      </c>
      <c r="C47" s="42">
        <f>IF($B$47="","",COUNTIF(tblCoat[Powder],$B$47))</f>
        <v>3</v>
      </c>
      <c r="D47" s="41">
        <f>IF($B$47="","",SUMIFS(tblCoat[Powder used (kg)],tblCoat[Powder],$B$47))</f>
        <v>83.0333807692308</v>
      </c>
      <c r="E47" s="42">
        <f>IF($B$47="","",SUMIFS(tblCoat[Powder used (kg)],tblCoat[Powder],$B$47)*IFERROR(INDEX(tblPowders[Cost per kg],MATCH($B$47,tblPowders[Powder],0)),0))</f>
        <v>788.817117307692</v>
      </c>
      <c r="F47" s="42">
        <f>IF($B$47="","",SUMIFS(tblCoat[Job cost],tblCoat[Powder],$B$47))</f>
        <v>3216.20378397436</v>
      </c>
      <c r="G47" s="44">
        <f>IF($B$47="","",IF((SUMIFS(tblCoat[Job value],tblCoat[Powder],$B$47))=0,"",(SUMIFS(tblCoat[Job margin],tblCoat[Powder],$B$47))/(SUMIFS(tblCoat[Job value],tblCoat[Powder],$B$47))))</f>
        <v>0.317154185992705</v>
      </c>
    </row>
    <row r="48" spans="2:12" x14ac:dyDescent="0.25">
      <c r="B48" s="54" t="str">
        <f>IFERROR(INDEX(tblPowders[Powder],2)&amp;"","")</f>
        <v>Polyester black matt</v>
      </c>
      <c r="C48" s="42">
        <f>IF($B$48="","",COUNTIF(tblCoat[Powder],$B$48))</f>
        <v>3</v>
      </c>
      <c r="D48" s="41">
        <f>IF($B$48="","",SUMIFS(tblCoat[Powder used (kg)],tblCoat[Powder],$B$48))</f>
        <v>165.085454545455</v>
      </c>
      <c r="E48" s="42">
        <f>IF($B$48="","",SUMIFS(tblCoat[Powder used (kg)],tblCoat[Powder],$B$48)*IFERROR(INDEX(tblPowders[Cost per kg],MATCH($B$48,tblPowders[Powder],0)),0))</f>
        <v>1683.87163636364</v>
      </c>
      <c r="F48" s="42">
        <f>IF($B$48="","",SUMIFS(tblCoat[Job cost],tblCoat[Powder],$B$48))</f>
        <v>3887.37413636364</v>
      </c>
      <c r="G48" s="44">
        <f>IF($B$48="","",IF((SUMIFS(tblCoat[Job value],tblCoat[Powder],$B$48))=0,"",(SUMIFS(tblCoat[Job margin],tblCoat[Powder],$B$48))/(SUMIFS(tblCoat[Job value],tblCoat[Powder],$B$48))))</f>
        <v>0.309525020184079</v>
      </c>
    </row>
    <row r="49" spans="2:7" x14ac:dyDescent="0.25">
      <c r="B49" s="54" t="str">
        <f>IFERROR(INDEX(tblPowders[Powder],3)&amp;"","")</f>
        <v>Polyester textured black</v>
      </c>
      <c r="C49" s="42">
        <f>IF($B$49="","",COUNTIF(tblCoat[Powder],$B$49))</f>
        <v>2</v>
      </c>
      <c r="D49" s="41">
        <f>IF($B$49="","",SUMIFS(tblCoat[Powder used (kg)],tblCoat[Powder],$B$49))</f>
        <v>64.06245</v>
      </c>
      <c r="E49" s="42">
        <f>IF($B$49="","",SUMIFS(tblCoat[Powder used (kg)],tblCoat[Powder],$B$49)*IFERROR(INDEX(tblPowders[Cost per kg],MATCH($B$49,tblPowders[Powder],0)),0))</f>
        <v>704.68695</v>
      </c>
      <c r="F49" s="42">
        <f>IF($B$49="","",SUMIFS(tblCoat[Job cost],tblCoat[Powder],$B$49))</f>
        <v>2536.8582</v>
      </c>
      <c r="G49" s="44">
        <f>IF($B$49="","",IF((SUMIFS(tblCoat[Job value],tblCoat[Powder],$B$49))=0,"",(SUMIFS(tblCoat[Job margin],tblCoat[Powder],$B$49))/(SUMIFS(tblCoat[Job value],tblCoat[Powder],$B$49))))</f>
        <v>0.325303670212766</v>
      </c>
    </row>
    <row r="50" spans="2:7" x14ac:dyDescent="0.25">
      <c r="B50" s="54" t="str">
        <f>IFERROR(INDEX(tblPowders[Powder],4)&amp;"","")</f>
        <v>Epoxy primer grey</v>
      </c>
      <c r="C50" s="42">
        <f>IF($B$50="","",COUNTIF(tblCoat[Powder],$B$50))</f>
        <v>1</v>
      </c>
      <c r="D50" s="41">
        <f>IF($B$50="","",SUMIFS(tblCoat[Powder used (kg)],tblCoat[Powder],$B$50))</f>
        <v>22.176</v>
      </c>
      <c r="E50" s="42">
        <f>IF($B$50="","",SUMIFS(tblCoat[Powder used (kg)],tblCoat[Powder],$B$50)*IFERROR(INDEX(tblPowders[Cost per kg],MATCH($B$50,tblPowders[Powder],0)),0))</f>
        <v>195.1488</v>
      </c>
      <c r="F50" s="42">
        <f>IF($B$50="","",SUMIFS(tblCoat[Job cost],tblCoat[Powder],$B$50))</f>
        <v>817.582133333333</v>
      </c>
      <c r="G50" s="44">
        <f>IF($B$50="","",IF((SUMIFS(tblCoat[Job value],tblCoat[Powder],$B$50))=0,"",(SUMIFS(tblCoat[Job margin],tblCoat[Powder],$B$50))/(SUMIFS(tblCoat[Job value],tblCoat[Powder],$B$50))))</f>
        <v>0.318681555555556</v>
      </c>
    </row>
    <row r="51" spans="2:7" x14ac:dyDescent="0.25">
      <c r="B51" s="54" t="str">
        <f>IFERROR(INDEX(tblPowders[Powder],5)&amp;"","")</f>
        <v>Super-durable bronze</v>
      </c>
      <c r="C51" s="42">
        <f>IF($B$51="","",COUNTIF(tblCoat[Powder],$B$51))</f>
        <v>2</v>
      </c>
      <c r="D51" s="41">
        <f>IF($B$51="","",SUMIFS(tblCoat[Powder used (kg)],tblCoat[Powder],$B$51))</f>
        <v>64.6464</v>
      </c>
      <c r="E51" s="42">
        <f>IF($B$51="","",SUMIFS(tblCoat[Powder used (kg)],tblCoat[Powder],$B$51)*IFERROR(INDEX(tblPowders[Cost per kg],MATCH($B$51,tblPowders[Powder],0)),0))</f>
        <v>1026.15059419981</v>
      </c>
      <c r="F51" s="42">
        <f>IF($B$51="","",SUMIFS(tblCoat[Job cost],tblCoat[Powder],$B$51))</f>
        <v>2729.18392753314</v>
      </c>
      <c r="G51" s="44">
        <f>IF($B$51="","",IF((SUMIFS(tblCoat[Job value],tblCoat[Powder],$B$51))=0,"",(SUMIFS(tblCoat[Job margin],tblCoat[Powder],$B$51))/(SUMIFS(tblCoat[Job value],tblCoat[Powder],$B$51))))</f>
        <v>0.23552270937447</v>
      </c>
    </row>
    <row r="52" spans="2:7" x14ac:dyDescent="0.25">
      <c r="B52" s="54" t="str">
        <f>IFERROR(INDEX(tblPowders[Powder],6)&amp;"","")</f>
        <v>Zinc-rich epoxy primer</v>
      </c>
      <c r="C52" s="42">
        <f>IF($B$52="","",COUNTIF(tblCoat[Powder],$B$52))</f>
        <v>1</v>
      </c>
      <c r="D52" s="41">
        <f>IF($B$52="","",SUMIFS(tblCoat[Powder used (kg)],tblCoat[Powder],$B$52))</f>
        <v>11.973</v>
      </c>
      <c r="E52" s="42">
        <f>IF($B$52="","",SUMIFS(tblCoat[Powder used (kg)],tblCoat[Powder],$B$52)*IFERROR(INDEX(tblPowders[Cost per kg],MATCH($B$52,tblPowders[Powder],0)),0))</f>
        <v>197.5545</v>
      </c>
      <c r="F52" s="42">
        <f>IF($B$52="","",SUMIFS(tblCoat[Job cost],tblCoat[Powder],$B$52))</f>
        <v>541.815333333333</v>
      </c>
      <c r="G52" s="44">
        <f>IF($B$52="","",IF((SUMIFS(tblCoat[Job value],tblCoat[Powder],$B$52))=0,"",(SUMIFS(tblCoat[Job margin],tblCoat[Powder],$B$52))/(SUMIFS(tblCoat[Job value],tblCoat[Powder],$B$52))))</f>
        <v>0.139975661375661</v>
      </c>
    </row>
    <row r="55" spans="2:7" x14ac:dyDescent="0.25">
      <c r="B55" s="32" t="s">
        <v>169</v>
      </c>
      <c r="C55" s="32"/>
      <c r="D55" s="32"/>
      <c r="E55" s="32"/>
      <c r="F55" s="32"/>
    </row>
    <row r="56" spans="2:7" ht="20" customHeight="1" x14ac:dyDescent="0.25">
      <c r="B56" s="53" t="s">
        <v>95</v>
      </c>
      <c r="C56" s="34" t="s">
        <v>62</v>
      </c>
      <c r="D56" s="34" t="s">
        <v>170</v>
      </c>
      <c r="E56" s="34" t="s">
        <v>171</v>
      </c>
      <c r="F56" s="34" t="s">
        <v>172</v>
      </c>
    </row>
    <row r="57" spans="2:7" ht="14" customHeight="1" x14ac:dyDescent="0.25">
      <c r="B57" s="33"/>
      <c r="C57" s="33" t="s">
        <v>123</v>
      </c>
      <c r="D57" s="33" t="s">
        <v>123</v>
      </c>
      <c r="E57" s="33" t="s">
        <v>123</v>
      </c>
      <c r="F57" s="33" t="s">
        <v>123</v>
      </c>
    </row>
    <row r="58" spans="2:7" x14ac:dyDescent="0.25">
      <c r="B58" s="54" t="str">
        <f>IFERROR(INDEX(tblCoat[Job],1)&amp;"","")</f>
        <v>PC-301</v>
      </c>
      <c r="C58" s="44">
        <f>IF($B$58="","",IFERROR(INDEX(tblCoat[Powder cost],MATCH($B$58,tblCoat[Job],0))/INDEX(tblCoat[Cost per part],MATCH($B$58,tblCoat[Job],0)),""))</f>
        <v>0.114337337980083</v>
      </c>
      <c r="D58" s="44">
        <f>IF($B$58="","",IFERROR(INDEX(tblCoat[Masking cost],MATCH($B$58,tblCoat[Job],0))/INDEX(tblCoat[Cost per part],MATCH($B$58,tblCoat[Job],0)),""))</f>
        <v>0</v>
      </c>
      <c r="E58" s="44">
        <f>IF($B$58="","",IFERROR(INDEX(tblCoat[Line cost],MATCH($B$58,tblCoat[Job],0))/INDEX(tblCoat[Cost per part],MATCH($B$58,tblCoat[Job],0)),""))</f>
        <v>0.512562755294894</v>
      </c>
      <c r="F58" s="44">
        <f>IF($B$58="","",IFERROR(INDEX(tblCoat[Labour cost],MATCH($B$58,tblCoat[Job],0))/INDEX(tblCoat[Cost per part],MATCH($B$58,tblCoat[Job],0)),""))</f>
        <v>0.373099906725023</v>
      </c>
    </row>
    <row r="59" spans="2:7" x14ac:dyDescent="0.25">
      <c r="B59" s="54" t="str">
        <f>IFERROR(INDEX(tblCoat[Job],2)&amp;"","")</f>
        <v>PC-302</v>
      </c>
      <c r="C59" s="44">
        <f>IF($B$59="","",IFERROR(INDEX(tblCoat[Powder cost],MATCH($B$59,tblCoat[Job],0))/INDEX(tblCoat[Cost per part],MATCH($B$59,tblCoat[Job],0)),""))</f>
        <v>0.32028206186873</v>
      </c>
      <c r="D59" s="44">
        <f>IF($B$59="","",IFERROR(INDEX(tblCoat[Masking cost],MATCH($B$59,tblCoat[Job],0))/INDEX(tblCoat[Cost per part],MATCH($B$59,tblCoat[Job],0)),""))</f>
        <v>0.0239862655266614</v>
      </c>
      <c r="E59" s="44">
        <f>IF($B$59="","",IFERROR(INDEX(tblCoat[Line cost],MATCH($B$59,tblCoat[Job],0))/INDEX(tblCoat[Cost per part],MATCH($B$59,tblCoat[Job],0)),""))</f>
        <v>0.378890191317725</v>
      </c>
      <c r="F59" s="44">
        <f>IF($B$59="","",IFERROR(INDEX(tblCoat[Labour cost],MATCH($B$59,tblCoat[Job],0))/INDEX(tblCoat[Cost per part],MATCH($B$59,tblCoat[Job],0)),""))</f>
        <v>0.276841481286884</v>
      </c>
    </row>
    <row r="60" spans="2:7" x14ac:dyDescent="0.25">
      <c r="B60" s="54" t="str">
        <f>IFERROR(INDEX(tblCoat[Job],3)&amp;"","")</f>
        <v>PC-303</v>
      </c>
      <c r="C60" s="44">
        <f>IF($B$60="","",IFERROR(INDEX(tblCoat[Powder cost],MATCH($B$60,tblCoat[Job],0))/INDEX(tblCoat[Cost per part],MATCH($B$60,tblCoat[Job],0)),""))</f>
        <v>0.275803507300792</v>
      </c>
      <c r="D60" s="44">
        <f>IF($B$60="","",IFERROR(INDEX(tblCoat[Masking cost],MATCH($B$60,tblCoat[Job],0))/INDEX(tblCoat[Cost per part],MATCH($B$60,tblCoat[Job],0)),""))</f>
        <v>0.106177448776635</v>
      </c>
      <c r="E60" s="44">
        <f>IF($B$60="","",IFERROR(INDEX(tblCoat[Line cost],MATCH($B$60,tblCoat[Job],0))/INDEX(tblCoat[Cost per part],MATCH($B$60,tblCoat[Job],0)),""))</f>
        <v>0.353243851440598</v>
      </c>
      <c r="F60" s="44">
        <f>IF($B$60="","",IFERROR(INDEX(tblCoat[Labour cost],MATCH($B$60,tblCoat[Job],0))/INDEX(tblCoat[Cost per part],MATCH($B$60,tblCoat[Job],0)),""))</f>
        <v>0.264775192481976</v>
      </c>
    </row>
    <row r="61" spans="2:7" x14ac:dyDescent="0.25">
      <c r="B61" s="54" t="str">
        <f>IFERROR(INDEX(tblCoat[Job],4)&amp;"","")</f>
        <v>PC-304</v>
      </c>
      <c r="C61" s="44">
        <f>IF($B$61="","",IFERROR(INDEX(tblCoat[Powder cost],MATCH($B$61,tblCoat[Job],0))/INDEX(tblCoat[Cost per part],MATCH($B$61,tblCoat[Job],0)),""))</f>
        <v>0.238690147501593</v>
      </c>
      <c r="D61" s="44">
        <f>IF($B$61="","",IFERROR(INDEX(tblCoat[Masking cost],MATCH($B$61,tblCoat[Job],0))/INDEX(tblCoat[Cost per part],MATCH($B$61,tblCoat[Job],0)),""))</f>
        <v>0</v>
      </c>
      <c r="E61" s="44">
        <f>IF($B$61="","",IFERROR(INDEX(tblCoat[Line cost],MATCH($B$61,tblCoat[Job],0))/INDEX(tblCoat[Cost per part],MATCH($B$61,tblCoat[Job],0)),""))</f>
        <v>0.446234474138867</v>
      </c>
      <c r="F61" s="44">
        <f>IF($B$61="","",IFERROR(INDEX(tblCoat[Labour cost],MATCH($B$61,tblCoat[Job],0))/INDEX(tblCoat[Cost per part],MATCH($B$61,tblCoat[Job],0)),""))</f>
        <v>0.31507537835954</v>
      </c>
    </row>
    <row r="62" spans="2:7" x14ac:dyDescent="0.25">
      <c r="B62" s="54" t="str">
        <f>IFERROR(INDEX(tblCoat[Job],5)&amp;"","")</f>
        <v>PC-305</v>
      </c>
      <c r="C62" s="44">
        <f>IF($B$62="","",IFERROR(INDEX(tblCoat[Powder cost],MATCH($B$62,tblCoat[Job],0))/INDEX(tblCoat[Cost per part],MATCH($B$62,tblCoat[Job],0)),""))</f>
        <v>0.228778660472073</v>
      </c>
      <c r="D62" s="44">
        <f>IF($B$62="","",IFERROR(INDEX(tblCoat[Masking cost],MATCH($B$62,tblCoat[Job],0))/INDEX(tblCoat[Cost per part],MATCH($B$62,tblCoat[Job],0)),""))</f>
        <v>0.0823589323880577</v>
      </c>
      <c r="E62" s="44">
        <f>IF($B$62="","",IFERROR(INDEX(tblCoat[Line cost],MATCH($B$62,tblCoat[Job],0))/INDEX(tblCoat[Cost per part],MATCH($B$62,tblCoat[Job],0)),""))</f>
        <v>0.371580339485182</v>
      </c>
      <c r="F62" s="44">
        <f>IF($B$62="","",IFERROR(INDEX(tblCoat[Labour cost],MATCH($B$62,tblCoat[Job],0))/INDEX(tblCoat[Cost per part],MATCH($B$62,tblCoat[Job],0)),""))</f>
        <v>0.317282067654688</v>
      </c>
    </row>
    <row r="63" spans="2:7" x14ac:dyDescent="0.25">
      <c r="B63" s="54" t="str">
        <f>IFERROR(INDEX(tblCoat[Job],6)&amp;"","")</f>
        <v>PC-306</v>
      </c>
      <c r="C63" s="44">
        <f>IF($B$63="","",IFERROR(INDEX(tblCoat[Powder cost],MATCH($B$63,tblCoat[Job],0))/INDEX(tblCoat[Cost per part],MATCH($B$63,tblCoat[Job],0)),""))</f>
        <v>0.315798056125604</v>
      </c>
      <c r="D63" s="44">
        <f>IF($B$63="","",IFERROR(INDEX(tblCoat[Masking cost],MATCH($B$63,tblCoat[Job],0))/INDEX(tblCoat[Cost per part],MATCH($B$63,tblCoat[Job],0)),""))</f>
        <v>0.0167114707891749</v>
      </c>
      <c r="E63" s="44">
        <f>IF($B$63="","",IFERROR(INDEX(tblCoat[Line cost],MATCH($B$63,tblCoat[Job],0))/INDEX(tblCoat[Cost per part],MATCH($B$63,tblCoat[Job],0)),""))</f>
        <v>0.380299313453268</v>
      </c>
      <c r="F63" s="44">
        <f>IF($B$63="","",IFERROR(INDEX(tblCoat[Labour cost],MATCH($B$63,tblCoat[Job],0))/INDEX(tblCoat[Cost per part],MATCH($B$63,tblCoat[Job],0)),""))</f>
        <v>0.287191159631953</v>
      </c>
    </row>
    <row r="64" spans="2:7" x14ac:dyDescent="0.25">
      <c r="B64" s="54" t="str">
        <f>IFERROR(INDEX(tblCoat[Job],7)&amp;"","")</f>
        <v>PC-307</v>
      </c>
      <c r="C64" s="44">
        <f>IF($B$64="","",IFERROR(INDEX(tblCoat[Powder cost],MATCH($B$64,tblCoat[Job],0))/INDEX(tblCoat[Cost per part],MATCH($B$64,tblCoat[Job],0)),""))</f>
        <v>0.585586167574354</v>
      </c>
      <c r="D64" s="44">
        <f>IF($B$64="","",IFERROR(INDEX(tblCoat[Masking cost],MATCH($B$64,tblCoat[Job],0))/INDEX(tblCoat[Cost per part],MATCH($B$64,tblCoat[Job],0)),""))</f>
        <v>0</v>
      </c>
      <c r="E64" s="44">
        <f>IF($B$64="","",IFERROR(INDEX(tblCoat[Line cost],MATCH($B$64,tblCoat[Job],0))/INDEX(tblCoat[Cost per part],MATCH($B$64,tblCoat[Job],0)),""))</f>
        <v>0.245022543166255</v>
      </c>
      <c r="F64" s="44">
        <f>IF($B$64="","",IFERROR(INDEX(tblCoat[Labour cost],MATCH($B$64,tblCoat[Job],0))/INDEX(tblCoat[Cost per part],MATCH($B$64,tblCoat[Job],0)),""))</f>
        <v>0.169391289259391</v>
      </c>
    </row>
    <row r="65" spans="2:12" x14ac:dyDescent="0.25">
      <c r="B65" s="54" t="str">
        <f>IFERROR(INDEX(tblCoat[Job],8)&amp;"","")</f>
        <v>PC-308</v>
      </c>
      <c r="C65" s="44">
        <f>IF($B$65="","",IFERROR(INDEX(tblCoat[Powder cost],MATCH($B$65,tblCoat[Job],0))/INDEX(tblCoat[Cost per part],MATCH($B$65,tblCoat[Job],0)),""))</f>
        <v>0.452397488127031</v>
      </c>
      <c r="D65" s="44">
        <f>IF($B$65="","",IFERROR(INDEX(tblCoat[Masking cost],MATCH($B$65,tblCoat[Job],0))/INDEX(tblCoat[Cost per part],MATCH($B$65,tblCoat[Job],0)),""))</f>
        <v>0.0212057755478657</v>
      </c>
      <c r="E65" s="44">
        <f>IF($B$65="","",IFERROR(INDEX(tblCoat[Line cost],MATCH($B$65,tblCoat[Job],0))/INDEX(tblCoat[Cost per part],MATCH($B$65,tblCoat[Job],0)),""))</f>
        <v>0.305099719059188</v>
      </c>
      <c r="F65" s="44">
        <f>IF($B$65="","",IFERROR(INDEX(tblCoat[Labour cost],MATCH($B$65,tblCoat[Job],0))/INDEX(tblCoat[Cost per part],MATCH($B$65,tblCoat[Job],0)),""))</f>
        <v>0.221297017265916</v>
      </c>
    </row>
    <row r="66" spans="2:12" x14ac:dyDescent="0.25">
      <c r="B66" s="54" t="str">
        <f>IFERROR(INDEX(tblCoat[Job],9)&amp;"","")</f>
        <v>PC-309</v>
      </c>
      <c r="C66" s="44">
        <f>IF($B$66="","",IFERROR(INDEX(tblCoat[Powder cost],MATCH($B$66,tblCoat[Job],0))/INDEX(tblCoat[Cost per part],MATCH($B$66,tblCoat[Job],0)),""))</f>
        <v>0.364615926951741</v>
      </c>
      <c r="D66" s="44">
        <f>IF($B$66="","",IFERROR(INDEX(tblCoat[Masking cost],MATCH($B$66,tblCoat[Job],0))/INDEX(tblCoat[Cost per part],MATCH($B$66,tblCoat[Job],0)),""))</f>
        <v>0</v>
      </c>
      <c r="E66" s="44">
        <f>IF($B$66="","",IFERROR(INDEX(tblCoat[Line cost],MATCH($B$66,tblCoat[Job],0))/INDEX(tblCoat[Cost per part],MATCH($B$66,tblCoat[Job],0)),""))</f>
        <v>0.385994059476599</v>
      </c>
      <c r="F66" s="44">
        <f>IF($B$66="","",IFERROR(INDEX(tblCoat[Labour cost],MATCH($B$66,tblCoat[Job],0))/INDEX(tblCoat[Cost per part],MATCH($B$66,tblCoat[Job],0)),""))</f>
        <v>0.24939001357166</v>
      </c>
    </row>
    <row r="67" spans="2:12" x14ac:dyDescent="0.25">
      <c r="B67" s="54" t="str">
        <f>IFERROR(INDEX(tblCoat[Job],10)&amp;"","")</f>
        <v>PC-310</v>
      </c>
      <c r="C67" s="44">
        <f>IF($B$67="","",IFERROR(INDEX(tblCoat[Powder cost],MATCH($B$67,tblCoat[Job],0))/INDEX(tblCoat[Cost per part],MATCH($B$67,tblCoat[Job],0)),""))</f>
        <v>0.280067854402284</v>
      </c>
      <c r="D67" s="44">
        <f>IF($B$67="","",IFERROR(INDEX(tblCoat[Masking cost],MATCH($B$67,tblCoat[Job],0))/INDEX(tblCoat[Cost per part],MATCH($B$67,tblCoat[Job],0)),""))</f>
        <v>0.0914537142118221</v>
      </c>
      <c r="E67" s="44">
        <f>IF($B$67="","",IFERROR(INDEX(tblCoat[Line cost],MATCH($B$67,tblCoat[Job],0))/INDEX(tblCoat[Cost per part],MATCH($B$67,tblCoat[Job],0)),""))</f>
        <v>0.348587529286457</v>
      </c>
      <c r="F67" s="44">
        <f>IF($B$67="","",IFERROR(INDEX(tblCoat[Labour cost],MATCH($B$67,tblCoat[Job],0))/INDEX(tblCoat[Cost per part],MATCH($B$67,tblCoat[Job],0)),""))</f>
        <v>0.279890902099437</v>
      </c>
    </row>
    <row r="68" spans="2:12" x14ac:dyDescent="0.25">
      <c r="B68" s="54" t="str">
        <f>IFERROR(INDEX(tblCoat[Job],11)&amp;"","")</f>
        <v>PC-311</v>
      </c>
      <c r="C68" s="44">
        <f>IF($B$68="","",IFERROR(INDEX(tblCoat[Powder cost],MATCH($B$68,tblCoat[Job],0))/INDEX(tblCoat[Cost per part],MATCH($B$68,tblCoat[Job],0)),""))</f>
        <v>0.23557353713452</v>
      </c>
      <c r="D68" s="44">
        <f>IF($B$68="","",IFERROR(INDEX(tblCoat[Masking cost],MATCH($B$68,tblCoat[Job],0))/INDEX(tblCoat[Cost per part],MATCH($B$68,tblCoat[Job],0)),""))</f>
        <v>0.033762441103662</v>
      </c>
      <c r="E68" s="44">
        <f>IF($B$68="","",IFERROR(INDEX(tblCoat[Line cost],MATCH($B$68,tblCoat[Job],0))/INDEX(tblCoat[Cost per part],MATCH($B$68,tblCoat[Job],0)),""))</f>
        <v>0.431971982995141</v>
      </c>
      <c r="F68" s="44">
        <f>IF($B$68="","",IFERROR(INDEX(tblCoat[Labour cost],MATCH($B$68,tblCoat[Job],0))/INDEX(tblCoat[Cost per part],MATCH($B$68,tblCoat[Job],0)),""))</f>
        <v>0.298692038766677</v>
      </c>
    </row>
    <row r="69" spans="2:12" x14ac:dyDescent="0.25">
      <c r="B69" s="54" t="str">
        <f>IFERROR(INDEX(tblCoat[Job],12)&amp;"","")</f>
        <v>PC-312</v>
      </c>
      <c r="C69" s="44">
        <f>IF($B$69="","",IFERROR(INDEX(tblCoat[Powder cost],MATCH($B$69,tblCoat[Job],0))/INDEX(tblCoat[Cost per part],MATCH($B$69,tblCoat[Job],0)),""))</f>
        <v>0.335838918889582</v>
      </c>
      <c r="D69" s="44">
        <f>IF($B$69="","",IFERROR(INDEX(tblCoat[Masking cost],MATCH($B$69,tblCoat[Job],0))/INDEX(tblCoat[Cost per part],MATCH($B$69,tblCoat[Job],0)),""))</f>
        <v>0</v>
      </c>
      <c r="E69" s="44">
        <f>IF($B$69="","",IFERROR(INDEX(tblCoat[Line cost],MATCH($B$69,tblCoat[Job],0))/INDEX(tblCoat[Cost per part],MATCH($B$69,tblCoat[Job],0)),""))</f>
        <v>0.385561676300055</v>
      </c>
      <c r="F69" s="44">
        <f>IF($B$69="","",IFERROR(INDEX(tblCoat[Labour cost],MATCH($B$69,tblCoat[Job],0))/INDEX(tblCoat[Cost per part],MATCH($B$69,tblCoat[Job],0)),""))</f>
        <v>0.278599404810362</v>
      </c>
    </row>
    <row r="70" spans="2:12" ht="8" customHeight="1" x14ac:dyDescent="0.25"/>
    <row r="71" spans="2:12" x14ac:dyDescent="0.25">
      <c r="B71" s="21" t="s">
        <v>173</v>
      </c>
      <c r="C71" s="21"/>
      <c r="D71" s="21"/>
      <c r="E71" s="21"/>
      <c r="F71" s="21"/>
      <c r="G71" s="21"/>
      <c r="H71" s="21"/>
      <c r="I71" s="21"/>
      <c r="J71" s="21"/>
      <c r="K71" s="21"/>
      <c r="L71" s="21"/>
    </row>
    <row r="72" spans="2:12" x14ac:dyDescent="0.25">
      <c r="B72" s="58">
        <f>IF(COUNTA(tblCoat[Job])&gt;12,"Coating Jobs lists more than 12 jobs: the charts and the By job table show the first 12.",IF(COUNTA(tblPowders[Powder])&gt;6,"Setup lists more than 6 powders: By powder shows the first 6.",""))</f>
        <v/>
      </c>
      <c r="C72" s="58"/>
      <c r="D72" s="58"/>
      <c r="E72" s="58"/>
      <c r="F72" s="58"/>
      <c r="G72" s="58"/>
      <c r="H72" s="58"/>
      <c r="I72" s="58"/>
      <c r="J72" s="58"/>
      <c r="K72" s="58"/>
      <c r="L72" s="58"/>
    </row>
  </sheetData>
  <sheetProtection sheet="1" formatColumns="0" formatRows="0"/>
  <mergeCells count="52">
    <mergeCell ref="A1:L1"/>
    <mergeCell ref="B2:J2"/>
    <mergeCell ref="K2:L2"/>
    <mergeCell ref="B4:C4"/>
    <mergeCell ref="B5:C6"/>
    <mergeCell ref="B7:C7"/>
    <mergeCell ref="B8:C8"/>
    <mergeCell ref="D4:F4"/>
    <mergeCell ref="D5:F6"/>
    <mergeCell ref="D7:F7"/>
    <mergeCell ref="D8:F8"/>
    <mergeCell ref="G4:I4"/>
    <mergeCell ref="G5:I6"/>
    <mergeCell ref="G7:I7"/>
    <mergeCell ref="G8:I8"/>
    <mergeCell ref="J4:L4"/>
    <mergeCell ref="J5:L6"/>
    <mergeCell ref="J7:L7"/>
    <mergeCell ref="J8:L8"/>
    <mergeCell ref="B28:L28"/>
    <mergeCell ref="C29:D29"/>
    <mergeCell ref="E29:F29"/>
    <mergeCell ref="C30:D30"/>
    <mergeCell ref="E30:F30"/>
    <mergeCell ref="C31:D31"/>
    <mergeCell ref="C32:D32"/>
    <mergeCell ref="C33:D33"/>
    <mergeCell ref="C34:D34"/>
    <mergeCell ref="C35:D35"/>
    <mergeCell ref="C36:D36"/>
    <mergeCell ref="C37:D37"/>
    <mergeCell ref="C38:D38"/>
    <mergeCell ref="C39:D39"/>
    <mergeCell ref="C40:D40"/>
    <mergeCell ref="C41:D41"/>
    <mergeCell ref="C42:D42"/>
    <mergeCell ref="E31:F31"/>
    <mergeCell ref="E32:F32"/>
    <mergeCell ref="E33:F33"/>
    <mergeCell ref="E34:F34"/>
    <mergeCell ref="E35:F35"/>
    <mergeCell ref="E36:F36"/>
    <mergeCell ref="E37:F37"/>
    <mergeCell ref="E38:F38"/>
    <mergeCell ref="E39:F39"/>
    <mergeCell ref="E40:F40"/>
    <mergeCell ref="E41:F41"/>
    <mergeCell ref="E42:F42"/>
    <mergeCell ref="B44:G44"/>
    <mergeCell ref="B55:F55"/>
    <mergeCell ref="B71:L71"/>
    <mergeCell ref="B72:L72"/>
  </mergeCells>
  <conditionalFormatting sqref="B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47:D52">
    <cfRule type="dataBar" priority="44">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G47:G52">
    <cfRule type="expression" dxfId="3" priority="45" stopIfTrue="1">
      <formula>AND(ISNUMBER(G47),G47&gt;=(TargetMargin))</formula>
    </cfRule>
    <cfRule type="expression" dxfId="4" priority="46" stopIfTrue="1">
      <formula>AND(ISNUMBER(G47),G47&gt;=(TargetMargin)*(1-0.05))</formula>
    </cfRule>
    <cfRule type="expression" dxfId="5" priority="47">
      <formula>ISNUMBER(G47)</formula>
    </cfRule>
  </conditionalFormatting>
  <conditionalFormatting sqref="I31:I42">
    <cfRule type="expression" dxfId="3" priority="21" stopIfTrue="1">
      <formula>AND(ISNUMBER(I31),I31&gt;=(TargetMargin))</formula>
    </cfRule>
    <cfRule type="expression" dxfId="4" priority="22" stopIfTrue="1">
      <formula>AND(ISNUMBER(I31),I31&gt;=(TargetMargin)*(1-0.05))</formula>
    </cfRule>
    <cfRule type="expression" dxfId="5" priority="23">
      <formula>ISNUMBER(I31)</formula>
    </cfRule>
  </conditionalFormatting>
  <conditionalFormatting sqref="K31:K42">
    <cfRule type="cellIs" dxfId="0" priority="24" operator="equal">
      <formula>"On target"</formula>
    </cfRule>
    <cfRule type="cellIs" dxfId="0" priority="25" operator="equal">
      <formula>"PASS"</formula>
    </cfRule>
    <cfRule type="cellIs" dxfId="0" priority="26" operator="equal">
      <formula>"OK"</formula>
    </cfRule>
    <cfRule type="cellIs" dxfId="0" priority="27" operator="equal">
      <formula>"Within limits"</formula>
    </cfRule>
    <cfRule type="cellIs" dxfId="0" priority="28" operator="equal">
      <formula>"Under capacity"</formula>
    </cfRule>
    <cfRule type="cellIs" dxfId="0" priority="29" operator="equal">
      <formula>"Complete"</formula>
    </cfRule>
    <cfRule type="cellIs" dxfId="0" priority="30" operator="equal">
      <formula>"Yes"</formula>
    </cfRule>
    <cfRule type="cellIs" dxfId="1" priority="31" operator="equal">
      <formula>"Near target"</formula>
    </cfRule>
    <cfRule type="cellIs" dxfId="1" priority="32" operator="equal">
      <formula>"Check"</formula>
    </cfRule>
    <cfRule type="cellIs" dxfId="1" priority="33" operator="equal">
      <formula>"Due soon"</formula>
    </cfRule>
    <cfRule type="cellIs" dxfId="1" priority="34" operator="equal">
      <formula>"Near capacity"</formula>
    </cfRule>
    <cfRule type="cellIs" dxfId="1" priority="35" operator="equal">
      <formula>"In progress"</formula>
    </cfRule>
    <cfRule type="cellIs" dxfId="1" priority="36" operator="equal">
      <formula>"Partial"</formula>
    </cfRule>
    <cfRule type="cellIs" dxfId="2" priority="37" operator="equal">
      <formula>"Below target"</formula>
    </cfRule>
    <cfRule type="cellIs" dxfId="2" priority="38" operator="equal">
      <formula>"Above target"</formula>
    </cfRule>
    <cfRule type="cellIs" dxfId="2" priority="39" operator="equal">
      <formula>"FAIL"</formula>
    </cfRule>
    <cfRule type="cellIs" dxfId="2" priority="40" operator="equal">
      <formula>"Over capacity"</formula>
    </cfRule>
    <cfRule type="cellIs" dxfId="2" priority="41" operator="equal">
      <formula>"Overdue"</formula>
    </cfRule>
    <cfRule type="cellIs" dxfId="2" priority="42" operator="equal">
      <formula>"Out of limits"</formula>
    </cfRule>
    <cfRule type="cellIs" dxfId="2" priority="43"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Powder Coating Cost per Part&amp;R&amp;8&amp;A</oddHeader>
    <oddFooter>&amp;L&amp;8mfgcalcs.com - free manufacturing templates&amp;R&amp;8Page &amp;P of &amp;N</oddFooter>
  </headerFooter>
  <rowBreaks count="2" manualBreakCount="2">
    <brk id="27" max="16383" man="1"/>
    <brk id="54"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D47:D52</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61"/>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174</v>
      </c>
      <c r="C4" s="8"/>
      <c r="D4" s="8"/>
    </row>
    <row r="5" spans="1:4" ht="5" customHeight="1"/>
    <row r="6" spans="1:4" ht="55.8" customHeight="1">
      <c r="B6" s="10" t="s">
        <v>175</v>
      </c>
      <c r="C6" s="10"/>
      <c r="D6" s="10"/>
    </row>
    <row r="8" spans="1:4" ht="21" customHeight="1">
      <c r="B8" s="8" t="s">
        <v>176</v>
      </c>
      <c r="C8" s="8"/>
      <c r="D8" s="8"/>
    </row>
    <row r="9" spans="1:4" ht="5" customHeight="1"/>
    <row r="10" spans="1:4" ht="20" customHeight="1">
      <c r="B10" s="53" t="s">
        <v>177</v>
      </c>
      <c r="C10" s="53" t="s">
        <v>178</v>
      </c>
      <c r="D10" s="34" t="s">
        <v>179</v>
      </c>
    </row>
    <row r="11" spans="1:4" ht="17.2" customHeight="1">
      <c r="B11" s="59" t="s">
        <v>180</v>
      </c>
      <c r="C11" s="60" t="s">
        <v>181</v>
      </c>
      <c r="D11" s="61" t="s">
        <v>182</v>
      </c>
    </row>
    <row r="12" spans="1:4" ht="30.4" customHeight="1">
      <c r="B12" s="59" t="s">
        <v>106</v>
      </c>
      <c r="C12" s="60" t="s">
        <v>183</v>
      </c>
      <c r="D12" s="61" t="s">
        <v>126</v>
      </c>
    </row>
    <row r="13" spans="1:4" ht="17.2" customHeight="1">
      <c r="B13" s="59" t="s">
        <v>107</v>
      </c>
      <c r="C13" s="60" t="s">
        <v>184</v>
      </c>
      <c r="D13" s="61" t="s">
        <v>122</v>
      </c>
    </row>
    <row r="14" spans="1:4" ht="17.2" customHeight="1">
      <c r="B14" s="59" t="s">
        <v>166</v>
      </c>
      <c r="C14" s="60" t="s">
        <v>185</v>
      </c>
      <c r="D14" s="61" t="s">
        <v>88</v>
      </c>
    </row>
    <row r="15" spans="1:4" ht="17.2" customHeight="1">
      <c r="B15" s="59" t="s">
        <v>109</v>
      </c>
      <c r="C15" s="60" t="s">
        <v>186</v>
      </c>
      <c r="D15" s="61" t="s">
        <v>127</v>
      </c>
    </row>
    <row r="16" spans="1:4" ht="30.4" customHeight="1">
      <c r="B16" s="59" t="s">
        <v>187</v>
      </c>
      <c r="C16" s="60" t="s">
        <v>188</v>
      </c>
      <c r="D16" s="61" t="s">
        <v>189</v>
      </c>
    </row>
    <row r="17" spans="2:4" ht="17.2" customHeight="1">
      <c r="B17" s="59" t="s">
        <v>112</v>
      </c>
      <c r="C17" s="60" t="s">
        <v>190</v>
      </c>
      <c r="D17" s="61" t="s">
        <v>189</v>
      </c>
    </row>
    <row r="18" spans="2:4" ht="30.4" customHeight="1">
      <c r="B18" s="59" t="s">
        <v>113</v>
      </c>
      <c r="C18" s="60" t="s">
        <v>191</v>
      </c>
      <c r="D18" s="61" t="s">
        <v>189</v>
      </c>
    </row>
    <row r="19" spans="2:4" ht="17.2" customHeight="1">
      <c r="B19" s="59" t="s">
        <v>114</v>
      </c>
      <c r="C19" s="60" t="s">
        <v>192</v>
      </c>
      <c r="D19" s="61" t="s">
        <v>189</v>
      </c>
    </row>
    <row r="20" spans="2:4" ht="30.4" customHeight="1">
      <c r="B20" s="59" t="s">
        <v>193</v>
      </c>
      <c r="C20" s="60" t="s">
        <v>194</v>
      </c>
      <c r="D20" s="61" t="s">
        <v>123</v>
      </c>
    </row>
    <row r="21" spans="2:4" ht="17.2" customHeight="1">
      <c r="B21" s="59" t="s">
        <v>195</v>
      </c>
      <c r="C21" s="60" t="s">
        <v>196</v>
      </c>
      <c r="D21" s="61" t="s">
        <v>197</v>
      </c>
    </row>
    <row r="22" spans="2:4" ht="30.4" customHeight="1">
      <c r="B22" s="59" t="s">
        <v>198</v>
      </c>
      <c r="C22" s="60" t="s">
        <v>199</v>
      </c>
      <c r="D22" s="61" t="s">
        <v>123</v>
      </c>
    </row>
    <row r="23" spans="2:4" ht="30.4" customHeight="1">
      <c r="B23" s="59" t="s">
        <v>200</v>
      </c>
      <c r="C23" s="60" t="s">
        <v>201</v>
      </c>
      <c r="D23" s="61" t="s">
        <v>202</v>
      </c>
    </row>
    <row r="25" spans="2:4" ht="21" customHeight="1">
      <c r="B25" s="8" t="s">
        <v>203</v>
      </c>
      <c r="C25" s="8"/>
      <c r="D25" s="8"/>
    </row>
    <row r="26" spans="2:4" ht="5" customHeight="1"/>
    <row r="27" spans="2:4" ht="29.4" customHeight="1">
      <c r="B27" s="26" t="s">
        <v>55</v>
      </c>
      <c r="C27" s="10" t="s">
        <v>204</v>
      </c>
      <c r="D27" s="10"/>
    </row>
    <row r="28" spans="2:4" ht="16.2" customHeight="1">
      <c r="B28" s="26" t="s">
        <v>55</v>
      </c>
      <c r="C28" s="10" t="s">
        <v>205</v>
      </c>
      <c r="D28" s="10"/>
    </row>
    <row r="29" spans="2:4" ht="29.4" customHeight="1">
      <c r="B29" s="26" t="s">
        <v>55</v>
      </c>
      <c r="C29" s="10" t="s">
        <v>206</v>
      </c>
      <c r="D29" s="10"/>
    </row>
    <row r="30" spans="2:4" ht="29.4" customHeight="1">
      <c r="B30" s="26" t="s">
        <v>55</v>
      </c>
      <c r="C30" s="10" t="s">
        <v>207</v>
      </c>
      <c r="D30" s="10"/>
    </row>
    <row r="32" spans="2:4" ht="21" customHeight="1">
      <c r="B32" s="8" t="s">
        <v>208</v>
      </c>
      <c r="C32" s="8"/>
      <c r="D32" s="8"/>
    </row>
    <row r="33" spans="2:4" ht="5" customHeight="1"/>
    <row r="34" spans="2:4" ht="16.2" customHeight="1">
      <c r="B34" s="26" t="s">
        <v>55</v>
      </c>
      <c r="C34" s="10" t="s">
        <v>209</v>
      </c>
      <c r="D34" s="10"/>
    </row>
    <row r="35" spans="2:4" ht="29.4" customHeight="1">
      <c r="B35" s="26" t="s">
        <v>55</v>
      </c>
      <c r="C35" s="10" t="s">
        <v>210</v>
      </c>
      <c r="D35" s="10"/>
    </row>
    <row r="36" spans="2:4" ht="29.4" customHeight="1">
      <c r="B36" s="26" t="s">
        <v>55</v>
      </c>
      <c r="C36" s="10" t="s">
        <v>211</v>
      </c>
      <c r="D36" s="10"/>
    </row>
    <row r="37" spans="2:4" ht="16.2" customHeight="1">
      <c r="B37" s="26" t="s">
        <v>55</v>
      </c>
      <c r="C37" s="10" t="s">
        <v>212</v>
      </c>
      <c r="D37" s="10"/>
    </row>
    <row r="39" spans="2:4" ht="21" customHeight="1">
      <c r="B39" s="8" t="s">
        <v>213</v>
      </c>
      <c r="C39" s="8"/>
      <c r="D39" s="8"/>
    </row>
    <row r="40" spans="2:4" ht="5" customHeight="1"/>
    <row r="41" spans="2:4" ht="69" customHeight="1">
      <c r="B41" s="10" t="s">
        <v>214</v>
      </c>
      <c r="C41" s="10"/>
      <c r="D41" s="10"/>
    </row>
    <row r="42" spans="2:4">
      <c r="B42" s="24" t="s">
        <v>215</v>
      </c>
      <c r="C42" s="24"/>
      <c r="D42" s="24"/>
    </row>
    <row r="44" spans="2:4" ht="21" customHeight="1">
      <c r="B44" s="8" t="s">
        <v>42</v>
      </c>
      <c r="C44" s="8"/>
      <c r="D44" s="8"/>
    </row>
    <row r="45" spans="2:4" ht="5" customHeight="1"/>
    <row r="46" spans="2:4" ht="42.6" customHeight="1">
      <c r="B46" s="10" t="s">
        <v>216</v>
      </c>
      <c r="C46" s="10"/>
      <c r="D46" s="10"/>
    </row>
    <row r="48" spans="2:4" ht="21" customHeight="1">
      <c r="B48" s="8" t="s">
        <v>217</v>
      </c>
      <c r="C48" s="8"/>
      <c r="D48" s="8"/>
    </row>
    <row r="49" spans="2:4" ht="5" customHeight="1"/>
    <row r="50" spans="2:4" ht="16.2" customHeight="1">
      <c r="B50" s="26" t="s">
        <v>55</v>
      </c>
      <c r="C50" s="10" t="s">
        <v>218</v>
      </c>
      <c r="D50" s="10"/>
    </row>
    <row r="51" spans="2:4" ht="29.4" customHeight="1">
      <c r="B51" s="26" t="s">
        <v>55</v>
      </c>
      <c r="C51" s="10" t="s">
        <v>219</v>
      </c>
      <c r="D51" s="10"/>
    </row>
    <row r="52" spans="2:4" ht="29.4" customHeight="1">
      <c r="B52" s="26" t="s">
        <v>55</v>
      </c>
      <c r="C52" s="10" t="s">
        <v>220</v>
      </c>
      <c r="D52" s="10"/>
    </row>
    <row r="53" spans="2:4" ht="16.2" customHeight="1">
      <c r="B53" s="26" t="s">
        <v>55</v>
      </c>
      <c r="C53" s="10" t="s">
        <v>221</v>
      </c>
      <c r="D53" s="10"/>
    </row>
    <row r="54" spans="2:4">
      <c r="B54" s="21" t="s">
        <v>222</v>
      </c>
      <c r="C54" s="21"/>
      <c r="D54" s="21"/>
    </row>
    <row r="56" spans="2:4" ht="21" customHeight="1">
      <c r="B56" s="8" t="s">
        <v>223</v>
      </c>
      <c r="C56" s="8"/>
      <c r="D56" s="8"/>
    </row>
    <row r="57" spans="2:4" ht="5" customHeight="1"/>
    <row r="58" spans="2:4">
      <c r="B58" s="53" t="s">
        <v>50</v>
      </c>
      <c r="C58" s="53" t="s">
        <v>224</v>
      </c>
      <c r="D58" s="34" t="s">
        <v>225</v>
      </c>
    </row>
    <row r="59" spans="2:4" ht="16.2" customHeight="1">
      <c r="B59" s="55" t="s">
        <v>226</v>
      </c>
      <c r="C59" s="62" t="s">
        <v>227</v>
      </c>
      <c r="D59" s="63" t="s">
        <v>228</v>
      </c>
    </row>
    <row r="61" spans="2:4">
      <c r="B61" s="21" t="s">
        <v>61</v>
      </c>
      <c r="C61" s="21"/>
      <c r="D61" s="21"/>
    </row>
  </sheetData>
  <sheetProtection sheet="1" formatColumns="0" formatRows="0"/>
  <mergeCells count="28">
    <mergeCell ref="A1:D1"/>
    <mergeCell ref="B2:C2"/>
    <mergeCell ref="B4:D4"/>
    <mergeCell ref="B6:D6"/>
    <mergeCell ref="B8:D8"/>
    <mergeCell ref="B25:D25"/>
    <mergeCell ref="C27:D27"/>
    <mergeCell ref="C28:D28"/>
    <mergeCell ref="C29:D29"/>
    <mergeCell ref="C30:D30"/>
    <mergeCell ref="B32:D32"/>
    <mergeCell ref="C34:D34"/>
    <mergeCell ref="C35:D35"/>
    <mergeCell ref="C36:D36"/>
    <mergeCell ref="C37:D37"/>
    <mergeCell ref="B39:D39"/>
    <mergeCell ref="B41:D41"/>
    <mergeCell ref="B42:D42"/>
    <mergeCell ref="B44:D44"/>
    <mergeCell ref="B46:D46"/>
    <mergeCell ref="B48:D48"/>
    <mergeCell ref="C50:D50"/>
    <mergeCell ref="C51:D51"/>
    <mergeCell ref="C52:D52"/>
    <mergeCell ref="C53:D53"/>
    <mergeCell ref="B54:D54"/>
    <mergeCell ref="B56:D56"/>
    <mergeCell ref="B61:D61"/>
  </mergeCells>
  <hyperlinks>
    <hyperlink ref="D2" r:id="rId1" tooltip="Free manufacturing calculators and templates"/>
    <hyperlink ref="B42" r:id="rId2"/>
  </hyperlinks>
  <printOptions horizontalCentered="1"/>
  <pageMargins left="0.4" right="0.4" top="0.7" bottom="0.65" header="0.3" footer="0.3"/>
  <pageSetup fitToHeight="0" orientation="portrait"/>
  <headerFooter>
    <oddHeader>&amp;L&amp;8MFG Calcs - Powder Coating Cost per Part&amp;R&amp;8&amp;A</oddHeader>
    <oddFooter>&amp;L&amp;8mfgcalcs.com - free manufacturing templates&amp;R&amp;8Page &amp;P of &amp;N</oddFooter>
  </headerFooter>
  <rowBreaks count="1" manualBreakCount="1">
    <brk id="30"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AF51"/>
  <sheetViews>
    <sheetView showGridLines="0" workbookViewId="0"/>
  </sheetViews>
  <sheetFormatPr defaultRowHeight="15"/>
  <cols>
    <col min="1" max="1" width="2.7109375" customWidth="1"/>
    <col min="2" max="19" width="12.7109375" customWidth="1"/>
    <col min="20" max="20" width="8.28515625" customWidth="1"/>
    <col min="21" max="24" width="8.7109375" customWidth="1"/>
    <col min="25" max="25" width="9.28515625" customWidth="1"/>
    <col min="26" max="26" width="8.7109375" customWidth="1"/>
    <col min="27" max="27" width="11.7109375" customWidth="1"/>
    <col min="28" max="30" width="9.7109375" customWidth="1"/>
    <col min="31" max="31" width="22.7109375" customWidth="1"/>
    <col min="32" max="32" width="20.7109375" customWidth="1"/>
  </cols>
  <sheetData>
    <row r="1" spans="1:32" ht="30"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t="21" customHeight="1">
      <c r="B2" s="2" t="s">
        <v>28</v>
      </c>
      <c r="C2" s="2"/>
      <c r="D2" s="2"/>
      <c r="E2" s="2"/>
      <c r="F2" s="2"/>
      <c r="G2" s="2"/>
      <c r="H2" s="2"/>
      <c r="I2" s="2"/>
      <c r="J2" s="2"/>
      <c r="K2" s="2"/>
      <c r="L2" s="2"/>
      <c r="M2" s="2"/>
      <c r="N2" s="2"/>
      <c r="O2" s="2"/>
      <c r="P2" s="2"/>
      <c r="Q2" s="2"/>
      <c r="R2" s="2"/>
      <c r="S2" s="2"/>
      <c r="T2" s="2"/>
      <c r="U2" s="2"/>
      <c r="V2" s="2"/>
      <c r="W2" s="2"/>
      <c r="X2" s="2"/>
      <c r="Y2" s="2"/>
      <c r="Z2" s="2"/>
      <c r="AA2" s="2"/>
      <c r="AB2" s="2"/>
      <c r="AC2" s="2"/>
      <c r="AD2" s="2"/>
      <c r="AE2" s="2"/>
      <c r="AF2" s="3" t="s">
        <v>2</v>
      </c>
    </row>
    <row r="3" spans="1:32" ht="6" customHeight="1"/>
    <row r="4" spans="1:32" ht="30" customHeight="1">
      <c r="B4" s="64" t="s">
        <v>229</v>
      </c>
      <c r="C4" s="64"/>
      <c r="D4" s="22" t="str">
        <f>IF(COUNTIF($K$11:$K$27,"PASS")=17,"PASS","FAIL")</f>
        <v>PASS</v>
      </c>
      <c r="E4" s="22"/>
      <c r="F4" s="23" t="str">
        <f>COUNTIF($K$11:$K$27,"PASS")&amp;" of 17 checks pass"</f>
        <v>17 of 17 checks pass</v>
      </c>
      <c r="G4" s="23"/>
      <c r="H4" s="23"/>
      <c r="I4" s="23"/>
      <c r="J4" s="23"/>
    </row>
    <row r="6" spans="1:32" ht="29.4" customHeight="1">
      <c r="B6" s="10" t="s">
        <v>230</v>
      </c>
      <c r="C6" s="10"/>
      <c r="D6" s="10"/>
      <c r="E6" s="10"/>
      <c r="F6" s="10"/>
      <c r="G6" s="10"/>
      <c r="H6" s="10"/>
      <c r="I6" s="10"/>
      <c r="J6" s="10"/>
      <c r="K6" s="10"/>
      <c r="L6" s="10"/>
    </row>
    <row r="8" spans="1:32" ht="21" customHeight="1">
      <c r="B8" s="8" t="s">
        <v>231</v>
      </c>
      <c r="C8" s="8"/>
      <c r="D8" s="8"/>
      <c r="E8" s="8"/>
      <c r="F8" s="8"/>
      <c r="G8" s="8"/>
      <c r="H8" s="8"/>
      <c r="I8" s="8"/>
      <c r="J8" s="8"/>
      <c r="K8" s="8"/>
      <c r="L8" s="8"/>
    </row>
    <row r="9" spans="1:32" ht="5" customHeight="1"/>
    <row r="10" spans="1:32" ht="30" customHeight="1">
      <c r="B10" s="34" t="s">
        <v>232</v>
      </c>
      <c r="C10" s="53" t="s">
        <v>67</v>
      </c>
      <c r="D10" s="53"/>
      <c r="E10" s="53"/>
      <c r="F10" s="53"/>
      <c r="G10" s="34" t="s">
        <v>233</v>
      </c>
      <c r="H10" s="34" t="s">
        <v>234</v>
      </c>
      <c r="I10" s="34" t="s">
        <v>235</v>
      </c>
      <c r="J10" s="34" t="s">
        <v>236</v>
      </c>
      <c r="K10" s="34" t="s">
        <v>237</v>
      </c>
    </row>
    <row r="11" spans="1:32" ht="16.2" customHeight="1">
      <c r="B11" s="65">
        <v>1</v>
      </c>
      <c r="C11" s="62" t="s">
        <v>238</v>
      </c>
      <c r="D11" s="62"/>
      <c r="E11" s="62"/>
      <c r="F11" s="62"/>
      <c r="G11" s="66">
        <v>13.22773573109265</v>
      </c>
      <c r="H11" s="67">
        <f>$F$44</f>
        <v>13.2277357310927</v>
      </c>
      <c r="I11" s="68">
        <f>IF(AND(ISNUMBER($G$11),ISNUMBER($H$11)),ABS($H$11-$G$11),"")</f>
        <v>0</v>
      </c>
      <c r="J11" s="69">
        <v>1E-09</v>
      </c>
      <c r="K11" s="45" t="str">
        <f>IF(AND(ISNUMBER($G$11),ISNUMBER($H$11)),IF(ABS($H$11-$G$11)&lt;=$J$11,"PASS","FAIL"),"FAIL")</f>
        <v>PASS</v>
      </c>
    </row>
    <row r="12" spans="1:32" ht="16.2" customHeight="1">
      <c r="B12" s="65">
        <v>2</v>
      </c>
      <c r="C12" s="62" t="s">
        <v>239</v>
      </c>
      <c r="D12" s="62"/>
      <c r="E12" s="62"/>
      <c r="F12" s="62"/>
      <c r="G12" s="70">
        <v>75</v>
      </c>
      <c r="H12" s="71">
        <f>$Q$49</f>
        <v>75</v>
      </c>
      <c r="I12" s="68">
        <f>IF(AND(ISNUMBER($G$12),ISNUMBER($H$12)),ABS($H$12-$G$12),"")</f>
        <v>0</v>
      </c>
      <c r="J12" s="69">
        <v>1E-09</v>
      </c>
      <c r="K12" s="45" t="str">
        <f>IF(AND(ISNUMBER($G$12),ISNUMBER($H$12)),IF(ABS($H$12-$G$12)&lt;=$J$12,"PASS","FAIL"),"FAIL")</f>
        <v>PASS</v>
      </c>
    </row>
    <row r="13" spans="1:32" ht="16.2" customHeight="1">
      <c r="B13" s="65">
        <v>3</v>
      </c>
      <c r="C13" s="62" t="s">
        <v>240</v>
      </c>
      <c r="D13" s="62"/>
      <c r="E13" s="62"/>
      <c r="F13" s="62"/>
      <c r="G13" s="70">
        <v>1.25</v>
      </c>
      <c r="H13" s="71">
        <f>$T$49</f>
        <v>1.25</v>
      </c>
      <c r="I13" s="68">
        <f>IF(AND(ISNUMBER($G$13),ISNUMBER($H$13)),ABS($H$13-$G$13),"")</f>
        <v>0</v>
      </c>
      <c r="J13" s="69">
        <v>1E-09</v>
      </c>
      <c r="K13" s="45" t="str">
        <f>IF(AND(ISNUMBER($G$13),ISNUMBER($H$13)),IF(ABS($H$13-$G$13)&lt;=$J$13,"PASS","FAIL"),"FAIL")</f>
        <v>PASS</v>
      </c>
    </row>
    <row r="14" spans="1:32" ht="16.2" customHeight="1">
      <c r="B14" s="65">
        <v>4</v>
      </c>
      <c r="C14" s="62" t="s">
        <v>241</v>
      </c>
      <c r="D14" s="62"/>
      <c r="E14" s="62"/>
      <c r="F14" s="62"/>
      <c r="G14" s="66">
        <v>2.874</v>
      </c>
      <c r="H14" s="67">
        <f>$Y$49</f>
        <v>2.874</v>
      </c>
      <c r="I14" s="68">
        <f>IF(AND(ISNUMBER($G$14),ISNUMBER($H$14)),ABS($H$14-$G$14),"")</f>
        <v>0</v>
      </c>
      <c r="J14" s="69">
        <v>1E-09</v>
      </c>
      <c r="K14" s="45" t="str">
        <f>IF(AND(ISNUMBER($G$14),ISNUMBER($H$14)),IF(ABS($H$14-$G$14)&lt;=$J$14,"PASS","FAIL"),"FAIL")</f>
        <v>PASS</v>
      </c>
    </row>
    <row r="15" spans="1:32" ht="16.2" customHeight="1">
      <c r="B15" s="65">
        <v>5</v>
      </c>
      <c r="C15" s="62" t="s">
        <v>242</v>
      </c>
      <c r="D15" s="62"/>
      <c r="E15" s="62"/>
      <c r="F15" s="62"/>
      <c r="G15" s="72">
        <v>718.5</v>
      </c>
      <c r="H15" s="36">
        <f>$AB$49</f>
        <v>718.5</v>
      </c>
      <c r="I15" s="68">
        <f>IF(AND(ISNUMBER($G$15),ISNUMBER($H$15)),ABS($H$15-$G$15),"")</f>
        <v>0</v>
      </c>
      <c r="J15" s="69">
        <v>1E-06</v>
      </c>
      <c r="K15" s="45" t="str">
        <f>IF(AND(ISNUMBER($G$15),ISNUMBER($H$15)),IF(ABS($H$15-$G$15)&lt;=$J$15,"PASS","FAIL"),"FAIL")</f>
        <v>PASS</v>
      </c>
    </row>
    <row r="16" spans="1:32" ht="16.2" customHeight="1">
      <c r="B16" s="65">
        <v>6</v>
      </c>
      <c r="C16" s="62" t="s">
        <v>243</v>
      </c>
      <c r="D16" s="62"/>
      <c r="E16" s="62"/>
      <c r="F16" s="62"/>
      <c r="G16" s="56">
        <v>0.3157142857142857</v>
      </c>
      <c r="H16" s="44">
        <f>$Z$49</f>
        <v>0.315714285714286</v>
      </c>
      <c r="I16" s="68">
        <f>IF(AND(ISNUMBER($G$16),ISNUMBER($H$16)),ABS($H$16-$G$16),"")</f>
        <v>0</v>
      </c>
      <c r="J16" s="69">
        <v>1E-09</v>
      </c>
      <c r="K16" s="45" t="str">
        <f>IF(AND(ISNUMBER($G$16),ISNUMBER($H$16)),IF(ABS($H$16-$G$16)&lt;=$J$16,"PASS","FAIL"),"FAIL")</f>
        <v>PASS</v>
      </c>
    </row>
    <row r="17" spans="2:12" ht="16.2" customHeight="1">
      <c r="B17" s="65">
        <v>7</v>
      </c>
      <c r="C17" s="62" t="s">
        <v>244</v>
      </c>
      <c r="D17" s="62"/>
      <c r="E17" s="62"/>
      <c r="F17" s="62"/>
      <c r="G17" s="73">
        <v>100</v>
      </c>
      <c r="H17" s="42">
        <f>$R$50</f>
        <v>100</v>
      </c>
      <c r="I17" s="68">
        <f>IF(AND(ISNUMBER($G$17),ISNUMBER($H$17)),ABS($H$17-$G$17),"")</f>
        <v>0</v>
      </c>
      <c r="J17" s="69">
        <v>1E-09</v>
      </c>
      <c r="K17" s="45" t="str">
        <f>IF(AND(ISNUMBER($G$17),ISNUMBER($H$17)),IF(ABS($H$17-$G$17)&lt;=$J$17,"PASS","FAIL"),"FAIL")</f>
        <v>PASS</v>
      </c>
    </row>
    <row r="18" spans="2:12" ht="16.2" customHeight="1">
      <c r="B18" s="65">
        <v>8</v>
      </c>
      <c r="C18" s="62" t="s">
        <v>245</v>
      </c>
      <c r="D18" s="62"/>
      <c r="E18" s="62"/>
      <c r="F18" s="62"/>
      <c r="G18" s="70">
        <v>22.6534772736</v>
      </c>
      <c r="H18" s="71">
        <f>$S$50</f>
        <v>22.6534772736</v>
      </c>
      <c r="I18" s="68">
        <f>IF(AND(ISNUMBER($G$18),ISNUMBER($H$18)),ABS($H$18-$G$18),"")</f>
        <v>0</v>
      </c>
      <c r="J18" s="69">
        <v>1E-09</v>
      </c>
      <c r="K18" s="45" t="str">
        <f>IF(AND(ISNUMBER($G$18),ISNUMBER($H$18)),IF(ABS($H$18-$G$18)&lt;=$J$18,"PASS","FAIL"),"FAIL")</f>
        <v>PASS</v>
      </c>
    </row>
    <row r="19" spans="2:12" ht="16.2" customHeight="1">
      <c r="B19" s="65">
        <v>9</v>
      </c>
      <c r="C19" s="62" t="s">
        <v>246</v>
      </c>
      <c r="D19" s="62"/>
      <c r="E19" s="62"/>
      <c r="F19" s="62"/>
      <c r="G19" s="66">
        <v>3.503115042309278</v>
      </c>
      <c r="H19" s="67">
        <f>$U$50</f>
        <v>3.50311504230928</v>
      </c>
      <c r="I19" s="68">
        <f>IF(AND(ISNUMBER($G$19),ISNUMBER($H$19)),ABS($H$19-$G$19),"")</f>
        <v>0</v>
      </c>
      <c r="J19" s="69">
        <v>1E-09</v>
      </c>
      <c r="K19" s="45" t="str">
        <f>IF(AND(ISNUMBER($G$19),ISNUMBER($H$19)),IF(ABS($H$19-$G$19)&lt;=$J$19,"PASS","FAIL"),"FAIL")</f>
        <v>PASS</v>
      </c>
    </row>
    <row r="20" spans="2:12" ht="16.2" customHeight="1">
      <c r="B20" s="65">
        <v>10</v>
      </c>
      <c r="C20" s="62" t="s">
        <v>247</v>
      </c>
      <c r="D20" s="62"/>
      <c r="E20" s="62"/>
      <c r="F20" s="62"/>
      <c r="G20" s="66">
        <v>2.845360824742269</v>
      </c>
      <c r="H20" s="67">
        <f>$X$50</f>
        <v>2.84536082474227</v>
      </c>
      <c r="I20" s="68">
        <f>IF(AND(ISNUMBER($G$20),ISNUMBER($H$20)),ABS($H$20-$G$20),"")</f>
        <v>0</v>
      </c>
      <c r="J20" s="69">
        <v>1E-09</v>
      </c>
      <c r="K20" s="45" t="str">
        <f>IF(AND(ISNUMBER($G$20),ISNUMBER($H$20)),IF(ABS($H$20-$G$20)&lt;=$J$20,"PASS","FAIL"),"FAIL")</f>
        <v>PASS</v>
      </c>
    </row>
    <row r="21" spans="2:12" ht="16.2" customHeight="1">
      <c r="B21" s="65">
        <v>11</v>
      </c>
      <c r="C21" s="62" t="s">
        <v>248</v>
      </c>
      <c r="D21" s="62"/>
      <c r="E21" s="62"/>
      <c r="F21" s="62"/>
      <c r="G21" s="66">
        <v>9.633699234749141</v>
      </c>
      <c r="H21" s="67">
        <f>$Y$50</f>
        <v>9.63369923474914</v>
      </c>
      <c r="I21" s="68">
        <f>IF(AND(ISNUMBER($G$21),ISNUMBER($H$21)),ABS($H$21-$G$21),"")</f>
        <v>0</v>
      </c>
      <c r="J21" s="69">
        <v>1E-09</v>
      </c>
      <c r="K21" s="45" t="str">
        <f>IF(AND(ISNUMBER($G$21),ISNUMBER($H$21)),IF(ABS($H$21-$G$21)&lt;=$J$21,"PASS","FAIL"),"FAIL")</f>
        <v>PASS</v>
      </c>
    </row>
    <row r="22" spans="2:12" ht="16.2" customHeight="1">
      <c r="B22" s="65">
        <v>12</v>
      </c>
      <c r="C22" s="62" t="s">
        <v>249</v>
      </c>
      <c r="D22" s="62"/>
      <c r="E22" s="62"/>
      <c r="F22" s="62"/>
      <c r="G22" s="55" t="s">
        <v>250</v>
      </c>
      <c r="H22" s="57" t="str">
        <f>$AA$50</f>
        <v>Below target</v>
      </c>
      <c r="I22" s="57"/>
      <c r="J22" s="63" t="s">
        <v>251</v>
      </c>
      <c r="K22" s="45" t="str">
        <f>IF($H$22&amp;""=$G$22&amp;"","PASS","FAIL")</f>
        <v>PASS</v>
      </c>
    </row>
    <row r="23" spans="2:12" ht="16.2" customHeight="1">
      <c r="B23" s="65">
        <v>13</v>
      </c>
      <c r="C23" s="62" t="s">
        <v>252</v>
      </c>
      <c r="D23" s="62"/>
      <c r="E23" s="62"/>
      <c r="F23" s="62"/>
      <c r="G23" s="72">
        <v>-61.46882577066668</v>
      </c>
      <c r="H23" s="36">
        <f>$AD$50</f>
        <v>-61.4688257706666</v>
      </c>
      <c r="I23" s="68">
        <f>IF(AND(ISNUMBER($G$23),ISNUMBER($H$23)),ABS($H$23-$G$23),"")</f>
        <v>0</v>
      </c>
      <c r="J23" s="69">
        <v>1E-06</v>
      </c>
      <c r="K23" s="45" t="str">
        <f>IF(AND(ISNUMBER($G$23),ISNUMBER($H$23)),IF(ABS($H$23-$G$23)&lt;=$J$23,"PASS","FAIL"),"FAIL")</f>
        <v>PASS</v>
      </c>
    </row>
    <row r="24" spans="2:12" ht="16.2" customHeight="1">
      <c r="B24" s="65">
        <v>14</v>
      </c>
      <c r="C24" s="62" t="s">
        <v>253</v>
      </c>
      <c r="D24" s="62"/>
      <c r="E24" s="62"/>
      <c r="F24" s="62"/>
      <c r="G24" s="55" t="s">
        <v>254</v>
      </c>
      <c r="H24" s="57" t="str">
        <f>$AE$51</f>
        <v>Powder not on Setup list or no price</v>
      </c>
      <c r="I24" s="57"/>
      <c r="J24" s="63" t="s">
        <v>251</v>
      </c>
      <c r="K24" s="45" t="str">
        <f>IF($H$24&amp;""=$G$24&amp;"","PASS","FAIL")</f>
        <v>PASS</v>
      </c>
    </row>
    <row r="25" spans="2:12" ht="16.2" customHeight="1">
      <c r="B25" s="65">
        <v>15</v>
      </c>
      <c r="C25" s="62" t="s">
        <v>255</v>
      </c>
      <c r="D25" s="62"/>
      <c r="E25" s="62"/>
      <c r="F25" s="62"/>
      <c r="G25" s="56">
        <v>0.1404218274723522</v>
      </c>
      <c r="H25" s="44">
        <f>IF((SUM(tblVerifyCoat[Job value]))=0,"",(SUM(tblVerifyCoat[Job margin]))/(SUM(tblVerifyCoat[Job value])))</f>
        <v>0.140421827472352</v>
      </c>
      <c r="I25" s="68">
        <f>IF(AND(ISNUMBER($G$25),ISNUMBER($H$25)),ABS($H$25-$G$25),"")</f>
        <v>0</v>
      </c>
      <c r="J25" s="69">
        <v>1E-09</v>
      </c>
      <c r="K25" s="45" t="str">
        <f>IF(AND(ISNUMBER($G$25),ISNUMBER($H$25)),IF(ABS($H$25-$G$25)&lt;=$J$25,"PASS","FAIL"),"FAIL")</f>
        <v>PASS</v>
      </c>
    </row>
    <row r="26" spans="2:12" ht="16.2" customHeight="1">
      <c r="B26" s="65">
        <v>16</v>
      </c>
      <c r="C26" s="62" t="s">
        <v>256</v>
      </c>
      <c r="D26" s="62"/>
      <c r="E26" s="62"/>
      <c r="F26" s="62"/>
      <c r="G26" s="70">
        <v>41.4034772736</v>
      </c>
      <c r="H26" s="71">
        <f>SUM(tblVerifyCoat[Powder used (kg)])</f>
        <v>41.4034772736</v>
      </c>
      <c r="I26" s="68">
        <f>IF(AND(ISNUMBER($G$26),ISNUMBER($H$26)),ABS($H$26-$G$26),"")</f>
        <v>0</v>
      </c>
      <c r="J26" s="69">
        <v>1E-09</v>
      </c>
      <c r="K26" s="45" t="str">
        <f>IF(AND(ISNUMBER($G$26),ISNUMBER($H$26)),IF(ABS($H$26-$G$26)&lt;=$J$26,"PASS","FAIL"),"FAIL")</f>
        <v>PASS</v>
      </c>
    </row>
    <row r="27" spans="2:12" ht="16.2" customHeight="1">
      <c r="B27" s="65">
        <v>17</v>
      </c>
      <c r="C27" s="62" t="s">
        <v>257</v>
      </c>
      <c r="D27" s="62"/>
      <c r="E27" s="62"/>
      <c r="F27" s="62"/>
      <c r="G27" s="73">
        <v>1</v>
      </c>
      <c r="H27" s="42">
        <f>COUNTIF(tblVerifyCoat[Margin status],"Below target")</f>
        <v>1</v>
      </c>
      <c r="I27" s="68">
        <f>IF(AND(ISNUMBER($G$27),ISNUMBER($H$27)),ABS($H$27-$G$27),"")</f>
        <v>0</v>
      </c>
      <c r="J27" s="69">
        <v>1E-09</v>
      </c>
      <c r="K27" s="45" t="str">
        <f>IF(AND(ISNUMBER($G$27),ISNUMBER($H$27)),IF(ABS($H$27-$G$27)&lt;=$J$27,"PASS","FAIL"),"FAIL")</f>
        <v>PASS</v>
      </c>
    </row>
    <row r="29" spans="2:12" ht="21" customHeight="1">
      <c r="B29" s="8" t="s">
        <v>258</v>
      </c>
      <c r="C29" s="8"/>
      <c r="D29" s="8"/>
      <c r="E29" s="8"/>
      <c r="F29" s="8"/>
      <c r="G29" s="8"/>
      <c r="H29" s="8"/>
      <c r="I29" s="8"/>
      <c r="J29" s="8"/>
      <c r="K29" s="8"/>
      <c r="L29" s="8"/>
    </row>
    <row r="30" spans="2:12" ht="5" customHeight="1"/>
    <row r="31" spans="2:12">
      <c r="B31" s="21" t="s">
        <v>259</v>
      </c>
      <c r="C31" s="21"/>
      <c r="D31" s="21"/>
      <c r="E31" s="21"/>
      <c r="F31" s="21"/>
      <c r="G31" s="21"/>
      <c r="H31" s="21"/>
      <c r="I31" s="21"/>
      <c r="J31" s="21"/>
      <c r="K31" s="21"/>
      <c r="L31" s="21"/>
    </row>
    <row r="32" spans="2:12">
      <c r="B32" s="32" t="s">
        <v>260</v>
      </c>
      <c r="C32" s="32"/>
      <c r="D32" s="32"/>
      <c r="E32" s="32"/>
      <c r="F32" s="32"/>
    </row>
    <row r="33" spans="2:32">
      <c r="B33" s="27" t="s">
        <v>73</v>
      </c>
      <c r="C33" s="27"/>
      <c r="D33" s="27"/>
      <c r="E33" s="55" t="s">
        <v>261</v>
      </c>
      <c r="F33" s="55"/>
    </row>
    <row r="34" spans="2:32">
      <c r="B34" s="27" t="s">
        <v>75</v>
      </c>
      <c r="C34" s="27"/>
      <c r="D34" s="27"/>
      <c r="E34" s="55" t="s">
        <v>262</v>
      </c>
      <c r="F34" s="55"/>
    </row>
    <row r="35" spans="2:32">
      <c r="B35" s="27" t="s">
        <v>263</v>
      </c>
      <c r="C35" s="27"/>
      <c r="D35" s="27"/>
      <c r="E35" s="72">
        <v>36</v>
      </c>
      <c r="F35" s="7"/>
    </row>
    <row r="36" spans="2:32">
      <c r="B36" s="27" t="s">
        <v>264</v>
      </c>
      <c r="C36" s="27"/>
      <c r="D36" s="27"/>
      <c r="E36" s="74">
        <v>2</v>
      </c>
      <c r="F36" s="7"/>
    </row>
    <row r="37" spans="2:32">
      <c r="B37" s="27" t="s">
        <v>265</v>
      </c>
      <c r="C37" s="27"/>
      <c r="D37" s="27"/>
      <c r="E37" s="72">
        <v>124</v>
      </c>
      <c r="F37" s="7"/>
    </row>
    <row r="38" spans="2:32">
      <c r="B38" s="27" t="s">
        <v>163</v>
      </c>
      <c r="C38" s="27"/>
      <c r="D38" s="27"/>
      <c r="E38" s="56">
        <v>0.3</v>
      </c>
      <c r="F38" s="7"/>
    </row>
    <row r="40" spans="2:32">
      <c r="B40" s="32" t="s">
        <v>266</v>
      </c>
      <c r="C40" s="32"/>
      <c r="D40" s="32"/>
      <c r="E40" s="32"/>
      <c r="F40" s="32"/>
      <c r="G40" s="32"/>
      <c r="H40" s="32"/>
      <c r="I40" s="32"/>
      <c r="J40" s="32"/>
      <c r="K40" s="32"/>
      <c r="L40" s="32"/>
    </row>
    <row r="41" spans="2:32" ht="14" customHeight="1">
      <c r="B41" s="33"/>
      <c r="C41" s="33" t="str">
        <f>Currency&amp;"/unit"</f>
        <v>USD/unit</v>
      </c>
      <c r="D41" s="33"/>
      <c r="E41" s="33" t="s">
        <v>86</v>
      </c>
      <c r="F41" s="33" t="str">
        <f>Currency&amp;"/kg"</f>
        <v>USD/kg</v>
      </c>
      <c r="G41" s="33"/>
    </row>
    <row r="42" spans="2:32" ht="20" customHeight="1">
      <c r="B42" s="34" t="s">
        <v>62</v>
      </c>
      <c r="C42" s="34" t="s">
        <v>63</v>
      </c>
      <c r="D42" s="34" t="s">
        <v>64</v>
      </c>
      <c r="E42" s="34" t="s">
        <v>65</v>
      </c>
      <c r="F42" s="34" t="s">
        <v>66</v>
      </c>
      <c r="G42" s="34" t="s">
        <v>67</v>
      </c>
    </row>
    <row r="43" spans="2:32">
      <c r="B43" s="55" t="s">
        <v>267</v>
      </c>
      <c r="C43" s="72">
        <v>12</v>
      </c>
      <c r="D43" s="55" t="s">
        <v>88</v>
      </c>
      <c r="E43" s="72">
        <v>1.5</v>
      </c>
      <c r="F43" s="36">
        <f>IF(tblVerifyPowders[[#This Row],[Price unit]]="lb",tblVerifyPowders[[#This Row],[Price]]/0.45359237,IF(tblVerifyPowders[[#This Row],[Price unit]]="kg",tblVerifyPowders[[#This Row],[Price]],""))</f>
        <v>12</v>
      </c>
      <c r="G43" s="37" t="str">
        <f>IF(tblVerifyPowders[[#This Row],[Price]]="","Missing price",IF(tblVerifyPowders[[#This Row],[Price unit]]="","Missing price unit",IF(tblVerifyPowders[[#This Row],[Specific gravity]]="","Missing specific gravity","OK")))</f>
        <v>OK</v>
      </c>
    </row>
    <row r="44" spans="2:32">
      <c r="B44" s="55" t="s">
        <v>268</v>
      </c>
      <c r="C44" s="72">
        <v>6</v>
      </c>
      <c r="D44" s="55" t="s">
        <v>93</v>
      </c>
      <c r="E44" s="72">
        <v>1.4</v>
      </c>
      <c r="F44" s="36">
        <f>IF(tblVerifyPowders[[#This Row],[Price unit]]="lb",tblVerifyPowders[[#This Row],[Price]]/0.45359237,IF(tblVerifyPowders[[#This Row],[Price unit]]="kg",tblVerifyPowders[[#This Row],[Price]],""))</f>
        <v>13.2277357310927</v>
      </c>
      <c r="G44" s="37" t="str">
        <f>IF(tblVerifyPowders[[#This Row],[Price]]="","Missing price",IF(tblVerifyPowders[[#This Row],[Price unit]]="","Missing price unit",IF(tblVerifyPowders[[#This Row],[Specific gravity]]="","Missing specific gravity","OK")))</f>
        <v>OK</v>
      </c>
    </row>
    <row r="46" spans="2:32">
      <c r="B46" s="32" t="s">
        <v>269</v>
      </c>
      <c r="C46" s="32"/>
      <c r="D46" s="32"/>
      <c r="E46" s="32"/>
      <c r="F46" s="32"/>
      <c r="G46" s="32"/>
      <c r="H46" s="32"/>
      <c r="I46" s="32"/>
      <c r="J46" s="32"/>
      <c r="K46" s="32"/>
      <c r="L46" s="32"/>
    </row>
    <row r="47" spans="2:32" ht="14" customHeight="1">
      <c r="B47" s="33"/>
      <c r="C47" s="33"/>
      <c r="D47" s="33"/>
      <c r="E47" s="33" t="s">
        <v>122</v>
      </c>
      <c r="F47" s="33" t="str">
        <f>$E$33</f>
        <v>ft2</v>
      </c>
      <c r="G47" s="33" t="str">
        <f>$E$34</f>
        <v>mil</v>
      </c>
      <c r="H47" s="33" t="s">
        <v>123</v>
      </c>
      <c r="I47" s="33" t="s">
        <v>124</v>
      </c>
      <c r="J47" s="33" t="s">
        <v>125</v>
      </c>
      <c r="K47" s="33" t="s">
        <v>125</v>
      </c>
      <c r="L47" s="33" t="str">
        <f>Currency&amp;"/part"</f>
        <v>USD/part</v>
      </c>
      <c r="M47" s="33" t="s">
        <v>123</v>
      </c>
      <c r="N47" s="33" t="str">
        <f>Currency&amp;"/part"</f>
        <v>USD/part</v>
      </c>
      <c r="O47" s="33" t="str">
        <f>Currency&amp;"/kg"</f>
        <v>USD/kg</v>
      </c>
      <c r="P47" s="33" t="s">
        <v>86</v>
      </c>
      <c r="Q47" s="33" t="s">
        <v>126</v>
      </c>
      <c r="R47" s="33" t="s">
        <v>122</v>
      </c>
      <c r="S47" s="33" t="s">
        <v>88</v>
      </c>
      <c r="T47" s="33" t="s">
        <v>127</v>
      </c>
      <c r="U47" s="33" t="str">
        <f>Currency&amp;"/part"</f>
        <v>USD/part</v>
      </c>
      <c r="V47" s="33" t="str">
        <f>Currency&amp;"/part"</f>
        <v>USD/part</v>
      </c>
      <c r="W47" s="33" t="str">
        <f>Currency&amp;"/part"</f>
        <v>USD/part</v>
      </c>
      <c r="X47" s="33" t="str">
        <f>Currency&amp;"/part"</f>
        <v>USD/part</v>
      </c>
      <c r="Y47" s="33" t="str">
        <f>Currency&amp;"/good part"</f>
        <v>USD/good part</v>
      </c>
      <c r="Z47" s="33" t="s">
        <v>128</v>
      </c>
      <c r="AA47" s="33"/>
      <c r="AB47" s="33" t="str">
        <f>Currency&amp;"/job"</f>
        <v>USD/job</v>
      </c>
      <c r="AC47" s="33" t="str">
        <f>Currency&amp;"/job"</f>
        <v>USD/job</v>
      </c>
      <c r="AD47" s="33" t="str">
        <f>Currency&amp;"/job"</f>
        <v>USD/job</v>
      </c>
      <c r="AE47" s="33"/>
      <c r="AF47" s="33"/>
    </row>
    <row r="48" spans="2:32" ht="45.5" customHeight="1">
      <c r="B48" s="34" t="s">
        <v>95</v>
      </c>
      <c r="C48" s="34" t="s">
        <v>96</v>
      </c>
      <c r="D48" s="34" t="s">
        <v>62</v>
      </c>
      <c r="E48" s="34" t="s">
        <v>97</v>
      </c>
      <c r="F48" s="34" t="s">
        <v>98</v>
      </c>
      <c r="G48" s="34" t="s">
        <v>99</v>
      </c>
      <c r="H48" s="34" t="s">
        <v>100</v>
      </c>
      <c r="I48" s="34" t="s">
        <v>101</v>
      </c>
      <c r="J48" s="34" t="s">
        <v>102</v>
      </c>
      <c r="K48" s="34" t="s">
        <v>103</v>
      </c>
      <c r="L48" s="34" t="s">
        <v>104</v>
      </c>
      <c r="M48" s="34" t="s">
        <v>105</v>
      </c>
      <c r="N48" s="34" t="s">
        <v>63</v>
      </c>
      <c r="O48" s="34" t="s">
        <v>66</v>
      </c>
      <c r="P48" s="34" t="s">
        <v>65</v>
      </c>
      <c r="Q48" s="34" t="s">
        <v>106</v>
      </c>
      <c r="R48" s="34" t="s">
        <v>107</v>
      </c>
      <c r="S48" s="34" t="s">
        <v>108</v>
      </c>
      <c r="T48" s="34" t="s">
        <v>109</v>
      </c>
      <c r="U48" s="34" t="s">
        <v>110</v>
      </c>
      <c r="V48" s="34" t="s">
        <v>111</v>
      </c>
      <c r="W48" s="34" t="s">
        <v>112</v>
      </c>
      <c r="X48" s="34" t="s">
        <v>113</v>
      </c>
      <c r="Y48" s="34" t="s">
        <v>114</v>
      </c>
      <c r="Z48" s="34" t="s">
        <v>115</v>
      </c>
      <c r="AA48" s="34" t="s">
        <v>116</v>
      </c>
      <c r="AB48" s="34" t="s">
        <v>117</v>
      </c>
      <c r="AC48" s="34" t="s">
        <v>118</v>
      </c>
      <c r="AD48" s="34" t="s">
        <v>119</v>
      </c>
      <c r="AE48" s="34" t="s">
        <v>67</v>
      </c>
      <c r="AF48" s="34" t="s">
        <v>120</v>
      </c>
    </row>
    <row r="49" spans="2:32">
      <c r="B49" s="55" t="s">
        <v>270</v>
      </c>
      <c r="C49" s="55" t="s">
        <v>271</v>
      </c>
      <c r="D49" s="55" t="s">
        <v>272</v>
      </c>
      <c r="E49" s="73">
        <v>250</v>
      </c>
      <c r="F49" s="70">
        <v>5.381955208354861</v>
      </c>
      <c r="G49" s="74">
        <v>2.362204724409449</v>
      </c>
      <c r="H49" s="56">
        <v>0.6</v>
      </c>
      <c r="I49" s="74">
        <v>250</v>
      </c>
      <c r="J49" s="73">
        <v>15</v>
      </c>
      <c r="K49" s="72">
        <v>0.24</v>
      </c>
      <c r="L49" s="72">
        <v>0.25</v>
      </c>
      <c r="M49" s="56">
        <v>0</v>
      </c>
      <c r="N49" s="72">
        <v>4.2</v>
      </c>
      <c r="O49" s="72">
        <v>20</v>
      </c>
      <c r="P49" s="72">
        <v>1.5</v>
      </c>
      <c r="Q49" s="41">
        <f>IF(tblVerifyCoat[[#This Row],[Job]]="","",IF(OR(tblVerifyCoat[[#This Row],[Specific gravity]]="",tblVerifyCoat[[#This Row],[Transfer efficiency]]=0),"",IF($E$33="ft2",tblVerifyCoat[[#This Row],[Area per part]]*0.09290304,tblVerifyCoat[[#This Row],[Area per part]])*IF($E$34="mil",tblVerifyCoat[[#This Row],[Film thickness]]*25.4,tblVerifyCoat[[#This Row],[Film thickness]])*tblVerifyCoat[[#This Row],[Specific gravity]]/tblVerifyCoat[[#This Row],[Transfer efficiency]]))</f>
        <v>75</v>
      </c>
      <c r="R49" s="42">
        <f>IF(tblVerifyCoat[[#This Row],[Job]]="","",IF(tblVerifyCoat[[#This Row],[Reject rate]]&lt;1,ROUNDUP(tblVerifyCoat[[#This Row],[Good parts]]/(1-tblVerifyCoat[[#This Row],[Reject rate]]),0),""))</f>
        <v>250</v>
      </c>
      <c r="S49" s="41">
        <f>IF(tblVerifyCoat[[#This Row],[Job]]="","",IFERROR(tblVerifyCoat[[#This Row],[Powder (g/part)]]*tblVerifyCoat[[#This Row],[Parts coated]]/1000,""))</f>
        <v>18.75</v>
      </c>
      <c r="T49" s="36">
        <f>IF(tblVerifyCoat[[#This Row],[Job]]="","",IF(tblVerifyCoat[[#This Row],[Parts per hour]]&gt;0,tblVerifyCoat[[#This Row],[Parts coated]]/tblVerifyCoat[[#This Row],[Parts per hour]]+tblVerifyCoat[[#This Row],[Colour change (min)]]/60,""))</f>
        <v>1.25</v>
      </c>
      <c r="U49" s="36">
        <f>IF(tblVerifyCoat[[#This Row],[Job]]="","",IFERROR(tblVerifyCoat[[#This Row],[Powder used (kg)]]*tblVerifyCoat[[#This Row],[Cost per kg]]/tblVerifyCoat[[#This Row],[Good parts]],""))</f>
        <v>1.5</v>
      </c>
      <c r="V49" s="36">
        <f>IF(tblVerifyCoat[[#This Row],[Job]]="","",IFERROR(tblVerifyCoat[[#This Row],[Parts coated]]*tblVerifyCoat[[#This Row],[Masking materials]]/tblVerifyCoat[[#This Row],[Good parts]],""))</f>
        <v>0.25</v>
      </c>
      <c r="W49" s="36">
        <f>IF(tblVerifyCoat[[#This Row],[Job]]="","",IFERROR(tblVerifyCoat[[#This Row],[Line hours]]*$E$37/tblVerifyCoat[[#This Row],[Good parts]],""))</f>
        <v>0.62</v>
      </c>
      <c r="X49" s="36">
        <f>IF(tblVerifyCoat[[#This Row],[Job]]="","",IFERROR((tblVerifyCoat[[#This Row],[Line hours]]*$E$36+tblVerifyCoat[[#This Row],[Parts coated]]*tblVerifyCoat[[#This Row],[Handling (min/part)]]/60)*$E$35/tblVerifyCoat[[#This Row],[Good parts]],""))</f>
        <v>0.504</v>
      </c>
      <c r="Y49" s="43">
        <f>IF(tblVerifyCoat[[#This Row],[Job]]="","",IFERROR(tblVerifyCoat[[#This Row],[Powder cost]]+tblVerifyCoat[[#This Row],[Masking cost]]+tblVerifyCoat[[#This Row],[Line cost]]+tblVerifyCoat[[#This Row],[Labour cost]],""))</f>
        <v>2.874</v>
      </c>
      <c r="Z49" s="44">
        <f>IF(tblVerifyCoat[[#This Row],[Job]]="","",IF(AND(tblVerifyCoat[[#This Row],[Price]]&gt;0,ISNUMBER(tblVerifyCoat[[#This Row],[Cost per part]])),(tblVerifyCoat[[#This Row],[Price]]-tblVerifyCoat[[#This Row],[Cost per part]])/tblVerifyCoat[[#This Row],[Price]],""))</f>
        <v>0.315714285714286</v>
      </c>
      <c r="AA49" s="45" t="str">
        <f>IF(NOT(ISNUMBER(tblVerifyCoat[[#This Row],[Margin]])),"",IF(tblVerifyCoat[[#This Row],[Margin]]&gt;=$E$38,"On target",IF(tblVerifyCoat[[#This Row],[Margin]]&gt;=$E$38*(1-0.05),"Near target","Below target")))</f>
        <v>On target</v>
      </c>
      <c r="AB49" s="36">
        <f>IF(tblVerifyCoat[[#This Row],[Job]]="","",IFERROR(tblVerifyCoat[[#This Row],[Cost per part]]*tblVerifyCoat[[#This Row],[Good parts]],""))</f>
        <v>718.5</v>
      </c>
      <c r="AC49" s="36">
        <f>IF(tblVerifyCoat[[#This Row],[Job]]="","",IF(tblVerifyCoat[[#This Row],[Price]]&gt;0,tblVerifyCoat[[#This Row],[Price]]*tblVerifyCoat[[#This Row],[Good parts]],""))</f>
        <v>1050</v>
      </c>
      <c r="AD49" s="36">
        <f>IF(tblVerifyCoat[[#This Row],[Job]]="","",IF(AND(tblVerifyCoat[[#This Row],[Price]]&gt;0,ISNUMBER(tblVerifyCoat[[#This Row],[Job cost]])),tblVerifyCoat[[#This Row],[Job value]]-tblVerifyCoat[[#This Row],[Job cost]],""))</f>
        <v>331.5</v>
      </c>
      <c r="AE49" s="37" t="str">
        <f>IF(tblVerifyCoat[[#This Row],[Job]]="","",IF(tblVerifyCoat[[#This Row],[Good parts]]="","Missing good parts",IF(tblVerifyCoat[[#This Row],[Area per part]]="","Missing area per part",IF(tblVerifyCoat[[#This Row],[Film thickness]]="","Missing film thickness",IF(tblVerifyCoat[[#This Row],[Transfer efficiency]]="","Missing transfer efficiency",IF(tblVerifyCoat[[#This Row],[Parts per hour]]="","Missing parts per hour",IF(tblVerifyCoat[[#This Row],[Cost per kg]]="","Powder not on Setup list or no price",IF(COUNTIF(tblVerifyCoat[Job],tblVerifyCoat[[#This Row],[Job]])&gt;1,"Duplicate job","OK"))))))))</f>
        <v>OK</v>
      </c>
      <c r="AF49" s="55" t="s">
        <v>131</v>
      </c>
    </row>
    <row r="50" spans="2:32">
      <c r="B50" s="55" t="s">
        <v>273</v>
      </c>
      <c r="C50" s="55" t="s">
        <v>274</v>
      </c>
      <c r="D50" s="55" t="s">
        <v>275</v>
      </c>
      <c r="E50" s="73">
        <v>97</v>
      </c>
      <c r="F50" s="70">
        <v>10</v>
      </c>
      <c r="G50" s="74">
        <v>3</v>
      </c>
      <c r="H50" s="56">
        <v>0.5</v>
      </c>
      <c r="I50" s="74">
        <v>60</v>
      </c>
      <c r="J50" s="73">
        <v>30</v>
      </c>
      <c r="K50" s="72">
        <v>2</v>
      </c>
      <c r="L50" s="72">
        <v>0.5</v>
      </c>
      <c r="M50" s="56">
        <v>0.03</v>
      </c>
      <c r="N50" s="72">
        <v>9</v>
      </c>
      <c r="O50" s="72">
        <v>15</v>
      </c>
      <c r="P50" s="72">
        <v>1.6</v>
      </c>
      <c r="Q50" s="41">
        <f>IF(tblVerifyCoat[[#This Row],[Job]]="","",IF(OR(tblVerifyCoat[[#This Row],[Specific gravity]]="",tblVerifyCoat[[#This Row],[Transfer efficiency]]=0),"",IF($E$33="ft2",tblVerifyCoat[[#This Row],[Area per part]]*0.09290304,tblVerifyCoat[[#This Row],[Area per part]])*IF($E$34="mil",tblVerifyCoat[[#This Row],[Film thickness]]*25.4,tblVerifyCoat[[#This Row],[Film thickness]])*tblVerifyCoat[[#This Row],[Specific gravity]]/tblVerifyCoat[[#This Row],[Transfer efficiency]]))</f>
        <v>226.534772736</v>
      </c>
      <c r="R50" s="42">
        <f>IF(tblVerifyCoat[[#This Row],[Job]]="","",IF(tblVerifyCoat[[#This Row],[Reject rate]]&lt;1,ROUNDUP(tblVerifyCoat[[#This Row],[Good parts]]/(1-tblVerifyCoat[[#This Row],[Reject rate]]),0),""))</f>
        <v>100</v>
      </c>
      <c r="S50" s="41">
        <f>IF(tblVerifyCoat[[#This Row],[Job]]="","",IFERROR(tblVerifyCoat[[#This Row],[Powder (g/part)]]*tblVerifyCoat[[#This Row],[Parts coated]]/1000,""))</f>
        <v>22.6534772736</v>
      </c>
      <c r="T50" s="36">
        <f>IF(tblVerifyCoat[[#This Row],[Job]]="","",IF(tblVerifyCoat[[#This Row],[Parts per hour]]&gt;0,tblVerifyCoat[[#This Row],[Parts coated]]/tblVerifyCoat[[#This Row],[Parts per hour]]+tblVerifyCoat[[#This Row],[Colour change (min)]]/60,""))</f>
        <v>2.16666666666667</v>
      </c>
      <c r="U50" s="36">
        <f>IF(tblVerifyCoat[[#This Row],[Job]]="","",IFERROR(tblVerifyCoat[[#This Row],[Powder used (kg)]]*tblVerifyCoat[[#This Row],[Cost per kg]]/tblVerifyCoat[[#This Row],[Good parts]],""))</f>
        <v>3.50311504230928</v>
      </c>
      <c r="V50" s="36">
        <f>IF(tblVerifyCoat[[#This Row],[Job]]="","",IFERROR(tblVerifyCoat[[#This Row],[Parts coated]]*tblVerifyCoat[[#This Row],[Masking materials]]/tblVerifyCoat[[#This Row],[Good parts]],""))</f>
        <v>0.515463917525773</v>
      </c>
      <c r="W50" s="36">
        <f>IF(tblVerifyCoat[[#This Row],[Job]]="","",IFERROR(tblVerifyCoat[[#This Row],[Line hours]]*$E$37/tblVerifyCoat[[#This Row],[Good parts]],""))</f>
        <v>2.76975945017182</v>
      </c>
      <c r="X50" s="36">
        <f>IF(tblVerifyCoat[[#This Row],[Job]]="","",IFERROR((tblVerifyCoat[[#This Row],[Line hours]]*$E$36+tblVerifyCoat[[#This Row],[Parts coated]]*tblVerifyCoat[[#This Row],[Handling (min/part)]]/60)*$E$35/tblVerifyCoat[[#This Row],[Good parts]],""))</f>
        <v>2.84536082474227</v>
      </c>
      <c r="Y50" s="43">
        <f>IF(tblVerifyCoat[[#This Row],[Job]]="","",IFERROR(tblVerifyCoat[[#This Row],[Powder cost]]+tblVerifyCoat[[#This Row],[Masking cost]]+tblVerifyCoat[[#This Row],[Line cost]]+tblVerifyCoat[[#This Row],[Labour cost]],""))</f>
        <v>9.63369923474914</v>
      </c>
      <c r="Z50" s="44">
        <f>IF(tblVerifyCoat[[#This Row],[Job]]="","",IF(AND(tblVerifyCoat[[#This Row],[Price]]&gt;0,ISNUMBER(tblVerifyCoat[[#This Row],[Cost per part]])),(tblVerifyCoat[[#This Row],[Price]]-tblVerifyCoat[[#This Row],[Cost per part]])/tblVerifyCoat[[#This Row],[Price]],""))</f>
        <v>-0.0704110260832379</v>
      </c>
      <c r="AA50" s="45" t="str">
        <f>IF(NOT(ISNUMBER(tblVerifyCoat[[#This Row],[Margin]])),"",IF(tblVerifyCoat[[#This Row],[Margin]]&gt;=$E$38,"On target",IF(tblVerifyCoat[[#This Row],[Margin]]&gt;=$E$38*(1-0.05),"Near target","Below target")))</f>
        <v>Below target</v>
      </c>
      <c r="AB50" s="36">
        <f>IF(tblVerifyCoat[[#This Row],[Job]]="","",IFERROR(tblVerifyCoat[[#This Row],[Cost per part]]*tblVerifyCoat[[#This Row],[Good parts]],""))</f>
        <v>934.468825770667</v>
      </c>
      <c r="AC50" s="36">
        <f>IF(tblVerifyCoat[[#This Row],[Job]]="","",IF(tblVerifyCoat[[#This Row],[Price]]&gt;0,tblVerifyCoat[[#This Row],[Price]]*tblVerifyCoat[[#This Row],[Good parts]],""))</f>
        <v>873</v>
      </c>
      <c r="AD50" s="36">
        <f>IF(tblVerifyCoat[[#This Row],[Job]]="","",IF(AND(tblVerifyCoat[[#This Row],[Price]]&gt;0,ISNUMBER(tblVerifyCoat[[#This Row],[Job cost]])),tblVerifyCoat[[#This Row],[Job value]]-tblVerifyCoat[[#This Row],[Job cost]],""))</f>
        <v>-61.4688257706666</v>
      </c>
      <c r="AE50" s="37" t="str">
        <f>IF(tblVerifyCoat[[#This Row],[Job]]="","",IF(tblVerifyCoat[[#This Row],[Good parts]]="","Missing good parts",IF(tblVerifyCoat[[#This Row],[Area per part]]="","Missing area per part",IF(tblVerifyCoat[[#This Row],[Film thickness]]="","Missing film thickness",IF(tblVerifyCoat[[#This Row],[Transfer efficiency]]="","Missing transfer efficiency",IF(tblVerifyCoat[[#This Row],[Parts per hour]]="","Missing parts per hour",IF(tblVerifyCoat[[#This Row],[Cost per kg]]="","Powder not on Setup list or no price",IF(COUNTIF(tblVerifyCoat[Job],tblVerifyCoat[[#This Row],[Job]])&gt;1,"Duplicate job","OK"))))))))</f>
        <v>OK</v>
      </c>
      <c r="AF50" s="55" t="s">
        <v>131</v>
      </c>
    </row>
    <row r="51" spans="2:32">
      <c r="B51" s="55" t="s">
        <v>276</v>
      </c>
      <c r="C51" s="55" t="s">
        <v>277</v>
      </c>
      <c r="D51" s="55" t="s">
        <v>278</v>
      </c>
      <c r="E51" s="73">
        <v>10</v>
      </c>
      <c r="F51" s="70">
        <v>1</v>
      </c>
      <c r="G51" s="74">
        <v>2</v>
      </c>
      <c r="H51" s="56">
        <v>0.6</v>
      </c>
      <c r="I51" s="74">
        <v>20</v>
      </c>
      <c r="J51" s="73">
        <v>0</v>
      </c>
      <c r="K51" s="72">
        <v>1</v>
      </c>
      <c r="L51" s="72">
        <v>0</v>
      </c>
      <c r="M51" s="56">
        <v>0</v>
      </c>
      <c r="N51" s="72" t="s">
        <v>131</v>
      </c>
      <c r="O51" s="72" t="s">
        <v>131</v>
      </c>
      <c r="P51" s="72" t="s">
        <v>131</v>
      </c>
      <c r="Q51" s="41">
        <f>IF(tblVerifyCoat[[#This Row],[Job]]="","",IF(OR(tblVerifyCoat[[#This Row],[Specific gravity]]="",tblVerifyCoat[[#This Row],[Transfer efficiency]]=0),"",IF($E$33="ft2",tblVerifyCoat[[#This Row],[Area per part]]*0.09290304,tblVerifyCoat[[#This Row],[Area per part]])*IF($E$34="mil",tblVerifyCoat[[#This Row],[Film thickness]]*25.4,tblVerifyCoat[[#This Row],[Film thickness]])*tblVerifyCoat[[#This Row],[Specific gravity]]/tblVerifyCoat[[#This Row],[Transfer efficiency]]))</f>
        <v/>
      </c>
      <c r="R51" s="42">
        <f>IF(tblVerifyCoat[[#This Row],[Job]]="","",IF(tblVerifyCoat[[#This Row],[Reject rate]]&lt;1,ROUNDUP(tblVerifyCoat[[#This Row],[Good parts]]/(1-tblVerifyCoat[[#This Row],[Reject rate]]),0),""))</f>
        <v>10</v>
      </c>
      <c r="S51" s="41">
        <f>IF(tblVerifyCoat[[#This Row],[Job]]="","",IFERROR(tblVerifyCoat[[#This Row],[Powder (g/part)]]*tblVerifyCoat[[#This Row],[Parts coated]]/1000,""))</f>
        <v/>
      </c>
      <c r="T51" s="36">
        <f>IF(tblVerifyCoat[[#This Row],[Job]]="","",IF(tblVerifyCoat[[#This Row],[Parts per hour]]&gt;0,tblVerifyCoat[[#This Row],[Parts coated]]/tblVerifyCoat[[#This Row],[Parts per hour]]+tblVerifyCoat[[#This Row],[Colour change (min)]]/60,""))</f>
        <v>0.5</v>
      </c>
      <c r="U51" s="36">
        <f>IF(tblVerifyCoat[[#This Row],[Job]]="","",IFERROR(tblVerifyCoat[[#This Row],[Powder used (kg)]]*tblVerifyCoat[[#This Row],[Cost per kg]]/tblVerifyCoat[[#This Row],[Good parts]],""))</f>
        <v/>
      </c>
      <c r="V51" s="36">
        <f>IF(tblVerifyCoat[[#This Row],[Job]]="","",IFERROR(tblVerifyCoat[[#This Row],[Parts coated]]*tblVerifyCoat[[#This Row],[Masking materials]]/tblVerifyCoat[[#This Row],[Good parts]],""))</f>
        <v>0</v>
      </c>
      <c r="W51" s="36">
        <f>IF(tblVerifyCoat[[#This Row],[Job]]="","",IFERROR(tblVerifyCoat[[#This Row],[Line hours]]*$E$37/tblVerifyCoat[[#This Row],[Good parts]],""))</f>
        <v>6.2</v>
      </c>
      <c r="X51" s="36">
        <f>IF(tblVerifyCoat[[#This Row],[Job]]="","",IFERROR((tblVerifyCoat[[#This Row],[Line hours]]*$E$36+tblVerifyCoat[[#This Row],[Parts coated]]*tblVerifyCoat[[#This Row],[Handling (min/part)]]/60)*$E$35/tblVerifyCoat[[#This Row],[Good parts]],""))</f>
        <v>4.2</v>
      </c>
      <c r="Y51" s="43">
        <f>IF(tblVerifyCoat[[#This Row],[Job]]="","",IFERROR(tblVerifyCoat[[#This Row],[Powder cost]]+tblVerifyCoat[[#This Row],[Masking cost]]+tblVerifyCoat[[#This Row],[Line cost]]+tblVerifyCoat[[#This Row],[Labour cost]],""))</f>
        <v/>
      </c>
      <c r="Z51" s="44">
        <f>IF(tblVerifyCoat[[#This Row],[Job]]="","",IF(AND(tblVerifyCoat[[#This Row],[Price]]&gt;0,ISNUMBER(tblVerifyCoat[[#This Row],[Cost per part]])),(tblVerifyCoat[[#This Row],[Price]]-tblVerifyCoat[[#This Row],[Cost per part]])/tblVerifyCoat[[#This Row],[Price]],""))</f>
        <v/>
      </c>
      <c r="AA51" s="45">
        <f>IF(NOT(ISNUMBER(tblVerifyCoat[[#This Row],[Margin]])),"",IF(tblVerifyCoat[[#This Row],[Margin]]&gt;=$E$38,"On target",IF(tblVerifyCoat[[#This Row],[Margin]]&gt;=$E$38*(1-0.05),"Near target","Below target")))</f>
        <v/>
      </c>
      <c r="AB51" s="36">
        <f>IF(tblVerifyCoat[[#This Row],[Job]]="","",IFERROR(tblVerifyCoat[[#This Row],[Cost per part]]*tblVerifyCoat[[#This Row],[Good parts]],""))</f>
        <v/>
      </c>
      <c r="AC51" s="36">
        <f>IF(tblVerifyCoat[[#This Row],[Job]]="","",IF(tblVerifyCoat[[#This Row],[Price]]&gt;0,tblVerifyCoat[[#This Row],[Price]]*tblVerifyCoat[[#This Row],[Good parts]],""))</f>
        <v/>
      </c>
      <c r="AD51" s="36">
        <f>IF(tblVerifyCoat[[#This Row],[Job]]="","",IF(AND(tblVerifyCoat[[#This Row],[Price]]&gt;0,ISNUMBER(tblVerifyCoat[[#This Row],[Job cost]])),tblVerifyCoat[[#This Row],[Job value]]-tblVerifyCoat[[#This Row],[Job cost]],""))</f>
        <v/>
      </c>
      <c r="AE51" s="37" t="str">
        <f>IF(tblVerifyCoat[[#This Row],[Job]]="","",IF(tblVerifyCoat[[#This Row],[Good parts]]="","Missing good parts",IF(tblVerifyCoat[[#This Row],[Area per part]]="","Missing area per part",IF(tblVerifyCoat[[#This Row],[Film thickness]]="","Missing film thickness",IF(tblVerifyCoat[[#This Row],[Transfer efficiency]]="","Missing transfer efficiency",IF(tblVerifyCoat[[#This Row],[Parts per hour]]="","Missing parts per hour",IF(tblVerifyCoat[[#This Row],[Cost per kg]]="","Powder not on Setup list or no price",IF(COUNTIF(tblVerifyCoat[Job],tblVerifyCoat[[#This Row],[Job]])&gt;1,"Duplicate job","OK"))))))))</f>
        <v>Powder not on Setup list or no price</v>
      </c>
      <c r="AF51" s="55" t="s">
        <v>279</v>
      </c>
    </row>
  </sheetData>
  <sheetProtection sheet="1" formatColumns="0" formatRows="0"/>
  <mergeCells count="38">
    <mergeCell ref="A1:AF1"/>
    <mergeCell ref="B2:AE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B29:L29"/>
    <mergeCell ref="B31:L31"/>
    <mergeCell ref="B32:F32"/>
    <mergeCell ref="B33:D33"/>
    <mergeCell ref="E33:F33"/>
    <mergeCell ref="B34:D34"/>
    <mergeCell ref="E34:F34"/>
    <mergeCell ref="B35:D35"/>
    <mergeCell ref="B36:D36"/>
    <mergeCell ref="B37:D37"/>
    <mergeCell ref="B38:D38"/>
    <mergeCell ref="B40:L40"/>
    <mergeCell ref="B46:L46"/>
  </mergeCells>
  <conditionalFormatting sqref="AE49:AE51">
    <cfRule type="expression" dxfId="3" priority="43">
      <formula>$AE49="OK"</formula>
    </cfRule>
    <cfRule type="expression" dxfId="1" priority="44">
      <formula>AND($AE49&lt;&gt;"",$AE49&lt;&gt;"OK")</formula>
    </cfRule>
  </conditionalFormatting>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G43:G44">
    <cfRule type="expression" dxfId="3" priority="41">
      <formula>$G43="OK"</formula>
    </cfRule>
    <cfRule type="expression" dxfId="1" priority="42">
      <formula>AND($G43&lt;&gt;"",$G43&lt;&gt;"OK")</formula>
    </cfRule>
  </conditionalFormatting>
  <conditionalFormatting sqref="K11:K2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AF2" r:id="rId1" tooltip="Free manufacturing calculators and templates"/>
  </hyperlinks>
  <printOptions horizontalCentered="1"/>
  <pageMargins left="0.4" right="0.4" top="0.7" bottom="0.65" header="0.3" footer="0.3"/>
  <pageSetup fitToHeight="0" orientation="landscape"/>
  <headerFooter>
    <oddHeader>&amp;L&amp;8MFG Calcs - Powder Coating Cost per Part&amp;R&amp;8&amp;A</oddHeader>
    <oddFooter>&amp;L&amp;8mfgcalcs.com - free manufacturing templates&amp;R&amp;8Page &amp;P of &amp;N</oddFooter>
  </headerFooter>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22</vt:i4>
      </vt:variant>
    </vt:vector>
  </HeadingPairs>
  <TitlesOfParts>
    <vt:vector size="28" baseType="lpstr">
      <vt:lpstr>Start Here</vt:lpstr>
      <vt:lpstr>Setup</vt:lpstr>
      <vt:lpstr>Coating Jobs</vt:lpstr>
      <vt:lpstr>Dashboard</vt:lpstr>
      <vt:lpstr>Method</vt:lpstr>
      <vt:lpstr>Verify</vt:lpstr>
      <vt:lpstr>AreaUnit</vt:lpstr>
      <vt:lpstr>Crew</vt:lpstr>
      <vt:lpstr>Currency</vt:lpstr>
      <vt:lpstr>FilmUnit</vt:lpstr>
      <vt:lpstr>KpiBelow</vt:lpstr>
      <vt:lpstr>KpiHours</vt:lpstr>
      <vt:lpstr>KpiKg</vt:lpstr>
      <vt:lpstr>KpiMargin</vt:lpstr>
      <vt:lpstr>LabourRate</vt:lpstr>
      <vt:lpstr>LineRate</vt:lpstr>
      <vt:lpstr>PlantName</vt:lpstr>
      <vt:lpstr>'Coating Jobs'!Print_Area</vt:lpstr>
      <vt:lpstr>Dashboard!Print_Area</vt:lpstr>
      <vt:lpstr>Method!Print_Area</vt:lpstr>
      <vt:lpstr>Setup!Print_Area</vt:lpstr>
      <vt:lpstr>'Start Here'!Print_Area</vt:lpstr>
      <vt:lpstr>Verify!Print_Area</vt:lpstr>
      <vt:lpstr>'Coating Jobs'!Print_Titles</vt:lpstr>
      <vt:lpstr>Method!Print_Titles</vt:lpstr>
      <vt:lpstr>SelfCheck</vt:lpstr>
      <vt:lpstr>SelfCheckSummary</vt:lpstr>
      <vt:lpstr>TargetMargin</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Powder Coating Cost per Part - free Excel template from MFG Calcs</dc:title>
  <dc:subject>Cost every powder coating job from part area, film build, transfer efficiency and line time, and check each quoted price against your target margin.</dc:subject>
  <dc:creator>MFG Calcs</dc:creator>
  <cp:keywords>powder coating cost, cost per part, transfer efficiency, film thickness, coverage, finishing line, coating quote, job coater</cp:keywords>
  <dc:description>https://www.mfgcalcs.com/templates/powder-coating-cost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powder-coating-cost</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https://www.mfgcalcs.com/templates/powder-coating-cost</vt:lpwstr>
  </property>
  <property fmtid="{D5CDD505-2E9C-101B-9397-08002B2CF9AE}" pid="7" name="Template sheet roles">
    <vt:lpwstr>Start Here=start;Setup=setup;Coating Jobs=work;Dashboard=dashboard;Method=method;Verify=verify</vt:lpwstr>
  </property>
</Properties>
</file>