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PPAP Log" sheetId="3" r:id="rId3"/>
    <sheet name="Element Tracker" sheetId="4" r:id="rId4"/>
    <sheet name="Dashboard" sheetId="5" r:id="rId5"/>
    <sheet name="Method" sheetId="6" r:id="rId6"/>
    <sheet name="Verify" sheetId="7" r:id="rId7"/>
  </sheets>
  <definedNames>
    <definedName name="AsOf">Setup!$C$7</definedName>
    <definedName name="Customers">tblCustomers[Customer]</definedName>
    <definedName name="DashCustomer">Dashboard!$C$4</definedName>
    <definedName name="DueSoonDays">Setup!$C$8</definedName>
    <definedName name="ElementList">tblElementList[Element]</definedName>
    <definedName name="Functions">tblFunctions[Function]</definedName>
    <definedName name="HoursAvailable">Setup!$C$15</definedName>
    <definedName name="HoursPerPackage">Setup!$C$13</definedName>
    <definedName name="KpiElOverdue">Dashboard!$B$36</definedName>
    <definedName name="KpiFirst">Dashboard!$J$8</definedName>
    <definedName name="KpiNeed">Dashboard!$J$36</definedName>
    <definedName name="KpiOpen">Dashboard!$B$8</definedName>
    <definedName name="KpiOverdue">Dashboard!$C$8</definedName>
    <definedName name="KpiReady">Dashboard!$G$8</definedName>
    <definedName name="KpiReview">Dashboard!$C$36</definedName>
    <definedName name="KpiToSubmit">Dashboard!$G$36</definedName>
    <definedName name="PlantName">Setup!$C$6</definedName>
    <definedName name="PPAPIDs">tblPPAPs[PPAP no.]</definedName>
    <definedName name="_xlnm.Print_Area" localSheetId="4">Dashboard!$A$1:$L$91</definedName>
    <definedName name="_xlnm.Print_Area" localSheetId="3">'Element Tracker'!$A$1:$O$180</definedName>
    <definedName name="_xlnm.Print_Area" localSheetId="5">Method!$A$1:$D$56</definedName>
    <definedName name="_xlnm.Print_Area" localSheetId="2">'PPAP Log'!$A$1:$AB$19</definedName>
    <definedName name="_xlnm.Print_Area" localSheetId="1">Setup!$A$1:$E$65</definedName>
    <definedName name="_xlnm.Print_Area" localSheetId="0">'Start Here'!$A$1:$F$57</definedName>
    <definedName name="_xlnm.Print_Area" localSheetId="6">Verify!$A$1:$AB$83</definedName>
    <definedName name="_xlnm.Print_Titles" localSheetId="3">'Element Tracker'!$1:$5</definedName>
    <definedName name="_xlnm.Print_Titles" localSheetId="5">Method!$1:$2</definedName>
    <definedName name="_xlnm.Print_Titles" localSheetId="2">'PPAP Log'!$1:$5</definedName>
    <definedName name="Reasons">tblReasons[Reason]</definedName>
    <definedName name="ResubAllow">Setup!$C$14</definedName>
    <definedName name="SelfCheck">Verify!$D$4</definedName>
    <definedName name="SelfCheckSummary">Verify!$F$4</definedName>
    <definedName name="TargetFirst">Setup!$C$9</definedName>
    <definedName name="WlAvail">Dashboard!$E$57</definedName>
    <definedName name="WlHours">Dashboard!$E$55</definedName>
    <definedName name="WlLeft">Dashboard!$E$59</definedName>
    <definedName name="WlNeed">Dashboard!$E$56</definedName>
    <definedName name="WlPkgs">Dashboard!$E$54</definedName>
    <definedName name="WlShare">Dashboard!$E$58</definedName>
    <definedName name="WlStatus">Dashboard!$E$60</definedName>
  </definedNames>
  <calcPr calcId="124519" fullCalcOnLoad="1"/>
</workbook>
</file>

<file path=xl/sharedStrings.xml><?xml version="1.0" encoding="utf-8"?>
<sst xmlns="http://schemas.openxmlformats.org/spreadsheetml/2006/main" count="1693" uniqueCount="374">
  <si>
    <t>PPAP Submission Tracker</t>
  </si>
  <si>
    <t>Read this first: what the workbook does and how to use it.</t>
  </si>
  <si>
    <t>mfgcalcs.com</t>
  </si>
  <si>
    <t>Track every PPAP package and the elements it needs, and see what is overdue, how ready each open package is and how often customers approve first time.</t>
  </si>
  <si>
    <t>For: Supplier quality engineers, APQP and launch leads, and quality managers at automotive and other suppliers who submit or review PPAP packages.</t>
  </si>
  <si>
    <t>Version 1.0.0  ·  updated 15 October 2026</t>
  </si>
  <si>
    <t>Quick start</t>
  </si>
  <si>
    <t>1.</t>
  </si>
  <si>
    <t>On Setup, set the status date, the due-soon window, your first-time approval target and the workload figures, then replace the example customers, reasons and functions.</t>
  </si>
  <si>
    <t>2.</t>
  </si>
  <si>
    <t>On PPAP Log, add one row per package: PPAP number, part, customer, reason, submission level, owner and the customer's required date.</t>
  </si>
  <si>
    <t>3.</t>
  </si>
  <si>
    <t>On Element Tracker, add one row for each element the package needs, with owner, due date and status; mark it Complete with the date when it is done.</t>
  </si>
  <si>
    <t>4.</t>
  </si>
  <si>
    <t>When you submit, type the submitted date; when the customer decides, type the disposition and decision date (and the resubmit-by date after a rejection).</t>
  </si>
  <si>
    <t>5.</t>
  </si>
  <si>
    <t>Move the status date forward each time you update the log, then open the Dashboard and filter by customer if you need to.</t>
  </si>
  <si>
    <t>What is in this workbook</t>
  </si>
  <si>
    <t>Start Here</t>
  </si>
  <si>
    <t>Setup</t>
  </si>
  <si>
    <t>Status date, due-soon window, your targets, the workload figures, and the customer, reason, function and element lists.</t>
  </si>
  <si>
    <t>PPAP Log</t>
  </si>
  <si>
    <t>One row per PPAP package: part, customer, level, required date, submission and the customer's decision.</t>
  </si>
  <si>
    <t>Element Tracker</t>
  </si>
  <si>
    <t>One row per element a package needs: owner, due date, status and the date it was done.</t>
  </si>
  <si>
    <t>Dashboard</t>
  </si>
  <si>
    <t>Open and overdue PPAP packages, element readiness, first-time approval and where packages get stuck.</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</si>
  <si>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</si>
  <si>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</si>
  <si>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</si>
  <si>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</si>
  <si>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</si>
  <si>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</si>
  <si>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</si>
  <si>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</si>
  <si>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</si>
  <si>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</si>
  <si>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</si>
  <si>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</si>
  <si>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</si>
  <si>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</si>
  <si>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</si>
  <si>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</si>
  <si>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</si>
  <si>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</si>
  <si>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</si>
  <si>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</si>
  <si>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PPAP Review Workload Calculator on mfgcalcs.com</t>
  </si>
  <si>
    <t>Latest version</t>
  </si>
  <si>
    <t>mfgcalcs.com/templates/ppap-tracker</t>
  </si>
  <si>
    <t>More free templates</t>
  </si>
  <si>
    <t>mfgcalcs.com/templates</t>
  </si>
  <si>
    <t>Version</t>
  </si>
  <si>
    <t>1.0.0 (updated 15 October 2026)</t>
  </si>
  <si>
    <t>About the example data</t>
  </si>
  <si>
    <t>Every number already in this workbook is example data for Halden Stamping, a fictional business invented for this template, so the dashboard and charts show something meaningful on day one. It covers 14 PPAP packages for three fictional customers from February to December 2026, with the status date 9 October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</si>
  <si>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</si>
  <si>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</si>
  <si>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</si>
  <si>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</si>
  <si>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</si>
  <si>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</si>
  <si>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</si>
  <si>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</si>
  <si>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Customer</t>
  </si>
  <si>
    <t>Notes</t>
  </si>
  <si>
    <t>Reason</t>
  </si>
  <si>
    <t>Function</t>
  </si>
  <si>
    <t>Element</t>
  </si>
  <si>
    <t>No.</t>
  </si>
  <si>
    <t>Usual owner</t>
  </si>
  <si>
    <t>Site and status date</t>
  </si>
  <si>
    <t>Plant or company name</t>
  </si>
  <si>
    <t>Halden Stamping (example)</t>
  </si>
  <si>
    <t>Status date (as of)</t>
  </si>
  <si>
    <t>Due soon window</t>
  </si>
  <si>
    <t>days</t>
  </si>
  <si>
    <t>First-time approval target</t>
  </si>
  <si>
    <t>Workload planning (estimates you set)</t>
  </si>
  <si>
    <t>Hours per package</t>
  </si>
  <si>
    <t>h per package</t>
  </si>
  <si>
    <t>Resubmission allowance</t>
  </si>
  <si>
    <t>Hours available to the deadline</t>
  </si>
  <si>
    <t>h</t>
  </si>
  <si>
    <t>Targets and workload figures are yours to set; nothing here assumes an industry benchmark. 'Near target' means within 5% of the target (80.75% to 85% against an 85% target). Hours available read Near capacity above 90%.</t>
  </si>
  <si>
    <t>Lists that feed the dropdowns</t>
  </si>
  <si>
    <t>Edit, add or remove rows; the PPAP Log and Element Tracker dropdowns read these lists. The element list gives short labels for the 18 PPAP elements; which ones a package needs depends on your customer's requirements and the submission level (see the AIAG PPAP manual and your customer's specific requirements). Keep names unique.</t>
  </si>
  <si>
    <t>Customers</t>
  </si>
  <si>
    <t>Northline Motors (example)</t>
  </si>
  <si>
    <t>Vehicle maker; PPAP through its supplier portal (fictional)</t>
  </si>
  <si>
    <t>Vantis Seating (example)</t>
  </si>
  <si>
    <t>Tier 1 seating; PSW by e-mail (fictional)</t>
  </si>
  <si>
    <t>Brightway Axles (example)</t>
  </si>
  <si>
    <t>Tier 1 driveline (fictional)</t>
  </si>
  <si>
    <t>Reasons for submission</t>
  </si>
  <si>
    <t>New part</t>
  </si>
  <si>
    <t>First submission of a new part number</t>
  </si>
  <si>
    <t>Engineering change</t>
  </si>
  <si>
    <t>Change to design records, specifications or materials</t>
  </si>
  <si>
    <t>Tooling change</t>
  </si>
  <si>
    <t>Transfer, replacement or refurbishment of tooling</t>
  </si>
  <si>
    <t>Process change</t>
  </si>
  <si>
    <t>New line, press, site or method</t>
  </si>
  <si>
    <t>Supplier or material change</t>
  </si>
  <si>
    <t>New sub-supplier or material source</t>
  </si>
  <si>
    <t>Correction of discrepancy</t>
  </si>
  <si>
    <t>Fixing a previously submitted discrepancy</t>
  </si>
  <si>
    <t>Owner functions</t>
  </si>
  <si>
    <t>Quality</t>
  </si>
  <si>
    <t>Supplier quality and plant quality engineers</t>
  </si>
  <si>
    <t>Engineering</t>
  </si>
  <si>
    <t>Product and manufacturing engineering</t>
  </si>
  <si>
    <t>Metrology</t>
  </si>
  <si>
    <t>CMM and gauge room</t>
  </si>
  <si>
    <t>Production</t>
  </si>
  <si>
    <t>Press shop and assembly</t>
  </si>
  <si>
    <t>Tool room</t>
  </si>
  <si>
    <t>Dies, fixtures and checking aids</t>
  </si>
  <si>
    <t>Purchasing</t>
  </si>
  <si>
    <t>Sub-supplier material and certificates</t>
  </si>
  <si>
    <t>PPAP elements (short labels)</t>
  </si>
  <si>
    <t>Design records</t>
  </si>
  <si>
    <t>Engineering change docs</t>
  </si>
  <si>
    <t>Customer eng. approval</t>
  </si>
  <si>
    <t>Design FMEA</t>
  </si>
  <si>
    <t>Process flow diagram</t>
  </si>
  <si>
    <t>Process FMEA</t>
  </si>
  <si>
    <t>Control plan</t>
  </si>
  <si>
    <t>MSA studies</t>
  </si>
  <si>
    <t>Dimensional results</t>
  </si>
  <si>
    <t>Material and performance tests</t>
  </si>
  <si>
    <t>Initial process studies</t>
  </si>
  <si>
    <t>Qualified lab documentation</t>
  </si>
  <si>
    <t>Appearance approval report</t>
  </si>
  <si>
    <t>Sample production parts</t>
  </si>
  <si>
    <t>Master sample</t>
  </si>
  <si>
    <t>Checking aids</t>
  </si>
  <si>
    <t>Customer-specific requirements</t>
  </si>
  <si>
    <t>Part submission warrant</t>
  </si>
  <si>
    <t>PPAP no.</t>
  </si>
  <si>
    <t>Part number</t>
  </si>
  <si>
    <t>Part name</t>
  </si>
  <si>
    <t>Level</t>
  </si>
  <si>
    <t>Owner</t>
  </si>
  <si>
    <t>Required date</t>
  </si>
  <si>
    <t>Submitted</t>
  </si>
  <si>
    <t>Disposition</t>
  </si>
  <si>
    <t>Decision date</t>
  </si>
  <si>
    <t>Resubmissions</t>
  </si>
  <si>
    <t>Resubmit by</t>
  </si>
  <si>
    <t>Elements</t>
  </si>
  <si>
    <t>Complete</t>
  </si>
  <si>
    <t>Ready</t>
  </si>
  <si>
    <t>Due by</t>
  </si>
  <si>
    <t>Due status</t>
  </si>
  <si>
    <t>Submitted on time</t>
  </si>
  <si>
    <t>Customer review (days)</t>
  </si>
  <si>
    <t>First-time approval</t>
  </si>
  <si>
    <t>Open</t>
  </si>
  <si>
    <t>To submit</t>
  </si>
  <si>
    <t>In view</t>
  </si>
  <si>
    <t>Open rank</t>
  </si>
  <si>
    <t>Check</t>
  </si>
  <si>
    <t>Example data for Halden Stamping (fictional). Replace it with your own: select the example rows, right-click, Delete &gt; Table Rows (do the same on the Element Tracker). Yellow = you type; blue = calculated; Check names any problem. Due status is measured to the status date on Setup.</t>
  </si>
  <si>
    <t>P26-01</t>
  </si>
  <si>
    <t>BR-2207</t>
  </si>
  <si>
    <t>Seat bracket LH</t>
  </si>
  <si>
    <t>A. Kaur</t>
  </si>
  <si>
    <t>Approved</t>
  </si>
  <si>
    <t/>
  </si>
  <si>
    <t>P26-02</t>
  </si>
  <si>
    <t>BR-2208</t>
  </si>
  <si>
    <t>Seat bracket RH</t>
  </si>
  <si>
    <t>P26-03</t>
  </si>
  <si>
    <t>HS-4410</t>
  </si>
  <si>
    <t>Heat shield</t>
  </si>
  <si>
    <t>M. Lopez</t>
  </si>
  <si>
    <t>Rejected 12 May: PFMEA missing a special characteristic; resubmitted 20 May</t>
  </si>
  <si>
    <t>P26-04</t>
  </si>
  <si>
    <t>CL-118</t>
  </si>
  <si>
    <t>Hose clip</t>
  </si>
  <si>
    <t>P26-05</t>
  </si>
  <si>
    <t>AX-3021</t>
  </si>
  <si>
    <t>Axle bracket</t>
  </si>
  <si>
    <t>J. Novak</t>
  </si>
  <si>
    <t>P26-06</t>
  </si>
  <si>
    <t>Seat bracket LH rev B</t>
  </si>
  <si>
    <t>P26-07</t>
  </si>
  <si>
    <t>MT-5502</t>
  </si>
  <si>
    <t>Motor mount</t>
  </si>
  <si>
    <t>Rejected</t>
  </si>
  <si>
    <t>Rejected 8 Sep: two hole positions out; die rework, new dimensional results and capability study</t>
  </si>
  <si>
    <t>P26-08</t>
  </si>
  <si>
    <t>BK-7710</t>
  </si>
  <si>
    <t>Brake line bracket</t>
  </si>
  <si>
    <t>P26-09</t>
  </si>
  <si>
    <t>HS-4411</t>
  </si>
  <si>
    <t>Heat shield RH</t>
  </si>
  <si>
    <t>Interim approval</t>
  </si>
  <si>
    <t>Interim: capability on flange height below the customer's requirement; 30-piece study running</t>
  </si>
  <si>
    <t>P26-10</t>
  </si>
  <si>
    <t>CV-9001</t>
  </si>
  <si>
    <t>Battery cover</t>
  </si>
  <si>
    <t>P26-11</t>
  </si>
  <si>
    <t>BR-2310</t>
  </si>
  <si>
    <t>Seat rail bracket</t>
  </si>
  <si>
    <t>Gauge for rail width late from the tool room</t>
  </si>
  <si>
    <t>P26-12</t>
  </si>
  <si>
    <t>AX-3022</t>
  </si>
  <si>
    <t>Axle bracket rev C</t>
  </si>
  <si>
    <t>P26-13</t>
  </si>
  <si>
    <t>Heat shield rev B</t>
  </si>
  <si>
    <t>P26-14</t>
  </si>
  <si>
    <t>CL-120</t>
  </si>
  <si>
    <t>Hose clip, long</t>
  </si>
  <si>
    <t>Due date</t>
  </si>
  <si>
    <t>Status</t>
  </si>
  <si>
    <t>Done date</t>
  </si>
  <si>
    <t>Open package</t>
  </si>
  <si>
    <t>Days to due</t>
  </si>
  <si>
    <t>Example data for Halden Stamping (fictional). List only the elements each package needs; Part number, Customer and Open package come from the PPAP Log.</t>
  </si>
  <si>
    <t>In progress</t>
  </si>
  <si>
    <t>Redo after die rework</t>
  </si>
  <si>
    <t>Not started</t>
  </si>
  <si>
    <t>OPEN PACKAGES</t>
  </si>
  <si>
    <t>SUBMISSIONS OVERDUE</t>
  </si>
  <si>
    <t>ELEMENTS COMPLETE</t>
  </si>
  <si>
    <t>FIRST-TIME APPROVAL</t>
  </si>
  <si>
    <t>Not yet approved by the customer</t>
  </si>
  <si>
    <t>On packages not yet approved</t>
  </si>
  <si>
    <t>ELEMENTS OVERDUE</t>
  </si>
  <si>
    <t>CUSTOMER REVIEW (DAYS)</t>
  </si>
  <si>
    <t>PACKAGES TO SUBMIT</t>
  </si>
  <si>
    <t>HOURS TO FINISH (EST.)</t>
  </si>
  <si>
    <t>Average, submission to decision</t>
  </si>
  <si>
    <t>Open or rejected</t>
  </si>
  <si>
    <t>x hours per package x (1 + allowance)</t>
  </si>
  <si>
    <t>Open packages, earliest required date first (up to 8)</t>
  </si>
  <si>
    <t>Part</t>
  </si>
  <si>
    <t>Overdue</t>
  </si>
  <si>
    <t>Workload to finish the packages still to submit (planning estimate)</t>
  </si>
  <si>
    <t>Packages to submit</t>
  </si>
  <si>
    <t>packages</t>
  </si>
  <si>
    <t>Hours per package (Setup)</t>
  </si>
  <si>
    <t>Hours to finish (est.)</t>
  </si>
  <si>
    <t>Hours available (Setup)</t>
  </si>
  <si>
    <t>Share of hours available</t>
  </si>
  <si>
    <t>of hours</t>
  </si>
  <si>
    <t>Hours left over (negative = short)</t>
  </si>
  <si>
    <t>Capacity</t>
  </si>
  <si>
    <t>By customer (all packages; not filtered)</t>
  </si>
  <si>
    <t>Packages</t>
  </si>
  <si>
    <t>Review (days)</t>
  </si>
  <si>
    <t>Elements on open packages</t>
  </si>
  <si>
    <t>On open packages</t>
  </si>
  <si>
    <t>Open, overdue</t>
  </si>
  <si>
    <t>Open, not overdue</t>
  </si>
  <si>
    <t>Complete share</t>
  </si>
  <si>
    <t>The Dashboard shows the first 8 open packages by required date, the 18 elements and the 3 customers of the Setup lists. If you add more customers or elements, extend those blocks (see Method); every open package is still on the PPAP Log.</t>
  </si>
  <si>
    <t>What this workbook calculates</t>
  </si>
  <si>
    <t>A PPAP package is ready when every element the customer requires is complete, and done when the customer approves it. This workbook keeps one row per package on the PPAP Log and one row per required element on the Element Tracker; each package counts its own elements, and every date is compared with the status date on Setup (a typed date, so the file never changes by itself). Which elements a package needs is your call from the customer's requirements and the submission level; the workbook does not decide it.</t>
  </si>
  <si>
    <t>Calculations</t>
  </si>
  <si>
    <t>Quantity</t>
  </si>
  <si>
    <t>How it is calculated</t>
  </si>
  <si>
    <t>Units</t>
  </si>
  <si>
    <t>Elements, complete, ready</t>
  </si>
  <si>
    <t>Element rows for the package; those with Status Complete; complete / elements.</t>
  </si>
  <si>
    <t>count, %</t>
  </si>
  <si>
    <t>Due status (package)</t>
  </si>
  <si>
    <t>Approved: Complete. Submitted or interim approval: In progress (with the customer). Open or rejected: Overdue after the required date (the resubmit-by date after a rejection), Due soon within the Setup window, otherwise OK.</t>
  </si>
  <si>
    <t>-</t>
  </si>
  <si>
    <t>Yes when the submitted date is on or before the required date.</t>
  </si>
  <si>
    <t>Customer review</t>
  </si>
  <si>
    <t>Decision date - submitted date.</t>
  </si>
  <si>
    <t>Yes: approved with no resubmission. No: approved after a resubmission, interim approval or rejected. Blank while open or with the customer. Rate = Yes / (Yes + No).</t>
  </si>
  <si>
    <t>%</t>
  </si>
  <si>
    <t>Due status (element)</t>
  </si>
  <si>
    <t>Complete when the status is Complete; else Overdue after the due date, Due soon within the window, otherwise OK.</t>
  </si>
  <si>
    <t>Elements complete (tile)</t>
  </si>
  <si>
    <t>Complete element rows on packages not yet approved / all element rows on those packages.</t>
  </si>
  <si>
    <t>Helper column on the PPAP Log: the order of open packages by required date (resubmit-by after a rejection), used for the Dashboard's open-package block.</t>
  </si>
  <si>
    <t>Packages to submit (open or rejected) x hours per package x (1 + resubmission allowance), all from Setup: the PPAP Review Workload calculator's formula.</t>
  </si>
  <si>
    <t>Hours to finish / hours available. Above 100% reads Over capacity, above 90% Near capacity.</t>
  </si>
  <si>
    <t>Assumptions</t>
  </si>
  <si>
    <t>One row per package. A new package number is used for each engineering change or new submission; a resubmission after a rejection stays on the same row (count it under Resubmissions).</t>
  </si>
  <si>
    <t>An interim approval counts as not approved first time, and the package stays open until full approval.</t>
  </si>
  <si>
    <t>Element due dates are typed; the example spaces them back from the required date, process flow first and the warrant last.</t>
  </si>
  <si>
    <t>The workload estimate is the same for every package: it ignores how far each one has got. Use it for a launch wave, not one package.</t>
  </si>
  <si>
    <t>Limitations</t>
  </si>
  <si>
    <t>The workbook tracks status; it does not hold the documents. Keep the package in your document system and link it in Notes.</t>
  </si>
  <si>
    <t>The AIAG PPAP manual's table of which elements to submit at each level and its forms (including the Part Submission Warrant) are not reproduced; use the manual and your customer's specific requirements.</t>
  </si>
  <si>
    <t>The Dashboard's open-package block shows the first 8 by required date; the element and customer blocks have fixed rows (a warning appears when lists grow).</t>
  </si>
  <si>
    <t>Agreement with the live calculator</t>
  </si>
  <si>
    <t>The workload block uses the PPAP Review Workload calculator's formula: hours required = submissions x hours per submission x (1 + resubmission rate); share of capacity = required / available; hours remaining = available - required. With the calculator's default example (35 packages, 6 h each, 30%, 320 h available) both give 273.0 h, 85.3% and 47.0 h; the template's reference is checked against the engine on every build. The workbook adds the package and element logs and the Dashboard.</t>
  </si>
  <si>
    <t>Open the PPAP Review Workload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</si>
  <si>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</si>
  <si>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</si>
  <si>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AIAG, Production Part Approval Process (PPAP), 4th edition, 2006 (element names; levels and forms by reference only).</t>
  </si>
  <si>
    <t>IATF 16949:2016, clause 8.3.4.4 Product approval process (referenced, not reproduced).</t>
  </si>
  <si>
    <t>MFG Calcs PPAP Review Workload calculator: packages x hours per package x (1 + resubmission rate).</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</si>
  <si>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</si>
  <si>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</si>
  <si>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</si>
  <si>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</si>
  <si>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</si>
  <si>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</si>
  <si>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</si>
  <si>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</si>
  <si>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</si>
  <si>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</si>
  <si>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Expected (reference)</t>
  </si>
  <si>
    <t>Workbook result</t>
  </si>
  <si>
    <t>Difference</t>
  </si>
  <si>
    <t>Tolerance</t>
  </si>
  <si>
    <t>Result</t>
  </si>
  <si>
    <t>A1: ready (2 of 2 elements)</t>
  </si>
  <si>
    <t>A1: due status</t>
  </si>
  <si>
    <t>exact</t>
  </si>
  <si>
    <t>A2: first-time approval after a resubmission</t>
  </si>
  <si>
    <t>No</t>
  </si>
  <si>
    <t>A2: submitted on time</t>
  </si>
  <si>
    <t>A2: customer review (days)</t>
  </si>
  <si>
    <t>A3: ready (1 of 3 elements)</t>
  </si>
  <si>
    <t>A3: due status past the required date</t>
  </si>
  <si>
    <t>A4: due status within the window</t>
  </si>
  <si>
    <t>Due soon</t>
  </si>
  <si>
    <t>A5: rejected, judged on the resubmit-by date</t>
  </si>
  <si>
    <t>OK</t>
  </si>
  <si>
    <t>A6: with the customer</t>
  </si>
  <si>
    <t>A7: Check reports the customer</t>
  </si>
  <si>
    <t>Customer not on Setup list</t>
  </si>
  <si>
    <t>Element 4: due status</t>
  </si>
  <si>
    <t>Element 5: due status</t>
  </si>
  <si>
    <t>Element 9: Check reports the package</t>
  </si>
  <si>
    <t>PPAP no. not on the log</t>
  </si>
  <si>
    <t>Open packages (Dashboard formula)</t>
  </si>
  <si>
    <t>Submissions overdue (Dashboard formula)</t>
  </si>
  <si>
    <t>Elements overdue (Dashboard formula)</t>
  </si>
  <si>
    <t>Elements complete on open packages (Dashboard formula)</t>
  </si>
  <si>
    <t>Packages to submit (Dashboard formula)</t>
  </si>
  <si>
    <t>First-time approval, A7 counted as approved (Dashboard formula)</t>
  </si>
  <si>
    <t>Hours to finish: calculator example, 35 packages x 6 h x 1.3</t>
  </si>
  <si>
    <t>Fixed test inputs</t>
  </si>
  <si>
    <t>White cells are fixed test inputs; blue cells are the workbook's formulas evaluated on them.</t>
  </si>
  <si>
    <t>Parameters</t>
  </si>
  <si>
    <t>Status date</t>
  </si>
  <si>
    <t>Due soon window (days)</t>
  </si>
  <si>
    <t>Filter: customer (blank = all)</t>
  </si>
  <si>
    <t>Hours per package (calculator example)</t>
  </si>
  <si>
    <t>Hours available</t>
  </si>
  <si>
    <t>Test table: Customers</t>
  </si>
  <si>
    <t>C1</t>
  </si>
  <si>
    <t>C2</t>
  </si>
  <si>
    <t>Test table: Reasons</t>
  </si>
  <si>
    <t>Test table: ElementList</t>
  </si>
  <si>
    <t>Test table: PPAPs</t>
  </si>
  <si>
    <t>A1</t>
  </si>
  <si>
    <t>X-A1</t>
  </si>
  <si>
    <t>QE</t>
  </si>
  <si>
    <t>A2</t>
  </si>
  <si>
    <t>X-A2</t>
  </si>
  <si>
    <t>A3</t>
  </si>
  <si>
    <t>X-A3</t>
  </si>
  <si>
    <t>A4</t>
  </si>
  <si>
    <t>X-A4</t>
  </si>
  <si>
    <t>A5</t>
  </si>
  <si>
    <t>X-A5</t>
  </si>
  <si>
    <t>A6</t>
  </si>
  <si>
    <t>X-A6</t>
  </si>
  <si>
    <t>A7</t>
  </si>
  <si>
    <t>X-A7</t>
  </si>
  <si>
    <t>C9</t>
  </si>
  <si>
    <t>Test table: Elements</t>
  </si>
  <si>
    <t>A9</t>
  </si>
</sst>
</file>

<file path=xl/styles.xml><?xml version="1.0" encoding="utf-8"?>
<styleSheet xmlns="http://schemas.openxmlformats.org/spreadsheetml/2006/main">
  <numFmts count="10">
    <numFmt numFmtId="164" formatCode="d mmm yyyy"/>
    <numFmt numFmtId="165" formatCode="#,##0"/>
    <numFmt numFmtId="166" formatCode="0.0%"/>
    <numFmt numFmtId="167" formatCode="#,##0.0"/>
    <numFmt numFmtId="168" formatCode="0%"/>
    <numFmt numFmtId="169" formatCode="+#,##0;-#,##0;0"/>
    <numFmt numFmtId="170" formatCode="&quot;Limit &quot;#,##0"/>
    <numFmt numFmtId="171" formatCode="&quot;Target &quot;0.0%"/>
    <numFmt numFmtId="172" formatCode="+#,##0.0;-#,##0.0;0.0"/>
    <numFmt numFmtId="173"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6">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165"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0"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0" fontId="10" fillId="4" borderId="3" xfId="0" applyFont="1" applyFill="1" applyBorder="1" applyAlignment="1">
      <alignment vertical="center"/>
    </xf>
    <xf numFmtId="169" fontId="10" fillId="4" borderId="3" xfId="0" applyNumberFormat="1" applyFont="1" applyFill="1" applyBorder="1" applyAlignment="1">
      <alignment vertical="center"/>
    </xf>
    <xf numFmtId="0" fontId="21" fillId="0" borderId="0" xfId="0" applyFont="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70" fontId="23" fillId="9" borderId="7" xfId="0" applyNumberFormat="1" applyFont="1" applyFill="1" applyBorder="1" applyAlignment="1">
      <alignment horizontal="left" vertical="center"/>
    </xf>
    <xf numFmtId="171"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67" fontId="4"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7" fontId="10" fillId="4" borderId="3" xfId="0" applyNumberFormat="1" applyFont="1" applyFill="1" applyBorder="1" applyAlignment="1">
      <alignment vertical="center"/>
    </xf>
    <xf numFmtId="167" fontId="9" fillId="4" borderId="3" xfId="0" applyNumberFormat="1" applyFont="1" applyFill="1" applyBorder="1" applyAlignment="1">
      <alignment vertical="center"/>
    </xf>
    <xf numFmtId="166" fontId="9" fillId="4" borderId="3" xfId="0" applyNumberFormat="1" applyFont="1" applyFill="1" applyBorder="1" applyAlignment="1">
      <alignment vertical="center"/>
    </xf>
    <xf numFmtId="172"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9" fillId="0" borderId="9" xfId="0" applyNumberFormat="1" applyFont="1" applyBorder="1" applyAlignment="1">
      <alignment horizontal="center" vertical="center"/>
    </xf>
    <xf numFmtId="168" fontId="10" fillId="0" borderId="9" xfId="0" applyNumberFormat="1" applyFont="1" applyBorder="1" applyAlignment="1">
      <alignment vertical="center"/>
    </xf>
    <xf numFmtId="173" fontId="10" fillId="4" borderId="3" xfId="0" applyNumberFormat="1" applyFont="1" applyFill="1" applyBorder="1" applyAlignment="1">
      <alignment vertical="center"/>
    </xf>
    <xf numFmtId="173" fontId="10" fillId="0" borderId="9" xfId="0" applyNumberFormat="1" applyFont="1" applyBorder="1" applyAlignment="1">
      <alignment vertical="center"/>
    </xf>
    <xf numFmtId="165" fontId="10" fillId="0" borderId="9" xfId="0" applyNumberFormat="1" applyFont="1" applyBorder="1" applyAlignment="1">
      <alignment vertical="center"/>
    </xf>
    <xf numFmtId="166" fontId="10" fillId="0" borderId="9" xfId="0" applyNumberFormat="1" applyFont="1" applyBorder="1" applyAlignment="1">
      <alignment vertical="center"/>
    </xf>
    <xf numFmtId="167" fontId="10" fillId="0" borderId="9" xfId="0" applyNumberFormat="1" applyFont="1" applyBorder="1" applyAlignment="1">
      <alignment vertical="center"/>
    </xf>
    <xf numFmtId="164"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Element status of open packages</a:t>
            </a:r>
          </a:p>
        </c:rich>
      </c:tx>
      <c:layout/>
    </c:title>
    <c:plotArea>
      <c:layout/>
      <c:barChart>
        <c:barDir val="bar"/>
        <c:grouping val="stacked"/>
        <c:ser>
          <c:idx val="0"/>
          <c:order val="0"/>
          <c:tx>
            <c:v>Complete</c:v>
          </c:tx>
          <c:spPr>
            <a:solidFill>
              <a:srgbClr val="1BA37A"/>
            </a:solidFill>
            <a:ln w="9525">
              <a:solidFill>
                <a:srgbClr val="FFFFFF"/>
              </a:solidFill>
            </a:ln>
          </c:spPr>
          <c:cat>
            <c:strRef>
              <c:f>Dashboard!$C$43:$C$50</c:f>
              <c:strCache>
                <c:ptCount val="8"/>
                <c:pt idx="0">
                  <c:v>BK-7710 Brake line bracket</c:v>
                </c:pt>
                <c:pt idx="1">
                  <c:v>HS-4411 Heat shield RH</c:v>
                </c:pt>
                <c:pt idx="2">
                  <c:v>BR-2310 Seat rail bracket</c:v>
                </c:pt>
                <c:pt idx="3">
                  <c:v>MT-5502 Motor mount</c:v>
                </c:pt>
                <c:pt idx="4">
                  <c:v>CV-9001 Battery cover</c:v>
                </c:pt>
                <c:pt idx="5">
                  <c:v>AX-3022 Axle bracket rev C</c:v>
                </c:pt>
                <c:pt idx="6">
                  <c:v>HS-4410 Heat shield rev B</c:v>
                </c:pt>
                <c:pt idx="7">
                  <c:v>CL-120 Hose clip, long</c:v>
                </c:pt>
              </c:strCache>
            </c:strRef>
          </c:cat>
          <c:val>
            <c:numRef>
              <c:f>Dashboard!$H$43:$H$50</c:f>
              <c:numCache>
                <c:formatCode>General</c:formatCode>
                <c:ptCount val="8"/>
                <c:pt idx="0">
                  <c:v>15</c:v>
                </c:pt>
                <c:pt idx="1">
                  <c:v>15</c:v>
                </c:pt>
                <c:pt idx="2">
                  <c:v>13</c:v>
                </c:pt>
                <c:pt idx="3">
                  <c:v>11</c:v>
                </c:pt>
                <c:pt idx="4">
                  <c:v>12</c:v>
                </c:pt>
                <c:pt idx="5">
                  <c:v>4</c:v>
                </c:pt>
                <c:pt idx="6">
                  <c:v>1</c:v>
                </c:pt>
                <c:pt idx="7">
                  <c:v>0</c:v>
                </c:pt>
              </c:numCache>
            </c:numRef>
          </c:val>
        </c:ser>
        <c:ser>
          <c:idx val="1"/>
          <c:order val="1"/>
          <c:tx>
            <c:v>In progress</c:v>
          </c:tx>
          <c:spPr>
            <a:solidFill>
              <a:srgbClr val="E0A100"/>
            </a:solidFill>
            <a:ln w="9525">
              <a:solidFill>
                <a:srgbClr val="FFFFFF"/>
              </a:solidFill>
            </a:ln>
          </c:spPr>
          <c:cat>
            <c:strRef>
              <c:f>Dashboard!$C$43:$C$50</c:f>
              <c:strCache>
                <c:ptCount val="8"/>
                <c:pt idx="0">
                  <c:v>BK-7710 Brake line bracket</c:v>
                </c:pt>
                <c:pt idx="1">
                  <c:v>HS-4411 Heat shield RH</c:v>
                </c:pt>
                <c:pt idx="2">
                  <c:v>BR-2310 Seat rail bracket</c:v>
                </c:pt>
                <c:pt idx="3">
                  <c:v>MT-5502 Motor mount</c:v>
                </c:pt>
                <c:pt idx="4">
                  <c:v>CV-9001 Battery cover</c:v>
                </c:pt>
                <c:pt idx="5">
                  <c:v>AX-3022 Axle bracket rev C</c:v>
                </c:pt>
                <c:pt idx="6">
                  <c:v>HS-4410 Heat shield rev B</c:v>
                </c:pt>
                <c:pt idx="7">
                  <c:v>CL-120 Hose clip, long</c:v>
                </c:pt>
              </c:strCache>
            </c:strRef>
          </c:cat>
          <c:val>
            <c:numRef>
              <c:f>Dashboard!$I$43:$I$50</c:f>
              <c:numCache>
                <c:formatCode>General</c:formatCode>
                <c:ptCount val="8"/>
                <c:pt idx="0">
                  <c:v>0</c:v>
                </c:pt>
                <c:pt idx="1">
                  <c:v>0</c:v>
                </c:pt>
                <c:pt idx="2">
                  <c:v>2</c:v>
                </c:pt>
                <c:pt idx="3">
                  <c:v>3</c:v>
                </c:pt>
                <c:pt idx="4">
                  <c:v>2</c:v>
                </c:pt>
                <c:pt idx="5">
                  <c:v>2</c:v>
                </c:pt>
                <c:pt idx="6">
                  <c:v>2</c:v>
                </c:pt>
                <c:pt idx="7">
                  <c:v>0</c:v>
                </c:pt>
              </c:numCache>
            </c:numRef>
          </c:val>
        </c:ser>
        <c:ser>
          <c:idx val="2"/>
          <c:order val="2"/>
          <c:tx>
            <c:v>Not started</c:v>
          </c:tx>
          <c:spPr>
            <a:solidFill>
              <a:srgbClr val="3B64D8"/>
            </a:solidFill>
            <a:ln w="9525">
              <a:solidFill>
                <a:srgbClr val="FFFFFF"/>
              </a:solidFill>
            </a:ln>
          </c:spPr>
          <c:cat>
            <c:strRef>
              <c:f>Dashboard!$C$43:$C$50</c:f>
              <c:strCache>
                <c:ptCount val="8"/>
                <c:pt idx="0">
                  <c:v>BK-7710 Brake line bracket</c:v>
                </c:pt>
                <c:pt idx="1">
                  <c:v>HS-4411 Heat shield RH</c:v>
                </c:pt>
                <c:pt idx="2">
                  <c:v>BR-2310 Seat rail bracket</c:v>
                </c:pt>
                <c:pt idx="3">
                  <c:v>MT-5502 Motor mount</c:v>
                </c:pt>
                <c:pt idx="4">
                  <c:v>CV-9001 Battery cover</c:v>
                </c:pt>
                <c:pt idx="5">
                  <c:v>AX-3022 Axle bracket rev C</c:v>
                </c:pt>
                <c:pt idx="6">
                  <c:v>HS-4410 Heat shield rev B</c:v>
                </c:pt>
                <c:pt idx="7">
                  <c:v>CL-120 Hose clip, long</c:v>
                </c:pt>
              </c:strCache>
            </c:strRef>
          </c:cat>
          <c:val>
            <c:numRef>
              <c:f>Dashboard!$J$43:$J$50</c:f>
              <c:numCache>
                <c:formatCode>General</c:formatCode>
                <c:ptCount val="8"/>
                <c:pt idx="0">
                  <c:v>0</c:v>
                </c:pt>
                <c:pt idx="1">
                  <c:v>0</c:v>
                </c:pt>
                <c:pt idx="2">
                  <c:v>0</c:v>
                </c:pt>
                <c:pt idx="3">
                  <c:v>1</c:v>
                </c:pt>
                <c:pt idx="4">
                  <c:v>2</c:v>
                </c:pt>
                <c:pt idx="5">
                  <c:v>3</c:v>
                </c:pt>
                <c:pt idx="6">
                  <c:v>6</c:v>
                </c:pt>
                <c:pt idx="7">
                  <c:v>9</c:v>
                </c:pt>
              </c:numCache>
            </c:numRef>
          </c:val>
        </c:ser>
        <c:gapWidth val="60"/>
        <c:overlap val="10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Open elements by element</a:t>
            </a:r>
          </a:p>
        </c:rich>
      </c:tx>
      <c:layout/>
    </c:title>
    <c:plotArea>
      <c:layout/>
      <c:barChart>
        <c:barDir val="bar"/>
        <c:grouping val="stacked"/>
        <c:ser>
          <c:idx val="0"/>
          <c:order val="0"/>
          <c:tx>
            <c:v>Open, overdue</c:v>
          </c:tx>
          <c:spPr>
            <a:solidFill>
              <a:srgbClr val="B3000C"/>
            </a:solidFill>
            <a:ln w="9525">
              <a:solidFill>
                <a:srgbClr val="FFFFFF"/>
              </a:solidFill>
            </a:ln>
          </c:spPr>
          <c:cat>
            <c:strRef>
              <c:f>Dashboard!$B$70:$B$87</c:f>
              <c:strCache>
                <c:ptCount val="18"/>
                <c:pt idx="0">
                  <c:v>Design records</c:v>
                </c:pt>
                <c:pt idx="1">
                  <c:v>Engineering change docs</c:v>
                </c:pt>
                <c:pt idx="2">
                  <c:v>Customer eng. approval</c:v>
                </c:pt>
                <c:pt idx="3">
                  <c:v>Design FMEA</c:v>
                </c:pt>
                <c:pt idx="4">
                  <c:v>Process flow diagram</c:v>
                </c:pt>
                <c:pt idx="5">
                  <c:v>Process FMEA</c:v>
                </c:pt>
                <c:pt idx="6">
                  <c:v>Control plan</c:v>
                </c:pt>
                <c:pt idx="7">
                  <c:v>MSA studies</c:v>
                </c:pt>
                <c:pt idx="8">
                  <c:v>Dimensional results</c:v>
                </c:pt>
                <c:pt idx="9">
                  <c:v>Material and performance tests</c:v>
                </c:pt>
                <c:pt idx="10">
                  <c:v>Initial process studies</c:v>
                </c:pt>
                <c:pt idx="11">
                  <c:v>Qualified lab documentation</c:v>
                </c:pt>
                <c:pt idx="12">
                  <c:v>Appearance approval report</c:v>
                </c:pt>
                <c:pt idx="13">
                  <c:v>Sample production parts</c:v>
                </c:pt>
                <c:pt idx="14">
                  <c:v>Master sample</c:v>
                </c:pt>
                <c:pt idx="15">
                  <c:v>Checking aids</c:v>
                </c:pt>
                <c:pt idx="16">
                  <c:v>Customer-specific requirements</c:v>
                </c:pt>
                <c:pt idx="17">
                  <c:v>Part submission warrant</c:v>
                </c:pt>
              </c:strCache>
            </c:strRef>
          </c:cat>
          <c:val>
            <c:numRef>
              <c:f>Dashboard!$E$70:$E$87</c:f>
              <c:numCache>
                <c:formatCode>General</c:formatCode>
                <c:ptCount val="18"/>
                <c:pt idx="0">
                  <c:v>0</c:v>
                </c:pt>
                <c:pt idx="1">
                  <c:v>0</c:v>
                </c:pt>
                <c:pt idx="2">
                  <c:v>0</c:v>
                </c:pt>
                <c:pt idx="3">
                  <c:v>0</c:v>
                </c:pt>
                <c:pt idx="4">
                  <c:v>0</c:v>
                </c:pt>
                <c:pt idx="5">
                  <c:v>0</c:v>
                </c:pt>
                <c:pt idx="6">
                  <c:v>0</c:v>
                </c:pt>
                <c:pt idx="7">
                  <c:v>0</c:v>
                </c:pt>
                <c:pt idx="8">
                  <c:v>0</c:v>
                </c:pt>
                <c:pt idx="9">
                  <c:v>0</c:v>
                </c:pt>
                <c:pt idx="10">
                  <c:v>0</c:v>
                </c:pt>
                <c:pt idx="11">
                  <c:v>0</c:v>
                </c:pt>
                <c:pt idx="12">
                  <c:v>0</c:v>
                </c:pt>
                <c:pt idx="13">
                  <c:v>1</c:v>
                </c:pt>
                <c:pt idx="14">
                  <c:v>1</c:v>
                </c:pt>
                <c:pt idx="15">
                  <c:v>0</c:v>
                </c:pt>
                <c:pt idx="16">
                  <c:v>3</c:v>
                </c:pt>
                <c:pt idx="17">
                  <c:v>1</c:v>
                </c:pt>
              </c:numCache>
            </c:numRef>
          </c:val>
        </c:ser>
        <c:ser>
          <c:idx val="1"/>
          <c:order val="1"/>
          <c:tx>
            <c:v>Open, not overdue</c:v>
          </c:tx>
          <c:spPr>
            <a:solidFill>
              <a:srgbClr val="3B64D8"/>
            </a:solidFill>
            <a:ln w="9525">
              <a:solidFill>
                <a:srgbClr val="FFFFFF"/>
              </a:solidFill>
            </a:ln>
          </c:spPr>
          <c:cat>
            <c:strRef>
              <c:f>Dashboard!$B$70:$B$87</c:f>
              <c:strCache>
                <c:ptCount val="18"/>
                <c:pt idx="0">
                  <c:v>Design records</c:v>
                </c:pt>
                <c:pt idx="1">
                  <c:v>Engineering change docs</c:v>
                </c:pt>
                <c:pt idx="2">
                  <c:v>Customer eng. approval</c:v>
                </c:pt>
                <c:pt idx="3">
                  <c:v>Design FMEA</c:v>
                </c:pt>
                <c:pt idx="4">
                  <c:v>Process flow diagram</c:v>
                </c:pt>
                <c:pt idx="5">
                  <c:v>Process FMEA</c:v>
                </c:pt>
                <c:pt idx="6">
                  <c:v>Control plan</c:v>
                </c:pt>
                <c:pt idx="7">
                  <c:v>MSA studies</c:v>
                </c:pt>
                <c:pt idx="8">
                  <c:v>Dimensional results</c:v>
                </c:pt>
                <c:pt idx="9">
                  <c:v>Material and performance tests</c:v>
                </c:pt>
                <c:pt idx="10">
                  <c:v>Initial process studies</c:v>
                </c:pt>
                <c:pt idx="11">
                  <c:v>Qualified lab documentation</c:v>
                </c:pt>
                <c:pt idx="12">
                  <c:v>Appearance approval report</c:v>
                </c:pt>
                <c:pt idx="13">
                  <c:v>Sample production parts</c:v>
                </c:pt>
                <c:pt idx="14">
                  <c:v>Master sample</c:v>
                </c:pt>
                <c:pt idx="15">
                  <c:v>Checking aids</c:v>
                </c:pt>
                <c:pt idx="16">
                  <c:v>Customer-specific requirements</c:v>
                </c:pt>
                <c:pt idx="17">
                  <c:v>Part submission warrant</c:v>
                </c:pt>
              </c:strCache>
            </c:strRef>
          </c:cat>
          <c:val>
            <c:numRef>
              <c:f>Dashboard!$F$70:$F$87</c:f>
              <c:numCache>
                <c:formatCode>General</c:formatCode>
                <c:ptCount val="18"/>
                <c:pt idx="0">
                  <c:v>1</c:v>
                </c:pt>
                <c:pt idx="1">
                  <c:v>2</c:v>
                </c:pt>
                <c:pt idx="2">
                  <c:v>0</c:v>
                </c:pt>
                <c:pt idx="3">
                  <c:v>0</c:v>
                </c:pt>
                <c:pt idx="4">
                  <c:v>0</c:v>
                </c:pt>
                <c:pt idx="5">
                  <c:v>2</c:v>
                </c:pt>
                <c:pt idx="6">
                  <c:v>2</c:v>
                </c:pt>
                <c:pt idx="7">
                  <c:v>0</c:v>
                </c:pt>
                <c:pt idx="8">
                  <c:v>4</c:v>
                </c:pt>
                <c:pt idx="9">
                  <c:v>2</c:v>
                </c:pt>
                <c:pt idx="10">
                  <c:v>2</c:v>
                </c:pt>
                <c:pt idx="11">
                  <c:v>0</c:v>
                </c:pt>
                <c:pt idx="12">
                  <c:v>0</c:v>
                </c:pt>
                <c:pt idx="13">
                  <c:v>3</c:v>
                </c:pt>
                <c:pt idx="14">
                  <c:v>0</c:v>
                </c:pt>
                <c:pt idx="15">
                  <c:v>1</c:v>
                </c:pt>
                <c:pt idx="16">
                  <c:v>2</c:v>
                </c:pt>
                <c:pt idx="17">
                  <c:v>5</c:v>
                </c:pt>
              </c:numCache>
            </c:numRef>
          </c:val>
        </c:ser>
        <c:gapWidth val="60"/>
        <c:overlap val="100"/>
        <c:axId val="50020001"/>
        <c:axId val="50020002"/>
      </c:barChart>
      <c:catAx>
        <c:axId val="5002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638175</xdr:colOff>
      <xdr:row>32</xdr:row>
      <xdr:rowOff>152400</xdr:rowOff>
    </xdr:to>
    <xdr:graphicFrame macro="">
      <xdr:nvGraphicFramePr>
        <xdr:cNvPr id="2" name="Chart 1" descr="Stacked bar chart of complete, in-progress and not-started element counts for each open PPAP package, earliest required date at the top."/>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638175</xdr:colOff>
      <xdr:row>32</xdr:row>
      <xdr:rowOff>152400</xdr:rowOff>
    </xdr:to>
    <xdr:graphicFrame macro="">
      <xdr:nvGraphicFramePr>
        <xdr:cNvPr id="3" name="Chart 2" descr="Stacked bar chart of the elements not yet complete on open PPAP packages, for each of the 18 elements, split into overdue and not overdu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Customers" displayName="tblCustomers" ref="B23:C26" totalsRowShown="0">
  <autoFilter ref="B23:C26"/>
  <tableColumns count="2">
    <tableColumn id="1" name="Customer"/>
    <tableColumn id="2" name="Notes"/>
  </tableColumns>
  <tableStyleInfo name="TableStyleLight1" showFirstColumn="0" showLastColumn="0" showRowStripes="0" showColumnStripes="0"/>
</table>
</file>

<file path=xl/tables/table2.xml><?xml version="1.0" encoding="utf-8"?>
<table xmlns="http://schemas.openxmlformats.org/spreadsheetml/2006/main" id="2" name="tblReasons" displayName="tblReasons" ref="B29:C35" totalsRowShown="0">
  <autoFilter ref="B29:C35"/>
  <tableColumns count="2">
    <tableColumn id="1" name="Reason"/>
    <tableColumn id="2" name="Notes"/>
  </tableColumns>
  <tableStyleInfo name="TableStyleLight1" showFirstColumn="0" showLastColumn="0" showRowStripes="0" showColumnStripes="0"/>
</table>
</file>

<file path=xl/tables/table3.xml><?xml version="1.0" encoding="utf-8"?>
<table xmlns="http://schemas.openxmlformats.org/spreadsheetml/2006/main" id="3" name="tblFunctions" displayName="tblFunctions" ref="B38:C44" totalsRowShown="0">
  <autoFilter ref="B38:C44"/>
  <tableColumns count="2">
    <tableColumn id="1" name="Function"/>
    <tableColumn id="2" name="Notes"/>
  </tableColumns>
  <tableStyleInfo name="TableStyleLight1" showFirstColumn="0" showLastColumn="0" showRowStripes="0" showColumnStripes="0"/>
</table>
</file>

<file path=xl/tables/table4.xml><?xml version="1.0" encoding="utf-8"?>
<table xmlns="http://schemas.openxmlformats.org/spreadsheetml/2006/main" id="4" name="tblElementList" displayName="tblElementList" ref="B47:D65" totalsRowShown="0">
  <autoFilter ref="B47:D65"/>
  <tableColumns count="3">
    <tableColumn id="1" name="Element"/>
    <tableColumn id="2" name="No."/>
    <tableColumn id="3" name="Usual owner"/>
  </tableColumns>
  <tableStyleInfo name="TableStyleLight1" showFirstColumn="0" showLastColumn="0" showRowStripes="0" showColumnStripes="0"/>
</table>
</file>

<file path=xl/tables/table5.xml><?xml version="1.0" encoding="utf-8"?>
<table xmlns="http://schemas.openxmlformats.org/spreadsheetml/2006/main" id="5" name="tblPPAPs" displayName="tblPPAPs" ref="B5:AB19" totalsRowShown="0">
  <autoFilter ref="B5:AB19"/>
  <tableColumns count="27">
    <tableColumn id="1" name="PPAP no."/>
    <tableColumn id="2" name="Part number"/>
    <tableColumn id="3" name="Part name"/>
    <tableColumn id="4" name="Customer"/>
    <tableColumn id="5" name="Reason"/>
    <tableColumn id="6" name="Level"/>
    <tableColumn id="7" name="Owner"/>
    <tableColumn id="8" name="Required date"/>
    <tableColumn id="9" name="Submitted"/>
    <tableColumn id="10" name="Disposition"/>
    <tableColumn id="11" name="Decision date"/>
    <tableColumn id="12" name="Resubmissions"/>
    <tableColumn id="13" name="Resubmit by"/>
    <tableColumn id="14" name="Elements">
      <calculatedColumnFormula>IF(tblPPAPs[[#This Row],[PPAP no.]]="","",COUNTIFS(tblElements[PPAP no.],tblPPAPs[[#This Row],[PPAP no.]]))</calculatedColumnFormula>
    </tableColumn>
    <tableColumn id="15" name="Complete">
      <calculatedColumnFormula>IF(tblPPAPs[[#This Row],[PPAP no.]]="","",COUNTIFS(tblElements[PPAP no.],tblPPAPs[[#This Row],[PPAP no.]],tblElements[Status],"Complete"))</calculatedColumnFormula>
    </tableColumn>
    <tableColumn id="16" name="Ready">
      <calculatedColumnFormula>IF(tblPPAPs[[#This Row],[PPAP no.]]="","",IF(tblPPAPs[[#This Row],[Elements]]&gt;0,tblPPAPs[[#This Row],[Complete]]/tblPPAPs[[#This Row],[Elements]],""))</calculatedColumnFormula>
    </tableColumn>
    <tableColumn id="17" name="Due by">
      <calculatedColumnFormula>IF(tblPPAPs[[#This Row],[PPAP no.]]="","",IF(AND(tblPPAPs[[#This Row],[Disposition]]="Rejected",ISNUMBER(tblPPAPs[[#This Row],[Resubmit by]])),tblPPAPs[[#This Row],[Resubmit by]],tblPPAPs[[#This Row],[Required date]]))</calculatedColumnFormula>
    </tableColumn>
    <tableColumn id="18" name="Due status">
      <calculatedColumnFormula>IF(tblPPAPs[[#This Row],[PPAP no.]]="","",IF(tblPPAPs[[#This Row],[Disposition]]="Approved","Complete",IF(OR(tblPPAPs[[#This Row],[Disposition]]="Submitted",tblPPAPs[[#This Row],[Disposition]]="Interim approval"),"In progress",IF(AsOf&gt;tblPPAPs[[#This Row],[Due by]],"Overdue",IF(tblPPAPs[[#This Row],[Due by]]-AsOf&lt;=DueSoonDays,"Due soon","OK")))))</calculatedColumnFormula>
    </tableColumn>
    <tableColumn id="19" name="Submitted on time">
      <calculatedColumnFormula>IF(tblPPAPs[[#This Row],[PPAP no.]]="","",IF(NOT(ISNUMBER(tblPPAPs[[#This Row],[Submitted]])),"",IF(tblPPAPs[[#This Row],[Submitted]]&lt;=tblPPAPs[[#This Row],[Required date]],"Yes","No")))</calculatedColumnFormula>
    </tableColumn>
    <tableColumn id="20" name="Customer review (days)">
      <calculatedColumnFormula>IF(tblPPAPs[[#This Row],[PPAP no.]]="","",IF(AND(ISNUMBER(tblPPAPs[[#This Row],[Submitted]]),ISNUMBER(tblPPAPs[[#This Row],[Decision date]])),tblPPAPs[[#This Row],[Decision date]]-tblPPAPs[[#This Row],[Submitted]],""))</calculatedColumnFormula>
    </tableColumn>
    <tableColumn id="21" name="First-time approval">
      <calculatedColumnFormula>IF(tblPPAPs[[#This Row],[PPAP no.]]="","",IF(AND(tblPPAPs[[#This Row],[Disposition]]="Approved",tblPPAPs[[#This Row],[Resubmissions]]=0),"Yes",IF(OR(tblPPAPs[[#This Row],[Disposition]]="Approved",tblPPAPs[[#This Row],[Disposition]]="Interim approval",tblPPAPs[[#This Row],[Disposition]]="Rejected"),"No","")))</calculatedColumnFormula>
    </tableColumn>
    <tableColumn id="22" name="Open">
      <calculatedColumnFormula>IF(tblPPAPs[[#This Row],[PPAP no.]]="","",IF(tblPPAPs[[#This Row],[Disposition]]="Approved",0,1))</calculatedColumnFormula>
    </tableColumn>
    <tableColumn id="23" name="To submit">
      <calculatedColumnFormula>IF(tblPPAPs[[#This Row],[PPAP no.]]="","",IF(OR(tblPPAPs[[#This Row],[Disposition]]="Open",tblPPAPs[[#This Row],[Disposition]]="Rejected"),1,0))</calculatedColumnFormula>
    </tableColumn>
    <tableColumn id="24" name="In view">
      <calculatedColumnFormula>IF(tblPPAPs[[#This Row],[PPAP no.]]="","",IF(OR(DashCustomer="",tblPPAPs[[#This Row],[Customer]]=DashCustomer),1,0))</calculatedColumnFormula>
    </tableColumn>
    <tableColumn id="25" name="Open rank">
      <calculatedColumnFormula>IF(tblPPAPs[[#This Row],[PPAP no.]]="","",IF(OR(tblPPAPs[[#This Row],[Open]]=0,tblPPAPs[[#This Row],[In view]]=0),"",COUNTIFS(tblPPAPs[Open],1,tblPPAPs[In view],1,tblPPAPs[Due by],"&lt;"&amp;tblPPAPs[[#This Row],[Due by]])+COUNTIFS(tblPPAPs[Open],1,tblPPAPs[In view],1,tblPPAPs[Due by],tblPPAPs[[#This Row],[Due by]],tblPPAPs[PPAP no.],"&lt;"&amp;tblPPAPs[[#This Row],[PPAP no.]])+1))</calculatedColumnFormula>
    </tableColumn>
    <tableColumn id="26" name="Check">
      <calculatedColumnFormula>IF(tblPPAPs[[#This Row],[PPAP no.]]="","",IF(tblPPAPs[[#This Row],[Customer]]="","Missing customer",IF(tblPPAPs[[#This Row],[Required date]]="","Missing required date",IF(tblPPAPs[[#This Row],[Disposition]]="","Missing disposition",IF(COUNTIF(tblPPAPs[PPAP no.],tblPPAPs[[#This Row],[PPAP no.]])&gt;1,"Duplicate PPAP no.",IF(COUNTIF(tblCustomers[Customer],tblPPAPs[[#This Row],[Customer]])=0,"Customer not on Setup list",IF(AND(tblPPAPs[[#This Row],[Disposition]]&lt;&gt;"Open",NOT(ISNUMBER(tblPPAPs[[#This Row],[Submitted]]))),"Submitted date missing",IF(AND(OR(tblPPAPs[[#This Row],[Disposition]]="Approved",tblPPAPs[[#This Row],[Disposition]]="Rejected",tblPPAPs[[#This Row],[Disposition]]="Interim approval"),NOT(ISNUMBER(tblPPAPs[[#This Row],[Decision date]]))),"Decision date missing",IF(AND(ISNUMBER(tblPPAPs[[#This Row],[Decision date]]),ISNUMBER(tblPPAPs[[#This Row],[Submitted]]),tblPPAPs[[#This Row],[Decision date]]&lt;tblPPAPs[[#This Row],[Submitted]]),"Decision before submission",IF(OR(AND(ISNUMBER(tblPPAPs[[#This Row],[Submitted]]),tblPPAPs[[#This Row],[Submitted]]&gt;AsOf),AND(ISNUMBER(tblPPAPs[[#This Row],[Decision date]]),tblPPAPs[[#This Row],[Decision date]]&gt;AsOf)),"Date after the status date",IF(tblPPAPs[[#This Row],[Elements]]=0,"No elements on the tracker","OK")))))))))))</calculatedColumnFormula>
    </tableColumn>
    <tableColumn id="27" name="Notes"/>
  </tableColumns>
  <tableStyleInfo name="TableStyleLight1" showFirstColumn="0" showLastColumn="0" showRowStripes="0" showColumnStripes="0"/>
</table>
</file>

<file path=xl/tables/table6.xml><?xml version="1.0" encoding="utf-8"?>
<table xmlns="http://schemas.openxmlformats.org/spreadsheetml/2006/main" id="6" name="tblElements" displayName="tblElements" ref="B5:O180" totalsRowShown="0">
  <autoFilter ref="B5:O180"/>
  <tableColumns count="14">
    <tableColumn id="1" name="PPAP no."/>
    <tableColumn id="2" name="Element"/>
    <tableColumn id="3" name="Owner"/>
    <tableColumn id="4" name="Due date"/>
    <tableColumn id="5" name="Status"/>
    <tableColumn id="6" name="Done date"/>
    <tableColumn id="7" name="Part number">
      <calculatedColumnFormula>IF(tblElements[[#This Row],[PPAP no.]]="","",IFERROR(INDEX(tblPPAPs[Part number],MATCH(tblElements[[#This Row],[PPAP no.]],tblPPAPs[PPAP no.],0)),""))</calculatedColumnFormula>
    </tableColumn>
    <tableColumn id="8" name="Customer">
      <calculatedColumnFormula>IF(tblElements[[#This Row],[PPAP no.]]="","",IFERROR(INDEX(tblPPAPs[Customer],MATCH(tblElements[[#This Row],[PPAP no.]],tblPPAPs[PPAP no.],0)),""))</calculatedColumnFormula>
    </tableColumn>
    <tableColumn id="9" name="Open package">
      <calculatedColumnFormula>IF(tblElements[[#This Row],[PPAP no.]]="","",IFERROR(INDEX(tblPPAPs[Open],MATCH(tblElements[[#This Row],[PPAP no.]],tblPPAPs[PPAP no.],0)),""))</calculatedColumnFormula>
    </tableColumn>
    <tableColumn id="10" name="Days to due">
      <calculatedColumnFormula>IF(tblElements[[#This Row],[PPAP no.]]="","",IF(tblElements[[#This Row],[Status]]="Complete","",tblElements[[#This Row],[Due date]]-AsOf))</calculatedColumnFormula>
    </tableColumn>
    <tableColumn id="11" name="Due status">
      <calculatedColumnFormula>IF(tblElements[[#This Row],[PPAP no.]]="","",IF(tblElements[[#This Row],[Status]]="Complete","Complete",IF(AsOf&gt;tblElements[[#This Row],[Due date]],"Overdue",IF(tblElements[[#This Row],[Due date]]-AsOf&lt;=DueSoonDays,"Due soon","OK"))))</calculatedColumnFormula>
    </tableColumn>
    <tableColumn id="12" name="In view">
      <calculatedColumnFormula>IF(tblElements[[#This Row],[PPAP no.]]="","",IF(OR(DashCustomer="",tblElements[[#This Row],[Customer]]=DashCustomer),1,0))</calculatedColumnFormula>
    </tableColumn>
    <tableColumn id="13" name="Check">
      <calculatedColumnFormula>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calculatedColumnFormula>
    </tableColumn>
    <tableColumn id="14" name="Notes"/>
  </tableColumns>
  <tableStyleInfo name="TableStyleLight1" showFirstColumn="0" showLastColumn="0" showRowStripes="0" showColumnStripes="0"/>
</table>
</file>

<file path=xl/tables/table7.xml><?xml version="1.0" encoding="utf-8"?>
<table xmlns="http://schemas.openxmlformats.org/spreadsheetml/2006/main" id="7" name="tblVerifyCustomers" displayName="tblVerifyCustomers" ref="B45:C47" totalsRowShown="0">
  <tableColumns count="2">
    <tableColumn id="1" name="Customer"/>
    <tableColumn id="2" name="Notes"/>
  </tableColumns>
  <tableStyleInfo name="TableStyleLight1" showFirstColumn="0" showLastColumn="0" showRowStripes="0" showColumnStripes="0"/>
</table>
</file>

<file path=xl/tables/table8.xml><?xml version="1.0" encoding="utf-8"?>
<table xmlns="http://schemas.openxmlformats.org/spreadsheetml/2006/main" id="8" name="tblVerifyReasons" displayName="tblVerifyReasons" ref="B50:C52" totalsRowShown="0">
  <tableColumns count="2">
    <tableColumn id="1" name="Reason"/>
    <tableColumn id="2" name="Notes"/>
  </tableColumns>
  <tableStyleInfo name="TableStyleLight1" showFirstColumn="0" showLastColumn="0" showRowStripes="0" showColumnStripes="0"/>
</table>
</file>

<file path=xl/tables/table9.xml><?xml version="1.0" encoding="utf-8"?>
<table xmlns="http://schemas.openxmlformats.org/spreadsheetml/2006/main" id="9" name="tblVerifyElementList" displayName="tblVerifyElementList" ref="B55:D61" totalsRowShown="0">
  <tableColumns count="3">
    <tableColumn id="1" name="Element"/>
    <tableColumn id="2" name="No."/>
    <tableColumn id="3" name="Usual owner"/>
  </tableColumns>
  <tableStyleInfo name="TableStyleLight1" showFirstColumn="0" showLastColumn="0" showRowStripes="0" showColumnStripes="0"/>
</table>
</file>

<file path=xl/tables/table10.xml><?xml version="1.0" encoding="utf-8"?>
<table xmlns="http://schemas.openxmlformats.org/spreadsheetml/2006/main" id="10" name="tblVerifyPPAPs" displayName="tblVerifyPPAPs" ref="B64:AB71" totalsRowShown="0">
  <tableColumns count="27">
    <tableColumn id="1" name="PPAP no."/>
    <tableColumn id="2" name="Part number"/>
    <tableColumn id="3" name="Part name"/>
    <tableColumn id="4" name="Customer"/>
    <tableColumn id="5" name="Reason"/>
    <tableColumn id="6" name="Level"/>
    <tableColumn id="7" name="Owner"/>
    <tableColumn id="8" name="Required date"/>
    <tableColumn id="9" name="Submitted"/>
    <tableColumn id="10" name="Disposition"/>
    <tableColumn id="11" name="Decision date"/>
    <tableColumn id="12" name="Resubmissions"/>
    <tableColumn id="13" name="Resubmit by"/>
    <tableColumn id="14" name="Elements">
      <calculatedColumnFormula>IF(tblVerifyPPAPs[[#This Row],[PPAP no.]]="","",COUNTIFS(tblVerifyElements[PPAP no.],tblVerifyPPAPs[[#This Row],[PPAP no.]]))</calculatedColumnFormula>
    </tableColumn>
    <tableColumn id="15" name="Complete">
      <calculatedColumnFormula>IF(tblVerifyPPAPs[[#This Row],[PPAP no.]]="","",COUNTIFS(tblVerifyElements[PPAP no.],tblVerifyPPAPs[[#This Row],[PPAP no.]],tblVerifyElements[Status],"Complete"))</calculatedColumnFormula>
    </tableColumn>
    <tableColumn id="16" name="Ready">
      <calculatedColumnFormula>IF(tblVerifyPPAPs[[#This Row],[PPAP no.]]="","",IF(tblVerifyPPAPs[[#This Row],[Elements]]&gt;0,tblVerifyPPAPs[[#This Row],[Complete]]/tblVerifyPPAPs[[#This Row],[Elements]],""))</calculatedColumnFormula>
    </tableColumn>
    <tableColumn id="17" name="Due by">
      <calculatedColumnFormula>IF(tblVerifyPPAPs[[#This Row],[PPAP no.]]="","",IF(AND(tblVerifyPPAPs[[#This Row],[Disposition]]="Rejected",ISNUMBER(tblVerifyPPAPs[[#This Row],[Resubmit by]])),tblVerifyPPAPs[[#This Row],[Resubmit by]],tblVerifyPPAPs[[#This Row],[Required date]]))</calculatedColumnFormula>
    </tableColumn>
    <tableColumn id="18" name="Due status">
      <calculatedColumnFormula>IF(tblVerifyPPAPs[[#This Row],[PPAP no.]]="","",IF(tblVerifyPPAPs[[#This Row],[Disposition]]="Approved","Complete",IF(OR(tblVerifyPPAPs[[#This Row],[Disposition]]="Submitted",tblVerifyPPAPs[[#This Row],[Disposition]]="Interim approval"),"In progress",IF($E$37&gt;tblVerifyPPAPs[[#This Row],[Due by]],"Overdue",IF(tblVerifyPPAPs[[#This Row],[Due by]]-$E$37&lt;=$E$38,"Due soon","OK")))))</calculatedColumnFormula>
    </tableColumn>
    <tableColumn id="19" name="Submitted on time">
      <calculatedColumnFormula>IF(tblVerifyPPAPs[[#This Row],[PPAP no.]]="","",IF(NOT(ISNUMBER(tblVerifyPPAPs[[#This Row],[Submitted]])),"",IF(tblVerifyPPAPs[[#This Row],[Submitted]]&lt;=tblVerifyPPAPs[[#This Row],[Required date]],"Yes","No")))</calculatedColumnFormula>
    </tableColumn>
    <tableColumn id="20" name="Customer review (days)">
      <calculatedColumnFormula>IF(tblVerifyPPAPs[[#This Row],[PPAP no.]]="","",IF(AND(ISNUMBER(tblVerifyPPAPs[[#This Row],[Submitted]]),ISNUMBER(tblVerifyPPAPs[[#This Row],[Decision date]])),tblVerifyPPAPs[[#This Row],[Decision date]]-tblVerifyPPAPs[[#This Row],[Submitted]],""))</calculatedColumnFormula>
    </tableColumn>
    <tableColumn id="21" name="First-time approval">
      <calculatedColumnFormula>IF(tblVerifyPPAPs[[#This Row],[PPAP no.]]="","",IF(AND(tblVerifyPPAPs[[#This Row],[Disposition]]="Approved",tblVerifyPPAPs[[#This Row],[Resubmissions]]=0),"Yes",IF(OR(tblVerifyPPAPs[[#This Row],[Disposition]]="Approved",tblVerifyPPAPs[[#This Row],[Disposition]]="Interim approval",tblVerifyPPAPs[[#This Row],[Disposition]]="Rejected"),"No","")))</calculatedColumnFormula>
    </tableColumn>
    <tableColumn id="22" name="Open">
      <calculatedColumnFormula>IF(tblVerifyPPAPs[[#This Row],[PPAP no.]]="","",IF(tblVerifyPPAPs[[#This Row],[Disposition]]="Approved",0,1))</calculatedColumnFormula>
    </tableColumn>
    <tableColumn id="23" name="To submit">
      <calculatedColumnFormula>IF(tblVerifyPPAPs[[#This Row],[PPAP no.]]="","",IF(OR(tblVerifyPPAPs[[#This Row],[Disposition]]="Open",tblVerifyPPAPs[[#This Row],[Disposition]]="Rejected"),1,0))</calculatedColumnFormula>
    </tableColumn>
    <tableColumn id="24" name="In view">
      <calculatedColumnFormula>IF(tblVerifyPPAPs[[#This Row],[PPAP no.]]="","",IF(OR($E$39="",tblVerifyPPAPs[[#This Row],[Customer]]=$E$39),1,0))</calculatedColumnFormula>
    </tableColumn>
    <tableColumn id="25" name="Open rank">
      <calculatedColumnFormula>IF(tblVerifyPPAPs[[#This Row],[PPAP no.]]="","",IF(OR(tblVerifyPPAPs[[#This Row],[Open]]=0,tblVerifyPPAPs[[#This Row],[In view]]=0),"",COUNTIFS(tblVerifyPPAPs[Open],1,tblVerifyPPAPs[In view],1,tblVerifyPPAPs[Due by],"&lt;"&amp;tblVerifyPPAPs[[#This Row],[Due by]])+COUNTIFS(tblVerifyPPAPs[Open],1,tblVerifyPPAPs[In view],1,tblVerifyPPAPs[Due by],tblVerifyPPAPs[[#This Row],[Due by]],tblVerifyPPAPs[PPAP no.],"&lt;"&amp;tblVerifyPPAPs[[#This Row],[PPAP no.]])+1))</calculatedColumnFormula>
    </tableColumn>
    <tableColumn id="26" name="Check">
      <calculatedColumnFormula>IF(tblVerifyPPAPs[[#This Row],[PPAP no.]]="","",IF(tblVerifyPPAPs[[#This Row],[Customer]]="","Missing customer",IF(tblVerifyPPAPs[[#This Row],[Required date]]="","Missing required date",IF(tblVerifyPPAPs[[#This Row],[Disposition]]="","Missing disposition",IF(COUNTIF(tblVerifyPPAPs[PPAP no.],tblVerifyPPAPs[[#This Row],[PPAP no.]])&gt;1,"Duplicate PPAP no.",IF(COUNTIF(tblVerifyCustomers[Customer],tblVerifyPPAPs[[#This Row],[Customer]])=0,"Customer not on Setup list",IF(AND(tblVerifyPPAPs[[#This Row],[Disposition]]&lt;&gt;"Open",NOT(ISNUMBER(tblVerifyPPAPs[[#This Row],[Submitted]]))),"Submitted date missing",IF(AND(OR(tblVerifyPPAPs[[#This Row],[Disposition]]="Approved",tblVerifyPPAPs[[#This Row],[Disposition]]="Rejected",tblVerifyPPAPs[[#This Row],[Disposition]]="Interim approval"),NOT(ISNUMBER(tblVerifyPPAPs[[#This Row],[Decision date]]))),"Decision date missing",IF(AND(ISNUMBER(tblVerifyPPAPs[[#This Row],[Decision date]]),ISNUMBER(tblVerifyPPAPs[[#This Row],[Submitted]]),tblVerifyPPAPs[[#This Row],[Decision date]]&lt;tblVerifyPPAPs[[#This Row],[Submitted]]),"Decision before submission",IF(OR(AND(ISNUMBER(tblVerifyPPAPs[[#This Row],[Submitted]]),tblVerifyPPAPs[[#This Row],[Submitted]]&gt;$E$37),AND(ISNUMBER(tblVerifyPPAPs[[#This Row],[Decision date]]),tblVerifyPPAPs[[#This Row],[Decision date]]&gt;$E$37)),"Date after the status date",IF(tblVerifyPPAPs[[#This Row],[Elements]]=0,"No elements on the tracker","OK")))))))))))</calculatedColumnFormula>
    </tableColumn>
    <tableColumn id="27" name="Notes"/>
  </tableColumns>
  <tableStyleInfo name="TableStyleLight1" showFirstColumn="0" showLastColumn="0" showRowStripes="0" showColumnStripes="0"/>
</table>
</file>

<file path=xl/tables/table11.xml><?xml version="1.0" encoding="utf-8"?>
<table xmlns="http://schemas.openxmlformats.org/spreadsheetml/2006/main" id="11" name="tblVerifyElements" displayName="tblVerifyElements" ref="B74:O83" totalsRowShown="0">
  <tableColumns count="14">
    <tableColumn id="1" name="PPAP no."/>
    <tableColumn id="2" name="Element"/>
    <tableColumn id="3" name="Owner"/>
    <tableColumn id="4" name="Due date"/>
    <tableColumn id="5" name="Status"/>
    <tableColumn id="6" name="Done date"/>
    <tableColumn id="7" name="Part number"/>
    <tableColumn id="8" name="Customer"/>
    <tableColumn id="9" name="Open package"/>
    <tableColumn id="10" name="Days to due">
      <calculatedColumnFormula>IF(tblVerifyElements[[#This Row],[PPAP no.]]="","",IF(tblVerifyElements[[#This Row],[Status]]="Complete","",tblVerifyElements[[#This Row],[Due date]]-$E$37))</calculatedColumnFormula>
    </tableColumn>
    <tableColumn id="11" name="Due status">
      <calculatedColumnFormula>IF(tblVerifyElements[[#This Row],[PPAP no.]]="","",IF(tblVerifyElements[[#This Row],[Status]]="Complete","Complete",IF($E$37&gt;tblVerifyElements[[#This Row],[Due date]],"Overdue",IF(tblVerifyElements[[#This Row],[Due date]]-$E$37&lt;=$E$38,"Due soon","OK"))))</calculatedColumnFormula>
    </tableColumn>
    <tableColumn id="12" name="In view">
      <calculatedColumnFormula>IF(tblVerifyElements[[#This Row],[PPAP no.]]="","",IF(OR($E$39="",tblVerifyElements[[#This Row],[Customer]]=$E$39),1,0))</calculatedColumnFormula>
    </tableColumn>
    <tableColumn id="13" name="Check">
      <calculatedColumnFormula>IF(tblVerifyElements[[#This Row],[PPAP no.]]="","",IF(tblVerifyElements[[#This Row],[Element]]="","Missing element",IF(tblVerifyElements[[#This Row],[Due date]]="","Missing due date",IF(tblVerifyElements[[#This Row],[Status]]="","Missing status",IF(tblVerifyElements[[#This Row],[Part number]]="","PPAP no. not on the log",IF(COUNTIF(tblVerifyElementList[Element],tblVerifyElements[[#This Row],[Element]])=0,"Element not on Setup list",IF(COUNTIFS(tblVerifyElements[PPAP no.],tblVerifyElements[[#This Row],[PPAP no.]],tblVerifyElements[Element],tblVerifyElements[[#This Row],[Element]])&gt;1,"Element listed twice",IF(AND(tblVerifyElements[[#This Row],[Status]]="Complete",NOT(ISNUMBER(tblVerifyElements[[#This Row],[Done date]]))),"Done date missing",IF(AND(tblVerifyElements[[#This Row],[Status]]&lt;&gt;"Complete",ISNUMBER(tblVerifyElements[[#This Row],[Done date]])),"Done date on an open element",IF(AND(ISNUMBER(tblVerifyElements[[#This Row],[Done date]]),tblVerifyElements[[#This Row],[Done date]]&gt;$E$37),"Done after the status date","OK"))))))))))</calculatedColumnFormula>
    </tableColumn>
    <tableColumn id="14"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pap-tracker" TargetMode="External"/><Relationship Id="rId2" Type="http://schemas.openxmlformats.org/officeDocument/2006/relationships/hyperlink" Target="https://www.mfgcalcs.com/calculators/supplier-quality-development-audits/ppap-review-workload?utm_source=mfgcalcs-template&amp;utm_medium=xlsx&amp;utm_campaign=ppap-tracker" TargetMode="External"/><Relationship Id="rId3" Type="http://schemas.openxmlformats.org/officeDocument/2006/relationships/hyperlink" Target="https://www.mfgcalcs.com/templates/ppap-tracker?utm_source=mfgcalcs-template&amp;utm_medium=xlsx&amp;utm_campaign=ppap-tracker" TargetMode="External"/><Relationship Id="rId4" Type="http://schemas.openxmlformats.org/officeDocument/2006/relationships/hyperlink" Target="https://www.mfgcalcs.com/templates?utm_source=mfgcalcs-template&amp;utm_medium=xlsx&amp;utm_campaign=ppap-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pap-tracker"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 Id="rId5"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pap-tracker" TargetMode="External"/><Relationship Id="rId2" Type="http://schemas.openxmlformats.org/officeDocument/2006/relationships/table" Target="../tables/table5.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pap-tracker" TargetMode="External"/><Relationship Id="rId2" Type="http://schemas.openxmlformats.org/officeDocument/2006/relationships/table" Target="../tables/table6.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pap-tracker"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pap-tracker" TargetMode="External"/><Relationship Id="rId2" Type="http://schemas.openxmlformats.org/officeDocument/2006/relationships/hyperlink" Target="https://www.mfgcalcs.com/calculators/supplier-quality-development-audits/ppap-review-workload?utm_source=mfgcalcs-template&amp;utm_medium=xlsx&amp;utm_campaign=ppap-tracker"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pap-tracker" TargetMode="External"/><Relationship Id="rId2" Type="http://schemas.openxmlformats.org/officeDocument/2006/relationships/table" Target="../tables/table7.xml"/><Relationship Id="rId3" Type="http://schemas.openxmlformats.org/officeDocument/2006/relationships/table" Target="../tables/table8.xml"/><Relationship Id="rId4" Type="http://schemas.openxmlformats.org/officeDocument/2006/relationships/table" Target="../tables/table9.xml"/><Relationship Id="rId5" Type="http://schemas.openxmlformats.org/officeDocument/2006/relationships/table" Target="../tables/table10.xml"/><Relationship Id="rId6"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29.4" customHeight="1">
      <c r="B15" s="9" t="s">
        <v>13</v>
      </c>
      <c r="C15" s="10" t="s">
        <v>14</v>
      </c>
      <c r="D15" s="10"/>
      <c r="E15" s="10"/>
      <c r="F15" s="10"/>
    </row>
    <row r="16" spans="1:6" ht="29.4"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21 of 21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PPAP Log'!A1" tooltip="Go to PPAP Log" display="PPAP Log"/>
    <hyperlink ref="C23" location="'Element Tracker'!A1" tooltip="Go to Element Tracker" display="Element Tracker"/>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PPAP Submission Tracker&amp;R&amp;8&amp;A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65"/>
  <sheetViews>
    <sheetView showGridLines="0" workbookViewId="0"/>
  </sheetViews>
  <sheetFormatPr defaultRowHeight="15"/>
  <cols>
    <col min="1" max="1" width="2.7109375" customWidth="1"/>
    <col min="2" max="2" width="34.7109375" customWidth="1"/>
    <col min="3" max="3" width="22.7109375" customWidth="1"/>
    <col min="4" max="4" width="50.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71</v>
      </c>
      <c r="C4" s="8"/>
      <c r="D4" s="8"/>
    </row>
    <row r="5" spans="1:5" ht="5" customHeight="1"/>
    <row r="6" spans="1:5">
      <c r="B6" s="27" t="s">
        <v>72</v>
      </c>
      <c r="C6" s="28" t="s">
        <v>73</v>
      </c>
      <c r="D6" s="28"/>
    </row>
    <row r="7" spans="1:5">
      <c r="B7" s="27" t="s">
        <v>74</v>
      </c>
      <c r="C7" s="29">
        <v>46304</v>
      </c>
      <c r="D7" s="7"/>
    </row>
    <row r="8" spans="1:5">
      <c r="B8" s="27" t="s">
        <v>75</v>
      </c>
      <c r="C8" s="30">
        <v>14</v>
      </c>
      <c r="D8" s="7" t="s">
        <v>76</v>
      </c>
    </row>
    <row r="9" spans="1:5">
      <c r="B9" s="27" t="s">
        <v>77</v>
      </c>
      <c r="C9" s="31">
        <v>0.85</v>
      </c>
      <c r="D9" s="7"/>
    </row>
    <row r="11" spans="1:5" ht="21" customHeight="1">
      <c r="B11" s="8" t="s">
        <v>78</v>
      </c>
      <c r="C11" s="8"/>
      <c r="D11" s="8"/>
    </row>
    <row r="12" spans="1:5" ht="5" customHeight="1"/>
    <row r="13" spans="1:5">
      <c r="B13" s="27" t="s">
        <v>79</v>
      </c>
      <c r="C13" s="32">
        <v>24</v>
      </c>
      <c r="D13" s="7" t="s">
        <v>80</v>
      </c>
    </row>
    <row r="14" spans="1:5">
      <c r="B14" s="27" t="s">
        <v>81</v>
      </c>
      <c r="C14" s="31">
        <v>0.3</v>
      </c>
      <c r="D14" s="7"/>
    </row>
    <row r="15" spans="1:5">
      <c r="B15" s="27" t="s">
        <v>82</v>
      </c>
      <c r="C15" s="32">
        <v>180</v>
      </c>
      <c r="D15" s="7" t="s">
        <v>83</v>
      </c>
    </row>
    <row r="17" spans="2:4" ht="35.4" customHeight="1">
      <c r="B17" s="25" t="s">
        <v>84</v>
      </c>
      <c r="C17" s="25"/>
      <c r="D17" s="25"/>
    </row>
    <row r="19" spans="2:4" ht="21" customHeight="1">
      <c r="B19" s="8" t="s">
        <v>85</v>
      </c>
      <c r="C19" s="8"/>
      <c r="D19" s="8"/>
    </row>
    <row r="20" spans="2:4" ht="5" customHeight="1"/>
    <row r="21" spans="2:4" ht="38.64" customHeight="1">
      <c r="B21" s="21" t="s">
        <v>86</v>
      </c>
      <c r="C21" s="21"/>
      <c r="D21" s="21"/>
    </row>
    <row r="22" spans="2:4">
      <c r="B22" s="33" t="s">
        <v>87</v>
      </c>
      <c r="C22" s="33"/>
    </row>
    <row r="23" spans="2:4" ht="20" customHeight="1">
      <c r="B23" s="34" t="s">
        <v>64</v>
      </c>
      <c r="C23" s="34" t="s">
        <v>65</v>
      </c>
    </row>
    <row r="24" spans="2:4">
      <c r="B24" s="28" t="s">
        <v>88</v>
      </c>
      <c r="C24" s="28" t="s">
        <v>89</v>
      </c>
    </row>
    <row r="25" spans="2:4">
      <c r="B25" s="28" t="s">
        <v>90</v>
      </c>
      <c r="C25" s="28" t="s">
        <v>91</v>
      </c>
    </row>
    <row r="26" spans="2:4">
      <c r="B26" s="28" t="s">
        <v>92</v>
      </c>
      <c r="C26" s="28" t="s">
        <v>93</v>
      </c>
    </row>
    <row r="28" spans="2:4">
      <c r="B28" s="33" t="s">
        <v>94</v>
      </c>
      <c r="C28" s="33"/>
    </row>
    <row r="29" spans="2:4" ht="20" customHeight="1">
      <c r="B29" s="34" t="s">
        <v>66</v>
      </c>
      <c r="C29" s="34" t="s">
        <v>65</v>
      </c>
    </row>
    <row r="30" spans="2:4">
      <c r="B30" s="28" t="s">
        <v>95</v>
      </c>
      <c r="C30" s="28" t="s">
        <v>96</v>
      </c>
    </row>
    <row r="31" spans="2:4">
      <c r="B31" s="28" t="s">
        <v>97</v>
      </c>
      <c r="C31" s="28" t="s">
        <v>98</v>
      </c>
    </row>
    <row r="32" spans="2:4">
      <c r="B32" s="28" t="s">
        <v>99</v>
      </c>
      <c r="C32" s="28" t="s">
        <v>100</v>
      </c>
    </row>
    <row r="33" spans="2:4">
      <c r="B33" s="28" t="s">
        <v>101</v>
      </c>
      <c r="C33" s="28" t="s">
        <v>102</v>
      </c>
    </row>
    <row r="34" spans="2:4">
      <c r="B34" s="28" t="s">
        <v>103</v>
      </c>
      <c r="C34" s="28" t="s">
        <v>104</v>
      </c>
    </row>
    <row r="35" spans="2:4">
      <c r="B35" s="28" t="s">
        <v>105</v>
      </c>
      <c r="C35" s="28" t="s">
        <v>106</v>
      </c>
    </row>
    <row r="37" spans="2:4">
      <c r="B37" s="33" t="s">
        <v>107</v>
      </c>
      <c r="C37" s="33"/>
    </row>
    <row r="38" spans="2:4" ht="20" customHeight="1">
      <c r="B38" s="34" t="s">
        <v>67</v>
      </c>
      <c r="C38" s="34" t="s">
        <v>65</v>
      </c>
    </row>
    <row r="39" spans="2:4">
      <c r="B39" s="28" t="s">
        <v>108</v>
      </c>
      <c r="C39" s="28" t="s">
        <v>109</v>
      </c>
    </row>
    <row r="40" spans="2:4">
      <c r="B40" s="28" t="s">
        <v>110</v>
      </c>
      <c r="C40" s="28" t="s">
        <v>111</v>
      </c>
    </row>
    <row r="41" spans="2:4">
      <c r="B41" s="28" t="s">
        <v>112</v>
      </c>
      <c r="C41" s="28" t="s">
        <v>113</v>
      </c>
    </row>
    <row r="42" spans="2:4">
      <c r="B42" s="28" t="s">
        <v>114</v>
      </c>
      <c r="C42" s="28" t="s">
        <v>115</v>
      </c>
    </row>
    <row r="43" spans="2:4">
      <c r="B43" s="28" t="s">
        <v>116</v>
      </c>
      <c r="C43" s="28" t="s">
        <v>117</v>
      </c>
    </row>
    <row r="44" spans="2:4">
      <c r="B44" s="28" t="s">
        <v>118</v>
      </c>
      <c r="C44" s="28" t="s">
        <v>119</v>
      </c>
    </row>
    <row r="46" spans="2:4">
      <c r="B46" s="33" t="s">
        <v>120</v>
      </c>
      <c r="C46" s="33"/>
      <c r="D46" s="33"/>
    </row>
    <row r="47" spans="2:4" ht="20" customHeight="1">
      <c r="B47" s="34" t="s">
        <v>68</v>
      </c>
      <c r="C47" s="34" t="s">
        <v>69</v>
      </c>
      <c r="D47" s="34" t="s">
        <v>70</v>
      </c>
    </row>
    <row r="48" spans="2:4">
      <c r="B48" s="28" t="s">
        <v>121</v>
      </c>
      <c r="C48" s="30">
        <v>1</v>
      </c>
      <c r="D48" s="28" t="s">
        <v>110</v>
      </c>
    </row>
    <row r="49" spans="2:4">
      <c r="B49" s="28" t="s">
        <v>122</v>
      </c>
      <c r="C49" s="30">
        <v>2</v>
      </c>
      <c r="D49" s="28" t="s">
        <v>110</v>
      </c>
    </row>
    <row r="50" spans="2:4">
      <c r="B50" s="28" t="s">
        <v>123</v>
      </c>
      <c r="C50" s="30">
        <v>3</v>
      </c>
      <c r="D50" s="28" t="s">
        <v>110</v>
      </c>
    </row>
    <row r="51" spans="2:4">
      <c r="B51" s="28" t="s">
        <v>124</v>
      </c>
      <c r="C51" s="30">
        <v>4</v>
      </c>
      <c r="D51" s="28" t="s">
        <v>110</v>
      </c>
    </row>
    <row r="52" spans="2:4">
      <c r="B52" s="28" t="s">
        <v>125</v>
      </c>
      <c r="C52" s="30">
        <v>5</v>
      </c>
      <c r="D52" s="28" t="s">
        <v>110</v>
      </c>
    </row>
    <row r="53" spans="2:4">
      <c r="B53" s="28" t="s">
        <v>126</v>
      </c>
      <c r="C53" s="30">
        <v>6</v>
      </c>
      <c r="D53" s="28" t="s">
        <v>108</v>
      </c>
    </row>
    <row r="54" spans="2:4">
      <c r="B54" s="28" t="s">
        <v>127</v>
      </c>
      <c r="C54" s="30">
        <v>7</v>
      </c>
      <c r="D54" s="28" t="s">
        <v>108</v>
      </c>
    </row>
    <row r="55" spans="2:4">
      <c r="B55" s="28" t="s">
        <v>128</v>
      </c>
      <c r="C55" s="30">
        <v>8</v>
      </c>
      <c r="D55" s="28" t="s">
        <v>112</v>
      </c>
    </row>
    <row r="56" spans="2:4">
      <c r="B56" s="28" t="s">
        <v>129</v>
      </c>
      <c r="C56" s="30">
        <v>9</v>
      </c>
      <c r="D56" s="28" t="s">
        <v>112</v>
      </c>
    </row>
    <row r="57" spans="2:4">
      <c r="B57" s="28" t="s">
        <v>130</v>
      </c>
      <c r="C57" s="30">
        <v>10</v>
      </c>
      <c r="D57" s="28" t="s">
        <v>118</v>
      </c>
    </row>
    <row r="58" spans="2:4">
      <c r="B58" s="28" t="s">
        <v>131</v>
      </c>
      <c r="C58" s="30">
        <v>11</v>
      </c>
      <c r="D58" s="28" t="s">
        <v>108</v>
      </c>
    </row>
    <row r="59" spans="2:4">
      <c r="B59" s="28" t="s">
        <v>132</v>
      </c>
      <c r="C59" s="30">
        <v>12</v>
      </c>
      <c r="D59" s="28" t="s">
        <v>108</v>
      </c>
    </row>
    <row r="60" spans="2:4">
      <c r="B60" s="28" t="s">
        <v>133</v>
      </c>
      <c r="C60" s="30">
        <v>13</v>
      </c>
      <c r="D60" s="28" t="s">
        <v>108</v>
      </c>
    </row>
    <row r="61" spans="2:4">
      <c r="B61" s="28" t="s">
        <v>134</v>
      </c>
      <c r="C61" s="30">
        <v>14</v>
      </c>
      <c r="D61" s="28" t="s">
        <v>114</v>
      </c>
    </row>
    <row r="62" spans="2:4">
      <c r="B62" s="28" t="s">
        <v>135</v>
      </c>
      <c r="C62" s="30">
        <v>15</v>
      </c>
      <c r="D62" s="28" t="s">
        <v>108</v>
      </c>
    </row>
    <row r="63" spans="2:4">
      <c r="B63" s="28" t="s">
        <v>136</v>
      </c>
      <c r="C63" s="30">
        <v>16</v>
      </c>
      <c r="D63" s="28" t="s">
        <v>116</v>
      </c>
    </row>
    <row r="64" spans="2:4">
      <c r="B64" s="28" t="s">
        <v>137</v>
      </c>
      <c r="C64" s="30">
        <v>17</v>
      </c>
      <c r="D64" s="28" t="s">
        <v>108</v>
      </c>
    </row>
    <row r="65" spans="2:4">
      <c r="B65" s="28" t="s">
        <v>138</v>
      </c>
      <c r="C65" s="30">
        <v>18</v>
      </c>
      <c r="D65" s="28" t="s">
        <v>108</v>
      </c>
    </row>
  </sheetData>
  <mergeCells count="13">
    <mergeCell ref="A1:E1"/>
    <mergeCell ref="B2:C2"/>
    <mergeCell ref="D2:E2"/>
    <mergeCell ref="B4:D4"/>
    <mergeCell ref="C6:D6"/>
    <mergeCell ref="B11:D11"/>
    <mergeCell ref="B17:D17"/>
    <mergeCell ref="B19:D19"/>
    <mergeCell ref="B21:D21"/>
    <mergeCell ref="B22:C22"/>
    <mergeCell ref="B28:C28"/>
    <mergeCell ref="B37:C37"/>
    <mergeCell ref="B46:D46"/>
  </mergeCells>
  <dataValidations count="16">
    <dataValidation type="textLength" allowBlank="1" showInputMessage="1" showErrorMessage="1" errorTitle="Check this entry" error="Text up to 80 characters." promptTitle="Plant or company name" prompt="Shown on the Dashboard header. Text up to 80 characters." sqref="C6">
      <formula1>0</formula1>
      <formula2>80</formula2>
    </dataValidation>
    <dataValidation type="date" allowBlank="1" showInputMessage="1" showErrorMessage="1" errorTitle="Check this entry" error="Enter a date between 01 Jan 2000 and 31 Dec 2100." promptTitle="Status date (as of)" prompt="The date the log was last brought up to date. Overdue and due-soon flags are measured to this date; move it forward when you update the log. Enter a date between 01 Jan 2000 and 31 Dec 2100." sqref="C7">
      <formula1>36526</formula1>
      <formula2>73415</formula2>
    </dataValidation>
    <dataValidation type="whole" allowBlank="1" showInputMessage="1" showErrorMessage="1" errorTitle="Check this entry" error="Enter a whole number from 0 to 365." promptTitle="Due soon window" prompt="Packages and elements due within this many days of the status date read Due soon. Enter a whole number from 0 to 365." sqref="C8">
      <formula1>0</formula1>
      <formula2>365</formula2>
    </dataValidation>
    <dataValidation type="decimal" allowBlank="1" showInputMessage="1" showErrorMessage="1" errorTitle="Check this entry" error="Enter a percentage from 0% to 100% (type 85% or 0.85)." promptTitle="First-time approval target" prompt="Share of customer decisions that are full approval with no resubmission. Your own target; no industry figure is assumed. Enter a percentage from 0% to 100% (type 85% or 0.85)." sqref="C9">
      <formula1>0</formula1>
      <formula2>1</formula2>
    </dataValidation>
    <dataValidation type="decimal" allowBlank="1" showInputMessage="1" showErrorMessage="1" errorTitle="Check this entry" error="Enter a number from 0 to 10,000." promptTitle="Hours per package" prompt="Quality-engineer hours to prepare (or review) one PPAP package, from your own history. Example value. Enter a number from 0 to 10,000." sqref="C13">
      <formula1>0</formula1>
      <formula2>10000</formula2>
    </dataValidation>
    <dataValidation type="decimal" allowBlank="1" showInputMessage="1" showErrorMessage="1" errorTitle="Check this entry" error="Enter a percentage from 0% to 100% (type 85% or 0.85)." promptTitle="Resubmission allowance" prompt="Extra share of packages you expect to prepare again after a rejection. Planning assumption; compare it with your first-time approval rate. Enter a percentage from 0% to 100% (type 85% or 0.85)." sqref="C14">
      <formula1>0</formula1>
      <formula2>1</formula2>
    </dataValidation>
    <dataValidation type="decimal" allowBlank="1" showInputMessage="1" showErrorMessage="1" errorTitle="Check this entry" error="Enter a number from 0 to 1,000,000." promptTitle="Hours available to the deadline" prompt="Quality-engineer hours you can put on these packages before the launch deadline. Enter a number from 0 to 1,000,000." sqref="C15">
      <formula1>0</formula1>
      <formula2>1000000.0</formula2>
    </dataValidation>
    <dataValidation type="textLength" allowBlank="1" showInputMessage="1" showErrorMessage="1" errorTitle="Check this entry" error="Text up to 60 characters." promptTitle="Customer" prompt="Text up to 60 characters." sqref="B24:B126">
      <formula1>0</formula1>
      <formula2>60</formula2>
    </dataValidation>
    <dataValidation type="textLength" allowBlank="1" showInputMessage="1" showErrorMessage="1" errorTitle="Check this entry" error="Text up to 120 characters." promptTitle="Notes" prompt="Text up to 120 characters." sqref="C24:C126">
      <formula1>0</formula1>
      <formula2>120</formula2>
    </dataValidation>
    <dataValidation type="textLength" allowBlank="1" showInputMessage="1" showErrorMessage="1" errorTitle="Check this entry" error="Text up to 40 characters." promptTitle="Reason" prompt="Text up to 40 characters." sqref="B30:B135">
      <formula1>0</formula1>
      <formula2>40</formula2>
    </dataValidation>
    <dataValidation type="textLength" allowBlank="1" showInputMessage="1" showErrorMessage="1" errorTitle="Check this entry" error="Text up to 120 characters." promptTitle="Notes" prompt="Text up to 120 characters." sqref="C30:C135">
      <formula1>0</formula1>
      <formula2>120</formula2>
    </dataValidation>
    <dataValidation type="textLength" allowBlank="1" showInputMessage="1" showErrorMessage="1" errorTitle="Check this entry" error="Text up to 40 characters." promptTitle="Function" prompt="Text up to 40 characters." sqref="B39:B144">
      <formula1>0</formula1>
      <formula2>40</formula2>
    </dataValidation>
    <dataValidation type="textLength" allowBlank="1" showInputMessage="1" showErrorMessage="1" errorTitle="Check this entry" error="Text up to 120 characters." promptTitle="Notes" prompt="Text up to 120 characters." sqref="C39:C144">
      <formula1>0</formula1>
      <formula2>120</formula2>
    </dataValidation>
    <dataValidation type="textLength" allowBlank="1" showInputMessage="1" showErrorMessage="1" errorTitle="Check this entry" error="Text up to 40 characters." promptTitle="Element" prompt="Text up to 40 characters." sqref="B48:B165">
      <formula1>0</formula1>
      <formula2>40</formula2>
    </dataValidation>
    <dataValidation type="whole" allowBlank="1" showInputMessage="1" showErrorMessage="1" errorTitle="Check this entry" error="Enter a whole number from 1 to 99." promptTitle="No." prompt="Enter a whole number from 1 to 99." sqref="C48:C165">
      <formula1>1</formula1>
      <formula2>99</formula2>
    </dataValidation>
    <dataValidation type="list" allowBlank="1" showInputMessage="1" showErrorMessage="1" errorTitle="Check this entry" error="Pick from the list (edit the list on Setup: Functions)." promptTitle="Usual owner" prompt="Pick from the list (edit the list on Setup: Functions)." sqref="D48:D165">
      <formula1>Functions</formula1>
    </dataValidation>
  </dataValidations>
  <hyperlinks>
    <hyperlink ref="D2" r:id="rId1" tooltip="Free manufacturing calculators and templates"/>
  </hyperlinks>
  <pageMargins left="0.4" right="0.4" top="0.7" bottom="0.65" header="0.3" footer="0.3"/>
  <pageSetup fitToHeight="0" orientation="landscape"/>
  <headerFooter>
    <oddHeader>&amp;L&amp;8MFG Calcs - PPAP Submission Tracker&amp;R&amp;8&amp;A</oddHeader>
    <oddFooter>&amp;L&amp;8mfgcalcs.com - free manufacturing templates&amp;R&amp;8Page &amp;P of &amp;N</oddFooter>
  </headerFooter>
  <rowBreaks count="2" manualBreakCount="2">
    <brk id="27" max="16383" man="1"/>
    <brk id="45" max="16383" man="1"/>
  </rowBreaks>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AB19"/>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2.7109375" customWidth="1"/>
    <col min="2" max="2" width="9.7109375" customWidth="1"/>
    <col min="3" max="3" width="10.7109375" customWidth="1"/>
    <col min="4" max="4" width="19.7109375" customWidth="1"/>
    <col min="5" max="5" width="23.7109375" customWidth="1"/>
    <col min="6" max="6" width="17.7109375" customWidth="1"/>
    <col min="7" max="7" width="6.7109375" customWidth="1"/>
    <col min="8" max="8" width="9.7109375" customWidth="1"/>
    <col min="9" max="10" width="12.28515625" customWidth="1"/>
    <col min="11" max="11" width="11.7109375" customWidth="1"/>
    <col min="12" max="12" width="12.28515625" customWidth="1"/>
    <col min="13" max="13" width="9.28515625" customWidth="1"/>
    <col min="14" max="14" width="12.28515625" customWidth="1"/>
    <col min="15" max="16" width="8.28515625" customWidth="1"/>
    <col min="17" max="17" width="7.7109375" customWidth="1"/>
    <col min="18" max="18" width="12.28515625" customWidth="1"/>
    <col min="19" max="19" width="11.28515625" customWidth="1"/>
    <col min="20" max="20" width="9.7109375" customWidth="1"/>
    <col min="21" max="22" width="10.28515625" customWidth="1"/>
    <col min="23" max="23" width="6.7109375" customWidth="1"/>
    <col min="24" max="24" width="7.7109375" customWidth="1"/>
    <col min="25" max="26" width="7.28515625" customWidth="1"/>
    <col min="27" max="27" width="24.7109375" customWidth="1"/>
    <col min="28" max="28" width="40.7109375" customWidth="1"/>
  </cols>
  <sheetData>
    <row r="1" spans="1:28" ht="30" customHeight="1"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row>
    <row r="2" spans="1:28" ht="21" customHeight="1" x14ac:dyDescent="0.25">
      <c r="B2" s="2" t="s">
        <v>22</v>
      </c>
      <c r="C2" s="2"/>
      <c r="D2" s="2"/>
      <c r="E2" s="2"/>
      <c r="F2" s="2"/>
      <c r="G2" s="2"/>
      <c r="H2" s="2"/>
      <c r="I2" s="2"/>
      <c r="J2" s="2"/>
      <c r="K2" s="2"/>
      <c r="L2" s="2"/>
      <c r="M2" s="2"/>
      <c r="N2" s="2"/>
      <c r="O2" s="2"/>
      <c r="P2" s="2"/>
      <c r="Q2" s="2"/>
      <c r="R2" s="2"/>
      <c r="S2" s="2"/>
      <c r="T2" s="2"/>
      <c r="U2" s="2"/>
      <c r="V2" s="2"/>
      <c r="W2" s="2"/>
      <c r="X2" s="2"/>
      <c r="Y2" s="2"/>
      <c r="Z2" s="2"/>
      <c r="AA2" s="2"/>
      <c r="AB2" s="3" t="s">
        <v>2</v>
      </c>
    </row>
    <row r="3" spans="1:28" ht="6" customHeight="1" x14ac:dyDescent="0.25"/>
    <row r="4" spans="1:28" ht="18" customHeight="1" x14ac:dyDescent="0.25">
      <c r="B4" s="35" t="s">
        <v>163</v>
      </c>
      <c r="C4" s="35"/>
      <c r="D4" s="35"/>
      <c r="E4" s="35"/>
      <c r="F4" s="35"/>
      <c r="G4" s="35"/>
      <c r="H4" s="35"/>
      <c r="I4" s="35"/>
      <c r="J4" s="35"/>
      <c r="K4" s="35"/>
      <c r="L4" s="35"/>
      <c r="M4" s="35"/>
      <c r="N4" s="35"/>
      <c r="O4" s="35"/>
      <c r="P4" s="35"/>
      <c r="Q4" s="35"/>
      <c r="R4" s="35"/>
      <c r="S4" s="35"/>
      <c r="T4" s="35"/>
      <c r="U4" s="35"/>
      <c r="V4" s="35"/>
      <c r="W4" s="35"/>
      <c r="X4" s="35"/>
      <c r="Y4" s="35"/>
      <c r="Z4" s="35"/>
      <c r="AA4" s="35"/>
      <c r="AB4" s="35"/>
    </row>
    <row r="5" spans="1:28" ht="45.5" customHeight="1" x14ac:dyDescent="0.25">
      <c r="B5" s="34" t="s">
        <v>139</v>
      </c>
      <c r="C5" s="34" t="s">
        <v>140</v>
      </c>
      <c r="D5" s="34" t="s">
        <v>141</v>
      </c>
      <c r="E5" s="34" t="s">
        <v>64</v>
      </c>
      <c r="F5" s="34" t="s">
        <v>66</v>
      </c>
      <c r="G5" s="34" t="s">
        <v>142</v>
      </c>
      <c r="H5" s="34" t="s">
        <v>143</v>
      </c>
      <c r="I5" s="34" t="s">
        <v>144</v>
      </c>
      <c r="J5" s="34" t="s">
        <v>145</v>
      </c>
      <c r="K5" s="34" t="s">
        <v>146</v>
      </c>
      <c r="L5" s="34" t="s">
        <v>147</v>
      </c>
      <c r="M5" s="34" t="s">
        <v>148</v>
      </c>
      <c r="N5" s="34" t="s">
        <v>149</v>
      </c>
      <c r="O5" s="34" t="s">
        <v>150</v>
      </c>
      <c r="P5" s="34" t="s">
        <v>151</v>
      </c>
      <c r="Q5" s="34" t="s">
        <v>152</v>
      </c>
      <c r="R5" s="34" t="s">
        <v>153</v>
      </c>
      <c r="S5" s="34" t="s">
        <v>154</v>
      </c>
      <c r="T5" s="34" t="s">
        <v>155</v>
      </c>
      <c r="U5" s="34" t="s">
        <v>156</v>
      </c>
      <c r="V5" s="34" t="s">
        <v>157</v>
      </c>
      <c r="W5" s="34" t="s">
        <v>158</v>
      </c>
      <c r="X5" s="34" t="s">
        <v>159</v>
      </c>
      <c r="Y5" s="34" t="s">
        <v>160</v>
      </c>
      <c r="Z5" s="34" t="s">
        <v>161</v>
      </c>
      <c r="AA5" s="34" t="s">
        <v>162</v>
      </c>
      <c r="AB5" s="34" t="s">
        <v>65</v>
      </c>
    </row>
    <row r="6" spans="1:28" x14ac:dyDescent="0.25">
      <c r="B6" s="28" t="s">
        <v>164</v>
      </c>
      <c r="C6" s="28" t="s">
        <v>165</v>
      </c>
      <c r="D6" s="28" t="s">
        <v>166</v>
      </c>
      <c r="E6" s="28" t="s">
        <v>90</v>
      </c>
      <c r="F6" s="28" t="s">
        <v>95</v>
      </c>
      <c r="G6" s="30">
        <v>3</v>
      </c>
      <c r="H6" s="28" t="s">
        <v>167</v>
      </c>
      <c r="I6" s="29">
        <v>46094</v>
      </c>
      <c r="J6" s="29">
        <v>46091</v>
      </c>
      <c r="K6" s="28" t="s">
        <v>168</v>
      </c>
      <c r="L6" s="29">
        <v>46108</v>
      </c>
      <c r="M6" s="30">
        <v>0</v>
      </c>
      <c r="N6" s="29"/>
      <c r="O6" s="36">
        <f>IF(tblPPAPs[[#This Row],[PPAP no.]]="","",COUNTIFS(tblElements[PPAP no.],tblPPAPs[[#This Row],[PPAP no.]]))</f>
        <v>15</v>
      </c>
      <c r="P6" s="36">
        <f>IF(tblPPAPs[[#This Row],[PPAP no.]]="","",COUNTIFS(tblElements[PPAP no.],tblPPAPs[[#This Row],[PPAP no.]],tblElements[Status],"Complete"))</f>
        <v>15</v>
      </c>
      <c r="Q6" s="37">
        <f>IF(tblPPAPs[[#This Row],[PPAP no.]]="","",IF(tblPPAPs[[#This Row],[Elements]]&gt;0,tblPPAPs[[#This Row],[Complete]]/tblPPAPs[[#This Row],[Elements]],""))</f>
        <v>1</v>
      </c>
      <c r="R6" s="38">
        <f>IF(tblPPAPs[[#This Row],[PPAP no.]]="","",IF(AND(tblPPAPs[[#This Row],[Disposition]]="Rejected",ISNUMBER(tblPPAPs[[#This Row],[Resubmit by]])),tblPPAPs[[#This Row],[Resubmit by]],tblPPAPs[[#This Row],[Required date]]))</f>
        <v>46094</v>
      </c>
      <c r="S6" s="39" t="str">
        <f>IF(tblPPAPs[[#This Row],[PPAP no.]]="","",IF(tblPPAPs[[#This Row],[Disposition]]="Approved","Complete",IF(OR(tblPPAPs[[#This Row],[Disposition]]="Submitted",tblPPAPs[[#This Row],[Disposition]]="Interim approval"),"In progress",IF(AsOf&gt;tblPPAPs[[#This Row],[Due by]],"Overdue",IF(tblPPAPs[[#This Row],[Due by]]-AsOf&lt;=DueSoonDays,"Due soon","OK")))))</f>
        <v>Complete</v>
      </c>
      <c r="T6" s="39" t="str">
        <f>IF(tblPPAPs[[#This Row],[PPAP no.]]="","",IF(NOT(ISNUMBER(tblPPAPs[[#This Row],[Submitted]])),"",IF(tblPPAPs[[#This Row],[Submitted]]&lt;=tblPPAPs[[#This Row],[Required date]],"Yes","No")))</f>
        <v>Yes</v>
      </c>
      <c r="U6" s="36">
        <f>IF(tblPPAPs[[#This Row],[PPAP no.]]="","",IF(AND(ISNUMBER(tblPPAPs[[#This Row],[Submitted]]),ISNUMBER(tblPPAPs[[#This Row],[Decision date]])),tblPPAPs[[#This Row],[Decision date]]-tblPPAPs[[#This Row],[Submitted]],""))</f>
        <v>17</v>
      </c>
      <c r="V6" s="39" t="str">
        <f>IF(tblPPAPs[[#This Row],[PPAP no.]]="","",IF(AND(tblPPAPs[[#This Row],[Disposition]]="Approved",tblPPAPs[[#This Row],[Resubmissions]]=0),"Yes",IF(OR(tblPPAPs[[#This Row],[Disposition]]="Approved",tblPPAPs[[#This Row],[Disposition]]="Interim approval",tblPPAPs[[#This Row],[Disposition]]="Rejected"),"No","")))</f>
        <v>Yes</v>
      </c>
      <c r="W6" s="36">
        <f>IF(tblPPAPs[[#This Row],[PPAP no.]]="","",IF(tblPPAPs[[#This Row],[Disposition]]="Approved",0,1))</f>
        <v>0</v>
      </c>
      <c r="X6" s="36">
        <f>IF(tblPPAPs[[#This Row],[PPAP no.]]="","",IF(OR(tblPPAPs[[#This Row],[Disposition]]="Open",tblPPAPs[[#This Row],[Disposition]]="Rejected"),1,0))</f>
        <v>0</v>
      </c>
      <c r="Y6" s="36">
        <f>IF(tblPPAPs[[#This Row],[PPAP no.]]="","",IF(OR(DashCustomer="",tblPPAPs[[#This Row],[Customer]]=DashCustomer),1,0))</f>
        <v>1</v>
      </c>
      <c r="Z6" s="36">
        <f>IF(tblPPAPs[[#This Row],[PPAP no.]]="","",IF(OR(tblPPAPs[[#This Row],[Open]]=0,tblPPAPs[[#This Row],[In view]]=0),"",COUNTIFS(tblPPAPs[Open],1,tblPPAPs[In view],1,tblPPAPs[Due by],"&lt;"&amp;tblPPAPs[[#This Row],[Due by]])+COUNTIFS(tblPPAPs[Open],1,tblPPAPs[In view],1,tblPPAPs[Due by],tblPPAPs[[#This Row],[Due by]],tblPPAPs[PPAP no.],"&lt;"&amp;tblPPAPs[[#This Row],[PPAP no.]])+1))</f>
        <v/>
      </c>
      <c r="AA6" s="40" t="str">
        <f>IF(tblPPAPs[[#This Row],[PPAP no.]]="","",IF(tblPPAPs[[#This Row],[Customer]]="","Missing customer",IF(tblPPAPs[[#This Row],[Required date]]="","Missing required date",IF(tblPPAPs[[#This Row],[Disposition]]="","Missing disposition",IF(COUNTIF(tblPPAPs[PPAP no.],tblPPAPs[[#This Row],[PPAP no.]])&gt;1,"Duplicate PPAP no.",IF(COUNTIF(tblCustomers[Customer],tblPPAPs[[#This Row],[Customer]])=0,"Customer not on Setup list",IF(AND(tblPPAPs[[#This Row],[Disposition]]&lt;&gt;"Open",NOT(ISNUMBER(tblPPAPs[[#This Row],[Submitted]]))),"Submitted date missing",IF(AND(OR(tblPPAPs[[#This Row],[Disposition]]="Approved",tblPPAPs[[#This Row],[Disposition]]="Rejected",tblPPAPs[[#This Row],[Disposition]]="Interim approval"),NOT(ISNUMBER(tblPPAPs[[#This Row],[Decision date]]))),"Decision date missing",IF(AND(ISNUMBER(tblPPAPs[[#This Row],[Decision date]]),ISNUMBER(tblPPAPs[[#This Row],[Submitted]]),tblPPAPs[[#This Row],[Decision date]]&lt;tblPPAPs[[#This Row],[Submitted]]),"Decision before submission",IF(OR(AND(ISNUMBER(tblPPAPs[[#This Row],[Submitted]]),tblPPAPs[[#This Row],[Submitted]]&gt;AsOf),AND(ISNUMBER(tblPPAPs[[#This Row],[Decision date]]),tblPPAPs[[#This Row],[Decision date]]&gt;AsOf)),"Date after the status date",IF(tblPPAPs[[#This Row],[Elements]]=0,"No elements on the tracker","OK")))))))))))</f>
        <v>OK</v>
      </c>
      <c r="AB6" s="41" t="s">
        <v>169</v>
      </c>
    </row>
    <row r="7" spans="1:28" x14ac:dyDescent="0.25">
      <c r="B7" s="28" t="s">
        <v>170</v>
      </c>
      <c r="C7" s="28" t="s">
        <v>171</v>
      </c>
      <c r="D7" s="28" t="s">
        <v>172</v>
      </c>
      <c r="E7" s="28" t="s">
        <v>90</v>
      </c>
      <c r="F7" s="28" t="s">
        <v>95</v>
      </c>
      <c r="G7" s="30">
        <v>3</v>
      </c>
      <c r="H7" s="28" t="s">
        <v>167</v>
      </c>
      <c r="I7" s="29">
        <v>46094</v>
      </c>
      <c r="J7" s="29">
        <v>46092</v>
      </c>
      <c r="K7" s="28" t="s">
        <v>168</v>
      </c>
      <c r="L7" s="29">
        <v>46111</v>
      </c>
      <c r="M7" s="30">
        <v>0</v>
      </c>
      <c r="N7" s="29"/>
      <c r="O7" s="36">
        <f>IF(tblPPAPs[[#This Row],[PPAP no.]]="","",COUNTIFS(tblElements[PPAP no.],tblPPAPs[[#This Row],[PPAP no.]]))</f>
        <v>15</v>
      </c>
      <c r="P7" s="36">
        <f>IF(tblPPAPs[[#This Row],[PPAP no.]]="","",COUNTIFS(tblElements[PPAP no.],tblPPAPs[[#This Row],[PPAP no.]],tblElements[Status],"Complete"))</f>
        <v>15</v>
      </c>
      <c r="Q7" s="37">
        <f>IF(tblPPAPs[[#This Row],[PPAP no.]]="","",IF(tblPPAPs[[#This Row],[Elements]]&gt;0,tblPPAPs[[#This Row],[Complete]]/tblPPAPs[[#This Row],[Elements]],""))</f>
        <v>1</v>
      </c>
      <c r="R7" s="38">
        <f>IF(tblPPAPs[[#This Row],[PPAP no.]]="","",IF(AND(tblPPAPs[[#This Row],[Disposition]]="Rejected",ISNUMBER(tblPPAPs[[#This Row],[Resubmit by]])),tblPPAPs[[#This Row],[Resubmit by]],tblPPAPs[[#This Row],[Required date]]))</f>
        <v>46094</v>
      </c>
      <c r="S7" s="39" t="str">
        <f>IF(tblPPAPs[[#This Row],[PPAP no.]]="","",IF(tblPPAPs[[#This Row],[Disposition]]="Approved","Complete",IF(OR(tblPPAPs[[#This Row],[Disposition]]="Submitted",tblPPAPs[[#This Row],[Disposition]]="Interim approval"),"In progress",IF(AsOf&gt;tblPPAPs[[#This Row],[Due by]],"Overdue",IF(tblPPAPs[[#This Row],[Due by]]-AsOf&lt;=DueSoonDays,"Due soon","OK")))))</f>
        <v>Complete</v>
      </c>
      <c r="T7" s="39" t="str">
        <f>IF(tblPPAPs[[#This Row],[PPAP no.]]="","",IF(NOT(ISNUMBER(tblPPAPs[[#This Row],[Submitted]])),"",IF(tblPPAPs[[#This Row],[Submitted]]&lt;=tblPPAPs[[#This Row],[Required date]],"Yes","No")))</f>
        <v>Yes</v>
      </c>
      <c r="U7" s="36">
        <f>IF(tblPPAPs[[#This Row],[PPAP no.]]="","",IF(AND(ISNUMBER(tblPPAPs[[#This Row],[Submitted]]),ISNUMBER(tblPPAPs[[#This Row],[Decision date]])),tblPPAPs[[#This Row],[Decision date]]-tblPPAPs[[#This Row],[Submitted]],""))</f>
        <v>19</v>
      </c>
      <c r="V7" s="39" t="str">
        <f>IF(tblPPAPs[[#This Row],[PPAP no.]]="","",IF(AND(tblPPAPs[[#This Row],[Disposition]]="Approved",tblPPAPs[[#This Row],[Resubmissions]]=0),"Yes",IF(OR(tblPPAPs[[#This Row],[Disposition]]="Approved",tblPPAPs[[#This Row],[Disposition]]="Interim approval",tblPPAPs[[#This Row],[Disposition]]="Rejected"),"No","")))</f>
        <v>Yes</v>
      </c>
      <c r="W7" s="36">
        <f>IF(tblPPAPs[[#This Row],[PPAP no.]]="","",IF(tblPPAPs[[#This Row],[Disposition]]="Approved",0,1))</f>
        <v>0</v>
      </c>
      <c r="X7" s="36">
        <f>IF(tblPPAPs[[#This Row],[PPAP no.]]="","",IF(OR(tblPPAPs[[#This Row],[Disposition]]="Open",tblPPAPs[[#This Row],[Disposition]]="Rejected"),1,0))</f>
        <v>0</v>
      </c>
      <c r="Y7" s="36">
        <f>IF(tblPPAPs[[#This Row],[PPAP no.]]="","",IF(OR(DashCustomer="",tblPPAPs[[#This Row],[Customer]]=DashCustomer),1,0))</f>
        <v>1</v>
      </c>
      <c r="Z7" s="36">
        <f>IF(tblPPAPs[[#This Row],[PPAP no.]]="","",IF(OR(tblPPAPs[[#This Row],[Open]]=0,tblPPAPs[[#This Row],[In view]]=0),"",COUNTIFS(tblPPAPs[Open],1,tblPPAPs[In view],1,tblPPAPs[Due by],"&lt;"&amp;tblPPAPs[[#This Row],[Due by]])+COUNTIFS(tblPPAPs[Open],1,tblPPAPs[In view],1,tblPPAPs[Due by],tblPPAPs[[#This Row],[Due by]],tblPPAPs[PPAP no.],"&lt;"&amp;tblPPAPs[[#This Row],[PPAP no.]])+1))</f>
        <v/>
      </c>
      <c r="AA7" s="40" t="str">
        <f>IF(tblPPAPs[[#This Row],[PPAP no.]]="","",IF(tblPPAPs[[#This Row],[Customer]]="","Missing customer",IF(tblPPAPs[[#This Row],[Required date]]="","Missing required date",IF(tblPPAPs[[#This Row],[Disposition]]="","Missing disposition",IF(COUNTIF(tblPPAPs[PPAP no.],tblPPAPs[[#This Row],[PPAP no.]])&gt;1,"Duplicate PPAP no.",IF(COUNTIF(tblCustomers[Customer],tblPPAPs[[#This Row],[Customer]])=0,"Customer not on Setup list",IF(AND(tblPPAPs[[#This Row],[Disposition]]&lt;&gt;"Open",NOT(ISNUMBER(tblPPAPs[[#This Row],[Submitted]]))),"Submitted date missing",IF(AND(OR(tblPPAPs[[#This Row],[Disposition]]="Approved",tblPPAPs[[#This Row],[Disposition]]="Rejected",tblPPAPs[[#This Row],[Disposition]]="Interim approval"),NOT(ISNUMBER(tblPPAPs[[#This Row],[Decision date]]))),"Decision date missing",IF(AND(ISNUMBER(tblPPAPs[[#This Row],[Decision date]]),ISNUMBER(tblPPAPs[[#This Row],[Submitted]]),tblPPAPs[[#This Row],[Decision date]]&lt;tblPPAPs[[#This Row],[Submitted]]),"Decision before submission",IF(OR(AND(ISNUMBER(tblPPAPs[[#This Row],[Submitted]]),tblPPAPs[[#This Row],[Submitted]]&gt;AsOf),AND(ISNUMBER(tblPPAPs[[#This Row],[Decision date]]),tblPPAPs[[#This Row],[Decision date]]&gt;AsOf)),"Date after the status date",IF(tblPPAPs[[#This Row],[Elements]]=0,"No elements on the tracker","OK")))))))))))</f>
        <v>OK</v>
      </c>
      <c r="AB7" s="41" t="s">
        <v>169</v>
      </c>
    </row>
    <row r="8" spans="1:28" x14ac:dyDescent="0.25">
      <c r="B8" s="28" t="s">
        <v>173</v>
      </c>
      <c r="C8" s="28" t="s">
        <v>174</v>
      </c>
      <c r="D8" s="28" t="s">
        <v>175</v>
      </c>
      <c r="E8" s="28" t="s">
        <v>88</v>
      </c>
      <c r="F8" s="28" t="s">
        <v>95</v>
      </c>
      <c r="G8" s="30">
        <v>3</v>
      </c>
      <c r="H8" s="28" t="s">
        <v>176</v>
      </c>
      <c r="I8" s="29">
        <v>46136</v>
      </c>
      <c r="J8" s="29">
        <v>46140</v>
      </c>
      <c r="K8" s="28" t="s">
        <v>168</v>
      </c>
      <c r="L8" s="29">
        <v>46175</v>
      </c>
      <c r="M8" s="30">
        <v>1</v>
      </c>
      <c r="N8" s="29"/>
      <c r="O8" s="36">
        <f>IF(tblPPAPs[[#This Row],[PPAP no.]]="","",COUNTIFS(tblElements[PPAP no.],tblPPAPs[[#This Row],[PPAP no.]]))</f>
        <v>15</v>
      </c>
      <c r="P8" s="36">
        <f>IF(tblPPAPs[[#This Row],[PPAP no.]]="","",COUNTIFS(tblElements[PPAP no.],tblPPAPs[[#This Row],[PPAP no.]],tblElements[Status],"Complete"))</f>
        <v>15</v>
      </c>
      <c r="Q8" s="37">
        <f>IF(tblPPAPs[[#This Row],[PPAP no.]]="","",IF(tblPPAPs[[#This Row],[Elements]]&gt;0,tblPPAPs[[#This Row],[Complete]]/tblPPAPs[[#This Row],[Elements]],""))</f>
        <v>1</v>
      </c>
      <c r="R8" s="38">
        <f>IF(tblPPAPs[[#This Row],[PPAP no.]]="","",IF(AND(tblPPAPs[[#This Row],[Disposition]]="Rejected",ISNUMBER(tblPPAPs[[#This Row],[Resubmit by]])),tblPPAPs[[#This Row],[Resubmit by]],tblPPAPs[[#This Row],[Required date]]))</f>
        <v>46136</v>
      </c>
      <c r="S8" s="39" t="str">
        <f>IF(tblPPAPs[[#This Row],[PPAP no.]]="","",IF(tblPPAPs[[#This Row],[Disposition]]="Approved","Complete",IF(OR(tblPPAPs[[#This Row],[Disposition]]="Submitted",tblPPAPs[[#This Row],[Disposition]]="Interim approval"),"In progress",IF(AsOf&gt;tblPPAPs[[#This Row],[Due by]],"Overdue",IF(tblPPAPs[[#This Row],[Due by]]-AsOf&lt;=DueSoonDays,"Due soon","OK")))))</f>
        <v>Complete</v>
      </c>
      <c r="T8" s="39" t="str">
        <f>IF(tblPPAPs[[#This Row],[PPAP no.]]="","",IF(NOT(ISNUMBER(tblPPAPs[[#This Row],[Submitted]])),"",IF(tblPPAPs[[#This Row],[Submitted]]&lt;=tblPPAPs[[#This Row],[Required date]],"Yes","No")))</f>
        <v>No</v>
      </c>
      <c r="U8" s="36">
        <f>IF(tblPPAPs[[#This Row],[PPAP no.]]="","",IF(AND(ISNUMBER(tblPPAPs[[#This Row],[Submitted]]),ISNUMBER(tblPPAPs[[#This Row],[Decision date]])),tblPPAPs[[#This Row],[Decision date]]-tblPPAPs[[#This Row],[Submitted]],""))</f>
        <v>35</v>
      </c>
      <c r="V8" s="39" t="str">
        <f>IF(tblPPAPs[[#This Row],[PPAP no.]]="","",IF(AND(tblPPAPs[[#This Row],[Disposition]]="Approved",tblPPAPs[[#This Row],[Resubmissions]]=0),"Yes",IF(OR(tblPPAPs[[#This Row],[Disposition]]="Approved",tblPPAPs[[#This Row],[Disposition]]="Interim approval",tblPPAPs[[#This Row],[Disposition]]="Rejected"),"No","")))</f>
        <v>No</v>
      </c>
      <c r="W8" s="36">
        <f>IF(tblPPAPs[[#This Row],[PPAP no.]]="","",IF(tblPPAPs[[#This Row],[Disposition]]="Approved",0,1))</f>
        <v>0</v>
      </c>
      <c r="X8" s="36">
        <f>IF(tblPPAPs[[#This Row],[PPAP no.]]="","",IF(OR(tblPPAPs[[#This Row],[Disposition]]="Open",tblPPAPs[[#This Row],[Disposition]]="Rejected"),1,0))</f>
        <v>0</v>
      </c>
      <c r="Y8" s="36">
        <f>IF(tblPPAPs[[#This Row],[PPAP no.]]="","",IF(OR(DashCustomer="",tblPPAPs[[#This Row],[Customer]]=DashCustomer),1,0))</f>
        <v>1</v>
      </c>
      <c r="Z8" s="36">
        <f>IF(tblPPAPs[[#This Row],[PPAP no.]]="","",IF(OR(tblPPAPs[[#This Row],[Open]]=0,tblPPAPs[[#This Row],[In view]]=0),"",COUNTIFS(tblPPAPs[Open],1,tblPPAPs[In view],1,tblPPAPs[Due by],"&lt;"&amp;tblPPAPs[[#This Row],[Due by]])+COUNTIFS(tblPPAPs[Open],1,tblPPAPs[In view],1,tblPPAPs[Due by],tblPPAPs[[#This Row],[Due by]],tblPPAPs[PPAP no.],"&lt;"&amp;tblPPAPs[[#This Row],[PPAP no.]])+1))</f>
        <v/>
      </c>
      <c r="AA8" s="40" t="str">
        <f>IF(tblPPAPs[[#This Row],[PPAP no.]]="","",IF(tblPPAPs[[#This Row],[Customer]]="","Missing customer",IF(tblPPAPs[[#This Row],[Required date]]="","Missing required date",IF(tblPPAPs[[#This Row],[Disposition]]="","Missing disposition",IF(COUNTIF(tblPPAPs[PPAP no.],tblPPAPs[[#This Row],[PPAP no.]])&gt;1,"Duplicate PPAP no.",IF(COUNTIF(tblCustomers[Customer],tblPPAPs[[#This Row],[Customer]])=0,"Customer not on Setup list",IF(AND(tblPPAPs[[#This Row],[Disposition]]&lt;&gt;"Open",NOT(ISNUMBER(tblPPAPs[[#This Row],[Submitted]]))),"Submitted date missing",IF(AND(OR(tblPPAPs[[#This Row],[Disposition]]="Approved",tblPPAPs[[#This Row],[Disposition]]="Rejected",tblPPAPs[[#This Row],[Disposition]]="Interim approval"),NOT(ISNUMBER(tblPPAPs[[#This Row],[Decision date]]))),"Decision date missing",IF(AND(ISNUMBER(tblPPAPs[[#This Row],[Decision date]]),ISNUMBER(tblPPAPs[[#This Row],[Submitted]]),tblPPAPs[[#This Row],[Decision date]]&lt;tblPPAPs[[#This Row],[Submitted]]),"Decision before submission",IF(OR(AND(ISNUMBER(tblPPAPs[[#This Row],[Submitted]]),tblPPAPs[[#This Row],[Submitted]]&gt;AsOf),AND(ISNUMBER(tblPPAPs[[#This Row],[Decision date]]),tblPPAPs[[#This Row],[Decision date]]&gt;AsOf)),"Date after the status date",IF(tblPPAPs[[#This Row],[Elements]]=0,"No elements on the tracker","OK")))))))))))</f>
        <v>OK</v>
      </c>
      <c r="AB8" s="41" t="s">
        <v>177</v>
      </c>
    </row>
    <row r="9" spans="1:28" x14ac:dyDescent="0.25">
      <c r="B9" s="28" t="s">
        <v>178</v>
      </c>
      <c r="C9" s="28" t="s">
        <v>179</v>
      </c>
      <c r="D9" s="28" t="s">
        <v>180</v>
      </c>
      <c r="E9" s="28" t="s">
        <v>88</v>
      </c>
      <c r="F9" s="28" t="s">
        <v>97</v>
      </c>
      <c r="G9" s="30">
        <v>2</v>
      </c>
      <c r="H9" s="28" t="s">
        <v>176</v>
      </c>
      <c r="I9" s="29">
        <v>46157</v>
      </c>
      <c r="J9" s="29">
        <v>46156</v>
      </c>
      <c r="K9" s="28" t="s">
        <v>168</v>
      </c>
      <c r="L9" s="29">
        <v>46164</v>
      </c>
      <c r="M9" s="30">
        <v>0</v>
      </c>
      <c r="N9" s="29"/>
      <c r="O9" s="36">
        <f>IF(tblPPAPs[[#This Row],[PPAP no.]]="","",COUNTIFS(tblElements[PPAP no.],tblPPAPs[[#This Row],[PPAP no.]]))</f>
        <v>9</v>
      </c>
      <c r="P9" s="36">
        <f>IF(tblPPAPs[[#This Row],[PPAP no.]]="","",COUNTIFS(tblElements[PPAP no.],tblPPAPs[[#This Row],[PPAP no.]],tblElements[Status],"Complete"))</f>
        <v>9</v>
      </c>
      <c r="Q9" s="37">
        <f>IF(tblPPAPs[[#This Row],[PPAP no.]]="","",IF(tblPPAPs[[#This Row],[Elements]]&gt;0,tblPPAPs[[#This Row],[Complete]]/tblPPAPs[[#This Row],[Elements]],""))</f>
        <v>1</v>
      </c>
      <c r="R9" s="38">
        <f>IF(tblPPAPs[[#This Row],[PPAP no.]]="","",IF(AND(tblPPAPs[[#This Row],[Disposition]]="Rejected",ISNUMBER(tblPPAPs[[#This Row],[Resubmit by]])),tblPPAPs[[#This Row],[Resubmit by]],tblPPAPs[[#This Row],[Required date]]))</f>
        <v>46157</v>
      </c>
      <c r="S9" s="39" t="str">
        <f>IF(tblPPAPs[[#This Row],[PPAP no.]]="","",IF(tblPPAPs[[#This Row],[Disposition]]="Approved","Complete",IF(OR(tblPPAPs[[#This Row],[Disposition]]="Submitted",tblPPAPs[[#This Row],[Disposition]]="Interim approval"),"In progress",IF(AsOf&gt;tblPPAPs[[#This Row],[Due by]],"Overdue",IF(tblPPAPs[[#This Row],[Due by]]-AsOf&lt;=DueSoonDays,"Due soon","OK")))))</f>
        <v>Complete</v>
      </c>
      <c r="T9" s="39" t="str">
        <f>IF(tblPPAPs[[#This Row],[PPAP no.]]="","",IF(NOT(ISNUMBER(tblPPAPs[[#This Row],[Submitted]])),"",IF(tblPPAPs[[#This Row],[Submitted]]&lt;=tblPPAPs[[#This Row],[Required date]],"Yes","No")))</f>
        <v>Yes</v>
      </c>
      <c r="U9" s="36">
        <f>IF(tblPPAPs[[#This Row],[PPAP no.]]="","",IF(AND(ISNUMBER(tblPPAPs[[#This Row],[Submitted]]),ISNUMBER(tblPPAPs[[#This Row],[Decision date]])),tblPPAPs[[#This Row],[Decision date]]-tblPPAPs[[#This Row],[Submitted]],""))</f>
        <v>8</v>
      </c>
      <c r="V9" s="39" t="str">
        <f>IF(tblPPAPs[[#This Row],[PPAP no.]]="","",IF(AND(tblPPAPs[[#This Row],[Disposition]]="Approved",tblPPAPs[[#This Row],[Resubmissions]]=0),"Yes",IF(OR(tblPPAPs[[#This Row],[Disposition]]="Approved",tblPPAPs[[#This Row],[Disposition]]="Interim approval",tblPPAPs[[#This Row],[Disposition]]="Rejected"),"No","")))</f>
        <v>Yes</v>
      </c>
      <c r="W9" s="36">
        <f>IF(tblPPAPs[[#This Row],[PPAP no.]]="","",IF(tblPPAPs[[#This Row],[Disposition]]="Approved",0,1))</f>
        <v>0</v>
      </c>
      <c r="X9" s="36">
        <f>IF(tblPPAPs[[#This Row],[PPAP no.]]="","",IF(OR(tblPPAPs[[#This Row],[Disposition]]="Open",tblPPAPs[[#This Row],[Disposition]]="Rejected"),1,0))</f>
        <v>0</v>
      </c>
      <c r="Y9" s="36">
        <f>IF(tblPPAPs[[#This Row],[PPAP no.]]="","",IF(OR(DashCustomer="",tblPPAPs[[#This Row],[Customer]]=DashCustomer),1,0))</f>
        <v>1</v>
      </c>
      <c r="Z9" s="36">
        <f>IF(tblPPAPs[[#This Row],[PPAP no.]]="","",IF(OR(tblPPAPs[[#This Row],[Open]]=0,tblPPAPs[[#This Row],[In view]]=0),"",COUNTIFS(tblPPAPs[Open],1,tblPPAPs[In view],1,tblPPAPs[Due by],"&lt;"&amp;tblPPAPs[[#This Row],[Due by]])+COUNTIFS(tblPPAPs[Open],1,tblPPAPs[In view],1,tblPPAPs[Due by],tblPPAPs[[#This Row],[Due by]],tblPPAPs[PPAP no.],"&lt;"&amp;tblPPAPs[[#This Row],[PPAP no.]])+1))</f>
        <v/>
      </c>
      <c r="AA9" s="40" t="str">
        <f>IF(tblPPAPs[[#This Row],[PPAP no.]]="","",IF(tblPPAPs[[#This Row],[Customer]]="","Missing customer",IF(tblPPAPs[[#This Row],[Required date]]="","Missing required date",IF(tblPPAPs[[#This Row],[Disposition]]="","Missing disposition",IF(COUNTIF(tblPPAPs[PPAP no.],tblPPAPs[[#This Row],[PPAP no.]])&gt;1,"Duplicate PPAP no.",IF(COUNTIF(tblCustomers[Customer],tblPPAPs[[#This Row],[Customer]])=0,"Customer not on Setup list",IF(AND(tblPPAPs[[#This Row],[Disposition]]&lt;&gt;"Open",NOT(ISNUMBER(tblPPAPs[[#This Row],[Submitted]]))),"Submitted date missing",IF(AND(OR(tblPPAPs[[#This Row],[Disposition]]="Approved",tblPPAPs[[#This Row],[Disposition]]="Rejected",tblPPAPs[[#This Row],[Disposition]]="Interim approval"),NOT(ISNUMBER(tblPPAPs[[#This Row],[Decision date]]))),"Decision date missing",IF(AND(ISNUMBER(tblPPAPs[[#This Row],[Decision date]]),ISNUMBER(tblPPAPs[[#This Row],[Submitted]]),tblPPAPs[[#This Row],[Decision date]]&lt;tblPPAPs[[#This Row],[Submitted]]),"Decision before submission",IF(OR(AND(ISNUMBER(tblPPAPs[[#This Row],[Submitted]]),tblPPAPs[[#This Row],[Submitted]]&gt;AsOf),AND(ISNUMBER(tblPPAPs[[#This Row],[Decision date]]),tblPPAPs[[#This Row],[Decision date]]&gt;AsOf)),"Date after the status date",IF(tblPPAPs[[#This Row],[Elements]]=0,"No elements on the tracker","OK")))))))))))</f>
        <v>OK</v>
      </c>
      <c r="AB9" s="41" t="s">
        <v>169</v>
      </c>
    </row>
    <row r="10" spans="1:28" x14ac:dyDescent="0.25">
      <c r="B10" s="28" t="s">
        <v>181</v>
      </c>
      <c r="C10" s="28" t="s">
        <v>182</v>
      </c>
      <c r="D10" s="28" t="s">
        <v>183</v>
      </c>
      <c r="E10" s="28" t="s">
        <v>92</v>
      </c>
      <c r="F10" s="28" t="s">
        <v>99</v>
      </c>
      <c r="G10" s="30">
        <v>3</v>
      </c>
      <c r="H10" s="28" t="s">
        <v>184</v>
      </c>
      <c r="I10" s="29">
        <v>46192</v>
      </c>
      <c r="J10" s="29">
        <v>46190</v>
      </c>
      <c r="K10" s="28" t="s">
        <v>168</v>
      </c>
      <c r="L10" s="29">
        <v>46206</v>
      </c>
      <c r="M10" s="30">
        <v>0</v>
      </c>
      <c r="N10" s="29"/>
      <c r="O10" s="36">
        <f>IF(tblPPAPs[[#This Row],[PPAP no.]]="","",COUNTIFS(tblElements[PPAP no.],tblPPAPs[[#This Row],[PPAP no.]]))</f>
        <v>9</v>
      </c>
      <c r="P10" s="36">
        <f>IF(tblPPAPs[[#This Row],[PPAP no.]]="","",COUNTIFS(tblElements[PPAP no.],tblPPAPs[[#This Row],[PPAP no.]],tblElements[Status],"Complete"))</f>
        <v>9</v>
      </c>
      <c r="Q10" s="37">
        <f>IF(tblPPAPs[[#This Row],[PPAP no.]]="","",IF(tblPPAPs[[#This Row],[Elements]]&gt;0,tblPPAPs[[#This Row],[Complete]]/tblPPAPs[[#This Row],[Elements]],""))</f>
        <v>1</v>
      </c>
      <c r="R10" s="38">
        <f>IF(tblPPAPs[[#This Row],[PPAP no.]]="","",IF(AND(tblPPAPs[[#This Row],[Disposition]]="Rejected",ISNUMBER(tblPPAPs[[#This Row],[Resubmit by]])),tblPPAPs[[#This Row],[Resubmit by]],tblPPAPs[[#This Row],[Required date]]))</f>
        <v>46192</v>
      </c>
      <c r="S10" s="39" t="str">
        <f>IF(tblPPAPs[[#This Row],[PPAP no.]]="","",IF(tblPPAPs[[#This Row],[Disposition]]="Approved","Complete",IF(OR(tblPPAPs[[#This Row],[Disposition]]="Submitted",tblPPAPs[[#This Row],[Disposition]]="Interim approval"),"In progress",IF(AsOf&gt;tblPPAPs[[#This Row],[Due by]],"Overdue",IF(tblPPAPs[[#This Row],[Due by]]-AsOf&lt;=DueSoonDays,"Due soon","OK")))))</f>
        <v>Complete</v>
      </c>
      <c r="T10" s="39" t="str">
        <f>IF(tblPPAPs[[#This Row],[PPAP no.]]="","",IF(NOT(ISNUMBER(tblPPAPs[[#This Row],[Submitted]])),"",IF(tblPPAPs[[#This Row],[Submitted]]&lt;=tblPPAPs[[#This Row],[Required date]],"Yes","No")))</f>
        <v>Yes</v>
      </c>
      <c r="U10" s="36">
        <f>IF(tblPPAPs[[#This Row],[PPAP no.]]="","",IF(AND(ISNUMBER(tblPPAPs[[#This Row],[Submitted]]),ISNUMBER(tblPPAPs[[#This Row],[Decision date]])),tblPPAPs[[#This Row],[Decision date]]-tblPPAPs[[#This Row],[Submitted]],""))</f>
        <v>16</v>
      </c>
      <c r="V10" s="39" t="str">
        <f>IF(tblPPAPs[[#This Row],[PPAP no.]]="","",IF(AND(tblPPAPs[[#This Row],[Disposition]]="Approved",tblPPAPs[[#This Row],[Resubmissions]]=0),"Yes",IF(OR(tblPPAPs[[#This Row],[Disposition]]="Approved",tblPPAPs[[#This Row],[Disposition]]="Interim approval",tblPPAPs[[#This Row],[Disposition]]="Rejected"),"No","")))</f>
        <v>Yes</v>
      </c>
      <c r="W10" s="36">
        <f>IF(tblPPAPs[[#This Row],[PPAP no.]]="","",IF(tblPPAPs[[#This Row],[Disposition]]="Approved",0,1))</f>
        <v>0</v>
      </c>
      <c r="X10" s="36">
        <f>IF(tblPPAPs[[#This Row],[PPAP no.]]="","",IF(OR(tblPPAPs[[#This Row],[Disposition]]="Open",tblPPAPs[[#This Row],[Disposition]]="Rejected"),1,0))</f>
        <v>0</v>
      </c>
      <c r="Y10" s="36">
        <f>IF(tblPPAPs[[#This Row],[PPAP no.]]="","",IF(OR(DashCustomer="",tblPPAPs[[#This Row],[Customer]]=DashCustomer),1,0))</f>
        <v>1</v>
      </c>
      <c r="Z10" s="36">
        <f>IF(tblPPAPs[[#This Row],[PPAP no.]]="","",IF(OR(tblPPAPs[[#This Row],[Open]]=0,tblPPAPs[[#This Row],[In view]]=0),"",COUNTIFS(tblPPAPs[Open],1,tblPPAPs[In view],1,tblPPAPs[Due by],"&lt;"&amp;tblPPAPs[[#This Row],[Due by]])+COUNTIFS(tblPPAPs[Open],1,tblPPAPs[In view],1,tblPPAPs[Due by],tblPPAPs[[#This Row],[Due by]],tblPPAPs[PPAP no.],"&lt;"&amp;tblPPAPs[[#This Row],[PPAP no.]])+1))</f>
        <v/>
      </c>
      <c r="AA10" s="40" t="str">
        <f>IF(tblPPAPs[[#This Row],[PPAP no.]]="","",IF(tblPPAPs[[#This Row],[Customer]]="","Missing customer",IF(tblPPAPs[[#This Row],[Required date]]="","Missing required date",IF(tblPPAPs[[#This Row],[Disposition]]="","Missing disposition",IF(COUNTIF(tblPPAPs[PPAP no.],tblPPAPs[[#This Row],[PPAP no.]])&gt;1,"Duplicate PPAP no.",IF(COUNTIF(tblCustomers[Customer],tblPPAPs[[#This Row],[Customer]])=0,"Customer not on Setup list",IF(AND(tblPPAPs[[#This Row],[Disposition]]&lt;&gt;"Open",NOT(ISNUMBER(tblPPAPs[[#This Row],[Submitted]]))),"Submitted date missing",IF(AND(OR(tblPPAPs[[#This Row],[Disposition]]="Approved",tblPPAPs[[#This Row],[Disposition]]="Rejected",tblPPAPs[[#This Row],[Disposition]]="Interim approval"),NOT(ISNUMBER(tblPPAPs[[#This Row],[Decision date]]))),"Decision date missing",IF(AND(ISNUMBER(tblPPAPs[[#This Row],[Decision date]]),ISNUMBER(tblPPAPs[[#This Row],[Submitted]]),tblPPAPs[[#This Row],[Decision date]]&lt;tblPPAPs[[#This Row],[Submitted]]),"Decision before submission",IF(OR(AND(ISNUMBER(tblPPAPs[[#This Row],[Submitted]]),tblPPAPs[[#This Row],[Submitted]]&gt;AsOf),AND(ISNUMBER(tblPPAPs[[#This Row],[Decision date]]),tblPPAPs[[#This Row],[Decision date]]&gt;AsOf)),"Date after the status date",IF(tblPPAPs[[#This Row],[Elements]]=0,"No elements on the tracker","OK")))))))))))</f>
        <v>OK</v>
      </c>
      <c r="AB10" s="41" t="s">
        <v>169</v>
      </c>
    </row>
    <row r="11" spans="1:28" x14ac:dyDescent="0.25">
      <c r="B11" s="28" t="s">
        <v>185</v>
      </c>
      <c r="C11" s="28" t="s">
        <v>165</v>
      </c>
      <c r="D11" s="28" t="s">
        <v>186</v>
      </c>
      <c r="E11" s="28" t="s">
        <v>90</v>
      </c>
      <c r="F11" s="28" t="s">
        <v>97</v>
      </c>
      <c r="G11" s="30">
        <v>2</v>
      </c>
      <c r="H11" s="28" t="s">
        <v>167</v>
      </c>
      <c r="I11" s="29">
        <v>46213</v>
      </c>
      <c r="J11" s="29">
        <v>46211</v>
      </c>
      <c r="K11" s="28" t="s">
        <v>168</v>
      </c>
      <c r="L11" s="29">
        <v>46224</v>
      </c>
      <c r="M11" s="30">
        <v>0</v>
      </c>
      <c r="N11" s="29"/>
      <c r="O11" s="36">
        <f>IF(tblPPAPs[[#This Row],[PPAP no.]]="","",COUNTIFS(tblElements[PPAP no.],tblPPAPs[[#This Row],[PPAP no.]]))</f>
        <v>9</v>
      </c>
      <c r="P11" s="36">
        <f>IF(tblPPAPs[[#This Row],[PPAP no.]]="","",COUNTIFS(tblElements[PPAP no.],tblPPAPs[[#This Row],[PPAP no.]],tblElements[Status],"Complete"))</f>
        <v>9</v>
      </c>
      <c r="Q11" s="37">
        <f>IF(tblPPAPs[[#This Row],[PPAP no.]]="","",IF(tblPPAPs[[#This Row],[Elements]]&gt;0,tblPPAPs[[#This Row],[Complete]]/tblPPAPs[[#This Row],[Elements]],""))</f>
        <v>1</v>
      </c>
      <c r="R11" s="38">
        <f>IF(tblPPAPs[[#This Row],[PPAP no.]]="","",IF(AND(tblPPAPs[[#This Row],[Disposition]]="Rejected",ISNUMBER(tblPPAPs[[#This Row],[Resubmit by]])),tblPPAPs[[#This Row],[Resubmit by]],tblPPAPs[[#This Row],[Required date]]))</f>
        <v>46213</v>
      </c>
      <c r="S11" s="39" t="str">
        <f>IF(tblPPAPs[[#This Row],[PPAP no.]]="","",IF(tblPPAPs[[#This Row],[Disposition]]="Approved","Complete",IF(OR(tblPPAPs[[#This Row],[Disposition]]="Submitted",tblPPAPs[[#This Row],[Disposition]]="Interim approval"),"In progress",IF(AsOf&gt;tblPPAPs[[#This Row],[Due by]],"Overdue",IF(tblPPAPs[[#This Row],[Due by]]-AsOf&lt;=DueSoonDays,"Due soon","OK")))))</f>
        <v>Complete</v>
      </c>
      <c r="T11" s="39" t="str">
        <f>IF(tblPPAPs[[#This Row],[PPAP no.]]="","",IF(NOT(ISNUMBER(tblPPAPs[[#This Row],[Submitted]])),"",IF(tblPPAPs[[#This Row],[Submitted]]&lt;=tblPPAPs[[#This Row],[Required date]],"Yes","No")))</f>
        <v>Yes</v>
      </c>
      <c r="U11" s="36">
        <f>IF(tblPPAPs[[#This Row],[PPAP no.]]="","",IF(AND(ISNUMBER(tblPPAPs[[#This Row],[Submitted]]),ISNUMBER(tblPPAPs[[#This Row],[Decision date]])),tblPPAPs[[#This Row],[Decision date]]-tblPPAPs[[#This Row],[Submitted]],""))</f>
        <v>13</v>
      </c>
      <c r="V11" s="39" t="str">
        <f>IF(tblPPAPs[[#This Row],[PPAP no.]]="","",IF(AND(tblPPAPs[[#This Row],[Disposition]]="Approved",tblPPAPs[[#This Row],[Resubmissions]]=0),"Yes",IF(OR(tblPPAPs[[#This Row],[Disposition]]="Approved",tblPPAPs[[#This Row],[Disposition]]="Interim approval",tblPPAPs[[#This Row],[Disposition]]="Rejected"),"No","")))</f>
        <v>Yes</v>
      </c>
      <c r="W11" s="36">
        <f>IF(tblPPAPs[[#This Row],[PPAP no.]]="","",IF(tblPPAPs[[#This Row],[Disposition]]="Approved",0,1))</f>
        <v>0</v>
      </c>
      <c r="X11" s="36">
        <f>IF(tblPPAPs[[#This Row],[PPAP no.]]="","",IF(OR(tblPPAPs[[#This Row],[Disposition]]="Open",tblPPAPs[[#This Row],[Disposition]]="Rejected"),1,0))</f>
        <v>0</v>
      </c>
      <c r="Y11" s="36">
        <f>IF(tblPPAPs[[#This Row],[PPAP no.]]="","",IF(OR(DashCustomer="",tblPPAPs[[#This Row],[Customer]]=DashCustomer),1,0))</f>
        <v>1</v>
      </c>
      <c r="Z11" s="36">
        <f>IF(tblPPAPs[[#This Row],[PPAP no.]]="","",IF(OR(tblPPAPs[[#This Row],[Open]]=0,tblPPAPs[[#This Row],[In view]]=0),"",COUNTIFS(tblPPAPs[Open],1,tblPPAPs[In view],1,tblPPAPs[Due by],"&lt;"&amp;tblPPAPs[[#This Row],[Due by]])+COUNTIFS(tblPPAPs[Open],1,tblPPAPs[In view],1,tblPPAPs[Due by],tblPPAPs[[#This Row],[Due by]],tblPPAPs[PPAP no.],"&lt;"&amp;tblPPAPs[[#This Row],[PPAP no.]])+1))</f>
        <v/>
      </c>
      <c r="AA11" s="40" t="str">
        <f>IF(tblPPAPs[[#This Row],[PPAP no.]]="","",IF(tblPPAPs[[#This Row],[Customer]]="","Missing customer",IF(tblPPAPs[[#This Row],[Required date]]="","Missing required date",IF(tblPPAPs[[#This Row],[Disposition]]="","Missing disposition",IF(COUNTIF(tblPPAPs[PPAP no.],tblPPAPs[[#This Row],[PPAP no.]])&gt;1,"Duplicate PPAP no.",IF(COUNTIF(tblCustomers[Customer],tblPPAPs[[#This Row],[Customer]])=0,"Customer not on Setup list",IF(AND(tblPPAPs[[#This Row],[Disposition]]&lt;&gt;"Open",NOT(ISNUMBER(tblPPAPs[[#This Row],[Submitted]]))),"Submitted date missing",IF(AND(OR(tblPPAPs[[#This Row],[Disposition]]="Approved",tblPPAPs[[#This Row],[Disposition]]="Rejected",tblPPAPs[[#This Row],[Disposition]]="Interim approval"),NOT(ISNUMBER(tblPPAPs[[#This Row],[Decision date]]))),"Decision date missing",IF(AND(ISNUMBER(tblPPAPs[[#This Row],[Decision date]]),ISNUMBER(tblPPAPs[[#This Row],[Submitted]]),tblPPAPs[[#This Row],[Decision date]]&lt;tblPPAPs[[#This Row],[Submitted]]),"Decision before submission",IF(OR(AND(ISNUMBER(tblPPAPs[[#This Row],[Submitted]]),tblPPAPs[[#This Row],[Submitted]]&gt;AsOf),AND(ISNUMBER(tblPPAPs[[#This Row],[Decision date]]),tblPPAPs[[#This Row],[Decision date]]&gt;AsOf)),"Date after the status date",IF(tblPPAPs[[#This Row],[Elements]]=0,"No elements on the tracker","OK")))))))))))</f>
        <v>OK</v>
      </c>
      <c r="AB11" s="41" t="s">
        <v>169</v>
      </c>
    </row>
    <row r="12" spans="1:28" x14ac:dyDescent="0.25">
      <c r="B12" s="28" t="s">
        <v>187</v>
      </c>
      <c r="C12" s="28" t="s">
        <v>188</v>
      </c>
      <c r="D12" s="28" t="s">
        <v>189</v>
      </c>
      <c r="E12" s="28" t="s">
        <v>88</v>
      </c>
      <c r="F12" s="28" t="s">
        <v>95</v>
      </c>
      <c r="G12" s="30">
        <v>3</v>
      </c>
      <c r="H12" s="28" t="s">
        <v>176</v>
      </c>
      <c r="I12" s="29">
        <v>46255</v>
      </c>
      <c r="J12" s="29">
        <v>46259</v>
      </c>
      <c r="K12" s="28" t="s">
        <v>190</v>
      </c>
      <c r="L12" s="29">
        <v>46273</v>
      </c>
      <c r="M12" s="30">
        <v>0</v>
      </c>
      <c r="N12" s="29">
        <v>46311</v>
      </c>
      <c r="O12" s="36">
        <f>IF(tblPPAPs[[#This Row],[PPAP no.]]="","",COUNTIFS(tblElements[PPAP no.],tblPPAPs[[#This Row],[PPAP no.]]))</f>
        <v>15</v>
      </c>
      <c r="P12" s="36">
        <f>IF(tblPPAPs[[#This Row],[PPAP no.]]="","",COUNTIFS(tblElements[PPAP no.],tblPPAPs[[#This Row],[PPAP no.]],tblElements[Status],"Complete"))</f>
        <v>11</v>
      </c>
      <c r="Q12" s="37">
        <f>IF(tblPPAPs[[#This Row],[PPAP no.]]="","",IF(tblPPAPs[[#This Row],[Elements]]&gt;0,tblPPAPs[[#This Row],[Complete]]/tblPPAPs[[#This Row],[Elements]],""))</f>
        <v>0.733333333333333</v>
      </c>
      <c r="R12" s="38">
        <f>IF(tblPPAPs[[#This Row],[PPAP no.]]="","",IF(AND(tblPPAPs[[#This Row],[Disposition]]="Rejected",ISNUMBER(tblPPAPs[[#This Row],[Resubmit by]])),tblPPAPs[[#This Row],[Resubmit by]],tblPPAPs[[#This Row],[Required date]]))</f>
        <v>46311</v>
      </c>
      <c r="S12" s="39" t="str">
        <f>IF(tblPPAPs[[#This Row],[PPAP no.]]="","",IF(tblPPAPs[[#This Row],[Disposition]]="Approved","Complete",IF(OR(tblPPAPs[[#This Row],[Disposition]]="Submitted",tblPPAPs[[#This Row],[Disposition]]="Interim approval"),"In progress",IF(AsOf&gt;tblPPAPs[[#This Row],[Due by]],"Overdue",IF(tblPPAPs[[#This Row],[Due by]]-AsOf&lt;=DueSoonDays,"Due soon","OK")))))</f>
        <v>Due soon</v>
      </c>
      <c r="T12" s="39" t="str">
        <f>IF(tblPPAPs[[#This Row],[PPAP no.]]="","",IF(NOT(ISNUMBER(tblPPAPs[[#This Row],[Submitted]])),"",IF(tblPPAPs[[#This Row],[Submitted]]&lt;=tblPPAPs[[#This Row],[Required date]],"Yes","No")))</f>
        <v>No</v>
      </c>
      <c r="U12" s="36">
        <f>IF(tblPPAPs[[#This Row],[PPAP no.]]="","",IF(AND(ISNUMBER(tblPPAPs[[#This Row],[Submitted]]),ISNUMBER(tblPPAPs[[#This Row],[Decision date]])),tblPPAPs[[#This Row],[Decision date]]-tblPPAPs[[#This Row],[Submitted]],""))</f>
        <v>14</v>
      </c>
      <c r="V12" s="39" t="str">
        <f>IF(tblPPAPs[[#This Row],[PPAP no.]]="","",IF(AND(tblPPAPs[[#This Row],[Disposition]]="Approved",tblPPAPs[[#This Row],[Resubmissions]]=0),"Yes",IF(OR(tblPPAPs[[#This Row],[Disposition]]="Approved",tblPPAPs[[#This Row],[Disposition]]="Interim approval",tblPPAPs[[#This Row],[Disposition]]="Rejected"),"No","")))</f>
        <v>No</v>
      </c>
      <c r="W12" s="36">
        <f>IF(tblPPAPs[[#This Row],[PPAP no.]]="","",IF(tblPPAPs[[#This Row],[Disposition]]="Approved",0,1))</f>
        <v>1</v>
      </c>
      <c r="X12" s="36">
        <f>IF(tblPPAPs[[#This Row],[PPAP no.]]="","",IF(OR(tblPPAPs[[#This Row],[Disposition]]="Open",tblPPAPs[[#This Row],[Disposition]]="Rejected"),1,0))</f>
        <v>1</v>
      </c>
      <c r="Y12" s="36">
        <f>IF(tblPPAPs[[#This Row],[PPAP no.]]="","",IF(OR(DashCustomer="",tblPPAPs[[#This Row],[Customer]]=DashCustomer),1,0))</f>
        <v>1</v>
      </c>
      <c r="Z12" s="36">
        <f>IF(tblPPAPs[[#This Row],[PPAP no.]]="","",IF(OR(tblPPAPs[[#This Row],[Open]]=0,tblPPAPs[[#This Row],[In view]]=0),"",COUNTIFS(tblPPAPs[Open],1,tblPPAPs[In view],1,tblPPAPs[Due by],"&lt;"&amp;tblPPAPs[[#This Row],[Due by]])+COUNTIFS(tblPPAPs[Open],1,tblPPAPs[In view],1,tblPPAPs[Due by],tblPPAPs[[#This Row],[Due by]],tblPPAPs[PPAP no.],"&lt;"&amp;tblPPAPs[[#This Row],[PPAP no.]])+1))</f>
        <v>4</v>
      </c>
      <c r="AA12" s="40" t="str">
        <f>IF(tblPPAPs[[#This Row],[PPAP no.]]="","",IF(tblPPAPs[[#This Row],[Customer]]="","Missing customer",IF(tblPPAPs[[#This Row],[Required date]]="","Missing required date",IF(tblPPAPs[[#This Row],[Disposition]]="","Missing disposition",IF(COUNTIF(tblPPAPs[PPAP no.],tblPPAPs[[#This Row],[PPAP no.]])&gt;1,"Duplicate PPAP no.",IF(COUNTIF(tblCustomers[Customer],tblPPAPs[[#This Row],[Customer]])=0,"Customer not on Setup list",IF(AND(tblPPAPs[[#This Row],[Disposition]]&lt;&gt;"Open",NOT(ISNUMBER(tblPPAPs[[#This Row],[Submitted]]))),"Submitted date missing",IF(AND(OR(tblPPAPs[[#This Row],[Disposition]]="Approved",tblPPAPs[[#This Row],[Disposition]]="Rejected",tblPPAPs[[#This Row],[Disposition]]="Interim approval"),NOT(ISNUMBER(tblPPAPs[[#This Row],[Decision date]]))),"Decision date missing",IF(AND(ISNUMBER(tblPPAPs[[#This Row],[Decision date]]),ISNUMBER(tblPPAPs[[#This Row],[Submitted]]),tblPPAPs[[#This Row],[Decision date]]&lt;tblPPAPs[[#This Row],[Submitted]]),"Decision before submission",IF(OR(AND(ISNUMBER(tblPPAPs[[#This Row],[Submitted]]),tblPPAPs[[#This Row],[Submitted]]&gt;AsOf),AND(ISNUMBER(tblPPAPs[[#This Row],[Decision date]]),tblPPAPs[[#This Row],[Decision date]]&gt;AsOf)),"Date after the status date",IF(tblPPAPs[[#This Row],[Elements]]=0,"No elements on the tracker","OK")))))))))))</f>
        <v>OK</v>
      </c>
      <c r="AB12" s="41" t="s">
        <v>191</v>
      </c>
    </row>
    <row r="13" spans="1:28" x14ac:dyDescent="0.25">
      <c r="B13" s="28" t="s">
        <v>192</v>
      </c>
      <c r="C13" s="28" t="s">
        <v>193</v>
      </c>
      <c r="D13" s="28" t="s">
        <v>194</v>
      </c>
      <c r="E13" s="28" t="s">
        <v>92</v>
      </c>
      <c r="F13" s="28" t="s">
        <v>95</v>
      </c>
      <c r="G13" s="30">
        <v>3</v>
      </c>
      <c r="H13" s="28" t="s">
        <v>184</v>
      </c>
      <c r="I13" s="29">
        <v>46290</v>
      </c>
      <c r="J13" s="29">
        <v>46289</v>
      </c>
      <c r="K13" s="28" t="s">
        <v>145</v>
      </c>
      <c r="L13" s="29"/>
      <c r="M13" s="30">
        <v>0</v>
      </c>
      <c r="N13" s="29"/>
      <c r="O13" s="36">
        <f>IF(tblPPAPs[[#This Row],[PPAP no.]]="","",COUNTIFS(tblElements[PPAP no.],tblPPAPs[[#This Row],[PPAP no.]]))</f>
        <v>15</v>
      </c>
      <c r="P13" s="36">
        <f>IF(tblPPAPs[[#This Row],[PPAP no.]]="","",COUNTIFS(tblElements[PPAP no.],tblPPAPs[[#This Row],[PPAP no.]],tblElements[Status],"Complete"))</f>
        <v>15</v>
      </c>
      <c r="Q13" s="37">
        <f>IF(tblPPAPs[[#This Row],[PPAP no.]]="","",IF(tblPPAPs[[#This Row],[Elements]]&gt;0,tblPPAPs[[#This Row],[Complete]]/tblPPAPs[[#This Row],[Elements]],""))</f>
        <v>1</v>
      </c>
      <c r="R13" s="38">
        <f>IF(tblPPAPs[[#This Row],[PPAP no.]]="","",IF(AND(tblPPAPs[[#This Row],[Disposition]]="Rejected",ISNUMBER(tblPPAPs[[#This Row],[Resubmit by]])),tblPPAPs[[#This Row],[Resubmit by]],tblPPAPs[[#This Row],[Required date]]))</f>
        <v>46290</v>
      </c>
      <c r="S13" s="39" t="str">
        <f>IF(tblPPAPs[[#This Row],[PPAP no.]]="","",IF(tblPPAPs[[#This Row],[Disposition]]="Approved","Complete",IF(OR(tblPPAPs[[#This Row],[Disposition]]="Submitted",tblPPAPs[[#This Row],[Disposition]]="Interim approval"),"In progress",IF(AsOf&gt;tblPPAPs[[#This Row],[Due by]],"Overdue",IF(tblPPAPs[[#This Row],[Due by]]-AsOf&lt;=DueSoonDays,"Due soon","OK")))))</f>
        <v>In progress</v>
      </c>
      <c r="T13" s="39" t="str">
        <f>IF(tblPPAPs[[#This Row],[PPAP no.]]="","",IF(NOT(ISNUMBER(tblPPAPs[[#This Row],[Submitted]])),"",IF(tblPPAPs[[#This Row],[Submitted]]&lt;=tblPPAPs[[#This Row],[Required date]],"Yes","No")))</f>
        <v>Yes</v>
      </c>
      <c r="U13" s="36">
        <f>IF(tblPPAPs[[#This Row],[PPAP no.]]="","",IF(AND(ISNUMBER(tblPPAPs[[#This Row],[Submitted]]),ISNUMBER(tblPPAPs[[#This Row],[Decision date]])),tblPPAPs[[#This Row],[Decision date]]-tblPPAPs[[#This Row],[Submitted]],""))</f>
        <v/>
      </c>
      <c r="V13" s="39">
        <f>IF(tblPPAPs[[#This Row],[PPAP no.]]="","",IF(AND(tblPPAPs[[#This Row],[Disposition]]="Approved",tblPPAPs[[#This Row],[Resubmissions]]=0),"Yes",IF(OR(tblPPAPs[[#This Row],[Disposition]]="Approved",tblPPAPs[[#This Row],[Disposition]]="Interim approval",tblPPAPs[[#This Row],[Disposition]]="Rejected"),"No","")))</f>
        <v/>
      </c>
      <c r="W13" s="36">
        <f>IF(tblPPAPs[[#This Row],[PPAP no.]]="","",IF(tblPPAPs[[#This Row],[Disposition]]="Approved",0,1))</f>
        <v>1</v>
      </c>
      <c r="X13" s="36">
        <f>IF(tblPPAPs[[#This Row],[PPAP no.]]="","",IF(OR(tblPPAPs[[#This Row],[Disposition]]="Open",tblPPAPs[[#This Row],[Disposition]]="Rejected"),1,0))</f>
        <v>0</v>
      </c>
      <c r="Y13" s="36">
        <f>IF(tblPPAPs[[#This Row],[PPAP no.]]="","",IF(OR(DashCustomer="",tblPPAPs[[#This Row],[Customer]]=DashCustomer),1,0))</f>
        <v>1</v>
      </c>
      <c r="Z13" s="36">
        <f>IF(tblPPAPs[[#This Row],[PPAP no.]]="","",IF(OR(tblPPAPs[[#This Row],[Open]]=0,tblPPAPs[[#This Row],[In view]]=0),"",COUNTIFS(tblPPAPs[Open],1,tblPPAPs[In view],1,tblPPAPs[Due by],"&lt;"&amp;tblPPAPs[[#This Row],[Due by]])+COUNTIFS(tblPPAPs[Open],1,tblPPAPs[In view],1,tblPPAPs[Due by],tblPPAPs[[#This Row],[Due by]],tblPPAPs[PPAP no.],"&lt;"&amp;tblPPAPs[[#This Row],[PPAP no.]])+1))</f>
        <v>1</v>
      </c>
      <c r="AA13" s="40" t="str">
        <f>IF(tblPPAPs[[#This Row],[PPAP no.]]="","",IF(tblPPAPs[[#This Row],[Customer]]="","Missing customer",IF(tblPPAPs[[#This Row],[Required date]]="","Missing required date",IF(tblPPAPs[[#This Row],[Disposition]]="","Missing disposition",IF(COUNTIF(tblPPAPs[PPAP no.],tblPPAPs[[#This Row],[PPAP no.]])&gt;1,"Duplicate PPAP no.",IF(COUNTIF(tblCustomers[Customer],tblPPAPs[[#This Row],[Customer]])=0,"Customer not on Setup list",IF(AND(tblPPAPs[[#This Row],[Disposition]]&lt;&gt;"Open",NOT(ISNUMBER(tblPPAPs[[#This Row],[Submitted]]))),"Submitted date missing",IF(AND(OR(tblPPAPs[[#This Row],[Disposition]]="Approved",tblPPAPs[[#This Row],[Disposition]]="Rejected",tblPPAPs[[#This Row],[Disposition]]="Interim approval"),NOT(ISNUMBER(tblPPAPs[[#This Row],[Decision date]]))),"Decision date missing",IF(AND(ISNUMBER(tblPPAPs[[#This Row],[Decision date]]),ISNUMBER(tblPPAPs[[#This Row],[Submitted]]),tblPPAPs[[#This Row],[Decision date]]&lt;tblPPAPs[[#This Row],[Submitted]]),"Decision before submission",IF(OR(AND(ISNUMBER(tblPPAPs[[#This Row],[Submitted]]),tblPPAPs[[#This Row],[Submitted]]&gt;AsOf),AND(ISNUMBER(tblPPAPs[[#This Row],[Decision date]]),tblPPAPs[[#This Row],[Decision date]]&gt;AsOf)),"Date after the status date",IF(tblPPAPs[[#This Row],[Elements]]=0,"No elements on the tracker","OK")))))))))))</f>
        <v>OK</v>
      </c>
      <c r="AB13" s="41" t="s">
        <v>169</v>
      </c>
    </row>
    <row r="14" spans="1:28" x14ac:dyDescent="0.25">
      <c r="B14" s="28" t="s">
        <v>195</v>
      </c>
      <c r="C14" s="28" t="s">
        <v>196</v>
      </c>
      <c r="D14" s="28" t="s">
        <v>197</v>
      </c>
      <c r="E14" s="28" t="s">
        <v>88</v>
      </c>
      <c r="F14" s="28" t="s">
        <v>95</v>
      </c>
      <c r="G14" s="30">
        <v>3</v>
      </c>
      <c r="H14" s="28" t="s">
        <v>176</v>
      </c>
      <c r="I14" s="29">
        <v>46297</v>
      </c>
      <c r="J14" s="29">
        <v>46295</v>
      </c>
      <c r="K14" s="28" t="s">
        <v>198</v>
      </c>
      <c r="L14" s="29">
        <v>46302</v>
      </c>
      <c r="M14" s="30">
        <v>0</v>
      </c>
      <c r="N14" s="29"/>
      <c r="O14" s="36">
        <f>IF(tblPPAPs[[#This Row],[PPAP no.]]="","",COUNTIFS(tblElements[PPAP no.],tblPPAPs[[#This Row],[PPAP no.]]))</f>
        <v>15</v>
      </c>
      <c r="P14" s="36">
        <f>IF(tblPPAPs[[#This Row],[PPAP no.]]="","",COUNTIFS(tblElements[PPAP no.],tblPPAPs[[#This Row],[PPAP no.]],tblElements[Status],"Complete"))</f>
        <v>15</v>
      </c>
      <c r="Q14" s="37">
        <f>IF(tblPPAPs[[#This Row],[PPAP no.]]="","",IF(tblPPAPs[[#This Row],[Elements]]&gt;0,tblPPAPs[[#This Row],[Complete]]/tblPPAPs[[#This Row],[Elements]],""))</f>
        <v>1</v>
      </c>
      <c r="R14" s="38">
        <f>IF(tblPPAPs[[#This Row],[PPAP no.]]="","",IF(AND(tblPPAPs[[#This Row],[Disposition]]="Rejected",ISNUMBER(tblPPAPs[[#This Row],[Resubmit by]])),tblPPAPs[[#This Row],[Resubmit by]],tblPPAPs[[#This Row],[Required date]]))</f>
        <v>46297</v>
      </c>
      <c r="S14" s="39" t="str">
        <f>IF(tblPPAPs[[#This Row],[PPAP no.]]="","",IF(tblPPAPs[[#This Row],[Disposition]]="Approved","Complete",IF(OR(tblPPAPs[[#This Row],[Disposition]]="Submitted",tblPPAPs[[#This Row],[Disposition]]="Interim approval"),"In progress",IF(AsOf&gt;tblPPAPs[[#This Row],[Due by]],"Overdue",IF(tblPPAPs[[#This Row],[Due by]]-AsOf&lt;=DueSoonDays,"Due soon","OK")))))</f>
        <v>In progress</v>
      </c>
      <c r="T14" s="39" t="str">
        <f>IF(tblPPAPs[[#This Row],[PPAP no.]]="","",IF(NOT(ISNUMBER(tblPPAPs[[#This Row],[Submitted]])),"",IF(tblPPAPs[[#This Row],[Submitted]]&lt;=tblPPAPs[[#This Row],[Required date]],"Yes","No")))</f>
        <v>Yes</v>
      </c>
      <c r="U14" s="36">
        <f>IF(tblPPAPs[[#This Row],[PPAP no.]]="","",IF(AND(ISNUMBER(tblPPAPs[[#This Row],[Submitted]]),ISNUMBER(tblPPAPs[[#This Row],[Decision date]])),tblPPAPs[[#This Row],[Decision date]]-tblPPAPs[[#This Row],[Submitted]],""))</f>
        <v>7</v>
      </c>
      <c r="V14" s="39" t="str">
        <f>IF(tblPPAPs[[#This Row],[PPAP no.]]="","",IF(AND(tblPPAPs[[#This Row],[Disposition]]="Approved",tblPPAPs[[#This Row],[Resubmissions]]=0),"Yes",IF(OR(tblPPAPs[[#This Row],[Disposition]]="Approved",tblPPAPs[[#This Row],[Disposition]]="Interim approval",tblPPAPs[[#This Row],[Disposition]]="Rejected"),"No","")))</f>
        <v>No</v>
      </c>
      <c r="W14" s="36">
        <f>IF(tblPPAPs[[#This Row],[PPAP no.]]="","",IF(tblPPAPs[[#This Row],[Disposition]]="Approved",0,1))</f>
        <v>1</v>
      </c>
      <c r="X14" s="36">
        <f>IF(tblPPAPs[[#This Row],[PPAP no.]]="","",IF(OR(tblPPAPs[[#This Row],[Disposition]]="Open",tblPPAPs[[#This Row],[Disposition]]="Rejected"),1,0))</f>
        <v>0</v>
      </c>
      <c r="Y14" s="36">
        <f>IF(tblPPAPs[[#This Row],[PPAP no.]]="","",IF(OR(DashCustomer="",tblPPAPs[[#This Row],[Customer]]=DashCustomer),1,0))</f>
        <v>1</v>
      </c>
      <c r="Z14" s="36">
        <f>IF(tblPPAPs[[#This Row],[PPAP no.]]="","",IF(OR(tblPPAPs[[#This Row],[Open]]=0,tblPPAPs[[#This Row],[In view]]=0),"",COUNTIFS(tblPPAPs[Open],1,tblPPAPs[In view],1,tblPPAPs[Due by],"&lt;"&amp;tblPPAPs[[#This Row],[Due by]])+COUNTIFS(tblPPAPs[Open],1,tblPPAPs[In view],1,tblPPAPs[Due by],tblPPAPs[[#This Row],[Due by]],tblPPAPs[PPAP no.],"&lt;"&amp;tblPPAPs[[#This Row],[PPAP no.]])+1))</f>
        <v>2</v>
      </c>
      <c r="AA14" s="40" t="str">
        <f>IF(tblPPAPs[[#This Row],[PPAP no.]]="","",IF(tblPPAPs[[#This Row],[Customer]]="","Missing customer",IF(tblPPAPs[[#This Row],[Required date]]="","Missing required date",IF(tblPPAPs[[#This Row],[Disposition]]="","Missing disposition",IF(COUNTIF(tblPPAPs[PPAP no.],tblPPAPs[[#This Row],[PPAP no.]])&gt;1,"Duplicate PPAP no.",IF(COUNTIF(tblCustomers[Customer],tblPPAPs[[#This Row],[Customer]])=0,"Customer not on Setup list",IF(AND(tblPPAPs[[#This Row],[Disposition]]&lt;&gt;"Open",NOT(ISNUMBER(tblPPAPs[[#This Row],[Submitted]]))),"Submitted date missing",IF(AND(OR(tblPPAPs[[#This Row],[Disposition]]="Approved",tblPPAPs[[#This Row],[Disposition]]="Rejected",tblPPAPs[[#This Row],[Disposition]]="Interim approval"),NOT(ISNUMBER(tblPPAPs[[#This Row],[Decision date]]))),"Decision date missing",IF(AND(ISNUMBER(tblPPAPs[[#This Row],[Decision date]]),ISNUMBER(tblPPAPs[[#This Row],[Submitted]]),tblPPAPs[[#This Row],[Decision date]]&lt;tblPPAPs[[#This Row],[Submitted]]),"Decision before submission",IF(OR(AND(ISNUMBER(tblPPAPs[[#This Row],[Submitted]]),tblPPAPs[[#This Row],[Submitted]]&gt;AsOf),AND(ISNUMBER(tblPPAPs[[#This Row],[Decision date]]),tblPPAPs[[#This Row],[Decision date]]&gt;AsOf)),"Date after the status date",IF(tblPPAPs[[#This Row],[Elements]]=0,"No elements on the tracker","OK")))))))))))</f>
        <v>OK</v>
      </c>
      <c r="AB14" s="41" t="s">
        <v>199</v>
      </c>
    </row>
    <row r="15" spans="1:28" x14ac:dyDescent="0.25">
      <c r="B15" s="28" t="s">
        <v>200</v>
      </c>
      <c r="C15" s="28" t="s">
        <v>201</v>
      </c>
      <c r="D15" s="28" t="s">
        <v>202</v>
      </c>
      <c r="E15" s="28" t="s">
        <v>88</v>
      </c>
      <c r="F15" s="28" t="s">
        <v>95</v>
      </c>
      <c r="G15" s="30">
        <v>3</v>
      </c>
      <c r="H15" s="28" t="s">
        <v>176</v>
      </c>
      <c r="I15" s="29">
        <v>46311</v>
      </c>
      <c r="J15" s="29"/>
      <c r="K15" s="28" t="s">
        <v>158</v>
      </c>
      <c r="L15" s="29"/>
      <c r="M15" s="30">
        <v>0</v>
      </c>
      <c r="N15" s="29"/>
      <c r="O15" s="36">
        <f>IF(tblPPAPs[[#This Row],[PPAP no.]]="","",COUNTIFS(tblElements[PPAP no.],tblPPAPs[[#This Row],[PPAP no.]]))</f>
        <v>16</v>
      </c>
      <c r="P15" s="36">
        <f>IF(tblPPAPs[[#This Row],[PPAP no.]]="","",COUNTIFS(tblElements[PPAP no.],tblPPAPs[[#This Row],[PPAP no.]],tblElements[Status],"Complete"))</f>
        <v>12</v>
      </c>
      <c r="Q15" s="37">
        <f>IF(tblPPAPs[[#This Row],[PPAP no.]]="","",IF(tblPPAPs[[#This Row],[Elements]]&gt;0,tblPPAPs[[#This Row],[Complete]]/tblPPAPs[[#This Row],[Elements]],""))</f>
        <v>0.75</v>
      </c>
      <c r="R15" s="38">
        <f>IF(tblPPAPs[[#This Row],[PPAP no.]]="","",IF(AND(tblPPAPs[[#This Row],[Disposition]]="Rejected",ISNUMBER(tblPPAPs[[#This Row],[Resubmit by]])),tblPPAPs[[#This Row],[Resubmit by]],tblPPAPs[[#This Row],[Required date]]))</f>
        <v>46311</v>
      </c>
      <c r="S15" s="39" t="str">
        <f>IF(tblPPAPs[[#This Row],[PPAP no.]]="","",IF(tblPPAPs[[#This Row],[Disposition]]="Approved","Complete",IF(OR(tblPPAPs[[#This Row],[Disposition]]="Submitted",tblPPAPs[[#This Row],[Disposition]]="Interim approval"),"In progress",IF(AsOf&gt;tblPPAPs[[#This Row],[Due by]],"Overdue",IF(tblPPAPs[[#This Row],[Due by]]-AsOf&lt;=DueSoonDays,"Due soon","OK")))))</f>
        <v>Due soon</v>
      </c>
      <c r="T15" s="39">
        <f>IF(tblPPAPs[[#This Row],[PPAP no.]]="","",IF(NOT(ISNUMBER(tblPPAPs[[#This Row],[Submitted]])),"",IF(tblPPAPs[[#This Row],[Submitted]]&lt;=tblPPAPs[[#This Row],[Required date]],"Yes","No")))</f>
        <v/>
      </c>
      <c r="U15" s="36">
        <f>IF(tblPPAPs[[#This Row],[PPAP no.]]="","",IF(AND(ISNUMBER(tblPPAPs[[#This Row],[Submitted]]),ISNUMBER(tblPPAPs[[#This Row],[Decision date]])),tblPPAPs[[#This Row],[Decision date]]-tblPPAPs[[#This Row],[Submitted]],""))</f>
        <v/>
      </c>
      <c r="V15" s="39">
        <f>IF(tblPPAPs[[#This Row],[PPAP no.]]="","",IF(AND(tblPPAPs[[#This Row],[Disposition]]="Approved",tblPPAPs[[#This Row],[Resubmissions]]=0),"Yes",IF(OR(tblPPAPs[[#This Row],[Disposition]]="Approved",tblPPAPs[[#This Row],[Disposition]]="Interim approval",tblPPAPs[[#This Row],[Disposition]]="Rejected"),"No","")))</f>
        <v/>
      </c>
      <c r="W15" s="36">
        <f>IF(tblPPAPs[[#This Row],[PPAP no.]]="","",IF(tblPPAPs[[#This Row],[Disposition]]="Approved",0,1))</f>
        <v>1</v>
      </c>
      <c r="X15" s="36">
        <f>IF(tblPPAPs[[#This Row],[PPAP no.]]="","",IF(OR(tblPPAPs[[#This Row],[Disposition]]="Open",tblPPAPs[[#This Row],[Disposition]]="Rejected"),1,0))</f>
        <v>1</v>
      </c>
      <c r="Y15" s="36">
        <f>IF(tblPPAPs[[#This Row],[PPAP no.]]="","",IF(OR(DashCustomer="",tblPPAPs[[#This Row],[Customer]]=DashCustomer),1,0))</f>
        <v>1</v>
      </c>
      <c r="Z15" s="36">
        <f>IF(tblPPAPs[[#This Row],[PPAP no.]]="","",IF(OR(tblPPAPs[[#This Row],[Open]]=0,tblPPAPs[[#This Row],[In view]]=0),"",COUNTIFS(tblPPAPs[Open],1,tblPPAPs[In view],1,tblPPAPs[Due by],"&lt;"&amp;tblPPAPs[[#This Row],[Due by]])+COUNTIFS(tblPPAPs[Open],1,tblPPAPs[In view],1,tblPPAPs[Due by],tblPPAPs[[#This Row],[Due by]],tblPPAPs[PPAP no.],"&lt;"&amp;tblPPAPs[[#This Row],[PPAP no.]])+1))</f>
        <v>5</v>
      </c>
      <c r="AA15" s="40" t="str">
        <f>IF(tblPPAPs[[#This Row],[PPAP no.]]="","",IF(tblPPAPs[[#This Row],[Customer]]="","Missing customer",IF(tblPPAPs[[#This Row],[Required date]]="","Missing required date",IF(tblPPAPs[[#This Row],[Disposition]]="","Missing disposition",IF(COUNTIF(tblPPAPs[PPAP no.],tblPPAPs[[#This Row],[PPAP no.]])&gt;1,"Duplicate PPAP no.",IF(COUNTIF(tblCustomers[Customer],tblPPAPs[[#This Row],[Customer]])=0,"Customer not on Setup list",IF(AND(tblPPAPs[[#This Row],[Disposition]]&lt;&gt;"Open",NOT(ISNUMBER(tblPPAPs[[#This Row],[Submitted]]))),"Submitted date missing",IF(AND(OR(tblPPAPs[[#This Row],[Disposition]]="Approved",tblPPAPs[[#This Row],[Disposition]]="Rejected",tblPPAPs[[#This Row],[Disposition]]="Interim approval"),NOT(ISNUMBER(tblPPAPs[[#This Row],[Decision date]]))),"Decision date missing",IF(AND(ISNUMBER(tblPPAPs[[#This Row],[Decision date]]),ISNUMBER(tblPPAPs[[#This Row],[Submitted]]),tblPPAPs[[#This Row],[Decision date]]&lt;tblPPAPs[[#This Row],[Submitted]]),"Decision before submission",IF(OR(AND(ISNUMBER(tblPPAPs[[#This Row],[Submitted]]),tblPPAPs[[#This Row],[Submitted]]&gt;AsOf),AND(ISNUMBER(tblPPAPs[[#This Row],[Decision date]]),tblPPAPs[[#This Row],[Decision date]]&gt;AsOf)),"Date after the status date",IF(tblPPAPs[[#This Row],[Elements]]=0,"No elements on the tracker","OK")))))))))))</f>
        <v>OK</v>
      </c>
      <c r="AB15" s="41" t="s">
        <v>169</v>
      </c>
    </row>
    <row r="16" spans="1:28" x14ac:dyDescent="0.25">
      <c r="B16" s="28" t="s">
        <v>203</v>
      </c>
      <c r="C16" s="28" t="s">
        <v>204</v>
      </c>
      <c r="D16" s="28" t="s">
        <v>205</v>
      </c>
      <c r="E16" s="28" t="s">
        <v>90</v>
      </c>
      <c r="F16" s="28" t="s">
        <v>95</v>
      </c>
      <c r="G16" s="30">
        <v>4</v>
      </c>
      <c r="H16" s="28" t="s">
        <v>167</v>
      </c>
      <c r="I16" s="29">
        <v>46300</v>
      </c>
      <c r="J16" s="29"/>
      <c r="K16" s="28" t="s">
        <v>158</v>
      </c>
      <c r="L16" s="29"/>
      <c r="M16" s="30">
        <v>0</v>
      </c>
      <c r="N16" s="29"/>
      <c r="O16" s="36">
        <f>IF(tblPPAPs[[#This Row],[PPAP no.]]="","",COUNTIFS(tblElements[PPAP no.],tblPPAPs[[#This Row],[PPAP no.]]))</f>
        <v>15</v>
      </c>
      <c r="P16" s="36">
        <f>IF(tblPPAPs[[#This Row],[PPAP no.]]="","",COUNTIFS(tblElements[PPAP no.],tblPPAPs[[#This Row],[PPAP no.]],tblElements[Status],"Complete"))</f>
        <v>13</v>
      </c>
      <c r="Q16" s="37">
        <f>IF(tblPPAPs[[#This Row],[PPAP no.]]="","",IF(tblPPAPs[[#This Row],[Elements]]&gt;0,tblPPAPs[[#This Row],[Complete]]/tblPPAPs[[#This Row],[Elements]],""))</f>
        <v>0.866666666666667</v>
      </c>
      <c r="R16" s="38">
        <f>IF(tblPPAPs[[#This Row],[PPAP no.]]="","",IF(AND(tblPPAPs[[#This Row],[Disposition]]="Rejected",ISNUMBER(tblPPAPs[[#This Row],[Resubmit by]])),tblPPAPs[[#This Row],[Resubmit by]],tblPPAPs[[#This Row],[Required date]]))</f>
        <v>46300</v>
      </c>
      <c r="S16" s="39" t="str">
        <f>IF(tblPPAPs[[#This Row],[PPAP no.]]="","",IF(tblPPAPs[[#This Row],[Disposition]]="Approved","Complete",IF(OR(tblPPAPs[[#This Row],[Disposition]]="Submitted",tblPPAPs[[#This Row],[Disposition]]="Interim approval"),"In progress",IF(AsOf&gt;tblPPAPs[[#This Row],[Due by]],"Overdue",IF(tblPPAPs[[#This Row],[Due by]]-AsOf&lt;=DueSoonDays,"Due soon","OK")))))</f>
        <v>Overdue</v>
      </c>
      <c r="T16" s="39">
        <f>IF(tblPPAPs[[#This Row],[PPAP no.]]="","",IF(NOT(ISNUMBER(tblPPAPs[[#This Row],[Submitted]])),"",IF(tblPPAPs[[#This Row],[Submitted]]&lt;=tblPPAPs[[#This Row],[Required date]],"Yes","No")))</f>
        <v/>
      </c>
      <c r="U16" s="36">
        <f>IF(tblPPAPs[[#This Row],[PPAP no.]]="","",IF(AND(ISNUMBER(tblPPAPs[[#This Row],[Submitted]]),ISNUMBER(tblPPAPs[[#This Row],[Decision date]])),tblPPAPs[[#This Row],[Decision date]]-tblPPAPs[[#This Row],[Submitted]],""))</f>
        <v/>
      </c>
      <c r="V16" s="39">
        <f>IF(tblPPAPs[[#This Row],[PPAP no.]]="","",IF(AND(tblPPAPs[[#This Row],[Disposition]]="Approved",tblPPAPs[[#This Row],[Resubmissions]]=0),"Yes",IF(OR(tblPPAPs[[#This Row],[Disposition]]="Approved",tblPPAPs[[#This Row],[Disposition]]="Interim approval",tblPPAPs[[#This Row],[Disposition]]="Rejected"),"No","")))</f>
        <v/>
      </c>
      <c r="W16" s="36">
        <f>IF(tblPPAPs[[#This Row],[PPAP no.]]="","",IF(tblPPAPs[[#This Row],[Disposition]]="Approved",0,1))</f>
        <v>1</v>
      </c>
      <c r="X16" s="36">
        <f>IF(tblPPAPs[[#This Row],[PPAP no.]]="","",IF(OR(tblPPAPs[[#This Row],[Disposition]]="Open",tblPPAPs[[#This Row],[Disposition]]="Rejected"),1,0))</f>
        <v>1</v>
      </c>
      <c r="Y16" s="36">
        <f>IF(tblPPAPs[[#This Row],[PPAP no.]]="","",IF(OR(DashCustomer="",tblPPAPs[[#This Row],[Customer]]=DashCustomer),1,0))</f>
        <v>1</v>
      </c>
      <c r="Z16" s="36">
        <f>IF(tblPPAPs[[#This Row],[PPAP no.]]="","",IF(OR(tblPPAPs[[#This Row],[Open]]=0,tblPPAPs[[#This Row],[In view]]=0),"",COUNTIFS(tblPPAPs[Open],1,tblPPAPs[In view],1,tblPPAPs[Due by],"&lt;"&amp;tblPPAPs[[#This Row],[Due by]])+COUNTIFS(tblPPAPs[Open],1,tblPPAPs[In view],1,tblPPAPs[Due by],tblPPAPs[[#This Row],[Due by]],tblPPAPs[PPAP no.],"&lt;"&amp;tblPPAPs[[#This Row],[PPAP no.]])+1))</f>
        <v>3</v>
      </c>
      <c r="AA16" s="40" t="str">
        <f>IF(tblPPAPs[[#This Row],[PPAP no.]]="","",IF(tblPPAPs[[#This Row],[Customer]]="","Missing customer",IF(tblPPAPs[[#This Row],[Required date]]="","Missing required date",IF(tblPPAPs[[#This Row],[Disposition]]="","Missing disposition",IF(COUNTIF(tblPPAPs[PPAP no.],tblPPAPs[[#This Row],[PPAP no.]])&gt;1,"Duplicate PPAP no.",IF(COUNTIF(tblCustomers[Customer],tblPPAPs[[#This Row],[Customer]])=0,"Customer not on Setup list",IF(AND(tblPPAPs[[#This Row],[Disposition]]&lt;&gt;"Open",NOT(ISNUMBER(tblPPAPs[[#This Row],[Submitted]]))),"Submitted date missing",IF(AND(OR(tblPPAPs[[#This Row],[Disposition]]="Approved",tblPPAPs[[#This Row],[Disposition]]="Rejected",tblPPAPs[[#This Row],[Disposition]]="Interim approval"),NOT(ISNUMBER(tblPPAPs[[#This Row],[Decision date]]))),"Decision date missing",IF(AND(ISNUMBER(tblPPAPs[[#This Row],[Decision date]]),ISNUMBER(tblPPAPs[[#This Row],[Submitted]]),tblPPAPs[[#This Row],[Decision date]]&lt;tblPPAPs[[#This Row],[Submitted]]),"Decision before submission",IF(OR(AND(ISNUMBER(tblPPAPs[[#This Row],[Submitted]]),tblPPAPs[[#This Row],[Submitted]]&gt;AsOf),AND(ISNUMBER(tblPPAPs[[#This Row],[Decision date]]),tblPPAPs[[#This Row],[Decision date]]&gt;AsOf)),"Date after the status date",IF(tblPPAPs[[#This Row],[Elements]]=0,"No elements on the tracker","OK")))))))))))</f>
        <v>OK</v>
      </c>
      <c r="AB16" s="41" t="s">
        <v>206</v>
      </c>
    </row>
    <row r="17" spans="2:28" x14ac:dyDescent="0.25">
      <c r="B17" s="28" t="s">
        <v>207</v>
      </c>
      <c r="C17" s="28" t="s">
        <v>208</v>
      </c>
      <c r="D17" s="28" t="s">
        <v>209</v>
      </c>
      <c r="E17" s="28" t="s">
        <v>92</v>
      </c>
      <c r="F17" s="28" t="s">
        <v>101</v>
      </c>
      <c r="G17" s="30">
        <v>3</v>
      </c>
      <c r="H17" s="28" t="s">
        <v>184</v>
      </c>
      <c r="I17" s="29">
        <v>46346</v>
      </c>
      <c r="J17" s="29"/>
      <c r="K17" s="28" t="s">
        <v>158</v>
      </c>
      <c r="L17" s="29"/>
      <c r="M17" s="30">
        <v>0</v>
      </c>
      <c r="N17" s="29"/>
      <c r="O17" s="36">
        <f>IF(tblPPAPs[[#This Row],[PPAP no.]]="","",COUNTIFS(tblElements[PPAP no.],tblPPAPs[[#This Row],[PPAP no.]]))</f>
        <v>9</v>
      </c>
      <c r="P17" s="36">
        <f>IF(tblPPAPs[[#This Row],[PPAP no.]]="","",COUNTIFS(tblElements[PPAP no.],tblPPAPs[[#This Row],[PPAP no.]],tblElements[Status],"Complete"))</f>
        <v>4</v>
      </c>
      <c r="Q17" s="37">
        <f>IF(tblPPAPs[[#This Row],[PPAP no.]]="","",IF(tblPPAPs[[#This Row],[Elements]]&gt;0,tblPPAPs[[#This Row],[Complete]]/tblPPAPs[[#This Row],[Elements]],""))</f>
        <v>0.444444444444444</v>
      </c>
      <c r="R17" s="38">
        <f>IF(tblPPAPs[[#This Row],[PPAP no.]]="","",IF(AND(tblPPAPs[[#This Row],[Disposition]]="Rejected",ISNUMBER(tblPPAPs[[#This Row],[Resubmit by]])),tblPPAPs[[#This Row],[Resubmit by]],tblPPAPs[[#This Row],[Required date]]))</f>
        <v>46346</v>
      </c>
      <c r="S17" s="39" t="str">
        <f>IF(tblPPAPs[[#This Row],[PPAP no.]]="","",IF(tblPPAPs[[#This Row],[Disposition]]="Approved","Complete",IF(OR(tblPPAPs[[#This Row],[Disposition]]="Submitted",tblPPAPs[[#This Row],[Disposition]]="Interim approval"),"In progress",IF(AsOf&gt;tblPPAPs[[#This Row],[Due by]],"Overdue",IF(tblPPAPs[[#This Row],[Due by]]-AsOf&lt;=DueSoonDays,"Due soon","OK")))))</f>
        <v>OK</v>
      </c>
      <c r="T17" s="39">
        <f>IF(tblPPAPs[[#This Row],[PPAP no.]]="","",IF(NOT(ISNUMBER(tblPPAPs[[#This Row],[Submitted]])),"",IF(tblPPAPs[[#This Row],[Submitted]]&lt;=tblPPAPs[[#This Row],[Required date]],"Yes","No")))</f>
        <v/>
      </c>
      <c r="U17" s="36">
        <f>IF(tblPPAPs[[#This Row],[PPAP no.]]="","",IF(AND(ISNUMBER(tblPPAPs[[#This Row],[Submitted]]),ISNUMBER(tblPPAPs[[#This Row],[Decision date]])),tblPPAPs[[#This Row],[Decision date]]-tblPPAPs[[#This Row],[Submitted]],""))</f>
        <v/>
      </c>
      <c r="V17" s="39">
        <f>IF(tblPPAPs[[#This Row],[PPAP no.]]="","",IF(AND(tblPPAPs[[#This Row],[Disposition]]="Approved",tblPPAPs[[#This Row],[Resubmissions]]=0),"Yes",IF(OR(tblPPAPs[[#This Row],[Disposition]]="Approved",tblPPAPs[[#This Row],[Disposition]]="Interim approval",tblPPAPs[[#This Row],[Disposition]]="Rejected"),"No","")))</f>
        <v/>
      </c>
      <c r="W17" s="36">
        <f>IF(tblPPAPs[[#This Row],[PPAP no.]]="","",IF(tblPPAPs[[#This Row],[Disposition]]="Approved",0,1))</f>
        <v>1</v>
      </c>
      <c r="X17" s="36">
        <f>IF(tblPPAPs[[#This Row],[PPAP no.]]="","",IF(OR(tblPPAPs[[#This Row],[Disposition]]="Open",tblPPAPs[[#This Row],[Disposition]]="Rejected"),1,0))</f>
        <v>1</v>
      </c>
      <c r="Y17" s="36">
        <f>IF(tblPPAPs[[#This Row],[PPAP no.]]="","",IF(OR(DashCustomer="",tblPPAPs[[#This Row],[Customer]]=DashCustomer),1,0))</f>
        <v>1</v>
      </c>
      <c r="Z17" s="36">
        <f>IF(tblPPAPs[[#This Row],[PPAP no.]]="","",IF(OR(tblPPAPs[[#This Row],[Open]]=0,tblPPAPs[[#This Row],[In view]]=0),"",COUNTIFS(tblPPAPs[Open],1,tblPPAPs[In view],1,tblPPAPs[Due by],"&lt;"&amp;tblPPAPs[[#This Row],[Due by]])+COUNTIFS(tblPPAPs[Open],1,tblPPAPs[In view],1,tblPPAPs[Due by],tblPPAPs[[#This Row],[Due by]],tblPPAPs[PPAP no.],"&lt;"&amp;tblPPAPs[[#This Row],[PPAP no.]])+1))</f>
        <v>6</v>
      </c>
      <c r="AA17" s="40" t="str">
        <f>IF(tblPPAPs[[#This Row],[PPAP no.]]="","",IF(tblPPAPs[[#This Row],[Customer]]="","Missing customer",IF(tblPPAPs[[#This Row],[Required date]]="","Missing required date",IF(tblPPAPs[[#This Row],[Disposition]]="","Missing disposition",IF(COUNTIF(tblPPAPs[PPAP no.],tblPPAPs[[#This Row],[PPAP no.]])&gt;1,"Duplicate PPAP no.",IF(COUNTIF(tblCustomers[Customer],tblPPAPs[[#This Row],[Customer]])=0,"Customer not on Setup list",IF(AND(tblPPAPs[[#This Row],[Disposition]]&lt;&gt;"Open",NOT(ISNUMBER(tblPPAPs[[#This Row],[Submitted]]))),"Submitted date missing",IF(AND(OR(tblPPAPs[[#This Row],[Disposition]]="Approved",tblPPAPs[[#This Row],[Disposition]]="Rejected",tblPPAPs[[#This Row],[Disposition]]="Interim approval"),NOT(ISNUMBER(tblPPAPs[[#This Row],[Decision date]]))),"Decision date missing",IF(AND(ISNUMBER(tblPPAPs[[#This Row],[Decision date]]),ISNUMBER(tblPPAPs[[#This Row],[Submitted]]),tblPPAPs[[#This Row],[Decision date]]&lt;tblPPAPs[[#This Row],[Submitted]]),"Decision before submission",IF(OR(AND(ISNUMBER(tblPPAPs[[#This Row],[Submitted]]),tblPPAPs[[#This Row],[Submitted]]&gt;AsOf),AND(ISNUMBER(tblPPAPs[[#This Row],[Decision date]]),tblPPAPs[[#This Row],[Decision date]]&gt;AsOf)),"Date after the status date",IF(tblPPAPs[[#This Row],[Elements]]=0,"No elements on the tracker","OK")))))))))))</f>
        <v>OK</v>
      </c>
      <c r="AB17" s="41" t="s">
        <v>169</v>
      </c>
    </row>
    <row r="18" spans="2:28" x14ac:dyDescent="0.25">
      <c r="B18" s="28" t="s">
        <v>210</v>
      </c>
      <c r="C18" s="28" t="s">
        <v>174</v>
      </c>
      <c r="D18" s="28" t="s">
        <v>211</v>
      </c>
      <c r="E18" s="28" t="s">
        <v>88</v>
      </c>
      <c r="F18" s="28" t="s">
        <v>97</v>
      </c>
      <c r="G18" s="30">
        <v>2</v>
      </c>
      <c r="H18" s="28" t="s">
        <v>176</v>
      </c>
      <c r="I18" s="29">
        <v>46367</v>
      </c>
      <c r="J18" s="29"/>
      <c r="K18" s="28" t="s">
        <v>158</v>
      </c>
      <c r="L18" s="29"/>
      <c r="M18" s="30">
        <v>0</v>
      </c>
      <c r="N18" s="29"/>
      <c r="O18" s="36">
        <f>IF(tblPPAPs[[#This Row],[PPAP no.]]="","",COUNTIFS(tblElements[PPAP no.],tblPPAPs[[#This Row],[PPAP no.]]))</f>
        <v>9</v>
      </c>
      <c r="P18" s="36">
        <f>IF(tblPPAPs[[#This Row],[PPAP no.]]="","",COUNTIFS(tblElements[PPAP no.],tblPPAPs[[#This Row],[PPAP no.]],tblElements[Status],"Complete"))</f>
        <v>1</v>
      </c>
      <c r="Q18" s="37">
        <f>IF(tblPPAPs[[#This Row],[PPAP no.]]="","",IF(tblPPAPs[[#This Row],[Elements]]&gt;0,tblPPAPs[[#This Row],[Complete]]/tblPPAPs[[#This Row],[Elements]],""))</f>
        <v>0.111111111111111</v>
      </c>
      <c r="R18" s="38">
        <f>IF(tblPPAPs[[#This Row],[PPAP no.]]="","",IF(AND(tblPPAPs[[#This Row],[Disposition]]="Rejected",ISNUMBER(tblPPAPs[[#This Row],[Resubmit by]])),tblPPAPs[[#This Row],[Resubmit by]],tblPPAPs[[#This Row],[Required date]]))</f>
        <v>46367</v>
      </c>
      <c r="S18" s="39" t="str">
        <f>IF(tblPPAPs[[#This Row],[PPAP no.]]="","",IF(tblPPAPs[[#This Row],[Disposition]]="Approved","Complete",IF(OR(tblPPAPs[[#This Row],[Disposition]]="Submitted",tblPPAPs[[#This Row],[Disposition]]="Interim approval"),"In progress",IF(AsOf&gt;tblPPAPs[[#This Row],[Due by]],"Overdue",IF(tblPPAPs[[#This Row],[Due by]]-AsOf&lt;=DueSoonDays,"Due soon","OK")))))</f>
        <v>OK</v>
      </c>
      <c r="T18" s="39">
        <f>IF(tblPPAPs[[#This Row],[PPAP no.]]="","",IF(NOT(ISNUMBER(tblPPAPs[[#This Row],[Submitted]])),"",IF(tblPPAPs[[#This Row],[Submitted]]&lt;=tblPPAPs[[#This Row],[Required date]],"Yes","No")))</f>
        <v/>
      </c>
      <c r="U18" s="36">
        <f>IF(tblPPAPs[[#This Row],[PPAP no.]]="","",IF(AND(ISNUMBER(tblPPAPs[[#This Row],[Submitted]]),ISNUMBER(tblPPAPs[[#This Row],[Decision date]])),tblPPAPs[[#This Row],[Decision date]]-tblPPAPs[[#This Row],[Submitted]],""))</f>
        <v/>
      </c>
      <c r="V18" s="39">
        <f>IF(tblPPAPs[[#This Row],[PPAP no.]]="","",IF(AND(tblPPAPs[[#This Row],[Disposition]]="Approved",tblPPAPs[[#This Row],[Resubmissions]]=0),"Yes",IF(OR(tblPPAPs[[#This Row],[Disposition]]="Approved",tblPPAPs[[#This Row],[Disposition]]="Interim approval",tblPPAPs[[#This Row],[Disposition]]="Rejected"),"No","")))</f>
        <v/>
      </c>
      <c r="W18" s="36">
        <f>IF(tblPPAPs[[#This Row],[PPAP no.]]="","",IF(tblPPAPs[[#This Row],[Disposition]]="Approved",0,1))</f>
        <v>1</v>
      </c>
      <c r="X18" s="36">
        <f>IF(tblPPAPs[[#This Row],[PPAP no.]]="","",IF(OR(tblPPAPs[[#This Row],[Disposition]]="Open",tblPPAPs[[#This Row],[Disposition]]="Rejected"),1,0))</f>
        <v>1</v>
      </c>
      <c r="Y18" s="36">
        <f>IF(tblPPAPs[[#This Row],[PPAP no.]]="","",IF(OR(DashCustomer="",tblPPAPs[[#This Row],[Customer]]=DashCustomer),1,0))</f>
        <v>1</v>
      </c>
      <c r="Z18" s="36">
        <f>IF(tblPPAPs[[#This Row],[PPAP no.]]="","",IF(OR(tblPPAPs[[#This Row],[Open]]=0,tblPPAPs[[#This Row],[In view]]=0),"",COUNTIFS(tblPPAPs[Open],1,tblPPAPs[In view],1,tblPPAPs[Due by],"&lt;"&amp;tblPPAPs[[#This Row],[Due by]])+COUNTIFS(tblPPAPs[Open],1,tblPPAPs[In view],1,tblPPAPs[Due by],tblPPAPs[[#This Row],[Due by]],tblPPAPs[PPAP no.],"&lt;"&amp;tblPPAPs[[#This Row],[PPAP no.]])+1))</f>
        <v>7</v>
      </c>
      <c r="AA18" s="40" t="str">
        <f>IF(tblPPAPs[[#This Row],[PPAP no.]]="","",IF(tblPPAPs[[#This Row],[Customer]]="","Missing customer",IF(tblPPAPs[[#This Row],[Required date]]="","Missing required date",IF(tblPPAPs[[#This Row],[Disposition]]="","Missing disposition",IF(COUNTIF(tblPPAPs[PPAP no.],tblPPAPs[[#This Row],[PPAP no.]])&gt;1,"Duplicate PPAP no.",IF(COUNTIF(tblCustomers[Customer],tblPPAPs[[#This Row],[Customer]])=0,"Customer not on Setup list",IF(AND(tblPPAPs[[#This Row],[Disposition]]&lt;&gt;"Open",NOT(ISNUMBER(tblPPAPs[[#This Row],[Submitted]]))),"Submitted date missing",IF(AND(OR(tblPPAPs[[#This Row],[Disposition]]="Approved",tblPPAPs[[#This Row],[Disposition]]="Rejected",tblPPAPs[[#This Row],[Disposition]]="Interim approval"),NOT(ISNUMBER(tblPPAPs[[#This Row],[Decision date]]))),"Decision date missing",IF(AND(ISNUMBER(tblPPAPs[[#This Row],[Decision date]]),ISNUMBER(tblPPAPs[[#This Row],[Submitted]]),tblPPAPs[[#This Row],[Decision date]]&lt;tblPPAPs[[#This Row],[Submitted]]),"Decision before submission",IF(OR(AND(ISNUMBER(tblPPAPs[[#This Row],[Submitted]]),tblPPAPs[[#This Row],[Submitted]]&gt;AsOf),AND(ISNUMBER(tblPPAPs[[#This Row],[Decision date]]),tblPPAPs[[#This Row],[Decision date]]&gt;AsOf)),"Date after the status date",IF(tblPPAPs[[#This Row],[Elements]]=0,"No elements on the tracker","OK")))))))))))</f>
        <v>OK</v>
      </c>
      <c r="AB18" s="41" t="s">
        <v>169</v>
      </c>
    </row>
    <row r="19" spans="2:28" x14ac:dyDescent="0.25">
      <c r="B19" s="28" t="s">
        <v>212</v>
      </c>
      <c r="C19" s="28" t="s">
        <v>213</v>
      </c>
      <c r="D19" s="28" t="s">
        <v>214</v>
      </c>
      <c r="E19" s="28" t="s">
        <v>88</v>
      </c>
      <c r="F19" s="28" t="s">
        <v>97</v>
      </c>
      <c r="G19" s="30">
        <v>2</v>
      </c>
      <c r="H19" s="28" t="s">
        <v>184</v>
      </c>
      <c r="I19" s="29">
        <v>46374</v>
      </c>
      <c r="J19" s="29"/>
      <c r="K19" s="28" t="s">
        <v>158</v>
      </c>
      <c r="L19" s="29"/>
      <c r="M19" s="30">
        <v>0</v>
      </c>
      <c r="N19" s="29"/>
      <c r="O19" s="36">
        <f>IF(tblPPAPs[[#This Row],[PPAP no.]]="","",COUNTIFS(tblElements[PPAP no.],tblPPAPs[[#This Row],[PPAP no.]]))</f>
        <v>9</v>
      </c>
      <c r="P19" s="36">
        <f>IF(tblPPAPs[[#This Row],[PPAP no.]]="","",COUNTIFS(tblElements[PPAP no.],tblPPAPs[[#This Row],[PPAP no.]],tblElements[Status],"Complete"))</f>
        <v>0</v>
      </c>
      <c r="Q19" s="37">
        <f>IF(tblPPAPs[[#This Row],[PPAP no.]]="","",IF(tblPPAPs[[#This Row],[Elements]]&gt;0,tblPPAPs[[#This Row],[Complete]]/tblPPAPs[[#This Row],[Elements]],""))</f>
        <v>0</v>
      </c>
      <c r="R19" s="38">
        <f>IF(tblPPAPs[[#This Row],[PPAP no.]]="","",IF(AND(tblPPAPs[[#This Row],[Disposition]]="Rejected",ISNUMBER(tblPPAPs[[#This Row],[Resubmit by]])),tblPPAPs[[#This Row],[Resubmit by]],tblPPAPs[[#This Row],[Required date]]))</f>
        <v>46374</v>
      </c>
      <c r="S19" s="39" t="str">
        <f>IF(tblPPAPs[[#This Row],[PPAP no.]]="","",IF(tblPPAPs[[#This Row],[Disposition]]="Approved","Complete",IF(OR(tblPPAPs[[#This Row],[Disposition]]="Submitted",tblPPAPs[[#This Row],[Disposition]]="Interim approval"),"In progress",IF(AsOf&gt;tblPPAPs[[#This Row],[Due by]],"Overdue",IF(tblPPAPs[[#This Row],[Due by]]-AsOf&lt;=DueSoonDays,"Due soon","OK")))))</f>
        <v>OK</v>
      </c>
      <c r="T19" s="39">
        <f>IF(tblPPAPs[[#This Row],[PPAP no.]]="","",IF(NOT(ISNUMBER(tblPPAPs[[#This Row],[Submitted]])),"",IF(tblPPAPs[[#This Row],[Submitted]]&lt;=tblPPAPs[[#This Row],[Required date]],"Yes","No")))</f>
        <v/>
      </c>
      <c r="U19" s="36">
        <f>IF(tblPPAPs[[#This Row],[PPAP no.]]="","",IF(AND(ISNUMBER(tblPPAPs[[#This Row],[Submitted]]),ISNUMBER(tblPPAPs[[#This Row],[Decision date]])),tblPPAPs[[#This Row],[Decision date]]-tblPPAPs[[#This Row],[Submitted]],""))</f>
        <v/>
      </c>
      <c r="V19" s="39">
        <f>IF(tblPPAPs[[#This Row],[PPAP no.]]="","",IF(AND(tblPPAPs[[#This Row],[Disposition]]="Approved",tblPPAPs[[#This Row],[Resubmissions]]=0),"Yes",IF(OR(tblPPAPs[[#This Row],[Disposition]]="Approved",tblPPAPs[[#This Row],[Disposition]]="Interim approval",tblPPAPs[[#This Row],[Disposition]]="Rejected"),"No","")))</f>
        <v/>
      </c>
      <c r="W19" s="36">
        <f>IF(tblPPAPs[[#This Row],[PPAP no.]]="","",IF(tblPPAPs[[#This Row],[Disposition]]="Approved",0,1))</f>
        <v>1</v>
      </c>
      <c r="X19" s="36">
        <f>IF(tblPPAPs[[#This Row],[PPAP no.]]="","",IF(OR(tblPPAPs[[#This Row],[Disposition]]="Open",tblPPAPs[[#This Row],[Disposition]]="Rejected"),1,0))</f>
        <v>1</v>
      </c>
      <c r="Y19" s="36">
        <f>IF(tblPPAPs[[#This Row],[PPAP no.]]="","",IF(OR(DashCustomer="",tblPPAPs[[#This Row],[Customer]]=DashCustomer),1,0))</f>
        <v>1</v>
      </c>
      <c r="Z19" s="36">
        <f>IF(tblPPAPs[[#This Row],[PPAP no.]]="","",IF(OR(tblPPAPs[[#This Row],[Open]]=0,tblPPAPs[[#This Row],[In view]]=0),"",COUNTIFS(tblPPAPs[Open],1,tblPPAPs[In view],1,tblPPAPs[Due by],"&lt;"&amp;tblPPAPs[[#This Row],[Due by]])+COUNTIFS(tblPPAPs[Open],1,tblPPAPs[In view],1,tblPPAPs[Due by],tblPPAPs[[#This Row],[Due by]],tblPPAPs[PPAP no.],"&lt;"&amp;tblPPAPs[[#This Row],[PPAP no.]])+1))</f>
        <v>8</v>
      </c>
      <c r="AA19" s="40" t="str">
        <f>IF(tblPPAPs[[#This Row],[PPAP no.]]="","",IF(tblPPAPs[[#This Row],[Customer]]="","Missing customer",IF(tblPPAPs[[#This Row],[Required date]]="","Missing required date",IF(tblPPAPs[[#This Row],[Disposition]]="","Missing disposition",IF(COUNTIF(tblPPAPs[PPAP no.],tblPPAPs[[#This Row],[PPAP no.]])&gt;1,"Duplicate PPAP no.",IF(COUNTIF(tblCustomers[Customer],tblPPAPs[[#This Row],[Customer]])=0,"Customer not on Setup list",IF(AND(tblPPAPs[[#This Row],[Disposition]]&lt;&gt;"Open",NOT(ISNUMBER(tblPPAPs[[#This Row],[Submitted]]))),"Submitted date missing",IF(AND(OR(tblPPAPs[[#This Row],[Disposition]]="Approved",tblPPAPs[[#This Row],[Disposition]]="Rejected",tblPPAPs[[#This Row],[Disposition]]="Interim approval"),NOT(ISNUMBER(tblPPAPs[[#This Row],[Decision date]]))),"Decision date missing",IF(AND(ISNUMBER(tblPPAPs[[#This Row],[Decision date]]),ISNUMBER(tblPPAPs[[#This Row],[Submitted]]),tblPPAPs[[#This Row],[Decision date]]&lt;tblPPAPs[[#This Row],[Submitted]]),"Decision before submission",IF(OR(AND(ISNUMBER(tblPPAPs[[#This Row],[Submitted]]),tblPPAPs[[#This Row],[Submitted]]&gt;AsOf),AND(ISNUMBER(tblPPAPs[[#This Row],[Decision date]]),tblPPAPs[[#This Row],[Decision date]]&gt;AsOf)),"Date after the status date",IF(tblPPAPs[[#This Row],[Elements]]=0,"No elements on the tracker","OK")))))))))))</f>
        <v>OK</v>
      </c>
      <c r="AB19" s="41" t="s">
        <v>169</v>
      </c>
    </row>
  </sheetData>
  <mergeCells count="3">
    <mergeCell ref="A1:AB1"/>
    <mergeCell ref="B2:AA2"/>
    <mergeCell ref="B4:AB4"/>
  </mergeCells>
  <conditionalFormatting sqref="AA6:AA519">
    <cfRule type="expression" dxfId="3" priority="62">
      <formula>$AA6="OK"</formula>
    </cfRule>
    <cfRule type="expression" dxfId="1" priority="63">
      <formula>AND($AA6&lt;&gt;"",$AA6&lt;&gt;"OK")</formula>
    </cfRule>
  </conditionalFormatting>
  <conditionalFormatting sqref="Q6:Q519">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S6:S519">
    <cfRule type="cellIs" dxfId="0" priority="2" operator="equal">
      <formula>"On target"</formula>
    </cfRule>
    <cfRule type="cellIs" dxfId="0" priority="3" operator="equal">
      <formula>"PASS"</formula>
    </cfRule>
    <cfRule type="cellIs" dxfId="0" priority="4" operator="equal">
      <formula>"OK"</formula>
    </cfRule>
    <cfRule type="cellIs" dxfId="0" priority="5" operator="equal">
      <formula>"Within limits"</formula>
    </cfRule>
    <cfRule type="cellIs" dxfId="0" priority="6" operator="equal">
      <formula>"Under capacity"</formula>
    </cfRule>
    <cfRule type="cellIs" dxfId="0" priority="7" operator="equal">
      <formula>"Complete"</formula>
    </cfRule>
    <cfRule type="cellIs" dxfId="0" priority="8" operator="equal">
      <formula>"Yes"</formula>
    </cfRule>
    <cfRule type="cellIs" dxfId="1" priority="9" operator="equal">
      <formula>"Near target"</formula>
    </cfRule>
    <cfRule type="cellIs" dxfId="1" priority="10" operator="equal">
      <formula>"Check"</formula>
    </cfRule>
    <cfRule type="cellIs" dxfId="1" priority="11" operator="equal">
      <formula>"Due soon"</formula>
    </cfRule>
    <cfRule type="cellIs" dxfId="1" priority="12" operator="equal">
      <formula>"Near capacity"</formula>
    </cfRule>
    <cfRule type="cellIs" dxfId="1" priority="13" operator="equal">
      <formula>"In progress"</formula>
    </cfRule>
    <cfRule type="cellIs" dxfId="1" priority="14" operator="equal">
      <formula>"Partial"</formula>
    </cfRule>
    <cfRule type="cellIs" dxfId="2" priority="15" operator="equal">
      <formula>"Below target"</formula>
    </cfRule>
    <cfRule type="cellIs" dxfId="2" priority="16" operator="equal">
      <formula>"Above target"</formula>
    </cfRule>
    <cfRule type="cellIs" dxfId="2" priority="17" operator="equal">
      <formula>"FAIL"</formula>
    </cfRule>
    <cfRule type="cellIs" dxfId="2" priority="18" operator="equal">
      <formula>"Over capacity"</formula>
    </cfRule>
    <cfRule type="cellIs" dxfId="2" priority="19" operator="equal">
      <formula>"Overdue"</formula>
    </cfRule>
    <cfRule type="cellIs" dxfId="2" priority="20" operator="equal">
      <formula>"Out of limits"</formula>
    </cfRule>
    <cfRule type="cellIs" dxfId="2" priority="21" operator="equal">
      <formula>"No"</formula>
    </cfRule>
  </conditionalFormatting>
  <conditionalFormatting sqref="T6:T519">
    <cfRule type="cellIs" dxfId="0" priority="22" operator="equal">
      <formula>"On target"</formula>
    </cfRule>
    <cfRule type="cellIs" dxfId="0" priority="23" operator="equal">
      <formula>"PASS"</formula>
    </cfRule>
    <cfRule type="cellIs" dxfId="0" priority="24" operator="equal">
      <formula>"OK"</formula>
    </cfRule>
    <cfRule type="cellIs" dxfId="0" priority="25" operator="equal">
      <formula>"Within limits"</formula>
    </cfRule>
    <cfRule type="cellIs" dxfId="0" priority="26" operator="equal">
      <formula>"Under capacity"</formula>
    </cfRule>
    <cfRule type="cellIs" dxfId="0" priority="27" operator="equal">
      <formula>"Complete"</formula>
    </cfRule>
    <cfRule type="cellIs" dxfId="0" priority="28" operator="equal">
      <formula>"Yes"</formula>
    </cfRule>
    <cfRule type="cellIs" dxfId="1" priority="29" operator="equal">
      <formula>"Near target"</formula>
    </cfRule>
    <cfRule type="cellIs" dxfId="1" priority="30" operator="equal">
      <formula>"Check"</formula>
    </cfRule>
    <cfRule type="cellIs" dxfId="1" priority="31" operator="equal">
      <formula>"Due soon"</formula>
    </cfRule>
    <cfRule type="cellIs" dxfId="1" priority="32" operator="equal">
      <formula>"Near capacity"</formula>
    </cfRule>
    <cfRule type="cellIs" dxfId="1" priority="33" operator="equal">
      <formula>"In progress"</formula>
    </cfRule>
    <cfRule type="cellIs" dxfId="1" priority="34" operator="equal">
      <formula>"Partial"</formula>
    </cfRule>
    <cfRule type="cellIs" dxfId="2" priority="35" operator="equal">
      <formula>"Below target"</formula>
    </cfRule>
    <cfRule type="cellIs" dxfId="2" priority="36" operator="equal">
      <formula>"Above target"</formula>
    </cfRule>
    <cfRule type="cellIs" dxfId="2" priority="37" operator="equal">
      <formula>"FAIL"</formula>
    </cfRule>
    <cfRule type="cellIs" dxfId="2" priority="38" operator="equal">
      <formula>"Over capacity"</formula>
    </cfRule>
    <cfRule type="cellIs" dxfId="2" priority="39" operator="equal">
      <formula>"Overdue"</formula>
    </cfRule>
    <cfRule type="cellIs" dxfId="2" priority="40" operator="equal">
      <formula>"Out of limits"</formula>
    </cfRule>
    <cfRule type="cellIs" dxfId="2" priority="41" operator="equal">
      <formula>"No"</formula>
    </cfRule>
  </conditionalFormatting>
  <conditionalFormatting sqref="V6:V519">
    <cfRule type="cellIs" dxfId="0" priority="42" operator="equal">
      <formula>"On target"</formula>
    </cfRule>
    <cfRule type="cellIs" dxfId="0" priority="43" operator="equal">
      <formula>"PASS"</formula>
    </cfRule>
    <cfRule type="cellIs" dxfId="0" priority="44" operator="equal">
      <formula>"OK"</formula>
    </cfRule>
    <cfRule type="cellIs" dxfId="0" priority="45" operator="equal">
      <formula>"Within limits"</formula>
    </cfRule>
    <cfRule type="cellIs" dxfId="0" priority="46" operator="equal">
      <formula>"Under capacity"</formula>
    </cfRule>
    <cfRule type="cellIs" dxfId="0" priority="47" operator="equal">
      <formula>"Complete"</formula>
    </cfRule>
    <cfRule type="cellIs" dxfId="0" priority="48" operator="equal">
      <formula>"Yes"</formula>
    </cfRule>
    <cfRule type="cellIs" dxfId="1" priority="49" operator="equal">
      <formula>"Near target"</formula>
    </cfRule>
    <cfRule type="cellIs" dxfId="1" priority="50" operator="equal">
      <formula>"Check"</formula>
    </cfRule>
    <cfRule type="cellIs" dxfId="1" priority="51" operator="equal">
      <formula>"Due soon"</formula>
    </cfRule>
    <cfRule type="cellIs" dxfId="1" priority="52" operator="equal">
      <formula>"Near capacity"</formula>
    </cfRule>
    <cfRule type="cellIs" dxfId="1" priority="53" operator="equal">
      <formula>"In progress"</formula>
    </cfRule>
    <cfRule type="cellIs" dxfId="1" priority="54" operator="equal">
      <formula>"Partial"</formula>
    </cfRule>
    <cfRule type="cellIs" dxfId="2" priority="55" operator="equal">
      <formula>"Below target"</formula>
    </cfRule>
    <cfRule type="cellIs" dxfId="2" priority="56" operator="equal">
      <formula>"Above target"</formula>
    </cfRule>
    <cfRule type="cellIs" dxfId="2" priority="57" operator="equal">
      <formula>"FAIL"</formula>
    </cfRule>
    <cfRule type="cellIs" dxfId="2" priority="58" operator="equal">
      <formula>"Over capacity"</formula>
    </cfRule>
    <cfRule type="cellIs" dxfId="2" priority="59" operator="equal">
      <formula>"Overdue"</formula>
    </cfRule>
    <cfRule type="cellIs" dxfId="2" priority="60" operator="equal">
      <formula>"Out of limits"</formula>
    </cfRule>
    <cfRule type="cellIs" dxfId="2" priority="61" operator="equal">
      <formula>"No"</formula>
    </cfRule>
  </conditionalFormatting>
  <dataValidations count="14">
    <dataValidation type="textLength" allowBlank="1" showInputMessage="1" showErrorMessage="1" errorTitle="Check this entry" error="Text up to 30 characters." promptTitle="PPAP no." prompt="Your package number. Each number once. Text up to 30 characters." sqref="B6:B519">
      <formula1>0</formula1>
      <formula2>30</formula2>
    </dataValidation>
    <dataValidation type="textLength" allowBlank="1" showInputMessage="1" showErrorMessage="1" errorTitle="Check this entry" error="Text up to 40 characters." promptTitle="Part number" prompt="Text up to 40 characters." sqref="C6:C519">
      <formula1>0</formula1>
      <formula2>40</formula2>
    </dataValidation>
    <dataValidation type="textLength" allowBlank="1" showInputMessage="1" showErrorMessage="1" errorTitle="Check this entry" error="Text up to 60 characters." promptTitle="Part name" prompt="Text up to 60 characters." sqref="D6:D519">
      <formula1>0</formula1>
      <formula2>60</formula2>
    </dataValidation>
    <dataValidation type="list" allowBlank="1" showInputMessage="1" showErrorMessage="1" errorTitle="Check this entry" error="Pick from the list (edit the list on Setup: Customers)." promptTitle="Customer" prompt="Pick from the list (edit the list on Setup: Customers)." sqref="E6:E519">
      <formula1>Customers</formula1>
    </dataValidation>
    <dataValidation type="list" allowBlank="1" showInputMessage="1" showErrorMessage="1" errorTitle="Check this entry" error="Pick from the list (edit the list on Setup: Reasons)." promptTitle="Reason" prompt="Pick from the list (edit the list on Setup: Reasons)." sqref="F6:F519">
      <formula1>Reasons</formula1>
    </dataValidation>
    <dataValidation type="whole" allowBlank="1" showInputMessage="1" showErrorMessage="1" errorTitle="Check this entry" error="Enter a whole number from 1 to 5." promptTitle="Level" prompt="Submission level 1 to 5 as your customer requires. Enter a whole number from 1 to 5." sqref="G6:G519">
      <formula1>1</formula1>
      <formula2>5</formula2>
    </dataValidation>
    <dataValidation type="textLength" allowBlank="1" showInputMessage="1" showErrorMessage="1" errorTitle="Check this entry" error="Text up to 40 characters." promptTitle="Owner" prompt="Text up to 40 characters." sqref="H6:H519">
      <formula1>0</formula1>
      <formula2>40</formula2>
    </dataValidation>
    <dataValidation type="date" allowBlank="1" showInputMessage="1" showErrorMessage="1" errorTitle="Check this entry" error="Enter a date between 01 Jan 2000 and 31 Dec 2100." promptTitle="Required date" prompt="The date the customer needs the package. Enter a date between 01 Jan 2000 and 31 Dec 2100." sqref="I6:I519">
      <formula1>36526</formula1>
      <formula2>73415</formula2>
    </dataValidation>
    <dataValidation type="date" allowBlank="1" showInputMessage="1" showErrorMessage="1" errorTitle="Check this entry" error="Enter a date between 01 Jan 2000 and 31 Dec 2100." promptTitle="Submitted" prompt="Date the package went to the customer; blank until then. Enter a date between 01 Jan 2000 and 31 Dec 2100." sqref="J6:J519">
      <formula1>36526</formula1>
      <formula2>73415</formula2>
    </dataValidation>
    <dataValidation type="list" allowBlank="1" showInputMessage="1" showErrorMessage="1" errorTitle="Check this entry" error="Pick one of: Open, Submitted, Interim approval, Approved, Rejected." promptTitle="Disposition" prompt="Open (preparing), Submitted (waiting for the customer), Interim approval, Approved or Rejected. Pick one of: Open, Submitted, Interim approval, Approved, Rejected." sqref="K6:K519">
      <formula1>"Open,Submitted,Interim approval,Approved,Rejected"</formula1>
    </dataValidation>
    <dataValidation type="date" allowBlank="1" showInputMessage="1" showErrorMessage="1" errorTitle="Check this entry" error="Enter a date between 01 Jan 2000 and 31 Dec 2100." promptTitle="Decision date" prompt="Date of the customer's disposition. Enter a date between 01 Jan 2000 and 31 Dec 2100." sqref="L6:L519">
      <formula1>36526</formula1>
      <formula2>73415</formula2>
    </dataValidation>
    <dataValidation type="whole" allowBlank="1" showInputMessage="1" showErrorMessage="1" errorTitle="Check this entry" error="Enter a whole number from 0 to 50." promptTitle="Resubmissions" prompt="Times the package was sent again after a rejection. Enter a whole number from 0 to 50." sqref="M6:M519">
      <formula1>0</formula1>
      <formula2>50</formula2>
    </dataValidation>
    <dataValidation type="date" allowBlank="1" showInputMessage="1" showErrorMessage="1" errorTitle="Check this entry" error="Enter a date between 01 Jan 2000 and 31 Dec 2100." promptTitle="Resubmit by" prompt="After a rejection: the date the customer needs the resubmission. Enter a date between 01 Jan 2000 and 31 Dec 2100." sqref="N6:N519">
      <formula1>36526</formula1>
      <formula2>73415</formula2>
    </dataValidation>
    <dataValidation type="textLength" allowBlank="1" showInputMessage="1" showErrorMessage="1" errorTitle="Check this entry" error="Text up to 255 characters." promptTitle="Notes" prompt="Text up to 255 characters." sqref="AB6:AB519">
      <formula1>0</formula1>
      <formula2>255</formula2>
    </dataValidation>
  </dataValidations>
  <hyperlinks>
    <hyperlink ref="AB2" r:id="rId1" tooltip="Free manufacturing calculators and templates"/>
  </hyperlinks>
  <pageMargins left="0.4" right="0.4" top="0.7" bottom="0.65" header="0.3" footer="0.3"/>
  <pageSetup fitToHeight="0" orientation="landscape"/>
  <headerFooter>
    <oddHeader>&amp;L&amp;8MFG Calcs - PPAP Submission Tracker&amp;R&amp;8&amp;A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Q6:Q519</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3B64D8"/>
    <pageSetUpPr fitToPage="1"/>
  </sheetPr>
  <dimension ref="A1:O180"/>
  <sheetViews>
    <sheetView workbookViewId="0">
      <pane xSplit="3" ySplit="5" topLeftCell="D6" activePane="bottomRight" state="frozen"/>
      <selection pane="topRight" activeCell="D1" sqref="D1"/>
      <selection pane="bottomLeft" activeCell="A6" sqref="A6"/>
      <selection pane="bottomRight"/>
    </sheetView>
  </sheetViews>
  <sheetFormatPr defaultRowHeight="15"/>
  <cols>
    <col min="1" max="1" width="2.7109375" customWidth="1"/>
    <col min="2" max="2" width="9.7109375" customWidth="1"/>
    <col min="3" max="3" width="27.7109375" customWidth="1"/>
    <col min="4" max="4" width="12.7109375" customWidth="1"/>
    <col min="5" max="7" width="12.28515625" customWidth="1"/>
    <col min="8" max="8" width="10.7109375" customWidth="1"/>
    <col min="9" max="9" width="23.7109375" customWidth="1"/>
    <col min="10" max="11" width="8.7109375" customWidth="1"/>
    <col min="12" max="12" width="11.28515625" customWidth="1"/>
    <col min="13" max="13" width="7.28515625" customWidth="1"/>
    <col min="14" max="14" width="24.7109375" customWidth="1"/>
    <col min="15" max="15" width="30.7109375" customWidth="1"/>
  </cols>
  <sheetData>
    <row r="1" spans="1:15" ht="30" customHeight="1">
      <c r="A1" s="1" t="s">
        <v>0</v>
      </c>
      <c r="B1" s="1"/>
      <c r="C1" s="1"/>
      <c r="D1" s="1"/>
      <c r="E1" s="1"/>
      <c r="F1" s="1"/>
      <c r="G1" s="1"/>
      <c r="H1" s="1"/>
      <c r="I1" s="1"/>
      <c r="J1" s="1"/>
      <c r="K1" s="1"/>
      <c r="L1" s="1"/>
      <c r="M1" s="1"/>
      <c r="N1" s="1"/>
      <c r="O1" s="1"/>
    </row>
    <row r="2" spans="1:15" ht="21" customHeight="1">
      <c r="B2" s="2" t="s">
        <v>24</v>
      </c>
      <c r="C2" s="2"/>
      <c r="D2" s="2"/>
      <c r="E2" s="2"/>
      <c r="F2" s="2"/>
      <c r="G2" s="2"/>
      <c r="H2" s="2"/>
      <c r="I2" s="2"/>
      <c r="J2" s="2"/>
      <c r="K2" s="2"/>
      <c r="L2" s="2"/>
      <c r="M2" s="2"/>
      <c r="N2" s="2"/>
      <c r="O2" s="3" t="s">
        <v>2</v>
      </c>
    </row>
    <row r="3" spans="1:15" ht="6" customHeight="1"/>
    <row r="4" spans="1:15" ht="18" customHeight="1">
      <c r="B4" s="35" t="s">
        <v>220</v>
      </c>
      <c r="C4" s="35"/>
      <c r="D4" s="35"/>
      <c r="E4" s="35"/>
      <c r="F4" s="35"/>
      <c r="G4" s="35"/>
      <c r="H4" s="35"/>
      <c r="I4" s="35"/>
      <c r="J4" s="35"/>
      <c r="K4" s="35"/>
      <c r="L4" s="35"/>
      <c r="M4" s="35"/>
      <c r="N4" s="35"/>
      <c r="O4" s="35"/>
    </row>
    <row r="5" spans="1:15" ht="32" customHeight="1">
      <c r="B5" s="34" t="s">
        <v>139</v>
      </c>
      <c r="C5" s="34" t="s">
        <v>68</v>
      </c>
      <c r="D5" s="34" t="s">
        <v>143</v>
      </c>
      <c r="E5" s="34" t="s">
        <v>215</v>
      </c>
      <c r="F5" s="34" t="s">
        <v>216</v>
      </c>
      <c r="G5" s="34" t="s">
        <v>217</v>
      </c>
      <c r="H5" s="34" t="s">
        <v>140</v>
      </c>
      <c r="I5" s="34" t="s">
        <v>64</v>
      </c>
      <c r="J5" s="34" t="s">
        <v>218</v>
      </c>
      <c r="K5" s="34" t="s">
        <v>219</v>
      </c>
      <c r="L5" s="34" t="s">
        <v>154</v>
      </c>
      <c r="M5" s="34" t="s">
        <v>160</v>
      </c>
      <c r="N5" s="34" t="s">
        <v>162</v>
      </c>
      <c r="O5" s="34" t="s">
        <v>65</v>
      </c>
    </row>
    <row r="6" spans="1:15">
      <c r="B6" s="28" t="s">
        <v>164</v>
      </c>
      <c r="C6" s="28" t="s">
        <v>121</v>
      </c>
      <c r="D6" s="28" t="s">
        <v>110</v>
      </c>
      <c r="E6" s="29">
        <v>46024</v>
      </c>
      <c r="F6" s="28" t="s">
        <v>151</v>
      </c>
      <c r="G6" s="29">
        <v>46028</v>
      </c>
      <c r="H6" s="42" t="str">
        <f>IF(tblElements[[#This Row],[PPAP no.]]="","",IFERROR(INDEX(tblPPAPs[Part number],MATCH(tblElements[[#This Row],[PPAP no.]],tblPPAPs[PPAP no.],0)),""))</f>
        <v>BR-2207</v>
      </c>
      <c r="I6" s="42" t="str">
        <f>IF(tblElements[[#This Row],[PPAP no.]]="","",IFERROR(INDEX(tblPPAPs[Customer],MATCH(tblElements[[#This Row],[PPAP no.]],tblPPAPs[PPAP no.],0)),""))</f>
        <v>Vantis Seating (example)</v>
      </c>
      <c r="J6" s="36">
        <f>IF(tblElements[[#This Row],[PPAP no.]]="","",IFERROR(INDEX(tblPPAPs[Open],MATCH(tblElements[[#This Row],[PPAP no.]],tblPPAPs[PPAP no.],0)),""))</f>
        <v>0</v>
      </c>
      <c r="K6" s="43">
        <f>IF(tblElements[[#This Row],[PPAP no.]]="","",IF(tblElements[[#This Row],[Status]]="Complete","",tblElements[[#This Row],[Due date]]-AsOf))</f>
        <v/>
      </c>
      <c r="L6" s="39" t="str">
        <f>IF(tblElements[[#This Row],[PPAP no.]]="","",IF(tblElements[[#This Row],[Status]]="Complete","Complete",IF(AsOf&gt;tblElements[[#This Row],[Due date]],"Overdue",IF(tblElements[[#This Row],[Due date]]-AsOf&lt;=DueSoonDays,"Due soon","OK"))))</f>
        <v>Complete</v>
      </c>
      <c r="M6" s="36">
        <f>IF(tblElements[[#This Row],[PPAP no.]]="","",IF(OR(DashCustomer="",tblElements[[#This Row],[Customer]]=DashCustomer),1,0))</f>
        <v>1</v>
      </c>
      <c r="N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6" s="41" t="s">
        <v>169</v>
      </c>
    </row>
    <row r="7" spans="1:15">
      <c r="B7" s="28" t="s">
        <v>164</v>
      </c>
      <c r="C7" s="28" t="s">
        <v>124</v>
      </c>
      <c r="D7" s="28" t="s">
        <v>110</v>
      </c>
      <c r="E7" s="29">
        <v>46031</v>
      </c>
      <c r="F7" s="28" t="s">
        <v>151</v>
      </c>
      <c r="G7" s="29">
        <v>46028</v>
      </c>
      <c r="H7" s="42" t="str">
        <f>IF(tblElements[[#This Row],[PPAP no.]]="","",IFERROR(INDEX(tblPPAPs[Part number],MATCH(tblElements[[#This Row],[PPAP no.]],tblPPAPs[PPAP no.],0)),""))</f>
        <v>BR-2207</v>
      </c>
      <c r="I7" s="42" t="str">
        <f>IF(tblElements[[#This Row],[PPAP no.]]="","",IFERROR(INDEX(tblPPAPs[Customer],MATCH(tblElements[[#This Row],[PPAP no.]],tblPPAPs[PPAP no.],0)),""))</f>
        <v>Vantis Seating (example)</v>
      </c>
      <c r="J7" s="36">
        <f>IF(tblElements[[#This Row],[PPAP no.]]="","",IFERROR(INDEX(tblPPAPs[Open],MATCH(tblElements[[#This Row],[PPAP no.]],tblPPAPs[PPAP no.],0)),""))</f>
        <v>0</v>
      </c>
      <c r="K7" s="43">
        <f>IF(tblElements[[#This Row],[PPAP no.]]="","",IF(tblElements[[#This Row],[Status]]="Complete","",tblElements[[#This Row],[Due date]]-AsOf))</f>
        <v/>
      </c>
      <c r="L7" s="39" t="str">
        <f>IF(tblElements[[#This Row],[PPAP no.]]="","",IF(tblElements[[#This Row],[Status]]="Complete","Complete",IF(AsOf&gt;tblElements[[#This Row],[Due date]],"Overdue",IF(tblElements[[#This Row],[Due date]]-AsOf&lt;=DueSoonDays,"Due soon","OK"))))</f>
        <v>Complete</v>
      </c>
      <c r="M7" s="36">
        <f>IF(tblElements[[#This Row],[PPAP no.]]="","",IF(OR(DashCustomer="",tblElements[[#This Row],[Customer]]=DashCustomer),1,0))</f>
        <v>1</v>
      </c>
      <c r="N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7" s="41" t="s">
        <v>169</v>
      </c>
    </row>
    <row r="8" spans="1:15">
      <c r="B8" s="28" t="s">
        <v>164</v>
      </c>
      <c r="C8" s="28" t="s">
        <v>125</v>
      </c>
      <c r="D8" s="28" t="s">
        <v>110</v>
      </c>
      <c r="E8" s="29">
        <v>46031</v>
      </c>
      <c r="F8" s="28" t="s">
        <v>151</v>
      </c>
      <c r="G8" s="29">
        <v>46032</v>
      </c>
      <c r="H8" s="42" t="str">
        <f>IF(tblElements[[#This Row],[PPAP no.]]="","",IFERROR(INDEX(tblPPAPs[Part number],MATCH(tblElements[[#This Row],[PPAP no.]],tblPPAPs[PPAP no.],0)),""))</f>
        <v>BR-2207</v>
      </c>
      <c r="I8" s="42" t="str">
        <f>IF(tblElements[[#This Row],[PPAP no.]]="","",IFERROR(INDEX(tblPPAPs[Customer],MATCH(tblElements[[#This Row],[PPAP no.]],tblPPAPs[PPAP no.],0)),""))</f>
        <v>Vantis Seating (example)</v>
      </c>
      <c r="J8" s="36">
        <f>IF(tblElements[[#This Row],[PPAP no.]]="","",IFERROR(INDEX(tblPPAPs[Open],MATCH(tblElements[[#This Row],[PPAP no.]],tblPPAPs[PPAP no.],0)),""))</f>
        <v>0</v>
      </c>
      <c r="K8" s="43">
        <f>IF(tblElements[[#This Row],[PPAP no.]]="","",IF(tblElements[[#This Row],[Status]]="Complete","",tblElements[[#This Row],[Due date]]-AsOf))</f>
        <v/>
      </c>
      <c r="L8" s="39" t="str">
        <f>IF(tblElements[[#This Row],[PPAP no.]]="","",IF(tblElements[[#This Row],[Status]]="Complete","Complete",IF(AsOf&gt;tblElements[[#This Row],[Due date]],"Overdue",IF(tblElements[[#This Row],[Due date]]-AsOf&lt;=DueSoonDays,"Due soon","OK"))))</f>
        <v>Complete</v>
      </c>
      <c r="M8" s="36">
        <f>IF(tblElements[[#This Row],[PPAP no.]]="","",IF(OR(DashCustomer="",tblElements[[#This Row],[Customer]]=DashCustomer),1,0))</f>
        <v>1</v>
      </c>
      <c r="N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8" s="41" t="s">
        <v>169</v>
      </c>
    </row>
    <row r="9" spans="1:15">
      <c r="B9" s="28" t="s">
        <v>164</v>
      </c>
      <c r="C9" s="28" t="s">
        <v>126</v>
      </c>
      <c r="D9" s="28" t="s">
        <v>108</v>
      </c>
      <c r="E9" s="29">
        <v>46038</v>
      </c>
      <c r="F9" s="28" t="s">
        <v>151</v>
      </c>
      <c r="G9" s="29">
        <v>46034</v>
      </c>
      <c r="H9" s="42" t="str">
        <f>IF(tblElements[[#This Row],[PPAP no.]]="","",IFERROR(INDEX(tblPPAPs[Part number],MATCH(tblElements[[#This Row],[PPAP no.]],tblPPAPs[PPAP no.],0)),""))</f>
        <v>BR-2207</v>
      </c>
      <c r="I9" s="42" t="str">
        <f>IF(tblElements[[#This Row],[PPAP no.]]="","",IFERROR(INDEX(tblPPAPs[Customer],MATCH(tblElements[[#This Row],[PPAP no.]],tblPPAPs[PPAP no.],0)),""))</f>
        <v>Vantis Seating (example)</v>
      </c>
      <c r="J9" s="36">
        <f>IF(tblElements[[#This Row],[PPAP no.]]="","",IFERROR(INDEX(tblPPAPs[Open],MATCH(tblElements[[#This Row],[PPAP no.]],tblPPAPs[PPAP no.],0)),""))</f>
        <v>0</v>
      </c>
      <c r="K9" s="43">
        <f>IF(tblElements[[#This Row],[PPAP no.]]="","",IF(tblElements[[#This Row],[Status]]="Complete","",tblElements[[#This Row],[Due date]]-AsOf))</f>
        <v/>
      </c>
      <c r="L9" s="39" t="str">
        <f>IF(tblElements[[#This Row],[PPAP no.]]="","",IF(tblElements[[#This Row],[Status]]="Complete","Complete",IF(AsOf&gt;tblElements[[#This Row],[Due date]],"Overdue",IF(tblElements[[#This Row],[Due date]]-AsOf&lt;=DueSoonDays,"Due soon","OK"))))</f>
        <v>Complete</v>
      </c>
      <c r="M9" s="36">
        <f>IF(tblElements[[#This Row],[PPAP no.]]="","",IF(OR(DashCustomer="",tblElements[[#This Row],[Customer]]=DashCustomer),1,0))</f>
        <v>1</v>
      </c>
      <c r="N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9" s="41" t="s">
        <v>169</v>
      </c>
    </row>
    <row r="10" spans="1:15">
      <c r="B10" s="28" t="s">
        <v>164</v>
      </c>
      <c r="C10" s="28" t="s">
        <v>127</v>
      </c>
      <c r="D10" s="28" t="s">
        <v>108</v>
      </c>
      <c r="E10" s="29">
        <v>46052</v>
      </c>
      <c r="F10" s="28" t="s">
        <v>151</v>
      </c>
      <c r="G10" s="29">
        <v>46051</v>
      </c>
      <c r="H10" s="42" t="str">
        <f>IF(tblElements[[#This Row],[PPAP no.]]="","",IFERROR(INDEX(tblPPAPs[Part number],MATCH(tblElements[[#This Row],[PPAP no.]],tblPPAPs[PPAP no.],0)),""))</f>
        <v>BR-2207</v>
      </c>
      <c r="I10" s="42" t="str">
        <f>IF(tblElements[[#This Row],[PPAP no.]]="","",IFERROR(INDEX(tblPPAPs[Customer],MATCH(tblElements[[#This Row],[PPAP no.]],tblPPAPs[PPAP no.],0)),""))</f>
        <v>Vantis Seating (example)</v>
      </c>
      <c r="J10" s="36">
        <f>IF(tblElements[[#This Row],[PPAP no.]]="","",IFERROR(INDEX(tblPPAPs[Open],MATCH(tblElements[[#This Row],[PPAP no.]],tblPPAPs[PPAP no.],0)),""))</f>
        <v>0</v>
      </c>
      <c r="K10" s="43">
        <f>IF(tblElements[[#This Row],[PPAP no.]]="","",IF(tblElements[[#This Row],[Status]]="Complete","",tblElements[[#This Row],[Due date]]-AsOf))</f>
        <v/>
      </c>
      <c r="L10" s="39" t="str">
        <f>IF(tblElements[[#This Row],[PPAP no.]]="","",IF(tblElements[[#This Row],[Status]]="Complete","Complete",IF(AsOf&gt;tblElements[[#This Row],[Due date]],"Overdue",IF(tblElements[[#This Row],[Due date]]-AsOf&lt;=DueSoonDays,"Due soon","OK"))))</f>
        <v>Complete</v>
      </c>
      <c r="M10" s="36">
        <f>IF(tblElements[[#This Row],[PPAP no.]]="","",IF(OR(DashCustomer="",tblElements[[#This Row],[Customer]]=DashCustomer),1,0))</f>
        <v>1</v>
      </c>
      <c r="N1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0" s="41" t="s">
        <v>169</v>
      </c>
    </row>
    <row r="11" spans="1:15">
      <c r="B11" s="28" t="s">
        <v>164</v>
      </c>
      <c r="C11" s="28" t="s">
        <v>128</v>
      </c>
      <c r="D11" s="28" t="s">
        <v>112</v>
      </c>
      <c r="E11" s="29">
        <v>46059</v>
      </c>
      <c r="F11" s="28" t="s">
        <v>151</v>
      </c>
      <c r="G11" s="29">
        <v>46054</v>
      </c>
      <c r="H11" s="42" t="str">
        <f>IF(tblElements[[#This Row],[PPAP no.]]="","",IFERROR(INDEX(tblPPAPs[Part number],MATCH(tblElements[[#This Row],[PPAP no.]],tblPPAPs[PPAP no.],0)),""))</f>
        <v>BR-2207</v>
      </c>
      <c r="I11" s="42" t="str">
        <f>IF(tblElements[[#This Row],[PPAP no.]]="","",IFERROR(INDEX(tblPPAPs[Customer],MATCH(tblElements[[#This Row],[PPAP no.]],tblPPAPs[PPAP no.],0)),""))</f>
        <v>Vantis Seating (example)</v>
      </c>
      <c r="J11" s="36">
        <f>IF(tblElements[[#This Row],[PPAP no.]]="","",IFERROR(INDEX(tblPPAPs[Open],MATCH(tblElements[[#This Row],[PPAP no.]],tblPPAPs[PPAP no.],0)),""))</f>
        <v>0</v>
      </c>
      <c r="K11" s="43">
        <f>IF(tblElements[[#This Row],[PPAP no.]]="","",IF(tblElements[[#This Row],[Status]]="Complete","",tblElements[[#This Row],[Due date]]-AsOf))</f>
        <v/>
      </c>
      <c r="L11" s="39" t="str">
        <f>IF(tblElements[[#This Row],[PPAP no.]]="","",IF(tblElements[[#This Row],[Status]]="Complete","Complete",IF(AsOf&gt;tblElements[[#This Row],[Due date]],"Overdue",IF(tblElements[[#This Row],[Due date]]-AsOf&lt;=DueSoonDays,"Due soon","OK"))))</f>
        <v>Complete</v>
      </c>
      <c r="M11" s="36">
        <f>IF(tblElements[[#This Row],[PPAP no.]]="","",IF(OR(DashCustomer="",tblElements[[#This Row],[Customer]]=DashCustomer),1,0))</f>
        <v>1</v>
      </c>
      <c r="N11"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1" s="41" t="s">
        <v>169</v>
      </c>
    </row>
    <row r="12" spans="1:15">
      <c r="B12" s="28" t="s">
        <v>164</v>
      </c>
      <c r="C12" s="28" t="s">
        <v>136</v>
      </c>
      <c r="D12" s="28" t="s">
        <v>116</v>
      </c>
      <c r="E12" s="29">
        <v>46059</v>
      </c>
      <c r="F12" s="28" t="s">
        <v>151</v>
      </c>
      <c r="G12" s="29">
        <v>46056</v>
      </c>
      <c r="H12" s="42" t="str">
        <f>IF(tblElements[[#This Row],[PPAP no.]]="","",IFERROR(INDEX(tblPPAPs[Part number],MATCH(tblElements[[#This Row],[PPAP no.]],tblPPAPs[PPAP no.],0)),""))</f>
        <v>BR-2207</v>
      </c>
      <c r="I12" s="42" t="str">
        <f>IF(tblElements[[#This Row],[PPAP no.]]="","",IFERROR(INDEX(tblPPAPs[Customer],MATCH(tblElements[[#This Row],[PPAP no.]],tblPPAPs[PPAP no.],0)),""))</f>
        <v>Vantis Seating (example)</v>
      </c>
      <c r="J12" s="36">
        <f>IF(tblElements[[#This Row],[PPAP no.]]="","",IFERROR(INDEX(tblPPAPs[Open],MATCH(tblElements[[#This Row],[PPAP no.]],tblPPAPs[PPAP no.],0)),""))</f>
        <v>0</v>
      </c>
      <c r="K12" s="43">
        <f>IF(tblElements[[#This Row],[PPAP no.]]="","",IF(tblElements[[#This Row],[Status]]="Complete","",tblElements[[#This Row],[Due date]]-AsOf))</f>
        <v/>
      </c>
      <c r="L12" s="39" t="str">
        <f>IF(tblElements[[#This Row],[PPAP no.]]="","",IF(tblElements[[#This Row],[Status]]="Complete","Complete",IF(AsOf&gt;tblElements[[#This Row],[Due date]],"Overdue",IF(tblElements[[#This Row],[Due date]]-AsOf&lt;=DueSoonDays,"Due soon","OK"))))</f>
        <v>Complete</v>
      </c>
      <c r="M12" s="36">
        <f>IF(tblElements[[#This Row],[PPAP no.]]="","",IF(OR(DashCustomer="",tblElements[[#This Row],[Customer]]=DashCustomer),1,0))</f>
        <v>1</v>
      </c>
      <c r="N12"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2" s="41" t="s">
        <v>169</v>
      </c>
    </row>
    <row r="13" spans="1:15">
      <c r="B13" s="28" t="s">
        <v>164</v>
      </c>
      <c r="C13" s="28" t="s">
        <v>129</v>
      </c>
      <c r="D13" s="28" t="s">
        <v>112</v>
      </c>
      <c r="E13" s="29">
        <v>46066</v>
      </c>
      <c r="F13" s="28" t="s">
        <v>151</v>
      </c>
      <c r="G13" s="29">
        <v>46070</v>
      </c>
      <c r="H13" s="42" t="str">
        <f>IF(tblElements[[#This Row],[PPAP no.]]="","",IFERROR(INDEX(tblPPAPs[Part number],MATCH(tblElements[[#This Row],[PPAP no.]],tblPPAPs[PPAP no.],0)),""))</f>
        <v>BR-2207</v>
      </c>
      <c r="I13" s="42" t="str">
        <f>IF(tblElements[[#This Row],[PPAP no.]]="","",IFERROR(INDEX(tblPPAPs[Customer],MATCH(tblElements[[#This Row],[PPAP no.]],tblPPAPs[PPAP no.],0)),""))</f>
        <v>Vantis Seating (example)</v>
      </c>
      <c r="J13" s="36">
        <f>IF(tblElements[[#This Row],[PPAP no.]]="","",IFERROR(INDEX(tblPPAPs[Open],MATCH(tblElements[[#This Row],[PPAP no.]],tblPPAPs[PPAP no.],0)),""))</f>
        <v>0</v>
      </c>
      <c r="K13" s="43">
        <f>IF(tblElements[[#This Row],[PPAP no.]]="","",IF(tblElements[[#This Row],[Status]]="Complete","",tblElements[[#This Row],[Due date]]-AsOf))</f>
        <v/>
      </c>
      <c r="L13" s="39" t="str">
        <f>IF(tblElements[[#This Row],[PPAP no.]]="","",IF(tblElements[[#This Row],[Status]]="Complete","Complete",IF(AsOf&gt;tblElements[[#This Row],[Due date]],"Overdue",IF(tblElements[[#This Row],[Due date]]-AsOf&lt;=DueSoonDays,"Due soon","OK"))))</f>
        <v>Complete</v>
      </c>
      <c r="M13" s="36">
        <f>IF(tblElements[[#This Row],[PPAP no.]]="","",IF(OR(DashCustomer="",tblElements[[#This Row],[Customer]]=DashCustomer),1,0))</f>
        <v>1</v>
      </c>
      <c r="N13"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3" s="41" t="s">
        <v>169</v>
      </c>
    </row>
    <row r="14" spans="1:15">
      <c r="B14" s="28" t="s">
        <v>164</v>
      </c>
      <c r="C14" s="28" t="s">
        <v>130</v>
      </c>
      <c r="D14" s="28" t="s">
        <v>118</v>
      </c>
      <c r="E14" s="29">
        <v>46066</v>
      </c>
      <c r="F14" s="28" t="s">
        <v>151</v>
      </c>
      <c r="G14" s="29">
        <v>46070</v>
      </c>
      <c r="H14" s="42" t="str">
        <f>IF(tblElements[[#This Row],[PPAP no.]]="","",IFERROR(INDEX(tblPPAPs[Part number],MATCH(tblElements[[#This Row],[PPAP no.]],tblPPAPs[PPAP no.],0)),""))</f>
        <v>BR-2207</v>
      </c>
      <c r="I14" s="42" t="str">
        <f>IF(tblElements[[#This Row],[PPAP no.]]="","",IFERROR(INDEX(tblPPAPs[Customer],MATCH(tblElements[[#This Row],[PPAP no.]],tblPPAPs[PPAP no.],0)),""))</f>
        <v>Vantis Seating (example)</v>
      </c>
      <c r="J14" s="36">
        <f>IF(tblElements[[#This Row],[PPAP no.]]="","",IFERROR(INDEX(tblPPAPs[Open],MATCH(tblElements[[#This Row],[PPAP no.]],tblPPAPs[PPAP no.],0)),""))</f>
        <v>0</v>
      </c>
      <c r="K14" s="43">
        <f>IF(tblElements[[#This Row],[PPAP no.]]="","",IF(tblElements[[#This Row],[Status]]="Complete","",tblElements[[#This Row],[Due date]]-AsOf))</f>
        <v/>
      </c>
      <c r="L14" s="39" t="str">
        <f>IF(tblElements[[#This Row],[PPAP no.]]="","",IF(tblElements[[#This Row],[Status]]="Complete","Complete",IF(AsOf&gt;tblElements[[#This Row],[Due date]],"Overdue",IF(tblElements[[#This Row],[Due date]]-AsOf&lt;=DueSoonDays,"Due soon","OK"))))</f>
        <v>Complete</v>
      </c>
      <c r="M14" s="36">
        <f>IF(tblElements[[#This Row],[PPAP no.]]="","",IF(OR(DashCustomer="",tblElements[[#This Row],[Customer]]=DashCustomer),1,0))</f>
        <v>1</v>
      </c>
      <c r="N14"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4" s="41" t="s">
        <v>169</v>
      </c>
    </row>
    <row r="15" spans="1:15">
      <c r="B15" s="28" t="s">
        <v>164</v>
      </c>
      <c r="C15" s="28" t="s">
        <v>132</v>
      </c>
      <c r="D15" s="28" t="s">
        <v>108</v>
      </c>
      <c r="E15" s="29">
        <v>46066</v>
      </c>
      <c r="F15" s="28" t="s">
        <v>151</v>
      </c>
      <c r="G15" s="29">
        <v>46068</v>
      </c>
      <c r="H15" s="42" t="str">
        <f>IF(tblElements[[#This Row],[PPAP no.]]="","",IFERROR(INDEX(tblPPAPs[Part number],MATCH(tblElements[[#This Row],[PPAP no.]],tblPPAPs[PPAP no.],0)),""))</f>
        <v>BR-2207</v>
      </c>
      <c r="I15" s="42" t="str">
        <f>IF(tblElements[[#This Row],[PPAP no.]]="","",IFERROR(INDEX(tblPPAPs[Customer],MATCH(tblElements[[#This Row],[PPAP no.]],tblPPAPs[PPAP no.],0)),""))</f>
        <v>Vantis Seating (example)</v>
      </c>
      <c r="J15" s="36">
        <f>IF(tblElements[[#This Row],[PPAP no.]]="","",IFERROR(INDEX(tblPPAPs[Open],MATCH(tblElements[[#This Row],[PPAP no.]],tblPPAPs[PPAP no.],0)),""))</f>
        <v>0</v>
      </c>
      <c r="K15" s="43">
        <f>IF(tblElements[[#This Row],[PPAP no.]]="","",IF(tblElements[[#This Row],[Status]]="Complete","",tblElements[[#This Row],[Due date]]-AsOf))</f>
        <v/>
      </c>
      <c r="L15" s="39" t="str">
        <f>IF(tblElements[[#This Row],[PPAP no.]]="","",IF(tblElements[[#This Row],[Status]]="Complete","Complete",IF(AsOf&gt;tblElements[[#This Row],[Due date]],"Overdue",IF(tblElements[[#This Row],[Due date]]-AsOf&lt;=DueSoonDays,"Due soon","OK"))))</f>
        <v>Complete</v>
      </c>
      <c r="M15" s="36">
        <f>IF(tblElements[[#This Row],[PPAP no.]]="","",IF(OR(DashCustomer="",tblElements[[#This Row],[Customer]]=DashCustomer),1,0))</f>
        <v>1</v>
      </c>
      <c r="N15"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5" s="41" t="s">
        <v>169</v>
      </c>
    </row>
    <row r="16" spans="1:15">
      <c r="B16" s="28" t="s">
        <v>164</v>
      </c>
      <c r="C16" s="28" t="s">
        <v>131</v>
      </c>
      <c r="D16" s="28" t="s">
        <v>108</v>
      </c>
      <c r="E16" s="29">
        <v>46073</v>
      </c>
      <c r="F16" s="28" t="s">
        <v>151</v>
      </c>
      <c r="G16" s="29">
        <v>46074</v>
      </c>
      <c r="H16" s="42" t="str">
        <f>IF(tblElements[[#This Row],[PPAP no.]]="","",IFERROR(INDEX(tblPPAPs[Part number],MATCH(tblElements[[#This Row],[PPAP no.]],tblPPAPs[PPAP no.],0)),""))</f>
        <v>BR-2207</v>
      </c>
      <c r="I16" s="42" t="str">
        <f>IF(tblElements[[#This Row],[PPAP no.]]="","",IFERROR(INDEX(tblPPAPs[Customer],MATCH(tblElements[[#This Row],[PPAP no.]],tblPPAPs[PPAP no.],0)),""))</f>
        <v>Vantis Seating (example)</v>
      </c>
      <c r="J16" s="36">
        <f>IF(tblElements[[#This Row],[PPAP no.]]="","",IFERROR(INDEX(tblPPAPs[Open],MATCH(tblElements[[#This Row],[PPAP no.]],tblPPAPs[PPAP no.],0)),""))</f>
        <v>0</v>
      </c>
      <c r="K16" s="43">
        <f>IF(tblElements[[#This Row],[PPAP no.]]="","",IF(tblElements[[#This Row],[Status]]="Complete","",tblElements[[#This Row],[Due date]]-AsOf))</f>
        <v/>
      </c>
      <c r="L16" s="39" t="str">
        <f>IF(tblElements[[#This Row],[PPAP no.]]="","",IF(tblElements[[#This Row],[Status]]="Complete","Complete",IF(AsOf&gt;tblElements[[#This Row],[Due date]],"Overdue",IF(tblElements[[#This Row],[Due date]]-AsOf&lt;=DueSoonDays,"Due soon","OK"))))</f>
        <v>Complete</v>
      </c>
      <c r="M16" s="36">
        <f>IF(tblElements[[#This Row],[PPAP no.]]="","",IF(OR(DashCustomer="",tblElements[[#This Row],[Customer]]=DashCustomer),1,0))</f>
        <v>1</v>
      </c>
      <c r="N1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6" s="41" t="s">
        <v>169</v>
      </c>
    </row>
    <row r="17" spans="2:15">
      <c r="B17" s="28" t="s">
        <v>164</v>
      </c>
      <c r="C17" s="28" t="s">
        <v>134</v>
      </c>
      <c r="D17" s="28" t="s">
        <v>114</v>
      </c>
      <c r="E17" s="29">
        <v>46080</v>
      </c>
      <c r="F17" s="28" t="s">
        <v>151</v>
      </c>
      <c r="G17" s="29">
        <v>46077</v>
      </c>
      <c r="H17" s="42" t="str">
        <f>IF(tblElements[[#This Row],[PPAP no.]]="","",IFERROR(INDEX(tblPPAPs[Part number],MATCH(tblElements[[#This Row],[PPAP no.]],tblPPAPs[PPAP no.],0)),""))</f>
        <v>BR-2207</v>
      </c>
      <c r="I17" s="42" t="str">
        <f>IF(tblElements[[#This Row],[PPAP no.]]="","",IFERROR(INDEX(tblPPAPs[Customer],MATCH(tblElements[[#This Row],[PPAP no.]],tblPPAPs[PPAP no.],0)),""))</f>
        <v>Vantis Seating (example)</v>
      </c>
      <c r="J17" s="36">
        <f>IF(tblElements[[#This Row],[PPAP no.]]="","",IFERROR(INDEX(tblPPAPs[Open],MATCH(tblElements[[#This Row],[PPAP no.]],tblPPAPs[PPAP no.],0)),""))</f>
        <v>0</v>
      </c>
      <c r="K17" s="43">
        <f>IF(tblElements[[#This Row],[PPAP no.]]="","",IF(tblElements[[#This Row],[Status]]="Complete","",tblElements[[#This Row],[Due date]]-AsOf))</f>
        <v/>
      </c>
      <c r="L17" s="39" t="str">
        <f>IF(tblElements[[#This Row],[PPAP no.]]="","",IF(tblElements[[#This Row],[Status]]="Complete","Complete",IF(AsOf&gt;tblElements[[#This Row],[Due date]],"Overdue",IF(tblElements[[#This Row],[Due date]]-AsOf&lt;=DueSoonDays,"Due soon","OK"))))</f>
        <v>Complete</v>
      </c>
      <c r="M17" s="36">
        <f>IF(tblElements[[#This Row],[PPAP no.]]="","",IF(OR(DashCustomer="",tblElements[[#This Row],[Customer]]=DashCustomer),1,0))</f>
        <v>1</v>
      </c>
      <c r="N1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7" s="41" t="s">
        <v>169</v>
      </c>
    </row>
    <row r="18" spans="2:15">
      <c r="B18" s="28" t="s">
        <v>164</v>
      </c>
      <c r="C18" s="28" t="s">
        <v>135</v>
      </c>
      <c r="D18" s="28" t="s">
        <v>108</v>
      </c>
      <c r="E18" s="29">
        <v>46080</v>
      </c>
      <c r="F18" s="28" t="s">
        <v>151</v>
      </c>
      <c r="G18" s="29">
        <v>46075</v>
      </c>
      <c r="H18" s="42" t="str">
        <f>IF(tblElements[[#This Row],[PPAP no.]]="","",IFERROR(INDEX(tblPPAPs[Part number],MATCH(tblElements[[#This Row],[PPAP no.]],tblPPAPs[PPAP no.],0)),""))</f>
        <v>BR-2207</v>
      </c>
      <c r="I18" s="42" t="str">
        <f>IF(tblElements[[#This Row],[PPAP no.]]="","",IFERROR(INDEX(tblPPAPs[Customer],MATCH(tblElements[[#This Row],[PPAP no.]],tblPPAPs[PPAP no.],0)),""))</f>
        <v>Vantis Seating (example)</v>
      </c>
      <c r="J18" s="36">
        <f>IF(tblElements[[#This Row],[PPAP no.]]="","",IFERROR(INDEX(tblPPAPs[Open],MATCH(tblElements[[#This Row],[PPAP no.]],tblPPAPs[PPAP no.],0)),""))</f>
        <v>0</v>
      </c>
      <c r="K18" s="43">
        <f>IF(tblElements[[#This Row],[PPAP no.]]="","",IF(tblElements[[#This Row],[Status]]="Complete","",tblElements[[#This Row],[Due date]]-AsOf))</f>
        <v/>
      </c>
      <c r="L18" s="39" t="str">
        <f>IF(tblElements[[#This Row],[PPAP no.]]="","",IF(tblElements[[#This Row],[Status]]="Complete","Complete",IF(AsOf&gt;tblElements[[#This Row],[Due date]],"Overdue",IF(tblElements[[#This Row],[Due date]]-AsOf&lt;=DueSoonDays,"Due soon","OK"))))</f>
        <v>Complete</v>
      </c>
      <c r="M18" s="36">
        <f>IF(tblElements[[#This Row],[PPAP no.]]="","",IF(OR(DashCustomer="",tblElements[[#This Row],[Customer]]=DashCustomer),1,0))</f>
        <v>1</v>
      </c>
      <c r="N1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8" s="41" t="s">
        <v>169</v>
      </c>
    </row>
    <row r="19" spans="2:15">
      <c r="B19" s="28" t="s">
        <v>164</v>
      </c>
      <c r="C19" s="28" t="s">
        <v>137</v>
      </c>
      <c r="D19" s="28" t="s">
        <v>108</v>
      </c>
      <c r="E19" s="29">
        <v>46084</v>
      </c>
      <c r="F19" s="28" t="s">
        <v>151</v>
      </c>
      <c r="G19" s="29">
        <v>46085</v>
      </c>
      <c r="H19" s="42" t="str">
        <f>IF(tblElements[[#This Row],[PPAP no.]]="","",IFERROR(INDEX(tblPPAPs[Part number],MATCH(tblElements[[#This Row],[PPAP no.]],tblPPAPs[PPAP no.],0)),""))</f>
        <v>BR-2207</v>
      </c>
      <c r="I19" s="42" t="str">
        <f>IF(tblElements[[#This Row],[PPAP no.]]="","",IFERROR(INDEX(tblPPAPs[Customer],MATCH(tblElements[[#This Row],[PPAP no.]],tblPPAPs[PPAP no.],0)),""))</f>
        <v>Vantis Seating (example)</v>
      </c>
      <c r="J19" s="36">
        <f>IF(tblElements[[#This Row],[PPAP no.]]="","",IFERROR(INDEX(tblPPAPs[Open],MATCH(tblElements[[#This Row],[PPAP no.]],tblPPAPs[PPAP no.],0)),""))</f>
        <v>0</v>
      </c>
      <c r="K19" s="43">
        <f>IF(tblElements[[#This Row],[PPAP no.]]="","",IF(tblElements[[#This Row],[Status]]="Complete","",tblElements[[#This Row],[Due date]]-AsOf))</f>
        <v/>
      </c>
      <c r="L19" s="39" t="str">
        <f>IF(tblElements[[#This Row],[PPAP no.]]="","",IF(tblElements[[#This Row],[Status]]="Complete","Complete",IF(AsOf&gt;tblElements[[#This Row],[Due date]],"Overdue",IF(tblElements[[#This Row],[Due date]]-AsOf&lt;=DueSoonDays,"Due soon","OK"))))</f>
        <v>Complete</v>
      </c>
      <c r="M19" s="36">
        <f>IF(tblElements[[#This Row],[PPAP no.]]="","",IF(OR(DashCustomer="",tblElements[[#This Row],[Customer]]=DashCustomer),1,0))</f>
        <v>1</v>
      </c>
      <c r="N1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9" s="41" t="s">
        <v>169</v>
      </c>
    </row>
    <row r="20" spans="2:15">
      <c r="B20" s="28" t="s">
        <v>164</v>
      </c>
      <c r="C20" s="28" t="s">
        <v>138</v>
      </c>
      <c r="D20" s="28" t="s">
        <v>108</v>
      </c>
      <c r="E20" s="29">
        <v>46091</v>
      </c>
      <c r="F20" s="28" t="s">
        <v>151</v>
      </c>
      <c r="G20" s="29">
        <v>46090</v>
      </c>
      <c r="H20" s="42" t="str">
        <f>IF(tblElements[[#This Row],[PPAP no.]]="","",IFERROR(INDEX(tblPPAPs[Part number],MATCH(tblElements[[#This Row],[PPAP no.]],tblPPAPs[PPAP no.],0)),""))</f>
        <v>BR-2207</v>
      </c>
      <c r="I20" s="42" t="str">
        <f>IF(tblElements[[#This Row],[PPAP no.]]="","",IFERROR(INDEX(tblPPAPs[Customer],MATCH(tblElements[[#This Row],[PPAP no.]],tblPPAPs[PPAP no.],0)),""))</f>
        <v>Vantis Seating (example)</v>
      </c>
      <c r="J20" s="36">
        <f>IF(tblElements[[#This Row],[PPAP no.]]="","",IFERROR(INDEX(tblPPAPs[Open],MATCH(tblElements[[#This Row],[PPAP no.]],tblPPAPs[PPAP no.],0)),""))</f>
        <v>0</v>
      </c>
      <c r="K20" s="43">
        <f>IF(tblElements[[#This Row],[PPAP no.]]="","",IF(tblElements[[#This Row],[Status]]="Complete","",tblElements[[#This Row],[Due date]]-AsOf))</f>
        <v/>
      </c>
      <c r="L20" s="39" t="str">
        <f>IF(tblElements[[#This Row],[PPAP no.]]="","",IF(tblElements[[#This Row],[Status]]="Complete","Complete",IF(AsOf&gt;tblElements[[#This Row],[Due date]],"Overdue",IF(tblElements[[#This Row],[Due date]]-AsOf&lt;=DueSoonDays,"Due soon","OK"))))</f>
        <v>Complete</v>
      </c>
      <c r="M20" s="36">
        <f>IF(tblElements[[#This Row],[PPAP no.]]="","",IF(OR(DashCustomer="",tblElements[[#This Row],[Customer]]=DashCustomer),1,0))</f>
        <v>1</v>
      </c>
      <c r="N2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20" s="41" t="s">
        <v>169</v>
      </c>
    </row>
    <row r="21" spans="2:15">
      <c r="B21" s="28" t="s">
        <v>170</v>
      </c>
      <c r="C21" s="28" t="s">
        <v>121</v>
      </c>
      <c r="D21" s="28" t="s">
        <v>110</v>
      </c>
      <c r="E21" s="29">
        <v>46024</v>
      </c>
      <c r="F21" s="28" t="s">
        <v>151</v>
      </c>
      <c r="G21" s="29">
        <v>46028</v>
      </c>
      <c r="H21" s="42" t="str">
        <f>IF(tblElements[[#This Row],[PPAP no.]]="","",IFERROR(INDEX(tblPPAPs[Part number],MATCH(tblElements[[#This Row],[PPAP no.]],tblPPAPs[PPAP no.],0)),""))</f>
        <v>BR-2208</v>
      </c>
      <c r="I21" s="42" t="str">
        <f>IF(tblElements[[#This Row],[PPAP no.]]="","",IFERROR(INDEX(tblPPAPs[Customer],MATCH(tblElements[[#This Row],[PPAP no.]],tblPPAPs[PPAP no.],0)),""))</f>
        <v>Vantis Seating (example)</v>
      </c>
      <c r="J21" s="36">
        <f>IF(tblElements[[#This Row],[PPAP no.]]="","",IFERROR(INDEX(tblPPAPs[Open],MATCH(tblElements[[#This Row],[PPAP no.]],tblPPAPs[PPAP no.],0)),""))</f>
        <v>0</v>
      </c>
      <c r="K21" s="43">
        <f>IF(tblElements[[#This Row],[PPAP no.]]="","",IF(tblElements[[#This Row],[Status]]="Complete","",tblElements[[#This Row],[Due date]]-AsOf))</f>
        <v/>
      </c>
      <c r="L21" s="39" t="str">
        <f>IF(tblElements[[#This Row],[PPAP no.]]="","",IF(tblElements[[#This Row],[Status]]="Complete","Complete",IF(AsOf&gt;tblElements[[#This Row],[Due date]],"Overdue",IF(tblElements[[#This Row],[Due date]]-AsOf&lt;=DueSoonDays,"Due soon","OK"))))</f>
        <v>Complete</v>
      </c>
      <c r="M21" s="36">
        <f>IF(tblElements[[#This Row],[PPAP no.]]="","",IF(OR(DashCustomer="",tblElements[[#This Row],[Customer]]=DashCustomer),1,0))</f>
        <v>1</v>
      </c>
      <c r="N21"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21" s="41" t="s">
        <v>169</v>
      </c>
    </row>
    <row r="22" spans="2:15">
      <c r="B22" s="28" t="s">
        <v>170</v>
      </c>
      <c r="C22" s="28" t="s">
        <v>124</v>
      </c>
      <c r="D22" s="28" t="s">
        <v>110</v>
      </c>
      <c r="E22" s="29">
        <v>46031</v>
      </c>
      <c r="F22" s="28" t="s">
        <v>151</v>
      </c>
      <c r="G22" s="29">
        <v>46029</v>
      </c>
      <c r="H22" s="42" t="str">
        <f>IF(tblElements[[#This Row],[PPAP no.]]="","",IFERROR(INDEX(tblPPAPs[Part number],MATCH(tblElements[[#This Row],[PPAP no.]],tblPPAPs[PPAP no.],0)),""))</f>
        <v>BR-2208</v>
      </c>
      <c r="I22" s="42" t="str">
        <f>IF(tblElements[[#This Row],[PPAP no.]]="","",IFERROR(INDEX(tblPPAPs[Customer],MATCH(tblElements[[#This Row],[PPAP no.]],tblPPAPs[PPAP no.],0)),""))</f>
        <v>Vantis Seating (example)</v>
      </c>
      <c r="J22" s="36">
        <f>IF(tblElements[[#This Row],[PPAP no.]]="","",IFERROR(INDEX(tblPPAPs[Open],MATCH(tblElements[[#This Row],[PPAP no.]],tblPPAPs[PPAP no.],0)),""))</f>
        <v>0</v>
      </c>
      <c r="K22" s="43">
        <f>IF(tblElements[[#This Row],[PPAP no.]]="","",IF(tblElements[[#This Row],[Status]]="Complete","",tblElements[[#This Row],[Due date]]-AsOf))</f>
        <v/>
      </c>
      <c r="L22" s="39" t="str">
        <f>IF(tblElements[[#This Row],[PPAP no.]]="","",IF(tblElements[[#This Row],[Status]]="Complete","Complete",IF(AsOf&gt;tblElements[[#This Row],[Due date]],"Overdue",IF(tblElements[[#This Row],[Due date]]-AsOf&lt;=DueSoonDays,"Due soon","OK"))))</f>
        <v>Complete</v>
      </c>
      <c r="M22" s="36">
        <f>IF(tblElements[[#This Row],[PPAP no.]]="","",IF(OR(DashCustomer="",tblElements[[#This Row],[Customer]]=DashCustomer),1,0))</f>
        <v>1</v>
      </c>
      <c r="N22"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22" s="41" t="s">
        <v>169</v>
      </c>
    </row>
    <row r="23" spans="2:15">
      <c r="B23" s="28" t="s">
        <v>170</v>
      </c>
      <c r="C23" s="28" t="s">
        <v>125</v>
      </c>
      <c r="D23" s="28" t="s">
        <v>110</v>
      </c>
      <c r="E23" s="29">
        <v>46031</v>
      </c>
      <c r="F23" s="28" t="s">
        <v>151</v>
      </c>
      <c r="G23" s="29">
        <v>46029</v>
      </c>
      <c r="H23" s="42" t="str">
        <f>IF(tblElements[[#This Row],[PPAP no.]]="","",IFERROR(INDEX(tblPPAPs[Part number],MATCH(tblElements[[#This Row],[PPAP no.]],tblPPAPs[PPAP no.],0)),""))</f>
        <v>BR-2208</v>
      </c>
      <c r="I23" s="42" t="str">
        <f>IF(tblElements[[#This Row],[PPAP no.]]="","",IFERROR(INDEX(tblPPAPs[Customer],MATCH(tblElements[[#This Row],[PPAP no.]],tblPPAPs[PPAP no.],0)),""))</f>
        <v>Vantis Seating (example)</v>
      </c>
      <c r="J23" s="36">
        <f>IF(tblElements[[#This Row],[PPAP no.]]="","",IFERROR(INDEX(tblPPAPs[Open],MATCH(tblElements[[#This Row],[PPAP no.]],tblPPAPs[PPAP no.],0)),""))</f>
        <v>0</v>
      </c>
      <c r="K23" s="43">
        <f>IF(tblElements[[#This Row],[PPAP no.]]="","",IF(tblElements[[#This Row],[Status]]="Complete","",tblElements[[#This Row],[Due date]]-AsOf))</f>
        <v/>
      </c>
      <c r="L23" s="39" t="str">
        <f>IF(tblElements[[#This Row],[PPAP no.]]="","",IF(tblElements[[#This Row],[Status]]="Complete","Complete",IF(AsOf&gt;tblElements[[#This Row],[Due date]],"Overdue",IF(tblElements[[#This Row],[Due date]]-AsOf&lt;=DueSoonDays,"Due soon","OK"))))</f>
        <v>Complete</v>
      </c>
      <c r="M23" s="36">
        <f>IF(tblElements[[#This Row],[PPAP no.]]="","",IF(OR(DashCustomer="",tblElements[[#This Row],[Customer]]=DashCustomer),1,0))</f>
        <v>1</v>
      </c>
      <c r="N23"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23" s="41" t="s">
        <v>169</v>
      </c>
    </row>
    <row r="24" spans="2:15">
      <c r="B24" s="28" t="s">
        <v>170</v>
      </c>
      <c r="C24" s="28" t="s">
        <v>126</v>
      </c>
      <c r="D24" s="28" t="s">
        <v>108</v>
      </c>
      <c r="E24" s="29">
        <v>46038</v>
      </c>
      <c r="F24" s="28" t="s">
        <v>151</v>
      </c>
      <c r="G24" s="29">
        <v>46037</v>
      </c>
      <c r="H24" s="42" t="str">
        <f>IF(tblElements[[#This Row],[PPAP no.]]="","",IFERROR(INDEX(tblPPAPs[Part number],MATCH(tblElements[[#This Row],[PPAP no.]],tblPPAPs[PPAP no.],0)),""))</f>
        <v>BR-2208</v>
      </c>
      <c r="I24" s="42" t="str">
        <f>IF(tblElements[[#This Row],[PPAP no.]]="","",IFERROR(INDEX(tblPPAPs[Customer],MATCH(tblElements[[#This Row],[PPAP no.]],tblPPAPs[PPAP no.],0)),""))</f>
        <v>Vantis Seating (example)</v>
      </c>
      <c r="J24" s="36">
        <f>IF(tblElements[[#This Row],[PPAP no.]]="","",IFERROR(INDEX(tblPPAPs[Open],MATCH(tblElements[[#This Row],[PPAP no.]],tblPPAPs[PPAP no.],0)),""))</f>
        <v>0</v>
      </c>
      <c r="K24" s="43">
        <f>IF(tblElements[[#This Row],[PPAP no.]]="","",IF(tblElements[[#This Row],[Status]]="Complete","",tblElements[[#This Row],[Due date]]-AsOf))</f>
        <v/>
      </c>
      <c r="L24" s="39" t="str">
        <f>IF(tblElements[[#This Row],[PPAP no.]]="","",IF(tblElements[[#This Row],[Status]]="Complete","Complete",IF(AsOf&gt;tblElements[[#This Row],[Due date]],"Overdue",IF(tblElements[[#This Row],[Due date]]-AsOf&lt;=DueSoonDays,"Due soon","OK"))))</f>
        <v>Complete</v>
      </c>
      <c r="M24" s="36">
        <f>IF(tblElements[[#This Row],[PPAP no.]]="","",IF(OR(DashCustomer="",tblElements[[#This Row],[Customer]]=DashCustomer),1,0))</f>
        <v>1</v>
      </c>
      <c r="N24"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24" s="41" t="s">
        <v>169</v>
      </c>
    </row>
    <row r="25" spans="2:15">
      <c r="B25" s="28" t="s">
        <v>170</v>
      </c>
      <c r="C25" s="28" t="s">
        <v>127</v>
      </c>
      <c r="D25" s="28" t="s">
        <v>108</v>
      </c>
      <c r="E25" s="29">
        <v>46052</v>
      </c>
      <c r="F25" s="28" t="s">
        <v>151</v>
      </c>
      <c r="G25" s="29">
        <v>46050</v>
      </c>
      <c r="H25" s="42" t="str">
        <f>IF(tblElements[[#This Row],[PPAP no.]]="","",IFERROR(INDEX(tblPPAPs[Part number],MATCH(tblElements[[#This Row],[PPAP no.]],tblPPAPs[PPAP no.],0)),""))</f>
        <v>BR-2208</v>
      </c>
      <c r="I25" s="42" t="str">
        <f>IF(tblElements[[#This Row],[PPAP no.]]="","",IFERROR(INDEX(tblPPAPs[Customer],MATCH(tblElements[[#This Row],[PPAP no.]],tblPPAPs[PPAP no.],0)),""))</f>
        <v>Vantis Seating (example)</v>
      </c>
      <c r="J25" s="36">
        <f>IF(tblElements[[#This Row],[PPAP no.]]="","",IFERROR(INDEX(tblPPAPs[Open],MATCH(tblElements[[#This Row],[PPAP no.]],tblPPAPs[PPAP no.],0)),""))</f>
        <v>0</v>
      </c>
      <c r="K25" s="43">
        <f>IF(tblElements[[#This Row],[PPAP no.]]="","",IF(tblElements[[#This Row],[Status]]="Complete","",tblElements[[#This Row],[Due date]]-AsOf))</f>
        <v/>
      </c>
      <c r="L25" s="39" t="str">
        <f>IF(tblElements[[#This Row],[PPAP no.]]="","",IF(tblElements[[#This Row],[Status]]="Complete","Complete",IF(AsOf&gt;tblElements[[#This Row],[Due date]],"Overdue",IF(tblElements[[#This Row],[Due date]]-AsOf&lt;=DueSoonDays,"Due soon","OK"))))</f>
        <v>Complete</v>
      </c>
      <c r="M25" s="36">
        <f>IF(tblElements[[#This Row],[PPAP no.]]="","",IF(OR(DashCustomer="",tblElements[[#This Row],[Customer]]=DashCustomer),1,0))</f>
        <v>1</v>
      </c>
      <c r="N25"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25" s="41" t="s">
        <v>169</v>
      </c>
    </row>
    <row r="26" spans="2:15">
      <c r="B26" s="28" t="s">
        <v>170</v>
      </c>
      <c r="C26" s="28" t="s">
        <v>128</v>
      </c>
      <c r="D26" s="28" t="s">
        <v>112</v>
      </c>
      <c r="E26" s="29">
        <v>46059</v>
      </c>
      <c r="F26" s="28" t="s">
        <v>151</v>
      </c>
      <c r="G26" s="29">
        <v>46061</v>
      </c>
      <c r="H26" s="42" t="str">
        <f>IF(tblElements[[#This Row],[PPAP no.]]="","",IFERROR(INDEX(tblPPAPs[Part number],MATCH(tblElements[[#This Row],[PPAP no.]],tblPPAPs[PPAP no.],0)),""))</f>
        <v>BR-2208</v>
      </c>
      <c r="I26" s="42" t="str">
        <f>IF(tblElements[[#This Row],[PPAP no.]]="","",IFERROR(INDEX(tblPPAPs[Customer],MATCH(tblElements[[#This Row],[PPAP no.]],tblPPAPs[PPAP no.],0)),""))</f>
        <v>Vantis Seating (example)</v>
      </c>
      <c r="J26" s="36">
        <f>IF(tblElements[[#This Row],[PPAP no.]]="","",IFERROR(INDEX(tblPPAPs[Open],MATCH(tblElements[[#This Row],[PPAP no.]],tblPPAPs[PPAP no.],0)),""))</f>
        <v>0</v>
      </c>
      <c r="K26" s="43">
        <f>IF(tblElements[[#This Row],[PPAP no.]]="","",IF(tblElements[[#This Row],[Status]]="Complete","",tblElements[[#This Row],[Due date]]-AsOf))</f>
        <v/>
      </c>
      <c r="L26" s="39" t="str">
        <f>IF(tblElements[[#This Row],[PPAP no.]]="","",IF(tblElements[[#This Row],[Status]]="Complete","Complete",IF(AsOf&gt;tblElements[[#This Row],[Due date]],"Overdue",IF(tblElements[[#This Row],[Due date]]-AsOf&lt;=DueSoonDays,"Due soon","OK"))))</f>
        <v>Complete</v>
      </c>
      <c r="M26" s="36">
        <f>IF(tblElements[[#This Row],[PPAP no.]]="","",IF(OR(DashCustomer="",tblElements[[#This Row],[Customer]]=DashCustomer),1,0))</f>
        <v>1</v>
      </c>
      <c r="N2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26" s="41" t="s">
        <v>169</v>
      </c>
    </row>
    <row r="27" spans="2:15">
      <c r="B27" s="28" t="s">
        <v>170</v>
      </c>
      <c r="C27" s="28" t="s">
        <v>136</v>
      </c>
      <c r="D27" s="28" t="s">
        <v>116</v>
      </c>
      <c r="E27" s="29">
        <v>46059</v>
      </c>
      <c r="F27" s="28" t="s">
        <v>151</v>
      </c>
      <c r="G27" s="29">
        <v>46059</v>
      </c>
      <c r="H27" s="42" t="str">
        <f>IF(tblElements[[#This Row],[PPAP no.]]="","",IFERROR(INDEX(tblPPAPs[Part number],MATCH(tblElements[[#This Row],[PPAP no.]],tblPPAPs[PPAP no.],0)),""))</f>
        <v>BR-2208</v>
      </c>
      <c r="I27" s="42" t="str">
        <f>IF(tblElements[[#This Row],[PPAP no.]]="","",IFERROR(INDEX(tblPPAPs[Customer],MATCH(tblElements[[#This Row],[PPAP no.]],tblPPAPs[PPAP no.],0)),""))</f>
        <v>Vantis Seating (example)</v>
      </c>
      <c r="J27" s="36">
        <f>IF(tblElements[[#This Row],[PPAP no.]]="","",IFERROR(INDEX(tblPPAPs[Open],MATCH(tblElements[[#This Row],[PPAP no.]],tblPPAPs[PPAP no.],0)),""))</f>
        <v>0</v>
      </c>
      <c r="K27" s="43">
        <f>IF(tblElements[[#This Row],[PPAP no.]]="","",IF(tblElements[[#This Row],[Status]]="Complete","",tblElements[[#This Row],[Due date]]-AsOf))</f>
        <v/>
      </c>
      <c r="L27" s="39" t="str">
        <f>IF(tblElements[[#This Row],[PPAP no.]]="","",IF(tblElements[[#This Row],[Status]]="Complete","Complete",IF(AsOf&gt;tblElements[[#This Row],[Due date]],"Overdue",IF(tblElements[[#This Row],[Due date]]-AsOf&lt;=DueSoonDays,"Due soon","OK"))))</f>
        <v>Complete</v>
      </c>
      <c r="M27" s="36">
        <f>IF(tblElements[[#This Row],[PPAP no.]]="","",IF(OR(DashCustomer="",tblElements[[#This Row],[Customer]]=DashCustomer),1,0))</f>
        <v>1</v>
      </c>
      <c r="N2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27" s="41" t="s">
        <v>169</v>
      </c>
    </row>
    <row r="28" spans="2:15">
      <c r="B28" s="28" t="s">
        <v>170</v>
      </c>
      <c r="C28" s="28" t="s">
        <v>129</v>
      </c>
      <c r="D28" s="28" t="s">
        <v>112</v>
      </c>
      <c r="E28" s="29">
        <v>46066</v>
      </c>
      <c r="F28" s="28" t="s">
        <v>151</v>
      </c>
      <c r="G28" s="29">
        <v>46066</v>
      </c>
      <c r="H28" s="42" t="str">
        <f>IF(tblElements[[#This Row],[PPAP no.]]="","",IFERROR(INDEX(tblPPAPs[Part number],MATCH(tblElements[[#This Row],[PPAP no.]],tblPPAPs[PPAP no.],0)),""))</f>
        <v>BR-2208</v>
      </c>
      <c r="I28" s="42" t="str">
        <f>IF(tblElements[[#This Row],[PPAP no.]]="","",IFERROR(INDEX(tblPPAPs[Customer],MATCH(tblElements[[#This Row],[PPAP no.]],tblPPAPs[PPAP no.],0)),""))</f>
        <v>Vantis Seating (example)</v>
      </c>
      <c r="J28" s="36">
        <f>IF(tblElements[[#This Row],[PPAP no.]]="","",IFERROR(INDEX(tblPPAPs[Open],MATCH(tblElements[[#This Row],[PPAP no.]],tblPPAPs[PPAP no.],0)),""))</f>
        <v>0</v>
      </c>
      <c r="K28" s="43">
        <f>IF(tblElements[[#This Row],[PPAP no.]]="","",IF(tblElements[[#This Row],[Status]]="Complete","",tblElements[[#This Row],[Due date]]-AsOf))</f>
        <v/>
      </c>
      <c r="L28" s="39" t="str">
        <f>IF(tblElements[[#This Row],[PPAP no.]]="","",IF(tblElements[[#This Row],[Status]]="Complete","Complete",IF(AsOf&gt;tblElements[[#This Row],[Due date]],"Overdue",IF(tblElements[[#This Row],[Due date]]-AsOf&lt;=DueSoonDays,"Due soon","OK"))))</f>
        <v>Complete</v>
      </c>
      <c r="M28" s="36">
        <f>IF(tblElements[[#This Row],[PPAP no.]]="","",IF(OR(DashCustomer="",tblElements[[#This Row],[Customer]]=DashCustomer),1,0))</f>
        <v>1</v>
      </c>
      <c r="N2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28" s="41" t="s">
        <v>169</v>
      </c>
    </row>
    <row r="29" spans="2:15">
      <c r="B29" s="28" t="s">
        <v>170</v>
      </c>
      <c r="C29" s="28" t="s">
        <v>130</v>
      </c>
      <c r="D29" s="28" t="s">
        <v>118</v>
      </c>
      <c r="E29" s="29">
        <v>46066</v>
      </c>
      <c r="F29" s="28" t="s">
        <v>151</v>
      </c>
      <c r="G29" s="29">
        <v>46067</v>
      </c>
      <c r="H29" s="42" t="str">
        <f>IF(tblElements[[#This Row],[PPAP no.]]="","",IFERROR(INDEX(tblPPAPs[Part number],MATCH(tblElements[[#This Row],[PPAP no.]],tblPPAPs[PPAP no.],0)),""))</f>
        <v>BR-2208</v>
      </c>
      <c r="I29" s="42" t="str">
        <f>IF(tblElements[[#This Row],[PPAP no.]]="","",IFERROR(INDEX(tblPPAPs[Customer],MATCH(tblElements[[#This Row],[PPAP no.]],tblPPAPs[PPAP no.],0)),""))</f>
        <v>Vantis Seating (example)</v>
      </c>
      <c r="J29" s="36">
        <f>IF(tblElements[[#This Row],[PPAP no.]]="","",IFERROR(INDEX(tblPPAPs[Open],MATCH(tblElements[[#This Row],[PPAP no.]],tblPPAPs[PPAP no.],0)),""))</f>
        <v>0</v>
      </c>
      <c r="K29" s="43">
        <f>IF(tblElements[[#This Row],[PPAP no.]]="","",IF(tblElements[[#This Row],[Status]]="Complete","",tblElements[[#This Row],[Due date]]-AsOf))</f>
        <v/>
      </c>
      <c r="L29" s="39" t="str">
        <f>IF(tblElements[[#This Row],[PPAP no.]]="","",IF(tblElements[[#This Row],[Status]]="Complete","Complete",IF(AsOf&gt;tblElements[[#This Row],[Due date]],"Overdue",IF(tblElements[[#This Row],[Due date]]-AsOf&lt;=DueSoonDays,"Due soon","OK"))))</f>
        <v>Complete</v>
      </c>
      <c r="M29" s="36">
        <f>IF(tblElements[[#This Row],[PPAP no.]]="","",IF(OR(DashCustomer="",tblElements[[#This Row],[Customer]]=DashCustomer),1,0))</f>
        <v>1</v>
      </c>
      <c r="N2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29" s="41" t="s">
        <v>169</v>
      </c>
    </row>
    <row r="30" spans="2:15">
      <c r="B30" s="28" t="s">
        <v>170</v>
      </c>
      <c r="C30" s="28" t="s">
        <v>132</v>
      </c>
      <c r="D30" s="28" t="s">
        <v>108</v>
      </c>
      <c r="E30" s="29">
        <v>46066</v>
      </c>
      <c r="F30" s="28" t="s">
        <v>151</v>
      </c>
      <c r="G30" s="29">
        <v>46070</v>
      </c>
      <c r="H30" s="42" t="str">
        <f>IF(tblElements[[#This Row],[PPAP no.]]="","",IFERROR(INDEX(tblPPAPs[Part number],MATCH(tblElements[[#This Row],[PPAP no.]],tblPPAPs[PPAP no.],0)),""))</f>
        <v>BR-2208</v>
      </c>
      <c r="I30" s="42" t="str">
        <f>IF(tblElements[[#This Row],[PPAP no.]]="","",IFERROR(INDEX(tblPPAPs[Customer],MATCH(tblElements[[#This Row],[PPAP no.]],tblPPAPs[PPAP no.],0)),""))</f>
        <v>Vantis Seating (example)</v>
      </c>
      <c r="J30" s="36">
        <f>IF(tblElements[[#This Row],[PPAP no.]]="","",IFERROR(INDEX(tblPPAPs[Open],MATCH(tblElements[[#This Row],[PPAP no.]],tblPPAPs[PPAP no.],0)),""))</f>
        <v>0</v>
      </c>
      <c r="K30" s="43">
        <f>IF(tblElements[[#This Row],[PPAP no.]]="","",IF(tblElements[[#This Row],[Status]]="Complete","",tblElements[[#This Row],[Due date]]-AsOf))</f>
        <v/>
      </c>
      <c r="L30" s="39" t="str">
        <f>IF(tblElements[[#This Row],[PPAP no.]]="","",IF(tblElements[[#This Row],[Status]]="Complete","Complete",IF(AsOf&gt;tblElements[[#This Row],[Due date]],"Overdue",IF(tblElements[[#This Row],[Due date]]-AsOf&lt;=DueSoonDays,"Due soon","OK"))))</f>
        <v>Complete</v>
      </c>
      <c r="M30" s="36">
        <f>IF(tblElements[[#This Row],[PPAP no.]]="","",IF(OR(DashCustomer="",tblElements[[#This Row],[Customer]]=DashCustomer),1,0))</f>
        <v>1</v>
      </c>
      <c r="N3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30" s="41" t="s">
        <v>169</v>
      </c>
    </row>
    <row r="31" spans="2:15">
      <c r="B31" s="28" t="s">
        <v>170</v>
      </c>
      <c r="C31" s="28" t="s">
        <v>131</v>
      </c>
      <c r="D31" s="28" t="s">
        <v>108</v>
      </c>
      <c r="E31" s="29">
        <v>46073</v>
      </c>
      <c r="F31" s="28" t="s">
        <v>151</v>
      </c>
      <c r="G31" s="29">
        <v>46067</v>
      </c>
      <c r="H31" s="42" t="str">
        <f>IF(tblElements[[#This Row],[PPAP no.]]="","",IFERROR(INDEX(tblPPAPs[Part number],MATCH(tblElements[[#This Row],[PPAP no.]],tblPPAPs[PPAP no.],0)),""))</f>
        <v>BR-2208</v>
      </c>
      <c r="I31" s="42" t="str">
        <f>IF(tblElements[[#This Row],[PPAP no.]]="","",IFERROR(INDEX(tblPPAPs[Customer],MATCH(tblElements[[#This Row],[PPAP no.]],tblPPAPs[PPAP no.],0)),""))</f>
        <v>Vantis Seating (example)</v>
      </c>
      <c r="J31" s="36">
        <f>IF(tblElements[[#This Row],[PPAP no.]]="","",IFERROR(INDEX(tblPPAPs[Open],MATCH(tblElements[[#This Row],[PPAP no.]],tblPPAPs[PPAP no.],0)),""))</f>
        <v>0</v>
      </c>
      <c r="K31" s="43">
        <f>IF(tblElements[[#This Row],[PPAP no.]]="","",IF(tblElements[[#This Row],[Status]]="Complete","",tblElements[[#This Row],[Due date]]-AsOf))</f>
        <v/>
      </c>
      <c r="L31" s="39" t="str">
        <f>IF(tblElements[[#This Row],[PPAP no.]]="","",IF(tblElements[[#This Row],[Status]]="Complete","Complete",IF(AsOf&gt;tblElements[[#This Row],[Due date]],"Overdue",IF(tblElements[[#This Row],[Due date]]-AsOf&lt;=DueSoonDays,"Due soon","OK"))))</f>
        <v>Complete</v>
      </c>
      <c r="M31" s="36">
        <f>IF(tblElements[[#This Row],[PPAP no.]]="","",IF(OR(DashCustomer="",tblElements[[#This Row],[Customer]]=DashCustomer),1,0))</f>
        <v>1</v>
      </c>
      <c r="N31"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31" s="41" t="s">
        <v>169</v>
      </c>
    </row>
    <row r="32" spans="2:15">
      <c r="B32" s="28" t="s">
        <v>170</v>
      </c>
      <c r="C32" s="28" t="s">
        <v>134</v>
      </c>
      <c r="D32" s="28" t="s">
        <v>114</v>
      </c>
      <c r="E32" s="29">
        <v>46080</v>
      </c>
      <c r="F32" s="28" t="s">
        <v>151</v>
      </c>
      <c r="G32" s="29">
        <v>46082</v>
      </c>
      <c r="H32" s="42" t="str">
        <f>IF(tblElements[[#This Row],[PPAP no.]]="","",IFERROR(INDEX(tblPPAPs[Part number],MATCH(tblElements[[#This Row],[PPAP no.]],tblPPAPs[PPAP no.],0)),""))</f>
        <v>BR-2208</v>
      </c>
      <c r="I32" s="42" t="str">
        <f>IF(tblElements[[#This Row],[PPAP no.]]="","",IFERROR(INDEX(tblPPAPs[Customer],MATCH(tblElements[[#This Row],[PPAP no.]],tblPPAPs[PPAP no.],0)),""))</f>
        <v>Vantis Seating (example)</v>
      </c>
      <c r="J32" s="36">
        <f>IF(tblElements[[#This Row],[PPAP no.]]="","",IFERROR(INDEX(tblPPAPs[Open],MATCH(tblElements[[#This Row],[PPAP no.]],tblPPAPs[PPAP no.],0)),""))</f>
        <v>0</v>
      </c>
      <c r="K32" s="43">
        <f>IF(tblElements[[#This Row],[PPAP no.]]="","",IF(tblElements[[#This Row],[Status]]="Complete","",tblElements[[#This Row],[Due date]]-AsOf))</f>
        <v/>
      </c>
      <c r="L32" s="39" t="str">
        <f>IF(tblElements[[#This Row],[PPAP no.]]="","",IF(tblElements[[#This Row],[Status]]="Complete","Complete",IF(AsOf&gt;tblElements[[#This Row],[Due date]],"Overdue",IF(tblElements[[#This Row],[Due date]]-AsOf&lt;=DueSoonDays,"Due soon","OK"))))</f>
        <v>Complete</v>
      </c>
      <c r="M32" s="36">
        <f>IF(tblElements[[#This Row],[PPAP no.]]="","",IF(OR(DashCustomer="",tblElements[[#This Row],[Customer]]=DashCustomer),1,0))</f>
        <v>1</v>
      </c>
      <c r="N32"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32" s="41" t="s">
        <v>169</v>
      </c>
    </row>
    <row r="33" spans="2:15">
      <c r="B33" s="28" t="s">
        <v>170</v>
      </c>
      <c r="C33" s="28" t="s">
        <v>135</v>
      </c>
      <c r="D33" s="28" t="s">
        <v>108</v>
      </c>
      <c r="E33" s="29">
        <v>46080</v>
      </c>
      <c r="F33" s="28" t="s">
        <v>151</v>
      </c>
      <c r="G33" s="29">
        <v>46081</v>
      </c>
      <c r="H33" s="42" t="str">
        <f>IF(tblElements[[#This Row],[PPAP no.]]="","",IFERROR(INDEX(tblPPAPs[Part number],MATCH(tblElements[[#This Row],[PPAP no.]],tblPPAPs[PPAP no.],0)),""))</f>
        <v>BR-2208</v>
      </c>
      <c r="I33" s="42" t="str">
        <f>IF(tblElements[[#This Row],[PPAP no.]]="","",IFERROR(INDEX(tblPPAPs[Customer],MATCH(tblElements[[#This Row],[PPAP no.]],tblPPAPs[PPAP no.],0)),""))</f>
        <v>Vantis Seating (example)</v>
      </c>
      <c r="J33" s="36">
        <f>IF(tblElements[[#This Row],[PPAP no.]]="","",IFERROR(INDEX(tblPPAPs[Open],MATCH(tblElements[[#This Row],[PPAP no.]],tblPPAPs[PPAP no.],0)),""))</f>
        <v>0</v>
      </c>
      <c r="K33" s="43">
        <f>IF(tblElements[[#This Row],[PPAP no.]]="","",IF(tblElements[[#This Row],[Status]]="Complete","",tblElements[[#This Row],[Due date]]-AsOf))</f>
        <v/>
      </c>
      <c r="L33" s="39" t="str">
        <f>IF(tblElements[[#This Row],[PPAP no.]]="","",IF(tblElements[[#This Row],[Status]]="Complete","Complete",IF(AsOf&gt;tblElements[[#This Row],[Due date]],"Overdue",IF(tblElements[[#This Row],[Due date]]-AsOf&lt;=DueSoonDays,"Due soon","OK"))))</f>
        <v>Complete</v>
      </c>
      <c r="M33" s="36">
        <f>IF(tblElements[[#This Row],[PPAP no.]]="","",IF(OR(DashCustomer="",tblElements[[#This Row],[Customer]]=DashCustomer),1,0))</f>
        <v>1</v>
      </c>
      <c r="N33"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33" s="41" t="s">
        <v>169</v>
      </c>
    </row>
    <row r="34" spans="2:15">
      <c r="B34" s="28" t="s">
        <v>170</v>
      </c>
      <c r="C34" s="28" t="s">
        <v>137</v>
      </c>
      <c r="D34" s="28" t="s">
        <v>108</v>
      </c>
      <c r="E34" s="29">
        <v>46084</v>
      </c>
      <c r="F34" s="28" t="s">
        <v>151</v>
      </c>
      <c r="G34" s="29">
        <v>46084</v>
      </c>
      <c r="H34" s="42" t="str">
        <f>IF(tblElements[[#This Row],[PPAP no.]]="","",IFERROR(INDEX(tblPPAPs[Part number],MATCH(tblElements[[#This Row],[PPAP no.]],tblPPAPs[PPAP no.],0)),""))</f>
        <v>BR-2208</v>
      </c>
      <c r="I34" s="42" t="str">
        <f>IF(tblElements[[#This Row],[PPAP no.]]="","",IFERROR(INDEX(tblPPAPs[Customer],MATCH(tblElements[[#This Row],[PPAP no.]],tblPPAPs[PPAP no.],0)),""))</f>
        <v>Vantis Seating (example)</v>
      </c>
      <c r="J34" s="36">
        <f>IF(tblElements[[#This Row],[PPAP no.]]="","",IFERROR(INDEX(tblPPAPs[Open],MATCH(tblElements[[#This Row],[PPAP no.]],tblPPAPs[PPAP no.],0)),""))</f>
        <v>0</v>
      </c>
      <c r="K34" s="43">
        <f>IF(tblElements[[#This Row],[PPAP no.]]="","",IF(tblElements[[#This Row],[Status]]="Complete","",tblElements[[#This Row],[Due date]]-AsOf))</f>
        <v/>
      </c>
      <c r="L34" s="39" t="str">
        <f>IF(tblElements[[#This Row],[PPAP no.]]="","",IF(tblElements[[#This Row],[Status]]="Complete","Complete",IF(AsOf&gt;tblElements[[#This Row],[Due date]],"Overdue",IF(tblElements[[#This Row],[Due date]]-AsOf&lt;=DueSoonDays,"Due soon","OK"))))</f>
        <v>Complete</v>
      </c>
      <c r="M34" s="36">
        <f>IF(tblElements[[#This Row],[PPAP no.]]="","",IF(OR(DashCustomer="",tblElements[[#This Row],[Customer]]=DashCustomer),1,0))</f>
        <v>1</v>
      </c>
      <c r="N34"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34" s="41" t="s">
        <v>169</v>
      </c>
    </row>
    <row r="35" spans="2:15">
      <c r="B35" s="28" t="s">
        <v>170</v>
      </c>
      <c r="C35" s="28" t="s">
        <v>138</v>
      </c>
      <c r="D35" s="28" t="s">
        <v>108</v>
      </c>
      <c r="E35" s="29">
        <v>46091</v>
      </c>
      <c r="F35" s="28" t="s">
        <v>151</v>
      </c>
      <c r="G35" s="29">
        <v>46088</v>
      </c>
      <c r="H35" s="42" t="str">
        <f>IF(tblElements[[#This Row],[PPAP no.]]="","",IFERROR(INDEX(tblPPAPs[Part number],MATCH(tblElements[[#This Row],[PPAP no.]],tblPPAPs[PPAP no.],0)),""))</f>
        <v>BR-2208</v>
      </c>
      <c r="I35" s="42" t="str">
        <f>IF(tblElements[[#This Row],[PPAP no.]]="","",IFERROR(INDEX(tblPPAPs[Customer],MATCH(tblElements[[#This Row],[PPAP no.]],tblPPAPs[PPAP no.],0)),""))</f>
        <v>Vantis Seating (example)</v>
      </c>
      <c r="J35" s="36">
        <f>IF(tblElements[[#This Row],[PPAP no.]]="","",IFERROR(INDEX(tblPPAPs[Open],MATCH(tblElements[[#This Row],[PPAP no.]],tblPPAPs[PPAP no.],0)),""))</f>
        <v>0</v>
      </c>
      <c r="K35" s="43">
        <f>IF(tblElements[[#This Row],[PPAP no.]]="","",IF(tblElements[[#This Row],[Status]]="Complete","",tblElements[[#This Row],[Due date]]-AsOf))</f>
        <v/>
      </c>
      <c r="L35" s="39" t="str">
        <f>IF(tblElements[[#This Row],[PPAP no.]]="","",IF(tblElements[[#This Row],[Status]]="Complete","Complete",IF(AsOf&gt;tblElements[[#This Row],[Due date]],"Overdue",IF(tblElements[[#This Row],[Due date]]-AsOf&lt;=DueSoonDays,"Due soon","OK"))))</f>
        <v>Complete</v>
      </c>
      <c r="M35" s="36">
        <f>IF(tblElements[[#This Row],[PPAP no.]]="","",IF(OR(DashCustomer="",tblElements[[#This Row],[Customer]]=DashCustomer),1,0))</f>
        <v>1</v>
      </c>
      <c r="N35"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35" s="41" t="s">
        <v>169</v>
      </c>
    </row>
    <row r="36" spans="2:15">
      <c r="B36" s="28" t="s">
        <v>173</v>
      </c>
      <c r="C36" s="28" t="s">
        <v>121</v>
      </c>
      <c r="D36" s="28" t="s">
        <v>110</v>
      </c>
      <c r="E36" s="29">
        <v>46066</v>
      </c>
      <c r="F36" s="28" t="s">
        <v>151</v>
      </c>
      <c r="G36" s="29">
        <v>46067</v>
      </c>
      <c r="H36" s="42" t="str">
        <f>IF(tblElements[[#This Row],[PPAP no.]]="","",IFERROR(INDEX(tblPPAPs[Part number],MATCH(tblElements[[#This Row],[PPAP no.]],tblPPAPs[PPAP no.],0)),""))</f>
        <v>HS-4410</v>
      </c>
      <c r="I36" s="42" t="str">
        <f>IF(tblElements[[#This Row],[PPAP no.]]="","",IFERROR(INDEX(tblPPAPs[Customer],MATCH(tblElements[[#This Row],[PPAP no.]],tblPPAPs[PPAP no.],0)),""))</f>
        <v>Northline Motors (example)</v>
      </c>
      <c r="J36" s="36">
        <f>IF(tblElements[[#This Row],[PPAP no.]]="","",IFERROR(INDEX(tblPPAPs[Open],MATCH(tblElements[[#This Row],[PPAP no.]],tblPPAPs[PPAP no.],0)),""))</f>
        <v>0</v>
      </c>
      <c r="K36" s="43">
        <f>IF(tblElements[[#This Row],[PPAP no.]]="","",IF(tblElements[[#This Row],[Status]]="Complete","",tblElements[[#This Row],[Due date]]-AsOf))</f>
        <v/>
      </c>
      <c r="L36" s="39" t="str">
        <f>IF(tblElements[[#This Row],[PPAP no.]]="","",IF(tblElements[[#This Row],[Status]]="Complete","Complete",IF(AsOf&gt;tblElements[[#This Row],[Due date]],"Overdue",IF(tblElements[[#This Row],[Due date]]-AsOf&lt;=DueSoonDays,"Due soon","OK"))))</f>
        <v>Complete</v>
      </c>
      <c r="M36" s="36">
        <f>IF(tblElements[[#This Row],[PPAP no.]]="","",IF(OR(DashCustomer="",tblElements[[#This Row],[Customer]]=DashCustomer),1,0))</f>
        <v>1</v>
      </c>
      <c r="N3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36" s="41" t="s">
        <v>169</v>
      </c>
    </row>
    <row r="37" spans="2:15">
      <c r="B37" s="28" t="s">
        <v>173</v>
      </c>
      <c r="C37" s="28" t="s">
        <v>124</v>
      </c>
      <c r="D37" s="28" t="s">
        <v>110</v>
      </c>
      <c r="E37" s="29">
        <v>46073</v>
      </c>
      <c r="F37" s="28" t="s">
        <v>151</v>
      </c>
      <c r="G37" s="29">
        <v>46073</v>
      </c>
      <c r="H37" s="42" t="str">
        <f>IF(tblElements[[#This Row],[PPAP no.]]="","",IFERROR(INDEX(tblPPAPs[Part number],MATCH(tblElements[[#This Row],[PPAP no.]],tblPPAPs[PPAP no.],0)),""))</f>
        <v>HS-4410</v>
      </c>
      <c r="I37" s="42" t="str">
        <f>IF(tblElements[[#This Row],[PPAP no.]]="","",IFERROR(INDEX(tblPPAPs[Customer],MATCH(tblElements[[#This Row],[PPAP no.]],tblPPAPs[PPAP no.],0)),""))</f>
        <v>Northline Motors (example)</v>
      </c>
      <c r="J37" s="36">
        <f>IF(tblElements[[#This Row],[PPAP no.]]="","",IFERROR(INDEX(tblPPAPs[Open],MATCH(tblElements[[#This Row],[PPAP no.]],tblPPAPs[PPAP no.],0)),""))</f>
        <v>0</v>
      </c>
      <c r="K37" s="43">
        <f>IF(tblElements[[#This Row],[PPAP no.]]="","",IF(tblElements[[#This Row],[Status]]="Complete","",tblElements[[#This Row],[Due date]]-AsOf))</f>
        <v/>
      </c>
      <c r="L37" s="39" t="str">
        <f>IF(tblElements[[#This Row],[PPAP no.]]="","",IF(tblElements[[#This Row],[Status]]="Complete","Complete",IF(AsOf&gt;tblElements[[#This Row],[Due date]],"Overdue",IF(tblElements[[#This Row],[Due date]]-AsOf&lt;=DueSoonDays,"Due soon","OK"))))</f>
        <v>Complete</v>
      </c>
      <c r="M37" s="36">
        <f>IF(tblElements[[#This Row],[PPAP no.]]="","",IF(OR(DashCustomer="",tblElements[[#This Row],[Customer]]=DashCustomer),1,0))</f>
        <v>1</v>
      </c>
      <c r="N3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37" s="41" t="s">
        <v>169</v>
      </c>
    </row>
    <row r="38" spans="2:15">
      <c r="B38" s="28" t="s">
        <v>173</v>
      </c>
      <c r="C38" s="28" t="s">
        <v>125</v>
      </c>
      <c r="D38" s="28" t="s">
        <v>110</v>
      </c>
      <c r="E38" s="29">
        <v>46073</v>
      </c>
      <c r="F38" s="28" t="s">
        <v>151</v>
      </c>
      <c r="G38" s="29">
        <v>46070</v>
      </c>
      <c r="H38" s="42" t="str">
        <f>IF(tblElements[[#This Row],[PPAP no.]]="","",IFERROR(INDEX(tblPPAPs[Part number],MATCH(tblElements[[#This Row],[PPAP no.]],tblPPAPs[PPAP no.],0)),""))</f>
        <v>HS-4410</v>
      </c>
      <c r="I38" s="42" t="str">
        <f>IF(tblElements[[#This Row],[PPAP no.]]="","",IFERROR(INDEX(tblPPAPs[Customer],MATCH(tblElements[[#This Row],[PPAP no.]],tblPPAPs[PPAP no.],0)),""))</f>
        <v>Northline Motors (example)</v>
      </c>
      <c r="J38" s="36">
        <f>IF(tblElements[[#This Row],[PPAP no.]]="","",IFERROR(INDEX(tblPPAPs[Open],MATCH(tblElements[[#This Row],[PPAP no.]],tblPPAPs[PPAP no.],0)),""))</f>
        <v>0</v>
      </c>
      <c r="K38" s="43">
        <f>IF(tblElements[[#This Row],[PPAP no.]]="","",IF(tblElements[[#This Row],[Status]]="Complete","",tblElements[[#This Row],[Due date]]-AsOf))</f>
        <v/>
      </c>
      <c r="L38" s="39" t="str">
        <f>IF(tblElements[[#This Row],[PPAP no.]]="","",IF(tblElements[[#This Row],[Status]]="Complete","Complete",IF(AsOf&gt;tblElements[[#This Row],[Due date]],"Overdue",IF(tblElements[[#This Row],[Due date]]-AsOf&lt;=DueSoonDays,"Due soon","OK"))))</f>
        <v>Complete</v>
      </c>
      <c r="M38" s="36">
        <f>IF(tblElements[[#This Row],[PPAP no.]]="","",IF(OR(DashCustomer="",tblElements[[#This Row],[Customer]]=DashCustomer),1,0))</f>
        <v>1</v>
      </c>
      <c r="N3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38" s="41" t="s">
        <v>169</v>
      </c>
    </row>
    <row r="39" spans="2:15">
      <c r="B39" s="28" t="s">
        <v>173</v>
      </c>
      <c r="C39" s="28" t="s">
        <v>126</v>
      </c>
      <c r="D39" s="28" t="s">
        <v>108</v>
      </c>
      <c r="E39" s="29">
        <v>46080</v>
      </c>
      <c r="F39" s="28" t="s">
        <v>151</v>
      </c>
      <c r="G39" s="29">
        <v>46083</v>
      </c>
      <c r="H39" s="42" t="str">
        <f>IF(tblElements[[#This Row],[PPAP no.]]="","",IFERROR(INDEX(tblPPAPs[Part number],MATCH(tblElements[[#This Row],[PPAP no.]],tblPPAPs[PPAP no.],0)),""))</f>
        <v>HS-4410</v>
      </c>
      <c r="I39" s="42" t="str">
        <f>IF(tblElements[[#This Row],[PPAP no.]]="","",IFERROR(INDEX(tblPPAPs[Customer],MATCH(tblElements[[#This Row],[PPAP no.]],tblPPAPs[PPAP no.],0)),""))</f>
        <v>Northline Motors (example)</v>
      </c>
      <c r="J39" s="36">
        <f>IF(tblElements[[#This Row],[PPAP no.]]="","",IFERROR(INDEX(tblPPAPs[Open],MATCH(tblElements[[#This Row],[PPAP no.]],tblPPAPs[PPAP no.],0)),""))</f>
        <v>0</v>
      </c>
      <c r="K39" s="43">
        <f>IF(tblElements[[#This Row],[PPAP no.]]="","",IF(tblElements[[#This Row],[Status]]="Complete","",tblElements[[#This Row],[Due date]]-AsOf))</f>
        <v/>
      </c>
      <c r="L39" s="39" t="str">
        <f>IF(tblElements[[#This Row],[PPAP no.]]="","",IF(tblElements[[#This Row],[Status]]="Complete","Complete",IF(AsOf&gt;tblElements[[#This Row],[Due date]],"Overdue",IF(tblElements[[#This Row],[Due date]]-AsOf&lt;=DueSoonDays,"Due soon","OK"))))</f>
        <v>Complete</v>
      </c>
      <c r="M39" s="36">
        <f>IF(tblElements[[#This Row],[PPAP no.]]="","",IF(OR(DashCustomer="",tblElements[[#This Row],[Customer]]=DashCustomer),1,0))</f>
        <v>1</v>
      </c>
      <c r="N3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39" s="41" t="s">
        <v>169</v>
      </c>
    </row>
    <row r="40" spans="2:15">
      <c r="B40" s="28" t="s">
        <v>173</v>
      </c>
      <c r="C40" s="28" t="s">
        <v>127</v>
      </c>
      <c r="D40" s="28" t="s">
        <v>108</v>
      </c>
      <c r="E40" s="29">
        <v>46094</v>
      </c>
      <c r="F40" s="28" t="s">
        <v>151</v>
      </c>
      <c r="G40" s="29">
        <v>46096</v>
      </c>
      <c r="H40" s="42" t="str">
        <f>IF(tblElements[[#This Row],[PPAP no.]]="","",IFERROR(INDEX(tblPPAPs[Part number],MATCH(tblElements[[#This Row],[PPAP no.]],tblPPAPs[PPAP no.],0)),""))</f>
        <v>HS-4410</v>
      </c>
      <c r="I40" s="42" t="str">
        <f>IF(tblElements[[#This Row],[PPAP no.]]="","",IFERROR(INDEX(tblPPAPs[Customer],MATCH(tblElements[[#This Row],[PPAP no.]],tblPPAPs[PPAP no.],0)),""))</f>
        <v>Northline Motors (example)</v>
      </c>
      <c r="J40" s="36">
        <f>IF(tblElements[[#This Row],[PPAP no.]]="","",IFERROR(INDEX(tblPPAPs[Open],MATCH(tblElements[[#This Row],[PPAP no.]],tblPPAPs[PPAP no.],0)),""))</f>
        <v>0</v>
      </c>
      <c r="K40" s="43">
        <f>IF(tblElements[[#This Row],[PPAP no.]]="","",IF(tblElements[[#This Row],[Status]]="Complete","",tblElements[[#This Row],[Due date]]-AsOf))</f>
        <v/>
      </c>
      <c r="L40" s="39" t="str">
        <f>IF(tblElements[[#This Row],[PPAP no.]]="","",IF(tblElements[[#This Row],[Status]]="Complete","Complete",IF(AsOf&gt;tblElements[[#This Row],[Due date]],"Overdue",IF(tblElements[[#This Row],[Due date]]-AsOf&lt;=DueSoonDays,"Due soon","OK"))))</f>
        <v>Complete</v>
      </c>
      <c r="M40" s="36">
        <f>IF(tblElements[[#This Row],[PPAP no.]]="","",IF(OR(DashCustomer="",tblElements[[#This Row],[Customer]]=DashCustomer),1,0))</f>
        <v>1</v>
      </c>
      <c r="N4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40" s="41" t="s">
        <v>169</v>
      </c>
    </row>
    <row r="41" spans="2:15">
      <c r="B41" s="28" t="s">
        <v>173</v>
      </c>
      <c r="C41" s="28" t="s">
        <v>128</v>
      </c>
      <c r="D41" s="28" t="s">
        <v>112</v>
      </c>
      <c r="E41" s="29">
        <v>46101</v>
      </c>
      <c r="F41" s="28" t="s">
        <v>151</v>
      </c>
      <c r="G41" s="29">
        <v>46099</v>
      </c>
      <c r="H41" s="42" t="str">
        <f>IF(tblElements[[#This Row],[PPAP no.]]="","",IFERROR(INDEX(tblPPAPs[Part number],MATCH(tblElements[[#This Row],[PPAP no.]],tblPPAPs[PPAP no.],0)),""))</f>
        <v>HS-4410</v>
      </c>
      <c r="I41" s="42" t="str">
        <f>IF(tblElements[[#This Row],[PPAP no.]]="","",IFERROR(INDEX(tblPPAPs[Customer],MATCH(tblElements[[#This Row],[PPAP no.]],tblPPAPs[PPAP no.],0)),""))</f>
        <v>Northline Motors (example)</v>
      </c>
      <c r="J41" s="36">
        <f>IF(tblElements[[#This Row],[PPAP no.]]="","",IFERROR(INDEX(tblPPAPs[Open],MATCH(tblElements[[#This Row],[PPAP no.]],tblPPAPs[PPAP no.],0)),""))</f>
        <v>0</v>
      </c>
      <c r="K41" s="43">
        <f>IF(tblElements[[#This Row],[PPAP no.]]="","",IF(tblElements[[#This Row],[Status]]="Complete","",tblElements[[#This Row],[Due date]]-AsOf))</f>
        <v/>
      </c>
      <c r="L41" s="39" t="str">
        <f>IF(tblElements[[#This Row],[PPAP no.]]="","",IF(tblElements[[#This Row],[Status]]="Complete","Complete",IF(AsOf&gt;tblElements[[#This Row],[Due date]],"Overdue",IF(tblElements[[#This Row],[Due date]]-AsOf&lt;=DueSoonDays,"Due soon","OK"))))</f>
        <v>Complete</v>
      </c>
      <c r="M41" s="36">
        <f>IF(tblElements[[#This Row],[PPAP no.]]="","",IF(OR(DashCustomer="",tblElements[[#This Row],[Customer]]=DashCustomer),1,0))</f>
        <v>1</v>
      </c>
      <c r="N41"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41" s="41" t="s">
        <v>169</v>
      </c>
    </row>
    <row r="42" spans="2:15">
      <c r="B42" s="28" t="s">
        <v>173</v>
      </c>
      <c r="C42" s="28" t="s">
        <v>136</v>
      </c>
      <c r="D42" s="28" t="s">
        <v>116</v>
      </c>
      <c r="E42" s="29">
        <v>46101</v>
      </c>
      <c r="F42" s="28" t="s">
        <v>151</v>
      </c>
      <c r="G42" s="29">
        <v>46105</v>
      </c>
      <c r="H42" s="42" t="str">
        <f>IF(tblElements[[#This Row],[PPAP no.]]="","",IFERROR(INDEX(tblPPAPs[Part number],MATCH(tblElements[[#This Row],[PPAP no.]],tblPPAPs[PPAP no.],0)),""))</f>
        <v>HS-4410</v>
      </c>
      <c r="I42" s="42" t="str">
        <f>IF(tblElements[[#This Row],[PPAP no.]]="","",IFERROR(INDEX(tblPPAPs[Customer],MATCH(tblElements[[#This Row],[PPAP no.]],tblPPAPs[PPAP no.],0)),""))</f>
        <v>Northline Motors (example)</v>
      </c>
      <c r="J42" s="36">
        <f>IF(tblElements[[#This Row],[PPAP no.]]="","",IFERROR(INDEX(tblPPAPs[Open],MATCH(tblElements[[#This Row],[PPAP no.]],tblPPAPs[PPAP no.],0)),""))</f>
        <v>0</v>
      </c>
      <c r="K42" s="43">
        <f>IF(tblElements[[#This Row],[PPAP no.]]="","",IF(tblElements[[#This Row],[Status]]="Complete","",tblElements[[#This Row],[Due date]]-AsOf))</f>
        <v/>
      </c>
      <c r="L42" s="39" t="str">
        <f>IF(tblElements[[#This Row],[PPAP no.]]="","",IF(tblElements[[#This Row],[Status]]="Complete","Complete",IF(AsOf&gt;tblElements[[#This Row],[Due date]],"Overdue",IF(tblElements[[#This Row],[Due date]]-AsOf&lt;=DueSoonDays,"Due soon","OK"))))</f>
        <v>Complete</v>
      </c>
      <c r="M42" s="36">
        <f>IF(tblElements[[#This Row],[PPAP no.]]="","",IF(OR(DashCustomer="",tblElements[[#This Row],[Customer]]=DashCustomer),1,0))</f>
        <v>1</v>
      </c>
      <c r="N42"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42" s="41" t="s">
        <v>169</v>
      </c>
    </row>
    <row r="43" spans="2:15">
      <c r="B43" s="28" t="s">
        <v>173</v>
      </c>
      <c r="C43" s="28" t="s">
        <v>129</v>
      </c>
      <c r="D43" s="28" t="s">
        <v>112</v>
      </c>
      <c r="E43" s="29">
        <v>46108</v>
      </c>
      <c r="F43" s="28" t="s">
        <v>151</v>
      </c>
      <c r="G43" s="29">
        <v>46107</v>
      </c>
      <c r="H43" s="42" t="str">
        <f>IF(tblElements[[#This Row],[PPAP no.]]="","",IFERROR(INDEX(tblPPAPs[Part number],MATCH(tblElements[[#This Row],[PPAP no.]],tblPPAPs[PPAP no.],0)),""))</f>
        <v>HS-4410</v>
      </c>
      <c r="I43" s="42" t="str">
        <f>IF(tblElements[[#This Row],[PPAP no.]]="","",IFERROR(INDEX(tblPPAPs[Customer],MATCH(tblElements[[#This Row],[PPAP no.]],tblPPAPs[PPAP no.],0)),""))</f>
        <v>Northline Motors (example)</v>
      </c>
      <c r="J43" s="36">
        <f>IF(tblElements[[#This Row],[PPAP no.]]="","",IFERROR(INDEX(tblPPAPs[Open],MATCH(tblElements[[#This Row],[PPAP no.]],tblPPAPs[PPAP no.],0)),""))</f>
        <v>0</v>
      </c>
      <c r="K43" s="43">
        <f>IF(tblElements[[#This Row],[PPAP no.]]="","",IF(tblElements[[#This Row],[Status]]="Complete","",tblElements[[#This Row],[Due date]]-AsOf))</f>
        <v/>
      </c>
      <c r="L43" s="39" t="str">
        <f>IF(tblElements[[#This Row],[PPAP no.]]="","",IF(tblElements[[#This Row],[Status]]="Complete","Complete",IF(AsOf&gt;tblElements[[#This Row],[Due date]],"Overdue",IF(tblElements[[#This Row],[Due date]]-AsOf&lt;=DueSoonDays,"Due soon","OK"))))</f>
        <v>Complete</v>
      </c>
      <c r="M43" s="36">
        <f>IF(tblElements[[#This Row],[PPAP no.]]="","",IF(OR(DashCustomer="",tblElements[[#This Row],[Customer]]=DashCustomer),1,0))</f>
        <v>1</v>
      </c>
      <c r="N43"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43" s="41" t="s">
        <v>169</v>
      </c>
    </row>
    <row r="44" spans="2:15">
      <c r="B44" s="28" t="s">
        <v>173</v>
      </c>
      <c r="C44" s="28" t="s">
        <v>130</v>
      </c>
      <c r="D44" s="28" t="s">
        <v>118</v>
      </c>
      <c r="E44" s="29">
        <v>46108</v>
      </c>
      <c r="F44" s="28" t="s">
        <v>151</v>
      </c>
      <c r="G44" s="29">
        <v>46110</v>
      </c>
      <c r="H44" s="42" t="str">
        <f>IF(tblElements[[#This Row],[PPAP no.]]="","",IFERROR(INDEX(tblPPAPs[Part number],MATCH(tblElements[[#This Row],[PPAP no.]],tblPPAPs[PPAP no.],0)),""))</f>
        <v>HS-4410</v>
      </c>
      <c r="I44" s="42" t="str">
        <f>IF(tblElements[[#This Row],[PPAP no.]]="","",IFERROR(INDEX(tblPPAPs[Customer],MATCH(tblElements[[#This Row],[PPAP no.]],tblPPAPs[PPAP no.],0)),""))</f>
        <v>Northline Motors (example)</v>
      </c>
      <c r="J44" s="36">
        <f>IF(tblElements[[#This Row],[PPAP no.]]="","",IFERROR(INDEX(tblPPAPs[Open],MATCH(tblElements[[#This Row],[PPAP no.]],tblPPAPs[PPAP no.],0)),""))</f>
        <v>0</v>
      </c>
      <c r="K44" s="43">
        <f>IF(tblElements[[#This Row],[PPAP no.]]="","",IF(tblElements[[#This Row],[Status]]="Complete","",tblElements[[#This Row],[Due date]]-AsOf))</f>
        <v/>
      </c>
      <c r="L44" s="39" t="str">
        <f>IF(tblElements[[#This Row],[PPAP no.]]="","",IF(tblElements[[#This Row],[Status]]="Complete","Complete",IF(AsOf&gt;tblElements[[#This Row],[Due date]],"Overdue",IF(tblElements[[#This Row],[Due date]]-AsOf&lt;=DueSoonDays,"Due soon","OK"))))</f>
        <v>Complete</v>
      </c>
      <c r="M44" s="36">
        <f>IF(tblElements[[#This Row],[PPAP no.]]="","",IF(OR(DashCustomer="",tblElements[[#This Row],[Customer]]=DashCustomer),1,0))</f>
        <v>1</v>
      </c>
      <c r="N44"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44" s="41" t="s">
        <v>169</v>
      </c>
    </row>
    <row r="45" spans="2:15">
      <c r="B45" s="28" t="s">
        <v>173</v>
      </c>
      <c r="C45" s="28" t="s">
        <v>132</v>
      </c>
      <c r="D45" s="28" t="s">
        <v>108</v>
      </c>
      <c r="E45" s="29">
        <v>46108</v>
      </c>
      <c r="F45" s="28" t="s">
        <v>151</v>
      </c>
      <c r="G45" s="29">
        <v>46109</v>
      </c>
      <c r="H45" s="42" t="str">
        <f>IF(tblElements[[#This Row],[PPAP no.]]="","",IFERROR(INDEX(tblPPAPs[Part number],MATCH(tblElements[[#This Row],[PPAP no.]],tblPPAPs[PPAP no.],0)),""))</f>
        <v>HS-4410</v>
      </c>
      <c r="I45" s="42" t="str">
        <f>IF(tblElements[[#This Row],[PPAP no.]]="","",IFERROR(INDEX(tblPPAPs[Customer],MATCH(tblElements[[#This Row],[PPAP no.]],tblPPAPs[PPAP no.],0)),""))</f>
        <v>Northline Motors (example)</v>
      </c>
      <c r="J45" s="36">
        <f>IF(tblElements[[#This Row],[PPAP no.]]="","",IFERROR(INDEX(tblPPAPs[Open],MATCH(tblElements[[#This Row],[PPAP no.]],tblPPAPs[PPAP no.],0)),""))</f>
        <v>0</v>
      </c>
      <c r="K45" s="43">
        <f>IF(tblElements[[#This Row],[PPAP no.]]="","",IF(tblElements[[#This Row],[Status]]="Complete","",tblElements[[#This Row],[Due date]]-AsOf))</f>
        <v/>
      </c>
      <c r="L45" s="39" t="str">
        <f>IF(tblElements[[#This Row],[PPAP no.]]="","",IF(tblElements[[#This Row],[Status]]="Complete","Complete",IF(AsOf&gt;tblElements[[#This Row],[Due date]],"Overdue",IF(tblElements[[#This Row],[Due date]]-AsOf&lt;=DueSoonDays,"Due soon","OK"))))</f>
        <v>Complete</v>
      </c>
      <c r="M45" s="36">
        <f>IF(tblElements[[#This Row],[PPAP no.]]="","",IF(OR(DashCustomer="",tblElements[[#This Row],[Customer]]=DashCustomer),1,0))</f>
        <v>1</v>
      </c>
      <c r="N45"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45" s="41" t="s">
        <v>169</v>
      </c>
    </row>
    <row r="46" spans="2:15">
      <c r="B46" s="28" t="s">
        <v>173</v>
      </c>
      <c r="C46" s="28" t="s">
        <v>131</v>
      </c>
      <c r="D46" s="28" t="s">
        <v>108</v>
      </c>
      <c r="E46" s="29">
        <v>46115</v>
      </c>
      <c r="F46" s="28" t="s">
        <v>151</v>
      </c>
      <c r="G46" s="29">
        <v>46114</v>
      </c>
      <c r="H46" s="42" t="str">
        <f>IF(tblElements[[#This Row],[PPAP no.]]="","",IFERROR(INDEX(tblPPAPs[Part number],MATCH(tblElements[[#This Row],[PPAP no.]],tblPPAPs[PPAP no.],0)),""))</f>
        <v>HS-4410</v>
      </c>
      <c r="I46" s="42" t="str">
        <f>IF(tblElements[[#This Row],[PPAP no.]]="","",IFERROR(INDEX(tblPPAPs[Customer],MATCH(tblElements[[#This Row],[PPAP no.]],tblPPAPs[PPAP no.],0)),""))</f>
        <v>Northline Motors (example)</v>
      </c>
      <c r="J46" s="36">
        <f>IF(tblElements[[#This Row],[PPAP no.]]="","",IFERROR(INDEX(tblPPAPs[Open],MATCH(tblElements[[#This Row],[PPAP no.]],tblPPAPs[PPAP no.],0)),""))</f>
        <v>0</v>
      </c>
      <c r="K46" s="43">
        <f>IF(tblElements[[#This Row],[PPAP no.]]="","",IF(tblElements[[#This Row],[Status]]="Complete","",tblElements[[#This Row],[Due date]]-AsOf))</f>
        <v/>
      </c>
      <c r="L46" s="39" t="str">
        <f>IF(tblElements[[#This Row],[PPAP no.]]="","",IF(tblElements[[#This Row],[Status]]="Complete","Complete",IF(AsOf&gt;tblElements[[#This Row],[Due date]],"Overdue",IF(tblElements[[#This Row],[Due date]]-AsOf&lt;=DueSoonDays,"Due soon","OK"))))</f>
        <v>Complete</v>
      </c>
      <c r="M46" s="36">
        <f>IF(tblElements[[#This Row],[PPAP no.]]="","",IF(OR(DashCustomer="",tblElements[[#This Row],[Customer]]=DashCustomer),1,0))</f>
        <v>1</v>
      </c>
      <c r="N4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46" s="41" t="s">
        <v>169</v>
      </c>
    </row>
    <row r="47" spans="2:15">
      <c r="B47" s="28" t="s">
        <v>173</v>
      </c>
      <c r="C47" s="28" t="s">
        <v>134</v>
      </c>
      <c r="D47" s="28" t="s">
        <v>114</v>
      </c>
      <c r="E47" s="29">
        <v>46122</v>
      </c>
      <c r="F47" s="28" t="s">
        <v>151</v>
      </c>
      <c r="G47" s="29">
        <v>46121</v>
      </c>
      <c r="H47" s="42" t="str">
        <f>IF(tblElements[[#This Row],[PPAP no.]]="","",IFERROR(INDEX(tblPPAPs[Part number],MATCH(tblElements[[#This Row],[PPAP no.]],tblPPAPs[PPAP no.],0)),""))</f>
        <v>HS-4410</v>
      </c>
      <c r="I47" s="42" t="str">
        <f>IF(tblElements[[#This Row],[PPAP no.]]="","",IFERROR(INDEX(tblPPAPs[Customer],MATCH(tblElements[[#This Row],[PPAP no.]],tblPPAPs[PPAP no.],0)),""))</f>
        <v>Northline Motors (example)</v>
      </c>
      <c r="J47" s="36">
        <f>IF(tblElements[[#This Row],[PPAP no.]]="","",IFERROR(INDEX(tblPPAPs[Open],MATCH(tblElements[[#This Row],[PPAP no.]],tblPPAPs[PPAP no.],0)),""))</f>
        <v>0</v>
      </c>
      <c r="K47" s="43">
        <f>IF(tblElements[[#This Row],[PPAP no.]]="","",IF(tblElements[[#This Row],[Status]]="Complete","",tblElements[[#This Row],[Due date]]-AsOf))</f>
        <v/>
      </c>
      <c r="L47" s="39" t="str">
        <f>IF(tblElements[[#This Row],[PPAP no.]]="","",IF(tblElements[[#This Row],[Status]]="Complete","Complete",IF(AsOf&gt;tblElements[[#This Row],[Due date]],"Overdue",IF(tblElements[[#This Row],[Due date]]-AsOf&lt;=DueSoonDays,"Due soon","OK"))))</f>
        <v>Complete</v>
      </c>
      <c r="M47" s="36">
        <f>IF(tblElements[[#This Row],[PPAP no.]]="","",IF(OR(DashCustomer="",tblElements[[#This Row],[Customer]]=DashCustomer),1,0))</f>
        <v>1</v>
      </c>
      <c r="N4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47" s="41" t="s">
        <v>169</v>
      </c>
    </row>
    <row r="48" spans="2:15">
      <c r="B48" s="28" t="s">
        <v>173</v>
      </c>
      <c r="C48" s="28" t="s">
        <v>135</v>
      </c>
      <c r="D48" s="28" t="s">
        <v>108</v>
      </c>
      <c r="E48" s="29">
        <v>46122</v>
      </c>
      <c r="F48" s="28" t="s">
        <v>151</v>
      </c>
      <c r="G48" s="29">
        <v>46119</v>
      </c>
      <c r="H48" s="42" t="str">
        <f>IF(tblElements[[#This Row],[PPAP no.]]="","",IFERROR(INDEX(tblPPAPs[Part number],MATCH(tblElements[[#This Row],[PPAP no.]],tblPPAPs[PPAP no.],0)),""))</f>
        <v>HS-4410</v>
      </c>
      <c r="I48" s="42" t="str">
        <f>IF(tblElements[[#This Row],[PPAP no.]]="","",IFERROR(INDEX(tblPPAPs[Customer],MATCH(tblElements[[#This Row],[PPAP no.]],tblPPAPs[PPAP no.],0)),""))</f>
        <v>Northline Motors (example)</v>
      </c>
      <c r="J48" s="36">
        <f>IF(tblElements[[#This Row],[PPAP no.]]="","",IFERROR(INDEX(tblPPAPs[Open],MATCH(tblElements[[#This Row],[PPAP no.]],tblPPAPs[PPAP no.],0)),""))</f>
        <v>0</v>
      </c>
      <c r="K48" s="43">
        <f>IF(tblElements[[#This Row],[PPAP no.]]="","",IF(tblElements[[#This Row],[Status]]="Complete","",tblElements[[#This Row],[Due date]]-AsOf))</f>
        <v/>
      </c>
      <c r="L48" s="39" t="str">
        <f>IF(tblElements[[#This Row],[PPAP no.]]="","",IF(tblElements[[#This Row],[Status]]="Complete","Complete",IF(AsOf&gt;tblElements[[#This Row],[Due date]],"Overdue",IF(tblElements[[#This Row],[Due date]]-AsOf&lt;=DueSoonDays,"Due soon","OK"))))</f>
        <v>Complete</v>
      </c>
      <c r="M48" s="36">
        <f>IF(tblElements[[#This Row],[PPAP no.]]="","",IF(OR(DashCustomer="",tblElements[[#This Row],[Customer]]=DashCustomer),1,0))</f>
        <v>1</v>
      </c>
      <c r="N4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48" s="41" t="s">
        <v>169</v>
      </c>
    </row>
    <row r="49" spans="2:15">
      <c r="B49" s="28" t="s">
        <v>173</v>
      </c>
      <c r="C49" s="28" t="s">
        <v>137</v>
      </c>
      <c r="D49" s="28" t="s">
        <v>108</v>
      </c>
      <c r="E49" s="29">
        <v>46126</v>
      </c>
      <c r="F49" s="28" t="s">
        <v>151</v>
      </c>
      <c r="G49" s="29">
        <v>46127</v>
      </c>
      <c r="H49" s="42" t="str">
        <f>IF(tblElements[[#This Row],[PPAP no.]]="","",IFERROR(INDEX(tblPPAPs[Part number],MATCH(tblElements[[#This Row],[PPAP no.]],tblPPAPs[PPAP no.],0)),""))</f>
        <v>HS-4410</v>
      </c>
      <c r="I49" s="42" t="str">
        <f>IF(tblElements[[#This Row],[PPAP no.]]="","",IFERROR(INDEX(tblPPAPs[Customer],MATCH(tblElements[[#This Row],[PPAP no.]],tblPPAPs[PPAP no.],0)),""))</f>
        <v>Northline Motors (example)</v>
      </c>
      <c r="J49" s="36">
        <f>IF(tblElements[[#This Row],[PPAP no.]]="","",IFERROR(INDEX(tblPPAPs[Open],MATCH(tblElements[[#This Row],[PPAP no.]],tblPPAPs[PPAP no.],0)),""))</f>
        <v>0</v>
      </c>
      <c r="K49" s="43">
        <f>IF(tblElements[[#This Row],[PPAP no.]]="","",IF(tblElements[[#This Row],[Status]]="Complete","",tblElements[[#This Row],[Due date]]-AsOf))</f>
        <v/>
      </c>
      <c r="L49" s="39" t="str">
        <f>IF(tblElements[[#This Row],[PPAP no.]]="","",IF(tblElements[[#This Row],[Status]]="Complete","Complete",IF(AsOf&gt;tblElements[[#This Row],[Due date]],"Overdue",IF(tblElements[[#This Row],[Due date]]-AsOf&lt;=DueSoonDays,"Due soon","OK"))))</f>
        <v>Complete</v>
      </c>
      <c r="M49" s="36">
        <f>IF(tblElements[[#This Row],[PPAP no.]]="","",IF(OR(DashCustomer="",tblElements[[#This Row],[Customer]]=DashCustomer),1,0))</f>
        <v>1</v>
      </c>
      <c r="N4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49" s="41" t="s">
        <v>169</v>
      </c>
    </row>
    <row r="50" spans="2:15">
      <c r="B50" s="28" t="s">
        <v>173</v>
      </c>
      <c r="C50" s="28" t="s">
        <v>138</v>
      </c>
      <c r="D50" s="28" t="s">
        <v>108</v>
      </c>
      <c r="E50" s="29">
        <v>46133</v>
      </c>
      <c r="F50" s="28" t="s">
        <v>151</v>
      </c>
      <c r="G50" s="29">
        <v>46133</v>
      </c>
      <c r="H50" s="42" t="str">
        <f>IF(tblElements[[#This Row],[PPAP no.]]="","",IFERROR(INDEX(tblPPAPs[Part number],MATCH(tblElements[[#This Row],[PPAP no.]],tblPPAPs[PPAP no.],0)),""))</f>
        <v>HS-4410</v>
      </c>
      <c r="I50" s="42" t="str">
        <f>IF(tblElements[[#This Row],[PPAP no.]]="","",IFERROR(INDEX(tblPPAPs[Customer],MATCH(tblElements[[#This Row],[PPAP no.]],tblPPAPs[PPAP no.],0)),""))</f>
        <v>Northline Motors (example)</v>
      </c>
      <c r="J50" s="36">
        <f>IF(tblElements[[#This Row],[PPAP no.]]="","",IFERROR(INDEX(tblPPAPs[Open],MATCH(tblElements[[#This Row],[PPAP no.]],tblPPAPs[PPAP no.],0)),""))</f>
        <v>0</v>
      </c>
      <c r="K50" s="43">
        <f>IF(tblElements[[#This Row],[PPAP no.]]="","",IF(tblElements[[#This Row],[Status]]="Complete","",tblElements[[#This Row],[Due date]]-AsOf))</f>
        <v/>
      </c>
      <c r="L50" s="39" t="str">
        <f>IF(tblElements[[#This Row],[PPAP no.]]="","",IF(tblElements[[#This Row],[Status]]="Complete","Complete",IF(AsOf&gt;tblElements[[#This Row],[Due date]],"Overdue",IF(tblElements[[#This Row],[Due date]]-AsOf&lt;=DueSoonDays,"Due soon","OK"))))</f>
        <v>Complete</v>
      </c>
      <c r="M50" s="36">
        <f>IF(tblElements[[#This Row],[PPAP no.]]="","",IF(OR(DashCustomer="",tblElements[[#This Row],[Customer]]=DashCustomer),1,0))</f>
        <v>1</v>
      </c>
      <c r="N5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50" s="41" t="s">
        <v>169</v>
      </c>
    </row>
    <row r="51" spans="2:15">
      <c r="B51" s="28" t="s">
        <v>178</v>
      </c>
      <c r="C51" s="28" t="s">
        <v>121</v>
      </c>
      <c r="D51" s="28" t="s">
        <v>110</v>
      </c>
      <c r="E51" s="29">
        <v>46087</v>
      </c>
      <c r="F51" s="28" t="s">
        <v>151</v>
      </c>
      <c r="G51" s="29">
        <v>46082</v>
      </c>
      <c r="H51" s="42" t="str">
        <f>IF(tblElements[[#This Row],[PPAP no.]]="","",IFERROR(INDEX(tblPPAPs[Part number],MATCH(tblElements[[#This Row],[PPAP no.]],tblPPAPs[PPAP no.],0)),""))</f>
        <v>CL-118</v>
      </c>
      <c r="I51" s="42" t="str">
        <f>IF(tblElements[[#This Row],[PPAP no.]]="","",IFERROR(INDEX(tblPPAPs[Customer],MATCH(tblElements[[#This Row],[PPAP no.]],tblPPAPs[PPAP no.],0)),""))</f>
        <v>Northline Motors (example)</v>
      </c>
      <c r="J51" s="36">
        <f>IF(tblElements[[#This Row],[PPAP no.]]="","",IFERROR(INDEX(tblPPAPs[Open],MATCH(tblElements[[#This Row],[PPAP no.]],tblPPAPs[PPAP no.],0)),""))</f>
        <v>0</v>
      </c>
      <c r="K51" s="43">
        <f>IF(tblElements[[#This Row],[PPAP no.]]="","",IF(tblElements[[#This Row],[Status]]="Complete","",tblElements[[#This Row],[Due date]]-AsOf))</f>
        <v/>
      </c>
      <c r="L51" s="39" t="str">
        <f>IF(tblElements[[#This Row],[PPAP no.]]="","",IF(tblElements[[#This Row],[Status]]="Complete","Complete",IF(AsOf&gt;tblElements[[#This Row],[Due date]],"Overdue",IF(tblElements[[#This Row],[Due date]]-AsOf&lt;=DueSoonDays,"Due soon","OK"))))</f>
        <v>Complete</v>
      </c>
      <c r="M51" s="36">
        <f>IF(tblElements[[#This Row],[PPAP no.]]="","",IF(OR(DashCustomer="",tblElements[[#This Row],[Customer]]=DashCustomer),1,0))</f>
        <v>1</v>
      </c>
      <c r="N51"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51" s="41" t="s">
        <v>169</v>
      </c>
    </row>
    <row r="52" spans="2:15">
      <c r="B52" s="28" t="s">
        <v>178</v>
      </c>
      <c r="C52" s="28" t="s">
        <v>122</v>
      </c>
      <c r="D52" s="28" t="s">
        <v>110</v>
      </c>
      <c r="E52" s="29">
        <v>46097</v>
      </c>
      <c r="F52" s="28" t="s">
        <v>151</v>
      </c>
      <c r="G52" s="29">
        <v>46094</v>
      </c>
      <c r="H52" s="42" t="str">
        <f>IF(tblElements[[#This Row],[PPAP no.]]="","",IFERROR(INDEX(tblPPAPs[Part number],MATCH(tblElements[[#This Row],[PPAP no.]],tblPPAPs[PPAP no.],0)),""))</f>
        <v>CL-118</v>
      </c>
      <c r="I52" s="42" t="str">
        <f>IF(tblElements[[#This Row],[PPAP no.]]="","",IFERROR(INDEX(tblPPAPs[Customer],MATCH(tblElements[[#This Row],[PPAP no.]],tblPPAPs[PPAP no.],0)),""))</f>
        <v>Northline Motors (example)</v>
      </c>
      <c r="J52" s="36">
        <f>IF(tblElements[[#This Row],[PPAP no.]]="","",IFERROR(INDEX(tblPPAPs[Open],MATCH(tblElements[[#This Row],[PPAP no.]],tblPPAPs[PPAP no.],0)),""))</f>
        <v>0</v>
      </c>
      <c r="K52" s="43">
        <f>IF(tblElements[[#This Row],[PPAP no.]]="","",IF(tblElements[[#This Row],[Status]]="Complete","",tblElements[[#This Row],[Due date]]-AsOf))</f>
        <v/>
      </c>
      <c r="L52" s="39" t="str">
        <f>IF(tblElements[[#This Row],[PPAP no.]]="","",IF(tblElements[[#This Row],[Status]]="Complete","Complete",IF(AsOf&gt;tblElements[[#This Row],[Due date]],"Overdue",IF(tblElements[[#This Row],[Due date]]-AsOf&lt;=DueSoonDays,"Due soon","OK"))))</f>
        <v>Complete</v>
      </c>
      <c r="M52" s="36">
        <f>IF(tblElements[[#This Row],[PPAP no.]]="","",IF(OR(DashCustomer="",tblElements[[#This Row],[Customer]]=DashCustomer),1,0))</f>
        <v>1</v>
      </c>
      <c r="N52"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52" s="41" t="s">
        <v>169</v>
      </c>
    </row>
    <row r="53" spans="2:15">
      <c r="B53" s="28" t="s">
        <v>178</v>
      </c>
      <c r="C53" s="28" t="s">
        <v>126</v>
      </c>
      <c r="D53" s="28" t="s">
        <v>108</v>
      </c>
      <c r="E53" s="29">
        <v>46101</v>
      </c>
      <c r="F53" s="28" t="s">
        <v>151</v>
      </c>
      <c r="G53" s="29">
        <v>46102</v>
      </c>
      <c r="H53" s="42" t="str">
        <f>IF(tblElements[[#This Row],[PPAP no.]]="","",IFERROR(INDEX(tblPPAPs[Part number],MATCH(tblElements[[#This Row],[PPAP no.]],tblPPAPs[PPAP no.],0)),""))</f>
        <v>CL-118</v>
      </c>
      <c r="I53" s="42" t="str">
        <f>IF(tblElements[[#This Row],[PPAP no.]]="","",IFERROR(INDEX(tblPPAPs[Customer],MATCH(tblElements[[#This Row],[PPAP no.]],tblPPAPs[PPAP no.],0)),""))</f>
        <v>Northline Motors (example)</v>
      </c>
      <c r="J53" s="36">
        <f>IF(tblElements[[#This Row],[PPAP no.]]="","",IFERROR(INDEX(tblPPAPs[Open],MATCH(tblElements[[#This Row],[PPAP no.]],tblPPAPs[PPAP no.],0)),""))</f>
        <v>0</v>
      </c>
      <c r="K53" s="43">
        <f>IF(tblElements[[#This Row],[PPAP no.]]="","",IF(tblElements[[#This Row],[Status]]="Complete","",tblElements[[#This Row],[Due date]]-AsOf))</f>
        <v/>
      </c>
      <c r="L53" s="39" t="str">
        <f>IF(tblElements[[#This Row],[PPAP no.]]="","",IF(tblElements[[#This Row],[Status]]="Complete","Complete",IF(AsOf&gt;tblElements[[#This Row],[Due date]],"Overdue",IF(tblElements[[#This Row],[Due date]]-AsOf&lt;=DueSoonDays,"Due soon","OK"))))</f>
        <v>Complete</v>
      </c>
      <c r="M53" s="36">
        <f>IF(tblElements[[#This Row],[PPAP no.]]="","",IF(OR(DashCustomer="",tblElements[[#This Row],[Customer]]=DashCustomer),1,0))</f>
        <v>1</v>
      </c>
      <c r="N53"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53" s="41" t="s">
        <v>169</v>
      </c>
    </row>
    <row r="54" spans="2:15">
      <c r="B54" s="28" t="s">
        <v>178</v>
      </c>
      <c r="C54" s="28" t="s">
        <v>127</v>
      </c>
      <c r="D54" s="28" t="s">
        <v>108</v>
      </c>
      <c r="E54" s="29">
        <v>46115</v>
      </c>
      <c r="F54" s="28" t="s">
        <v>151</v>
      </c>
      <c r="G54" s="29">
        <v>46117</v>
      </c>
      <c r="H54" s="42" t="str">
        <f>IF(tblElements[[#This Row],[PPAP no.]]="","",IFERROR(INDEX(tblPPAPs[Part number],MATCH(tblElements[[#This Row],[PPAP no.]],tblPPAPs[PPAP no.],0)),""))</f>
        <v>CL-118</v>
      </c>
      <c r="I54" s="42" t="str">
        <f>IF(tblElements[[#This Row],[PPAP no.]]="","",IFERROR(INDEX(tblPPAPs[Customer],MATCH(tblElements[[#This Row],[PPAP no.]],tblPPAPs[PPAP no.],0)),""))</f>
        <v>Northline Motors (example)</v>
      </c>
      <c r="J54" s="36">
        <f>IF(tblElements[[#This Row],[PPAP no.]]="","",IFERROR(INDEX(tblPPAPs[Open],MATCH(tblElements[[#This Row],[PPAP no.]],tblPPAPs[PPAP no.],0)),""))</f>
        <v>0</v>
      </c>
      <c r="K54" s="43">
        <f>IF(tblElements[[#This Row],[PPAP no.]]="","",IF(tblElements[[#This Row],[Status]]="Complete","",tblElements[[#This Row],[Due date]]-AsOf))</f>
        <v/>
      </c>
      <c r="L54" s="39" t="str">
        <f>IF(tblElements[[#This Row],[PPAP no.]]="","",IF(tblElements[[#This Row],[Status]]="Complete","Complete",IF(AsOf&gt;tblElements[[#This Row],[Due date]],"Overdue",IF(tblElements[[#This Row],[Due date]]-AsOf&lt;=DueSoonDays,"Due soon","OK"))))</f>
        <v>Complete</v>
      </c>
      <c r="M54" s="36">
        <f>IF(tblElements[[#This Row],[PPAP no.]]="","",IF(OR(DashCustomer="",tblElements[[#This Row],[Customer]]=DashCustomer),1,0))</f>
        <v>1</v>
      </c>
      <c r="N54"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54" s="41" t="s">
        <v>169</v>
      </c>
    </row>
    <row r="55" spans="2:15">
      <c r="B55" s="28" t="s">
        <v>178</v>
      </c>
      <c r="C55" s="28" t="s">
        <v>129</v>
      </c>
      <c r="D55" s="28" t="s">
        <v>112</v>
      </c>
      <c r="E55" s="29">
        <v>46129</v>
      </c>
      <c r="F55" s="28" t="s">
        <v>151</v>
      </c>
      <c r="G55" s="29">
        <v>46132</v>
      </c>
      <c r="H55" s="42" t="str">
        <f>IF(tblElements[[#This Row],[PPAP no.]]="","",IFERROR(INDEX(tblPPAPs[Part number],MATCH(tblElements[[#This Row],[PPAP no.]],tblPPAPs[PPAP no.],0)),""))</f>
        <v>CL-118</v>
      </c>
      <c r="I55" s="42" t="str">
        <f>IF(tblElements[[#This Row],[PPAP no.]]="","",IFERROR(INDEX(tblPPAPs[Customer],MATCH(tblElements[[#This Row],[PPAP no.]],tblPPAPs[PPAP no.],0)),""))</f>
        <v>Northline Motors (example)</v>
      </c>
      <c r="J55" s="36">
        <f>IF(tblElements[[#This Row],[PPAP no.]]="","",IFERROR(INDEX(tblPPAPs[Open],MATCH(tblElements[[#This Row],[PPAP no.]],tblPPAPs[PPAP no.],0)),""))</f>
        <v>0</v>
      </c>
      <c r="K55" s="43">
        <f>IF(tblElements[[#This Row],[PPAP no.]]="","",IF(tblElements[[#This Row],[Status]]="Complete","",tblElements[[#This Row],[Due date]]-AsOf))</f>
        <v/>
      </c>
      <c r="L55" s="39" t="str">
        <f>IF(tblElements[[#This Row],[PPAP no.]]="","",IF(tblElements[[#This Row],[Status]]="Complete","Complete",IF(AsOf&gt;tblElements[[#This Row],[Due date]],"Overdue",IF(tblElements[[#This Row],[Due date]]-AsOf&lt;=DueSoonDays,"Due soon","OK"))))</f>
        <v>Complete</v>
      </c>
      <c r="M55" s="36">
        <f>IF(tblElements[[#This Row],[PPAP no.]]="","",IF(OR(DashCustomer="",tblElements[[#This Row],[Customer]]=DashCustomer),1,0))</f>
        <v>1</v>
      </c>
      <c r="N55"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55" s="41" t="s">
        <v>169</v>
      </c>
    </row>
    <row r="56" spans="2:15">
      <c r="B56" s="28" t="s">
        <v>178</v>
      </c>
      <c r="C56" s="28" t="s">
        <v>130</v>
      </c>
      <c r="D56" s="28" t="s">
        <v>118</v>
      </c>
      <c r="E56" s="29">
        <v>46129</v>
      </c>
      <c r="F56" s="28" t="s">
        <v>151</v>
      </c>
      <c r="G56" s="29">
        <v>46133</v>
      </c>
      <c r="H56" s="42" t="str">
        <f>IF(tblElements[[#This Row],[PPAP no.]]="","",IFERROR(INDEX(tblPPAPs[Part number],MATCH(tblElements[[#This Row],[PPAP no.]],tblPPAPs[PPAP no.],0)),""))</f>
        <v>CL-118</v>
      </c>
      <c r="I56" s="42" t="str">
        <f>IF(tblElements[[#This Row],[PPAP no.]]="","",IFERROR(INDEX(tblPPAPs[Customer],MATCH(tblElements[[#This Row],[PPAP no.]],tblPPAPs[PPAP no.],0)),""))</f>
        <v>Northline Motors (example)</v>
      </c>
      <c r="J56" s="36">
        <f>IF(tblElements[[#This Row],[PPAP no.]]="","",IFERROR(INDEX(tblPPAPs[Open],MATCH(tblElements[[#This Row],[PPAP no.]],tblPPAPs[PPAP no.],0)),""))</f>
        <v>0</v>
      </c>
      <c r="K56" s="43">
        <f>IF(tblElements[[#This Row],[PPAP no.]]="","",IF(tblElements[[#This Row],[Status]]="Complete","",tblElements[[#This Row],[Due date]]-AsOf))</f>
        <v/>
      </c>
      <c r="L56" s="39" t="str">
        <f>IF(tblElements[[#This Row],[PPAP no.]]="","",IF(tblElements[[#This Row],[Status]]="Complete","Complete",IF(AsOf&gt;tblElements[[#This Row],[Due date]],"Overdue",IF(tblElements[[#This Row],[Due date]]-AsOf&lt;=DueSoonDays,"Due soon","OK"))))</f>
        <v>Complete</v>
      </c>
      <c r="M56" s="36">
        <f>IF(tblElements[[#This Row],[PPAP no.]]="","",IF(OR(DashCustomer="",tblElements[[#This Row],[Customer]]=DashCustomer),1,0))</f>
        <v>1</v>
      </c>
      <c r="N5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56" s="41" t="s">
        <v>169</v>
      </c>
    </row>
    <row r="57" spans="2:15">
      <c r="B57" s="28" t="s">
        <v>178</v>
      </c>
      <c r="C57" s="28" t="s">
        <v>134</v>
      </c>
      <c r="D57" s="28" t="s">
        <v>114</v>
      </c>
      <c r="E57" s="29">
        <v>46143</v>
      </c>
      <c r="F57" s="28" t="s">
        <v>151</v>
      </c>
      <c r="G57" s="29">
        <v>46142</v>
      </c>
      <c r="H57" s="42" t="str">
        <f>IF(tblElements[[#This Row],[PPAP no.]]="","",IFERROR(INDEX(tblPPAPs[Part number],MATCH(tblElements[[#This Row],[PPAP no.]],tblPPAPs[PPAP no.],0)),""))</f>
        <v>CL-118</v>
      </c>
      <c r="I57" s="42" t="str">
        <f>IF(tblElements[[#This Row],[PPAP no.]]="","",IFERROR(INDEX(tblPPAPs[Customer],MATCH(tblElements[[#This Row],[PPAP no.]],tblPPAPs[PPAP no.],0)),""))</f>
        <v>Northline Motors (example)</v>
      </c>
      <c r="J57" s="36">
        <f>IF(tblElements[[#This Row],[PPAP no.]]="","",IFERROR(INDEX(tblPPAPs[Open],MATCH(tblElements[[#This Row],[PPAP no.]],tblPPAPs[PPAP no.],0)),""))</f>
        <v>0</v>
      </c>
      <c r="K57" s="43">
        <f>IF(tblElements[[#This Row],[PPAP no.]]="","",IF(tblElements[[#This Row],[Status]]="Complete","",tblElements[[#This Row],[Due date]]-AsOf))</f>
        <v/>
      </c>
      <c r="L57" s="39" t="str">
        <f>IF(tblElements[[#This Row],[PPAP no.]]="","",IF(tblElements[[#This Row],[Status]]="Complete","Complete",IF(AsOf&gt;tblElements[[#This Row],[Due date]],"Overdue",IF(tblElements[[#This Row],[Due date]]-AsOf&lt;=DueSoonDays,"Due soon","OK"))))</f>
        <v>Complete</v>
      </c>
      <c r="M57" s="36">
        <f>IF(tblElements[[#This Row],[PPAP no.]]="","",IF(OR(DashCustomer="",tblElements[[#This Row],[Customer]]=DashCustomer),1,0))</f>
        <v>1</v>
      </c>
      <c r="N5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57" s="41" t="s">
        <v>169</v>
      </c>
    </row>
    <row r="58" spans="2:15">
      <c r="B58" s="28" t="s">
        <v>178</v>
      </c>
      <c r="C58" s="28" t="s">
        <v>137</v>
      </c>
      <c r="D58" s="28" t="s">
        <v>108</v>
      </c>
      <c r="E58" s="29">
        <v>46147</v>
      </c>
      <c r="F58" s="28" t="s">
        <v>151</v>
      </c>
      <c r="G58" s="29">
        <v>46147</v>
      </c>
      <c r="H58" s="42" t="str">
        <f>IF(tblElements[[#This Row],[PPAP no.]]="","",IFERROR(INDEX(tblPPAPs[Part number],MATCH(tblElements[[#This Row],[PPAP no.]],tblPPAPs[PPAP no.],0)),""))</f>
        <v>CL-118</v>
      </c>
      <c r="I58" s="42" t="str">
        <f>IF(tblElements[[#This Row],[PPAP no.]]="","",IFERROR(INDEX(tblPPAPs[Customer],MATCH(tblElements[[#This Row],[PPAP no.]],tblPPAPs[PPAP no.],0)),""))</f>
        <v>Northline Motors (example)</v>
      </c>
      <c r="J58" s="36">
        <f>IF(tblElements[[#This Row],[PPAP no.]]="","",IFERROR(INDEX(tblPPAPs[Open],MATCH(tblElements[[#This Row],[PPAP no.]],tblPPAPs[PPAP no.],0)),""))</f>
        <v>0</v>
      </c>
      <c r="K58" s="43">
        <f>IF(tblElements[[#This Row],[PPAP no.]]="","",IF(tblElements[[#This Row],[Status]]="Complete","",tblElements[[#This Row],[Due date]]-AsOf))</f>
        <v/>
      </c>
      <c r="L58" s="39" t="str">
        <f>IF(tblElements[[#This Row],[PPAP no.]]="","",IF(tblElements[[#This Row],[Status]]="Complete","Complete",IF(AsOf&gt;tblElements[[#This Row],[Due date]],"Overdue",IF(tblElements[[#This Row],[Due date]]-AsOf&lt;=DueSoonDays,"Due soon","OK"))))</f>
        <v>Complete</v>
      </c>
      <c r="M58" s="36">
        <f>IF(tblElements[[#This Row],[PPAP no.]]="","",IF(OR(DashCustomer="",tblElements[[#This Row],[Customer]]=DashCustomer),1,0))</f>
        <v>1</v>
      </c>
      <c r="N5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58" s="41" t="s">
        <v>169</v>
      </c>
    </row>
    <row r="59" spans="2:15">
      <c r="B59" s="28" t="s">
        <v>178</v>
      </c>
      <c r="C59" s="28" t="s">
        <v>138</v>
      </c>
      <c r="D59" s="28" t="s">
        <v>108</v>
      </c>
      <c r="E59" s="29">
        <v>46154</v>
      </c>
      <c r="F59" s="28" t="s">
        <v>151</v>
      </c>
      <c r="G59" s="29">
        <v>46156</v>
      </c>
      <c r="H59" s="42" t="str">
        <f>IF(tblElements[[#This Row],[PPAP no.]]="","",IFERROR(INDEX(tblPPAPs[Part number],MATCH(tblElements[[#This Row],[PPAP no.]],tblPPAPs[PPAP no.],0)),""))</f>
        <v>CL-118</v>
      </c>
      <c r="I59" s="42" t="str">
        <f>IF(tblElements[[#This Row],[PPAP no.]]="","",IFERROR(INDEX(tblPPAPs[Customer],MATCH(tblElements[[#This Row],[PPAP no.]],tblPPAPs[PPAP no.],0)),""))</f>
        <v>Northline Motors (example)</v>
      </c>
      <c r="J59" s="36">
        <f>IF(tblElements[[#This Row],[PPAP no.]]="","",IFERROR(INDEX(tblPPAPs[Open],MATCH(tblElements[[#This Row],[PPAP no.]],tblPPAPs[PPAP no.],0)),""))</f>
        <v>0</v>
      </c>
      <c r="K59" s="43">
        <f>IF(tblElements[[#This Row],[PPAP no.]]="","",IF(tblElements[[#This Row],[Status]]="Complete","",tblElements[[#This Row],[Due date]]-AsOf))</f>
        <v/>
      </c>
      <c r="L59" s="39" t="str">
        <f>IF(tblElements[[#This Row],[PPAP no.]]="","",IF(tblElements[[#This Row],[Status]]="Complete","Complete",IF(AsOf&gt;tblElements[[#This Row],[Due date]],"Overdue",IF(tblElements[[#This Row],[Due date]]-AsOf&lt;=DueSoonDays,"Due soon","OK"))))</f>
        <v>Complete</v>
      </c>
      <c r="M59" s="36">
        <f>IF(tblElements[[#This Row],[PPAP no.]]="","",IF(OR(DashCustomer="",tblElements[[#This Row],[Customer]]=DashCustomer),1,0))</f>
        <v>1</v>
      </c>
      <c r="N5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59" s="41" t="s">
        <v>169</v>
      </c>
    </row>
    <row r="60" spans="2:15">
      <c r="B60" s="28" t="s">
        <v>181</v>
      </c>
      <c r="C60" s="28" t="s">
        <v>125</v>
      </c>
      <c r="D60" s="28" t="s">
        <v>110</v>
      </c>
      <c r="E60" s="29">
        <v>46129</v>
      </c>
      <c r="F60" s="28" t="s">
        <v>151</v>
      </c>
      <c r="G60" s="29">
        <v>46129</v>
      </c>
      <c r="H60" s="42" t="str">
        <f>IF(tblElements[[#This Row],[PPAP no.]]="","",IFERROR(INDEX(tblPPAPs[Part number],MATCH(tblElements[[#This Row],[PPAP no.]],tblPPAPs[PPAP no.],0)),""))</f>
        <v>AX-3021</v>
      </c>
      <c r="I60" s="42" t="str">
        <f>IF(tblElements[[#This Row],[PPAP no.]]="","",IFERROR(INDEX(tblPPAPs[Customer],MATCH(tblElements[[#This Row],[PPAP no.]],tblPPAPs[PPAP no.],0)),""))</f>
        <v>Brightway Axles (example)</v>
      </c>
      <c r="J60" s="36">
        <f>IF(tblElements[[#This Row],[PPAP no.]]="","",IFERROR(INDEX(tblPPAPs[Open],MATCH(tblElements[[#This Row],[PPAP no.]],tblPPAPs[PPAP no.],0)),""))</f>
        <v>0</v>
      </c>
      <c r="K60" s="43">
        <f>IF(tblElements[[#This Row],[PPAP no.]]="","",IF(tblElements[[#This Row],[Status]]="Complete","",tblElements[[#This Row],[Due date]]-AsOf))</f>
        <v/>
      </c>
      <c r="L60" s="39" t="str">
        <f>IF(tblElements[[#This Row],[PPAP no.]]="","",IF(tblElements[[#This Row],[Status]]="Complete","Complete",IF(AsOf&gt;tblElements[[#This Row],[Due date]],"Overdue",IF(tblElements[[#This Row],[Due date]]-AsOf&lt;=DueSoonDays,"Due soon","OK"))))</f>
        <v>Complete</v>
      </c>
      <c r="M60" s="36">
        <f>IF(tblElements[[#This Row],[PPAP no.]]="","",IF(OR(DashCustomer="",tblElements[[#This Row],[Customer]]=DashCustomer),1,0))</f>
        <v>1</v>
      </c>
      <c r="N6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60" s="41" t="s">
        <v>169</v>
      </c>
    </row>
    <row r="61" spans="2:15">
      <c r="B61" s="28" t="s">
        <v>181</v>
      </c>
      <c r="C61" s="28" t="s">
        <v>126</v>
      </c>
      <c r="D61" s="28" t="s">
        <v>108</v>
      </c>
      <c r="E61" s="29">
        <v>46136</v>
      </c>
      <c r="F61" s="28" t="s">
        <v>151</v>
      </c>
      <c r="G61" s="29">
        <v>46140</v>
      </c>
      <c r="H61" s="42" t="str">
        <f>IF(tblElements[[#This Row],[PPAP no.]]="","",IFERROR(INDEX(tblPPAPs[Part number],MATCH(tblElements[[#This Row],[PPAP no.]],tblPPAPs[PPAP no.],0)),""))</f>
        <v>AX-3021</v>
      </c>
      <c r="I61" s="42" t="str">
        <f>IF(tblElements[[#This Row],[PPAP no.]]="","",IFERROR(INDEX(tblPPAPs[Customer],MATCH(tblElements[[#This Row],[PPAP no.]],tblPPAPs[PPAP no.],0)),""))</f>
        <v>Brightway Axles (example)</v>
      </c>
      <c r="J61" s="36">
        <f>IF(tblElements[[#This Row],[PPAP no.]]="","",IFERROR(INDEX(tblPPAPs[Open],MATCH(tblElements[[#This Row],[PPAP no.]],tblPPAPs[PPAP no.],0)),""))</f>
        <v>0</v>
      </c>
      <c r="K61" s="43">
        <f>IF(tblElements[[#This Row],[PPAP no.]]="","",IF(tblElements[[#This Row],[Status]]="Complete","",tblElements[[#This Row],[Due date]]-AsOf))</f>
        <v/>
      </c>
      <c r="L61" s="39" t="str">
        <f>IF(tblElements[[#This Row],[PPAP no.]]="","",IF(tblElements[[#This Row],[Status]]="Complete","Complete",IF(AsOf&gt;tblElements[[#This Row],[Due date]],"Overdue",IF(tblElements[[#This Row],[Due date]]-AsOf&lt;=DueSoonDays,"Due soon","OK"))))</f>
        <v>Complete</v>
      </c>
      <c r="M61" s="36">
        <f>IF(tblElements[[#This Row],[PPAP no.]]="","",IF(OR(DashCustomer="",tblElements[[#This Row],[Customer]]=DashCustomer),1,0))</f>
        <v>1</v>
      </c>
      <c r="N61"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61" s="41" t="s">
        <v>169</v>
      </c>
    </row>
    <row r="62" spans="2:15">
      <c r="B62" s="28" t="s">
        <v>181</v>
      </c>
      <c r="C62" s="28" t="s">
        <v>127</v>
      </c>
      <c r="D62" s="28" t="s">
        <v>108</v>
      </c>
      <c r="E62" s="29">
        <v>46150</v>
      </c>
      <c r="F62" s="28" t="s">
        <v>151</v>
      </c>
      <c r="G62" s="29">
        <v>46145</v>
      </c>
      <c r="H62" s="42" t="str">
        <f>IF(tblElements[[#This Row],[PPAP no.]]="","",IFERROR(INDEX(tblPPAPs[Part number],MATCH(tblElements[[#This Row],[PPAP no.]],tblPPAPs[PPAP no.],0)),""))</f>
        <v>AX-3021</v>
      </c>
      <c r="I62" s="42" t="str">
        <f>IF(tblElements[[#This Row],[PPAP no.]]="","",IFERROR(INDEX(tblPPAPs[Customer],MATCH(tblElements[[#This Row],[PPAP no.]],tblPPAPs[PPAP no.],0)),""))</f>
        <v>Brightway Axles (example)</v>
      </c>
      <c r="J62" s="36">
        <f>IF(tblElements[[#This Row],[PPAP no.]]="","",IFERROR(INDEX(tblPPAPs[Open],MATCH(tblElements[[#This Row],[PPAP no.]],tblPPAPs[PPAP no.],0)),""))</f>
        <v>0</v>
      </c>
      <c r="K62" s="43">
        <f>IF(tblElements[[#This Row],[PPAP no.]]="","",IF(tblElements[[#This Row],[Status]]="Complete","",tblElements[[#This Row],[Due date]]-AsOf))</f>
        <v/>
      </c>
      <c r="L62" s="39" t="str">
        <f>IF(tblElements[[#This Row],[PPAP no.]]="","",IF(tblElements[[#This Row],[Status]]="Complete","Complete",IF(AsOf&gt;tblElements[[#This Row],[Due date]],"Overdue",IF(tblElements[[#This Row],[Due date]]-AsOf&lt;=DueSoonDays,"Due soon","OK"))))</f>
        <v>Complete</v>
      </c>
      <c r="M62" s="36">
        <f>IF(tblElements[[#This Row],[PPAP no.]]="","",IF(OR(DashCustomer="",tblElements[[#This Row],[Customer]]=DashCustomer),1,0))</f>
        <v>1</v>
      </c>
      <c r="N62"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62" s="41" t="s">
        <v>169</v>
      </c>
    </row>
    <row r="63" spans="2:15">
      <c r="B63" s="28" t="s">
        <v>181</v>
      </c>
      <c r="C63" s="28" t="s">
        <v>128</v>
      </c>
      <c r="D63" s="28" t="s">
        <v>112</v>
      </c>
      <c r="E63" s="29">
        <v>46157</v>
      </c>
      <c r="F63" s="28" t="s">
        <v>151</v>
      </c>
      <c r="G63" s="29">
        <v>46157</v>
      </c>
      <c r="H63" s="42" t="str">
        <f>IF(tblElements[[#This Row],[PPAP no.]]="","",IFERROR(INDEX(tblPPAPs[Part number],MATCH(tblElements[[#This Row],[PPAP no.]],tblPPAPs[PPAP no.],0)),""))</f>
        <v>AX-3021</v>
      </c>
      <c r="I63" s="42" t="str">
        <f>IF(tblElements[[#This Row],[PPAP no.]]="","",IFERROR(INDEX(tblPPAPs[Customer],MATCH(tblElements[[#This Row],[PPAP no.]],tblPPAPs[PPAP no.],0)),""))</f>
        <v>Brightway Axles (example)</v>
      </c>
      <c r="J63" s="36">
        <f>IF(tblElements[[#This Row],[PPAP no.]]="","",IFERROR(INDEX(tblPPAPs[Open],MATCH(tblElements[[#This Row],[PPAP no.]],tblPPAPs[PPAP no.],0)),""))</f>
        <v>0</v>
      </c>
      <c r="K63" s="43">
        <f>IF(tblElements[[#This Row],[PPAP no.]]="","",IF(tblElements[[#This Row],[Status]]="Complete","",tblElements[[#This Row],[Due date]]-AsOf))</f>
        <v/>
      </c>
      <c r="L63" s="39" t="str">
        <f>IF(tblElements[[#This Row],[PPAP no.]]="","",IF(tblElements[[#This Row],[Status]]="Complete","Complete",IF(AsOf&gt;tblElements[[#This Row],[Due date]],"Overdue",IF(tblElements[[#This Row],[Due date]]-AsOf&lt;=DueSoonDays,"Due soon","OK"))))</f>
        <v>Complete</v>
      </c>
      <c r="M63" s="36">
        <f>IF(tblElements[[#This Row],[PPAP no.]]="","",IF(OR(DashCustomer="",tblElements[[#This Row],[Customer]]=DashCustomer),1,0))</f>
        <v>1</v>
      </c>
      <c r="N63"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63" s="41" t="s">
        <v>169</v>
      </c>
    </row>
    <row r="64" spans="2:15">
      <c r="B64" s="28" t="s">
        <v>181</v>
      </c>
      <c r="C64" s="28" t="s">
        <v>136</v>
      </c>
      <c r="D64" s="28" t="s">
        <v>116</v>
      </c>
      <c r="E64" s="29">
        <v>46157</v>
      </c>
      <c r="F64" s="28" t="s">
        <v>151</v>
      </c>
      <c r="G64" s="29">
        <v>46152</v>
      </c>
      <c r="H64" s="42" t="str">
        <f>IF(tblElements[[#This Row],[PPAP no.]]="","",IFERROR(INDEX(tblPPAPs[Part number],MATCH(tblElements[[#This Row],[PPAP no.]],tblPPAPs[PPAP no.],0)),""))</f>
        <v>AX-3021</v>
      </c>
      <c r="I64" s="42" t="str">
        <f>IF(tblElements[[#This Row],[PPAP no.]]="","",IFERROR(INDEX(tblPPAPs[Customer],MATCH(tblElements[[#This Row],[PPAP no.]],tblPPAPs[PPAP no.],0)),""))</f>
        <v>Brightway Axles (example)</v>
      </c>
      <c r="J64" s="36">
        <f>IF(tblElements[[#This Row],[PPAP no.]]="","",IFERROR(INDEX(tblPPAPs[Open],MATCH(tblElements[[#This Row],[PPAP no.]],tblPPAPs[PPAP no.],0)),""))</f>
        <v>0</v>
      </c>
      <c r="K64" s="43">
        <f>IF(tblElements[[#This Row],[PPAP no.]]="","",IF(tblElements[[#This Row],[Status]]="Complete","",tblElements[[#This Row],[Due date]]-AsOf))</f>
        <v/>
      </c>
      <c r="L64" s="39" t="str">
        <f>IF(tblElements[[#This Row],[PPAP no.]]="","",IF(tblElements[[#This Row],[Status]]="Complete","Complete",IF(AsOf&gt;tblElements[[#This Row],[Due date]],"Overdue",IF(tblElements[[#This Row],[Due date]]-AsOf&lt;=DueSoonDays,"Due soon","OK"))))</f>
        <v>Complete</v>
      </c>
      <c r="M64" s="36">
        <f>IF(tblElements[[#This Row],[PPAP no.]]="","",IF(OR(DashCustomer="",tblElements[[#This Row],[Customer]]=DashCustomer),1,0))</f>
        <v>1</v>
      </c>
      <c r="N64"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64" s="41" t="s">
        <v>169</v>
      </c>
    </row>
    <row r="65" spans="2:15">
      <c r="B65" s="28" t="s">
        <v>181</v>
      </c>
      <c r="C65" s="28" t="s">
        <v>129</v>
      </c>
      <c r="D65" s="28" t="s">
        <v>112</v>
      </c>
      <c r="E65" s="29">
        <v>46164</v>
      </c>
      <c r="F65" s="28" t="s">
        <v>151</v>
      </c>
      <c r="G65" s="29">
        <v>46159</v>
      </c>
      <c r="H65" s="42" t="str">
        <f>IF(tblElements[[#This Row],[PPAP no.]]="","",IFERROR(INDEX(tblPPAPs[Part number],MATCH(tblElements[[#This Row],[PPAP no.]],tblPPAPs[PPAP no.],0)),""))</f>
        <v>AX-3021</v>
      </c>
      <c r="I65" s="42" t="str">
        <f>IF(tblElements[[#This Row],[PPAP no.]]="","",IFERROR(INDEX(tblPPAPs[Customer],MATCH(tblElements[[#This Row],[PPAP no.]],tblPPAPs[PPAP no.],0)),""))</f>
        <v>Brightway Axles (example)</v>
      </c>
      <c r="J65" s="36">
        <f>IF(tblElements[[#This Row],[PPAP no.]]="","",IFERROR(INDEX(tblPPAPs[Open],MATCH(tblElements[[#This Row],[PPAP no.]],tblPPAPs[PPAP no.],0)),""))</f>
        <v>0</v>
      </c>
      <c r="K65" s="43">
        <f>IF(tblElements[[#This Row],[PPAP no.]]="","",IF(tblElements[[#This Row],[Status]]="Complete","",tblElements[[#This Row],[Due date]]-AsOf))</f>
        <v/>
      </c>
      <c r="L65" s="39" t="str">
        <f>IF(tblElements[[#This Row],[PPAP no.]]="","",IF(tblElements[[#This Row],[Status]]="Complete","Complete",IF(AsOf&gt;tblElements[[#This Row],[Due date]],"Overdue",IF(tblElements[[#This Row],[Due date]]-AsOf&lt;=DueSoonDays,"Due soon","OK"))))</f>
        <v>Complete</v>
      </c>
      <c r="M65" s="36">
        <f>IF(tblElements[[#This Row],[PPAP no.]]="","",IF(OR(DashCustomer="",tblElements[[#This Row],[Customer]]=DashCustomer),1,0))</f>
        <v>1</v>
      </c>
      <c r="N65"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65" s="41" t="s">
        <v>169</v>
      </c>
    </row>
    <row r="66" spans="2:15">
      <c r="B66" s="28" t="s">
        <v>181</v>
      </c>
      <c r="C66" s="28" t="s">
        <v>131</v>
      </c>
      <c r="D66" s="28" t="s">
        <v>108</v>
      </c>
      <c r="E66" s="29">
        <v>46171</v>
      </c>
      <c r="F66" s="28" t="s">
        <v>151</v>
      </c>
      <c r="G66" s="29">
        <v>46171</v>
      </c>
      <c r="H66" s="42" t="str">
        <f>IF(tblElements[[#This Row],[PPAP no.]]="","",IFERROR(INDEX(tblPPAPs[Part number],MATCH(tblElements[[#This Row],[PPAP no.]],tblPPAPs[PPAP no.],0)),""))</f>
        <v>AX-3021</v>
      </c>
      <c r="I66" s="42" t="str">
        <f>IF(tblElements[[#This Row],[PPAP no.]]="","",IFERROR(INDEX(tblPPAPs[Customer],MATCH(tblElements[[#This Row],[PPAP no.]],tblPPAPs[PPAP no.],0)),""))</f>
        <v>Brightway Axles (example)</v>
      </c>
      <c r="J66" s="36">
        <f>IF(tblElements[[#This Row],[PPAP no.]]="","",IFERROR(INDEX(tblPPAPs[Open],MATCH(tblElements[[#This Row],[PPAP no.]],tblPPAPs[PPAP no.],0)),""))</f>
        <v>0</v>
      </c>
      <c r="K66" s="43">
        <f>IF(tblElements[[#This Row],[PPAP no.]]="","",IF(tblElements[[#This Row],[Status]]="Complete","",tblElements[[#This Row],[Due date]]-AsOf))</f>
        <v/>
      </c>
      <c r="L66" s="39" t="str">
        <f>IF(tblElements[[#This Row],[PPAP no.]]="","",IF(tblElements[[#This Row],[Status]]="Complete","Complete",IF(AsOf&gt;tblElements[[#This Row],[Due date]],"Overdue",IF(tblElements[[#This Row],[Due date]]-AsOf&lt;=DueSoonDays,"Due soon","OK"))))</f>
        <v>Complete</v>
      </c>
      <c r="M66" s="36">
        <f>IF(tblElements[[#This Row],[PPAP no.]]="","",IF(OR(DashCustomer="",tblElements[[#This Row],[Customer]]=DashCustomer),1,0))</f>
        <v>1</v>
      </c>
      <c r="N6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66" s="41" t="s">
        <v>169</v>
      </c>
    </row>
    <row r="67" spans="2:15">
      <c r="B67" s="28" t="s">
        <v>181</v>
      </c>
      <c r="C67" s="28" t="s">
        <v>134</v>
      </c>
      <c r="D67" s="28" t="s">
        <v>114</v>
      </c>
      <c r="E67" s="29">
        <v>46178</v>
      </c>
      <c r="F67" s="28" t="s">
        <v>151</v>
      </c>
      <c r="G67" s="29">
        <v>46181</v>
      </c>
      <c r="H67" s="42" t="str">
        <f>IF(tblElements[[#This Row],[PPAP no.]]="","",IFERROR(INDEX(tblPPAPs[Part number],MATCH(tblElements[[#This Row],[PPAP no.]],tblPPAPs[PPAP no.],0)),""))</f>
        <v>AX-3021</v>
      </c>
      <c r="I67" s="42" t="str">
        <f>IF(tblElements[[#This Row],[PPAP no.]]="","",IFERROR(INDEX(tblPPAPs[Customer],MATCH(tblElements[[#This Row],[PPAP no.]],tblPPAPs[PPAP no.],0)),""))</f>
        <v>Brightway Axles (example)</v>
      </c>
      <c r="J67" s="36">
        <f>IF(tblElements[[#This Row],[PPAP no.]]="","",IFERROR(INDEX(tblPPAPs[Open],MATCH(tblElements[[#This Row],[PPAP no.]],tblPPAPs[PPAP no.],0)),""))</f>
        <v>0</v>
      </c>
      <c r="K67" s="43">
        <f>IF(tblElements[[#This Row],[PPAP no.]]="","",IF(tblElements[[#This Row],[Status]]="Complete","",tblElements[[#This Row],[Due date]]-AsOf))</f>
        <v/>
      </c>
      <c r="L67" s="39" t="str">
        <f>IF(tblElements[[#This Row],[PPAP no.]]="","",IF(tblElements[[#This Row],[Status]]="Complete","Complete",IF(AsOf&gt;tblElements[[#This Row],[Due date]],"Overdue",IF(tblElements[[#This Row],[Due date]]-AsOf&lt;=DueSoonDays,"Due soon","OK"))))</f>
        <v>Complete</v>
      </c>
      <c r="M67" s="36">
        <f>IF(tblElements[[#This Row],[PPAP no.]]="","",IF(OR(DashCustomer="",tblElements[[#This Row],[Customer]]=DashCustomer),1,0))</f>
        <v>1</v>
      </c>
      <c r="N6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67" s="41" t="s">
        <v>169</v>
      </c>
    </row>
    <row r="68" spans="2:15">
      <c r="B68" s="28" t="s">
        <v>181</v>
      </c>
      <c r="C68" s="28" t="s">
        <v>138</v>
      </c>
      <c r="D68" s="28" t="s">
        <v>108</v>
      </c>
      <c r="E68" s="29">
        <v>46189</v>
      </c>
      <c r="F68" s="28" t="s">
        <v>151</v>
      </c>
      <c r="G68" s="29">
        <v>46183</v>
      </c>
      <c r="H68" s="42" t="str">
        <f>IF(tblElements[[#This Row],[PPAP no.]]="","",IFERROR(INDEX(tblPPAPs[Part number],MATCH(tblElements[[#This Row],[PPAP no.]],tblPPAPs[PPAP no.],0)),""))</f>
        <v>AX-3021</v>
      </c>
      <c r="I68" s="42" t="str">
        <f>IF(tblElements[[#This Row],[PPAP no.]]="","",IFERROR(INDEX(tblPPAPs[Customer],MATCH(tblElements[[#This Row],[PPAP no.]],tblPPAPs[PPAP no.],0)),""))</f>
        <v>Brightway Axles (example)</v>
      </c>
      <c r="J68" s="36">
        <f>IF(tblElements[[#This Row],[PPAP no.]]="","",IFERROR(INDEX(tblPPAPs[Open],MATCH(tblElements[[#This Row],[PPAP no.]],tblPPAPs[PPAP no.],0)),""))</f>
        <v>0</v>
      </c>
      <c r="K68" s="43">
        <f>IF(tblElements[[#This Row],[PPAP no.]]="","",IF(tblElements[[#This Row],[Status]]="Complete","",tblElements[[#This Row],[Due date]]-AsOf))</f>
        <v/>
      </c>
      <c r="L68" s="39" t="str">
        <f>IF(tblElements[[#This Row],[PPAP no.]]="","",IF(tblElements[[#This Row],[Status]]="Complete","Complete",IF(AsOf&gt;tblElements[[#This Row],[Due date]],"Overdue",IF(tblElements[[#This Row],[Due date]]-AsOf&lt;=DueSoonDays,"Due soon","OK"))))</f>
        <v>Complete</v>
      </c>
      <c r="M68" s="36">
        <f>IF(tblElements[[#This Row],[PPAP no.]]="","",IF(OR(DashCustomer="",tblElements[[#This Row],[Customer]]=DashCustomer),1,0))</f>
        <v>1</v>
      </c>
      <c r="N6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68" s="41" t="s">
        <v>169</v>
      </c>
    </row>
    <row r="69" spans="2:15">
      <c r="B69" s="28" t="s">
        <v>185</v>
      </c>
      <c r="C69" s="28" t="s">
        <v>121</v>
      </c>
      <c r="D69" s="28" t="s">
        <v>110</v>
      </c>
      <c r="E69" s="29">
        <v>46143</v>
      </c>
      <c r="F69" s="28" t="s">
        <v>151</v>
      </c>
      <c r="G69" s="29">
        <v>46143</v>
      </c>
      <c r="H69" s="42" t="str">
        <f>IF(tblElements[[#This Row],[PPAP no.]]="","",IFERROR(INDEX(tblPPAPs[Part number],MATCH(tblElements[[#This Row],[PPAP no.]],tblPPAPs[PPAP no.],0)),""))</f>
        <v>BR-2207</v>
      </c>
      <c r="I69" s="42" t="str">
        <f>IF(tblElements[[#This Row],[PPAP no.]]="","",IFERROR(INDEX(tblPPAPs[Customer],MATCH(tblElements[[#This Row],[PPAP no.]],tblPPAPs[PPAP no.],0)),""))</f>
        <v>Vantis Seating (example)</v>
      </c>
      <c r="J69" s="36">
        <f>IF(tblElements[[#This Row],[PPAP no.]]="","",IFERROR(INDEX(tblPPAPs[Open],MATCH(tblElements[[#This Row],[PPAP no.]],tblPPAPs[PPAP no.],0)),""))</f>
        <v>0</v>
      </c>
      <c r="K69" s="43">
        <f>IF(tblElements[[#This Row],[PPAP no.]]="","",IF(tblElements[[#This Row],[Status]]="Complete","",tblElements[[#This Row],[Due date]]-AsOf))</f>
        <v/>
      </c>
      <c r="L69" s="39" t="str">
        <f>IF(tblElements[[#This Row],[PPAP no.]]="","",IF(tblElements[[#This Row],[Status]]="Complete","Complete",IF(AsOf&gt;tblElements[[#This Row],[Due date]],"Overdue",IF(tblElements[[#This Row],[Due date]]-AsOf&lt;=DueSoonDays,"Due soon","OK"))))</f>
        <v>Complete</v>
      </c>
      <c r="M69" s="36">
        <f>IF(tblElements[[#This Row],[PPAP no.]]="","",IF(OR(DashCustomer="",tblElements[[#This Row],[Customer]]=DashCustomer),1,0))</f>
        <v>1</v>
      </c>
      <c r="N6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69" s="41" t="s">
        <v>169</v>
      </c>
    </row>
    <row r="70" spans="2:15">
      <c r="B70" s="28" t="s">
        <v>185</v>
      </c>
      <c r="C70" s="28" t="s">
        <v>122</v>
      </c>
      <c r="D70" s="28" t="s">
        <v>110</v>
      </c>
      <c r="E70" s="29">
        <v>46153</v>
      </c>
      <c r="F70" s="28" t="s">
        <v>151</v>
      </c>
      <c r="G70" s="29">
        <v>46153</v>
      </c>
      <c r="H70" s="42" t="str">
        <f>IF(tblElements[[#This Row],[PPAP no.]]="","",IFERROR(INDEX(tblPPAPs[Part number],MATCH(tblElements[[#This Row],[PPAP no.]],tblPPAPs[PPAP no.],0)),""))</f>
        <v>BR-2207</v>
      </c>
      <c r="I70" s="42" t="str">
        <f>IF(tblElements[[#This Row],[PPAP no.]]="","",IFERROR(INDEX(tblPPAPs[Customer],MATCH(tblElements[[#This Row],[PPAP no.]],tblPPAPs[PPAP no.],0)),""))</f>
        <v>Vantis Seating (example)</v>
      </c>
      <c r="J70" s="36">
        <f>IF(tblElements[[#This Row],[PPAP no.]]="","",IFERROR(INDEX(tblPPAPs[Open],MATCH(tblElements[[#This Row],[PPAP no.]],tblPPAPs[PPAP no.],0)),""))</f>
        <v>0</v>
      </c>
      <c r="K70" s="43">
        <f>IF(tblElements[[#This Row],[PPAP no.]]="","",IF(tblElements[[#This Row],[Status]]="Complete","",tblElements[[#This Row],[Due date]]-AsOf))</f>
        <v/>
      </c>
      <c r="L70" s="39" t="str">
        <f>IF(tblElements[[#This Row],[PPAP no.]]="","",IF(tblElements[[#This Row],[Status]]="Complete","Complete",IF(AsOf&gt;tblElements[[#This Row],[Due date]],"Overdue",IF(tblElements[[#This Row],[Due date]]-AsOf&lt;=DueSoonDays,"Due soon","OK"))))</f>
        <v>Complete</v>
      </c>
      <c r="M70" s="36">
        <f>IF(tblElements[[#This Row],[PPAP no.]]="","",IF(OR(DashCustomer="",tblElements[[#This Row],[Customer]]=DashCustomer),1,0))</f>
        <v>1</v>
      </c>
      <c r="N7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70" s="41" t="s">
        <v>169</v>
      </c>
    </row>
    <row r="71" spans="2:15">
      <c r="B71" s="28" t="s">
        <v>185</v>
      </c>
      <c r="C71" s="28" t="s">
        <v>126</v>
      </c>
      <c r="D71" s="28" t="s">
        <v>108</v>
      </c>
      <c r="E71" s="29">
        <v>46157</v>
      </c>
      <c r="F71" s="28" t="s">
        <v>151</v>
      </c>
      <c r="G71" s="29">
        <v>46159</v>
      </c>
      <c r="H71" s="42" t="str">
        <f>IF(tblElements[[#This Row],[PPAP no.]]="","",IFERROR(INDEX(tblPPAPs[Part number],MATCH(tblElements[[#This Row],[PPAP no.]],tblPPAPs[PPAP no.],0)),""))</f>
        <v>BR-2207</v>
      </c>
      <c r="I71" s="42" t="str">
        <f>IF(tblElements[[#This Row],[PPAP no.]]="","",IFERROR(INDEX(tblPPAPs[Customer],MATCH(tblElements[[#This Row],[PPAP no.]],tblPPAPs[PPAP no.],0)),""))</f>
        <v>Vantis Seating (example)</v>
      </c>
      <c r="J71" s="36">
        <f>IF(tblElements[[#This Row],[PPAP no.]]="","",IFERROR(INDEX(tblPPAPs[Open],MATCH(tblElements[[#This Row],[PPAP no.]],tblPPAPs[PPAP no.],0)),""))</f>
        <v>0</v>
      </c>
      <c r="K71" s="43">
        <f>IF(tblElements[[#This Row],[PPAP no.]]="","",IF(tblElements[[#This Row],[Status]]="Complete","",tblElements[[#This Row],[Due date]]-AsOf))</f>
        <v/>
      </c>
      <c r="L71" s="39" t="str">
        <f>IF(tblElements[[#This Row],[PPAP no.]]="","",IF(tblElements[[#This Row],[Status]]="Complete","Complete",IF(AsOf&gt;tblElements[[#This Row],[Due date]],"Overdue",IF(tblElements[[#This Row],[Due date]]-AsOf&lt;=DueSoonDays,"Due soon","OK"))))</f>
        <v>Complete</v>
      </c>
      <c r="M71" s="36">
        <f>IF(tblElements[[#This Row],[PPAP no.]]="","",IF(OR(DashCustomer="",tblElements[[#This Row],[Customer]]=DashCustomer),1,0))</f>
        <v>1</v>
      </c>
      <c r="N71"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71" s="41" t="s">
        <v>169</v>
      </c>
    </row>
    <row r="72" spans="2:15">
      <c r="B72" s="28" t="s">
        <v>185</v>
      </c>
      <c r="C72" s="28" t="s">
        <v>127</v>
      </c>
      <c r="D72" s="28" t="s">
        <v>108</v>
      </c>
      <c r="E72" s="29">
        <v>46171</v>
      </c>
      <c r="F72" s="28" t="s">
        <v>151</v>
      </c>
      <c r="G72" s="29">
        <v>46175</v>
      </c>
      <c r="H72" s="42" t="str">
        <f>IF(tblElements[[#This Row],[PPAP no.]]="","",IFERROR(INDEX(tblPPAPs[Part number],MATCH(tblElements[[#This Row],[PPAP no.]],tblPPAPs[PPAP no.],0)),""))</f>
        <v>BR-2207</v>
      </c>
      <c r="I72" s="42" t="str">
        <f>IF(tblElements[[#This Row],[PPAP no.]]="","",IFERROR(INDEX(tblPPAPs[Customer],MATCH(tblElements[[#This Row],[PPAP no.]],tblPPAPs[PPAP no.],0)),""))</f>
        <v>Vantis Seating (example)</v>
      </c>
      <c r="J72" s="36">
        <f>IF(tblElements[[#This Row],[PPAP no.]]="","",IFERROR(INDEX(tblPPAPs[Open],MATCH(tblElements[[#This Row],[PPAP no.]],tblPPAPs[PPAP no.],0)),""))</f>
        <v>0</v>
      </c>
      <c r="K72" s="43">
        <f>IF(tblElements[[#This Row],[PPAP no.]]="","",IF(tblElements[[#This Row],[Status]]="Complete","",tblElements[[#This Row],[Due date]]-AsOf))</f>
        <v/>
      </c>
      <c r="L72" s="39" t="str">
        <f>IF(tblElements[[#This Row],[PPAP no.]]="","",IF(tblElements[[#This Row],[Status]]="Complete","Complete",IF(AsOf&gt;tblElements[[#This Row],[Due date]],"Overdue",IF(tblElements[[#This Row],[Due date]]-AsOf&lt;=DueSoonDays,"Due soon","OK"))))</f>
        <v>Complete</v>
      </c>
      <c r="M72" s="36">
        <f>IF(tblElements[[#This Row],[PPAP no.]]="","",IF(OR(DashCustomer="",tblElements[[#This Row],[Customer]]=DashCustomer),1,0))</f>
        <v>1</v>
      </c>
      <c r="N72"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72" s="41" t="s">
        <v>169</v>
      </c>
    </row>
    <row r="73" spans="2:15">
      <c r="B73" s="28" t="s">
        <v>185</v>
      </c>
      <c r="C73" s="28" t="s">
        <v>129</v>
      </c>
      <c r="D73" s="28" t="s">
        <v>112</v>
      </c>
      <c r="E73" s="29">
        <v>46185</v>
      </c>
      <c r="F73" s="28" t="s">
        <v>151</v>
      </c>
      <c r="G73" s="29">
        <v>46187</v>
      </c>
      <c r="H73" s="42" t="str">
        <f>IF(tblElements[[#This Row],[PPAP no.]]="","",IFERROR(INDEX(tblPPAPs[Part number],MATCH(tblElements[[#This Row],[PPAP no.]],tblPPAPs[PPAP no.],0)),""))</f>
        <v>BR-2207</v>
      </c>
      <c r="I73" s="42" t="str">
        <f>IF(tblElements[[#This Row],[PPAP no.]]="","",IFERROR(INDEX(tblPPAPs[Customer],MATCH(tblElements[[#This Row],[PPAP no.]],tblPPAPs[PPAP no.],0)),""))</f>
        <v>Vantis Seating (example)</v>
      </c>
      <c r="J73" s="36">
        <f>IF(tblElements[[#This Row],[PPAP no.]]="","",IFERROR(INDEX(tblPPAPs[Open],MATCH(tblElements[[#This Row],[PPAP no.]],tblPPAPs[PPAP no.],0)),""))</f>
        <v>0</v>
      </c>
      <c r="K73" s="43">
        <f>IF(tblElements[[#This Row],[PPAP no.]]="","",IF(tblElements[[#This Row],[Status]]="Complete","",tblElements[[#This Row],[Due date]]-AsOf))</f>
        <v/>
      </c>
      <c r="L73" s="39" t="str">
        <f>IF(tblElements[[#This Row],[PPAP no.]]="","",IF(tblElements[[#This Row],[Status]]="Complete","Complete",IF(AsOf&gt;tblElements[[#This Row],[Due date]],"Overdue",IF(tblElements[[#This Row],[Due date]]-AsOf&lt;=DueSoonDays,"Due soon","OK"))))</f>
        <v>Complete</v>
      </c>
      <c r="M73" s="36">
        <f>IF(tblElements[[#This Row],[PPAP no.]]="","",IF(OR(DashCustomer="",tblElements[[#This Row],[Customer]]=DashCustomer),1,0))</f>
        <v>1</v>
      </c>
      <c r="N73"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73" s="41" t="s">
        <v>169</v>
      </c>
    </row>
    <row r="74" spans="2:15">
      <c r="B74" s="28" t="s">
        <v>185</v>
      </c>
      <c r="C74" s="28" t="s">
        <v>130</v>
      </c>
      <c r="D74" s="28" t="s">
        <v>118</v>
      </c>
      <c r="E74" s="29">
        <v>46185</v>
      </c>
      <c r="F74" s="28" t="s">
        <v>151</v>
      </c>
      <c r="G74" s="29">
        <v>46182</v>
      </c>
      <c r="H74" s="42" t="str">
        <f>IF(tblElements[[#This Row],[PPAP no.]]="","",IFERROR(INDEX(tblPPAPs[Part number],MATCH(tblElements[[#This Row],[PPAP no.]],tblPPAPs[PPAP no.],0)),""))</f>
        <v>BR-2207</v>
      </c>
      <c r="I74" s="42" t="str">
        <f>IF(tblElements[[#This Row],[PPAP no.]]="","",IFERROR(INDEX(tblPPAPs[Customer],MATCH(tblElements[[#This Row],[PPAP no.]],tblPPAPs[PPAP no.],0)),""))</f>
        <v>Vantis Seating (example)</v>
      </c>
      <c r="J74" s="36">
        <f>IF(tblElements[[#This Row],[PPAP no.]]="","",IFERROR(INDEX(tblPPAPs[Open],MATCH(tblElements[[#This Row],[PPAP no.]],tblPPAPs[PPAP no.],0)),""))</f>
        <v>0</v>
      </c>
      <c r="K74" s="43">
        <f>IF(tblElements[[#This Row],[PPAP no.]]="","",IF(tblElements[[#This Row],[Status]]="Complete","",tblElements[[#This Row],[Due date]]-AsOf))</f>
        <v/>
      </c>
      <c r="L74" s="39" t="str">
        <f>IF(tblElements[[#This Row],[PPAP no.]]="","",IF(tblElements[[#This Row],[Status]]="Complete","Complete",IF(AsOf&gt;tblElements[[#This Row],[Due date]],"Overdue",IF(tblElements[[#This Row],[Due date]]-AsOf&lt;=DueSoonDays,"Due soon","OK"))))</f>
        <v>Complete</v>
      </c>
      <c r="M74" s="36">
        <f>IF(tblElements[[#This Row],[PPAP no.]]="","",IF(OR(DashCustomer="",tblElements[[#This Row],[Customer]]=DashCustomer),1,0))</f>
        <v>1</v>
      </c>
      <c r="N74"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74" s="41" t="s">
        <v>169</v>
      </c>
    </row>
    <row r="75" spans="2:15">
      <c r="B75" s="28" t="s">
        <v>185</v>
      </c>
      <c r="C75" s="28" t="s">
        <v>134</v>
      </c>
      <c r="D75" s="28" t="s">
        <v>114</v>
      </c>
      <c r="E75" s="29">
        <v>46199</v>
      </c>
      <c r="F75" s="28" t="s">
        <v>151</v>
      </c>
      <c r="G75" s="29">
        <v>46193</v>
      </c>
      <c r="H75" s="42" t="str">
        <f>IF(tblElements[[#This Row],[PPAP no.]]="","",IFERROR(INDEX(tblPPAPs[Part number],MATCH(tblElements[[#This Row],[PPAP no.]],tblPPAPs[PPAP no.],0)),""))</f>
        <v>BR-2207</v>
      </c>
      <c r="I75" s="42" t="str">
        <f>IF(tblElements[[#This Row],[PPAP no.]]="","",IFERROR(INDEX(tblPPAPs[Customer],MATCH(tblElements[[#This Row],[PPAP no.]],tblPPAPs[PPAP no.],0)),""))</f>
        <v>Vantis Seating (example)</v>
      </c>
      <c r="J75" s="36">
        <f>IF(tblElements[[#This Row],[PPAP no.]]="","",IFERROR(INDEX(tblPPAPs[Open],MATCH(tblElements[[#This Row],[PPAP no.]],tblPPAPs[PPAP no.],0)),""))</f>
        <v>0</v>
      </c>
      <c r="K75" s="43">
        <f>IF(tblElements[[#This Row],[PPAP no.]]="","",IF(tblElements[[#This Row],[Status]]="Complete","",tblElements[[#This Row],[Due date]]-AsOf))</f>
        <v/>
      </c>
      <c r="L75" s="39" t="str">
        <f>IF(tblElements[[#This Row],[PPAP no.]]="","",IF(tblElements[[#This Row],[Status]]="Complete","Complete",IF(AsOf&gt;tblElements[[#This Row],[Due date]],"Overdue",IF(tblElements[[#This Row],[Due date]]-AsOf&lt;=DueSoonDays,"Due soon","OK"))))</f>
        <v>Complete</v>
      </c>
      <c r="M75" s="36">
        <f>IF(tblElements[[#This Row],[PPAP no.]]="","",IF(OR(DashCustomer="",tblElements[[#This Row],[Customer]]=DashCustomer),1,0))</f>
        <v>1</v>
      </c>
      <c r="N75"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75" s="41" t="s">
        <v>169</v>
      </c>
    </row>
    <row r="76" spans="2:15">
      <c r="B76" s="28" t="s">
        <v>185</v>
      </c>
      <c r="C76" s="28" t="s">
        <v>137</v>
      </c>
      <c r="D76" s="28" t="s">
        <v>108</v>
      </c>
      <c r="E76" s="29">
        <v>46203</v>
      </c>
      <c r="F76" s="28" t="s">
        <v>151</v>
      </c>
      <c r="G76" s="29">
        <v>46205</v>
      </c>
      <c r="H76" s="42" t="str">
        <f>IF(tblElements[[#This Row],[PPAP no.]]="","",IFERROR(INDEX(tblPPAPs[Part number],MATCH(tblElements[[#This Row],[PPAP no.]],tblPPAPs[PPAP no.],0)),""))</f>
        <v>BR-2207</v>
      </c>
      <c r="I76" s="42" t="str">
        <f>IF(tblElements[[#This Row],[PPAP no.]]="","",IFERROR(INDEX(tblPPAPs[Customer],MATCH(tblElements[[#This Row],[PPAP no.]],tblPPAPs[PPAP no.],0)),""))</f>
        <v>Vantis Seating (example)</v>
      </c>
      <c r="J76" s="36">
        <f>IF(tblElements[[#This Row],[PPAP no.]]="","",IFERROR(INDEX(tblPPAPs[Open],MATCH(tblElements[[#This Row],[PPAP no.]],tblPPAPs[PPAP no.],0)),""))</f>
        <v>0</v>
      </c>
      <c r="K76" s="43">
        <f>IF(tblElements[[#This Row],[PPAP no.]]="","",IF(tblElements[[#This Row],[Status]]="Complete","",tblElements[[#This Row],[Due date]]-AsOf))</f>
        <v/>
      </c>
      <c r="L76" s="39" t="str">
        <f>IF(tblElements[[#This Row],[PPAP no.]]="","",IF(tblElements[[#This Row],[Status]]="Complete","Complete",IF(AsOf&gt;tblElements[[#This Row],[Due date]],"Overdue",IF(tblElements[[#This Row],[Due date]]-AsOf&lt;=DueSoonDays,"Due soon","OK"))))</f>
        <v>Complete</v>
      </c>
      <c r="M76" s="36">
        <f>IF(tblElements[[#This Row],[PPAP no.]]="","",IF(OR(DashCustomer="",tblElements[[#This Row],[Customer]]=DashCustomer),1,0))</f>
        <v>1</v>
      </c>
      <c r="N7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76" s="41" t="s">
        <v>169</v>
      </c>
    </row>
    <row r="77" spans="2:15">
      <c r="B77" s="28" t="s">
        <v>185</v>
      </c>
      <c r="C77" s="28" t="s">
        <v>138</v>
      </c>
      <c r="D77" s="28" t="s">
        <v>108</v>
      </c>
      <c r="E77" s="29">
        <v>46210</v>
      </c>
      <c r="F77" s="28" t="s">
        <v>151</v>
      </c>
      <c r="G77" s="29">
        <v>46209</v>
      </c>
      <c r="H77" s="42" t="str">
        <f>IF(tblElements[[#This Row],[PPAP no.]]="","",IFERROR(INDEX(tblPPAPs[Part number],MATCH(tblElements[[#This Row],[PPAP no.]],tblPPAPs[PPAP no.],0)),""))</f>
        <v>BR-2207</v>
      </c>
      <c r="I77" s="42" t="str">
        <f>IF(tblElements[[#This Row],[PPAP no.]]="","",IFERROR(INDEX(tblPPAPs[Customer],MATCH(tblElements[[#This Row],[PPAP no.]],tblPPAPs[PPAP no.],0)),""))</f>
        <v>Vantis Seating (example)</v>
      </c>
      <c r="J77" s="36">
        <f>IF(tblElements[[#This Row],[PPAP no.]]="","",IFERROR(INDEX(tblPPAPs[Open],MATCH(tblElements[[#This Row],[PPAP no.]],tblPPAPs[PPAP no.],0)),""))</f>
        <v>0</v>
      </c>
      <c r="K77" s="43">
        <f>IF(tblElements[[#This Row],[PPAP no.]]="","",IF(tblElements[[#This Row],[Status]]="Complete","",tblElements[[#This Row],[Due date]]-AsOf))</f>
        <v/>
      </c>
      <c r="L77" s="39" t="str">
        <f>IF(tblElements[[#This Row],[PPAP no.]]="","",IF(tblElements[[#This Row],[Status]]="Complete","Complete",IF(AsOf&gt;tblElements[[#This Row],[Due date]],"Overdue",IF(tblElements[[#This Row],[Due date]]-AsOf&lt;=DueSoonDays,"Due soon","OK"))))</f>
        <v>Complete</v>
      </c>
      <c r="M77" s="36">
        <f>IF(tblElements[[#This Row],[PPAP no.]]="","",IF(OR(DashCustomer="",tblElements[[#This Row],[Customer]]=DashCustomer),1,0))</f>
        <v>1</v>
      </c>
      <c r="N7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77" s="41" t="s">
        <v>169</v>
      </c>
    </row>
    <row r="78" spans="2:15">
      <c r="B78" s="28" t="s">
        <v>187</v>
      </c>
      <c r="C78" s="28" t="s">
        <v>121</v>
      </c>
      <c r="D78" s="28" t="s">
        <v>110</v>
      </c>
      <c r="E78" s="29">
        <v>46185</v>
      </c>
      <c r="F78" s="28" t="s">
        <v>151</v>
      </c>
      <c r="G78" s="29">
        <v>46189</v>
      </c>
      <c r="H78" s="42" t="str">
        <f>IF(tblElements[[#This Row],[PPAP no.]]="","",IFERROR(INDEX(tblPPAPs[Part number],MATCH(tblElements[[#This Row],[PPAP no.]],tblPPAPs[PPAP no.],0)),""))</f>
        <v>MT-5502</v>
      </c>
      <c r="I78" s="42" t="str">
        <f>IF(tblElements[[#This Row],[PPAP no.]]="","",IFERROR(INDEX(tblPPAPs[Customer],MATCH(tblElements[[#This Row],[PPAP no.]],tblPPAPs[PPAP no.],0)),""))</f>
        <v>Northline Motors (example)</v>
      </c>
      <c r="J78" s="36">
        <f>IF(tblElements[[#This Row],[PPAP no.]]="","",IFERROR(INDEX(tblPPAPs[Open],MATCH(tblElements[[#This Row],[PPAP no.]],tblPPAPs[PPAP no.],0)),""))</f>
        <v>1</v>
      </c>
      <c r="K78" s="43">
        <f>IF(tblElements[[#This Row],[PPAP no.]]="","",IF(tblElements[[#This Row],[Status]]="Complete","",tblElements[[#This Row],[Due date]]-AsOf))</f>
        <v/>
      </c>
      <c r="L78" s="39" t="str">
        <f>IF(tblElements[[#This Row],[PPAP no.]]="","",IF(tblElements[[#This Row],[Status]]="Complete","Complete",IF(AsOf&gt;tblElements[[#This Row],[Due date]],"Overdue",IF(tblElements[[#This Row],[Due date]]-AsOf&lt;=DueSoonDays,"Due soon","OK"))))</f>
        <v>Complete</v>
      </c>
      <c r="M78" s="36">
        <f>IF(tblElements[[#This Row],[PPAP no.]]="","",IF(OR(DashCustomer="",tblElements[[#This Row],[Customer]]=DashCustomer),1,0))</f>
        <v>1</v>
      </c>
      <c r="N7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78" s="41" t="s">
        <v>169</v>
      </c>
    </row>
    <row r="79" spans="2:15">
      <c r="B79" s="28" t="s">
        <v>187</v>
      </c>
      <c r="C79" s="28" t="s">
        <v>124</v>
      </c>
      <c r="D79" s="28" t="s">
        <v>110</v>
      </c>
      <c r="E79" s="29">
        <v>46192</v>
      </c>
      <c r="F79" s="28" t="s">
        <v>151</v>
      </c>
      <c r="G79" s="29">
        <v>46194</v>
      </c>
      <c r="H79" s="42" t="str">
        <f>IF(tblElements[[#This Row],[PPAP no.]]="","",IFERROR(INDEX(tblPPAPs[Part number],MATCH(tblElements[[#This Row],[PPAP no.]],tblPPAPs[PPAP no.],0)),""))</f>
        <v>MT-5502</v>
      </c>
      <c r="I79" s="42" t="str">
        <f>IF(tblElements[[#This Row],[PPAP no.]]="","",IFERROR(INDEX(tblPPAPs[Customer],MATCH(tblElements[[#This Row],[PPAP no.]],tblPPAPs[PPAP no.],0)),""))</f>
        <v>Northline Motors (example)</v>
      </c>
      <c r="J79" s="36">
        <f>IF(tblElements[[#This Row],[PPAP no.]]="","",IFERROR(INDEX(tblPPAPs[Open],MATCH(tblElements[[#This Row],[PPAP no.]],tblPPAPs[PPAP no.],0)),""))</f>
        <v>1</v>
      </c>
      <c r="K79" s="43">
        <f>IF(tblElements[[#This Row],[PPAP no.]]="","",IF(tblElements[[#This Row],[Status]]="Complete","",tblElements[[#This Row],[Due date]]-AsOf))</f>
        <v/>
      </c>
      <c r="L79" s="39" t="str">
        <f>IF(tblElements[[#This Row],[PPAP no.]]="","",IF(tblElements[[#This Row],[Status]]="Complete","Complete",IF(AsOf&gt;tblElements[[#This Row],[Due date]],"Overdue",IF(tblElements[[#This Row],[Due date]]-AsOf&lt;=DueSoonDays,"Due soon","OK"))))</f>
        <v>Complete</v>
      </c>
      <c r="M79" s="36">
        <f>IF(tblElements[[#This Row],[PPAP no.]]="","",IF(OR(DashCustomer="",tblElements[[#This Row],[Customer]]=DashCustomer),1,0))</f>
        <v>1</v>
      </c>
      <c r="N7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79" s="41" t="s">
        <v>169</v>
      </c>
    </row>
    <row r="80" spans="2:15">
      <c r="B80" s="28" t="s">
        <v>187</v>
      </c>
      <c r="C80" s="28" t="s">
        <v>125</v>
      </c>
      <c r="D80" s="28" t="s">
        <v>110</v>
      </c>
      <c r="E80" s="29">
        <v>46192</v>
      </c>
      <c r="F80" s="28" t="s">
        <v>151</v>
      </c>
      <c r="G80" s="29">
        <v>46195</v>
      </c>
      <c r="H80" s="42" t="str">
        <f>IF(tblElements[[#This Row],[PPAP no.]]="","",IFERROR(INDEX(tblPPAPs[Part number],MATCH(tblElements[[#This Row],[PPAP no.]],tblPPAPs[PPAP no.],0)),""))</f>
        <v>MT-5502</v>
      </c>
      <c r="I80" s="42" t="str">
        <f>IF(tblElements[[#This Row],[PPAP no.]]="","",IFERROR(INDEX(tblPPAPs[Customer],MATCH(tblElements[[#This Row],[PPAP no.]],tblPPAPs[PPAP no.],0)),""))</f>
        <v>Northline Motors (example)</v>
      </c>
      <c r="J80" s="36">
        <f>IF(tblElements[[#This Row],[PPAP no.]]="","",IFERROR(INDEX(tblPPAPs[Open],MATCH(tblElements[[#This Row],[PPAP no.]],tblPPAPs[PPAP no.],0)),""))</f>
        <v>1</v>
      </c>
      <c r="K80" s="43">
        <f>IF(tblElements[[#This Row],[PPAP no.]]="","",IF(tblElements[[#This Row],[Status]]="Complete","",tblElements[[#This Row],[Due date]]-AsOf))</f>
        <v/>
      </c>
      <c r="L80" s="39" t="str">
        <f>IF(tblElements[[#This Row],[PPAP no.]]="","",IF(tblElements[[#This Row],[Status]]="Complete","Complete",IF(AsOf&gt;tblElements[[#This Row],[Due date]],"Overdue",IF(tblElements[[#This Row],[Due date]]-AsOf&lt;=DueSoonDays,"Due soon","OK"))))</f>
        <v>Complete</v>
      </c>
      <c r="M80" s="36">
        <f>IF(tblElements[[#This Row],[PPAP no.]]="","",IF(OR(DashCustomer="",tblElements[[#This Row],[Customer]]=DashCustomer),1,0))</f>
        <v>1</v>
      </c>
      <c r="N8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80" s="41" t="s">
        <v>169</v>
      </c>
    </row>
    <row r="81" spans="2:15">
      <c r="B81" s="28" t="s">
        <v>187</v>
      </c>
      <c r="C81" s="28" t="s">
        <v>126</v>
      </c>
      <c r="D81" s="28" t="s">
        <v>108</v>
      </c>
      <c r="E81" s="29">
        <v>46199</v>
      </c>
      <c r="F81" s="28" t="s">
        <v>151</v>
      </c>
      <c r="G81" s="29">
        <v>46198</v>
      </c>
      <c r="H81" s="42" t="str">
        <f>IF(tblElements[[#This Row],[PPAP no.]]="","",IFERROR(INDEX(tblPPAPs[Part number],MATCH(tblElements[[#This Row],[PPAP no.]],tblPPAPs[PPAP no.],0)),""))</f>
        <v>MT-5502</v>
      </c>
      <c r="I81" s="42" t="str">
        <f>IF(tblElements[[#This Row],[PPAP no.]]="","",IFERROR(INDEX(tblPPAPs[Customer],MATCH(tblElements[[#This Row],[PPAP no.]],tblPPAPs[PPAP no.],0)),""))</f>
        <v>Northline Motors (example)</v>
      </c>
      <c r="J81" s="36">
        <f>IF(tblElements[[#This Row],[PPAP no.]]="","",IFERROR(INDEX(tblPPAPs[Open],MATCH(tblElements[[#This Row],[PPAP no.]],tblPPAPs[PPAP no.],0)),""))</f>
        <v>1</v>
      </c>
      <c r="K81" s="43">
        <f>IF(tblElements[[#This Row],[PPAP no.]]="","",IF(tblElements[[#This Row],[Status]]="Complete","",tblElements[[#This Row],[Due date]]-AsOf))</f>
        <v/>
      </c>
      <c r="L81" s="39" t="str">
        <f>IF(tblElements[[#This Row],[PPAP no.]]="","",IF(tblElements[[#This Row],[Status]]="Complete","Complete",IF(AsOf&gt;tblElements[[#This Row],[Due date]],"Overdue",IF(tblElements[[#This Row],[Due date]]-AsOf&lt;=DueSoonDays,"Due soon","OK"))))</f>
        <v>Complete</v>
      </c>
      <c r="M81" s="36">
        <f>IF(tblElements[[#This Row],[PPAP no.]]="","",IF(OR(DashCustomer="",tblElements[[#This Row],[Customer]]=DashCustomer),1,0))</f>
        <v>1</v>
      </c>
      <c r="N81"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81" s="41" t="s">
        <v>169</v>
      </c>
    </row>
    <row r="82" spans="2:15">
      <c r="B82" s="28" t="s">
        <v>187</v>
      </c>
      <c r="C82" s="28" t="s">
        <v>127</v>
      </c>
      <c r="D82" s="28" t="s">
        <v>108</v>
      </c>
      <c r="E82" s="29">
        <v>46213</v>
      </c>
      <c r="F82" s="28" t="s">
        <v>151</v>
      </c>
      <c r="G82" s="29">
        <v>46208</v>
      </c>
      <c r="H82" s="42" t="str">
        <f>IF(tblElements[[#This Row],[PPAP no.]]="","",IFERROR(INDEX(tblPPAPs[Part number],MATCH(tblElements[[#This Row],[PPAP no.]],tblPPAPs[PPAP no.],0)),""))</f>
        <v>MT-5502</v>
      </c>
      <c r="I82" s="42" t="str">
        <f>IF(tblElements[[#This Row],[PPAP no.]]="","",IFERROR(INDEX(tblPPAPs[Customer],MATCH(tblElements[[#This Row],[PPAP no.]],tblPPAPs[PPAP no.],0)),""))</f>
        <v>Northline Motors (example)</v>
      </c>
      <c r="J82" s="36">
        <f>IF(tblElements[[#This Row],[PPAP no.]]="","",IFERROR(INDEX(tblPPAPs[Open],MATCH(tblElements[[#This Row],[PPAP no.]],tblPPAPs[PPAP no.],0)),""))</f>
        <v>1</v>
      </c>
      <c r="K82" s="43">
        <f>IF(tblElements[[#This Row],[PPAP no.]]="","",IF(tblElements[[#This Row],[Status]]="Complete","",tblElements[[#This Row],[Due date]]-AsOf))</f>
        <v/>
      </c>
      <c r="L82" s="39" t="str">
        <f>IF(tblElements[[#This Row],[PPAP no.]]="","",IF(tblElements[[#This Row],[Status]]="Complete","Complete",IF(AsOf&gt;tblElements[[#This Row],[Due date]],"Overdue",IF(tblElements[[#This Row],[Due date]]-AsOf&lt;=DueSoonDays,"Due soon","OK"))))</f>
        <v>Complete</v>
      </c>
      <c r="M82" s="36">
        <f>IF(tblElements[[#This Row],[PPAP no.]]="","",IF(OR(DashCustomer="",tblElements[[#This Row],[Customer]]=DashCustomer),1,0))</f>
        <v>1</v>
      </c>
      <c r="N82"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82" s="41" t="s">
        <v>169</v>
      </c>
    </row>
    <row r="83" spans="2:15">
      <c r="B83" s="28" t="s">
        <v>187</v>
      </c>
      <c r="C83" s="28" t="s">
        <v>128</v>
      </c>
      <c r="D83" s="28" t="s">
        <v>112</v>
      </c>
      <c r="E83" s="29">
        <v>46220</v>
      </c>
      <c r="F83" s="28" t="s">
        <v>151</v>
      </c>
      <c r="G83" s="29">
        <v>46218</v>
      </c>
      <c r="H83" s="42" t="str">
        <f>IF(tblElements[[#This Row],[PPAP no.]]="","",IFERROR(INDEX(tblPPAPs[Part number],MATCH(tblElements[[#This Row],[PPAP no.]],tblPPAPs[PPAP no.],0)),""))</f>
        <v>MT-5502</v>
      </c>
      <c r="I83" s="42" t="str">
        <f>IF(tblElements[[#This Row],[PPAP no.]]="","",IFERROR(INDEX(tblPPAPs[Customer],MATCH(tblElements[[#This Row],[PPAP no.]],tblPPAPs[PPAP no.],0)),""))</f>
        <v>Northline Motors (example)</v>
      </c>
      <c r="J83" s="36">
        <f>IF(tblElements[[#This Row],[PPAP no.]]="","",IFERROR(INDEX(tblPPAPs[Open],MATCH(tblElements[[#This Row],[PPAP no.]],tblPPAPs[PPAP no.],0)),""))</f>
        <v>1</v>
      </c>
      <c r="K83" s="43">
        <f>IF(tblElements[[#This Row],[PPAP no.]]="","",IF(tblElements[[#This Row],[Status]]="Complete","",tblElements[[#This Row],[Due date]]-AsOf))</f>
        <v/>
      </c>
      <c r="L83" s="39" t="str">
        <f>IF(tblElements[[#This Row],[PPAP no.]]="","",IF(tblElements[[#This Row],[Status]]="Complete","Complete",IF(AsOf&gt;tblElements[[#This Row],[Due date]],"Overdue",IF(tblElements[[#This Row],[Due date]]-AsOf&lt;=DueSoonDays,"Due soon","OK"))))</f>
        <v>Complete</v>
      </c>
      <c r="M83" s="36">
        <f>IF(tblElements[[#This Row],[PPAP no.]]="","",IF(OR(DashCustomer="",tblElements[[#This Row],[Customer]]=DashCustomer),1,0))</f>
        <v>1</v>
      </c>
      <c r="N83"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83" s="41" t="s">
        <v>169</v>
      </c>
    </row>
    <row r="84" spans="2:15">
      <c r="B84" s="28" t="s">
        <v>187</v>
      </c>
      <c r="C84" s="28" t="s">
        <v>136</v>
      </c>
      <c r="D84" s="28" t="s">
        <v>116</v>
      </c>
      <c r="E84" s="29">
        <v>46220</v>
      </c>
      <c r="F84" s="28" t="s">
        <v>151</v>
      </c>
      <c r="G84" s="29">
        <v>46224</v>
      </c>
      <c r="H84" s="42" t="str">
        <f>IF(tblElements[[#This Row],[PPAP no.]]="","",IFERROR(INDEX(tblPPAPs[Part number],MATCH(tblElements[[#This Row],[PPAP no.]],tblPPAPs[PPAP no.],0)),""))</f>
        <v>MT-5502</v>
      </c>
      <c r="I84" s="42" t="str">
        <f>IF(tblElements[[#This Row],[PPAP no.]]="","",IFERROR(INDEX(tblPPAPs[Customer],MATCH(tblElements[[#This Row],[PPAP no.]],tblPPAPs[PPAP no.],0)),""))</f>
        <v>Northline Motors (example)</v>
      </c>
      <c r="J84" s="36">
        <f>IF(tblElements[[#This Row],[PPAP no.]]="","",IFERROR(INDEX(tblPPAPs[Open],MATCH(tblElements[[#This Row],[PPAP no.]],tblPPAPs[PPAP no.],0)),""))</f>
        <v>1</v>
      </c>
      <c r="K84" s="43">
        <f>IF(tblElements[[#This Row],[PPAP no.]]="","",IF(tblElements[[#This Row],[Status]]="Complete","",tblElements[[#This Row],[Due date]]-AsOf))</f>
        <v/>
      </c>
      <c r="L84" s="39" t="str">
        <f>IF(tblElements[[#This Row],[PPAP no.]]="","",IF(tblElements[[#This Row],[Status]]="Complete","Complete",IF(AsOf&gt;tblElements[[#This Row],[Due date]],"Overdue",IF(tblElements[[#This Row],[Due date]]-AsOf&lt;=DueSoonDays,"Due soon","OK"))))</f>
        <v>Complete</v>
      </c>
      <c r="M84" s="36">
        <f>IF(tblElements[[#This Row],[PPAP no.]]="","",IF(OR(DashCustomer="",tblElements[[#This Row],[Customer]]=DashCustomer),1,0))</f>
        <v>1</v>
      </c>
      <c r="N84"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84" s="41" t="s">
        <v>169</v>
      </c>
    </row>
    <row r="85" spans="2:15">
      <c r="B85" s="28" t="s">
        <v>187</v>
      </c>
      <c r="C85" s="28" t="s">
        <v>129</v>
      </c>
      <c r="D85" s="28" t="s">
        <v>112</v>
      </c>
      <c r="E85" s="29">
        <v>46307</v>
      </c>
      <c r="F85" s="28" t="s">
        <v>221</v>
      </c>
      <c r="G85" s="29"/>
      <c r="H85" s="42" t="str">
        <f>IF(tblElements[[#This Row],[PPAP no.]]="","",IFERROR(INDEX(tblPPAPs[Part number],MATCH(tblElements[[#This Row],[PPAP no.]],tblPPAPs[PPAP no.],0)),""))</f>
        <v>MT-5502</v>
      </c>
      <c r="I85" s="42" t="str">
        <f>IF(tblElements[[#This Row],[PPAP no.]]="","",IFERROR(INDEX(tblPPAPs[Customer],MATCH(tblElements[[#This Row],[PPAP no.]],tblPPAPs[PPAP no.],0)),""))</f>
        <v>Northline Motors (example)</v>
      </c>
      <c r="J85" s="36">
        <f>IF(tblElements[[#This Row],[PPAP no.]]="","",IFERROR(INDEX(tblPPAPs[Open],MATCH(tblElements[[#This Row],[PPAP no.]],tblPPAPs[PPAP no.],0)),""))</f>
        <v>1</v>
      </c>
      <c r="K85" s="43">
        <f>IF(tblElements[[#This Row],[PPAP no.]]="","",IF(tblElements[[#This Row],[Status]]="Complete","",tblElements[[#This Row],[Due date]]-AsOf))</f>
        <v>3</v>
      </c>
      <c r="L85" s="39" t="str">
        <f>IF(tblElements[[#This Row],[PPAP no.]]="","",IF(tblElements[[#This Row],[Status]]="Complete","Complete",IF(AsOf&gt;tblElements[[#This Row],[Due date]],"Overdue",IF(tblElements[[#This Row],[Due date]]-AsOf&lt;=DueSoonDays,"Due soon","OK"))))</f>
        <v>Due soon</v>
      </c>
      <c r="M85" s="36">
        <f>IF(tblElements[[#This Row],[PPAP no.]]="","",IF(OR(DashCustomer="",tblElements[[#This Row],[Customer]]=DashCustomer),1,0))</f>
        <v>1</v>
      </c>
      <c r="N85"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85" s="41" t="s">
        <v>222</v>
      </c>
    </row>
    <row r="86" spans="2:15">
      <c r="B86" s="28" t="s">
        <v>187</v>
      </c>
      <c r="C86" s="28" t="s">
        <v>130</v>
      </c>
      <c r="D86" s="28" t="s">
        <v>118</v>
      </c>
      <c r="E86" s="29">
        <v>46227</v>
      </c>
      <c r="F86" s="28" t="s">
        <v>151</v>
      </c>
      <c r="G86" s="29">
        <v>46226</v>
      </c>
      <c r="H86" s="42" t="str">
        <f>IF(tblElements[[#This Row],[PPAP no.]]="","",IFERROR(INDEX(tblPPAPs[Part number],MATCH(tblElements[[#This Row],[PPAP no.]],tblPPAPs[PPAP no.],0)),""))</f>
        <v>MT-5502</v>
      </c>
      <c r="I86" s="42" t="str">
        <f>IF(tblElements[[#This Row],[PPAP no.]]="","",IFERROR(INDEX(tblPPAPs[Customer],MATCH(tblElements[[#This Row],[PPAP no.]],tblPPAPs[PPAP no.],0)),""))</f>
        <v>Northline Motors (example)</v>
      </c>
      <c r="J86" s="36">
        <f>IF(tblElements[[#This Row],[PPAP no.]]="","",IFERROR(INDEX(tblPPAPs[Open],MATCH(tblElements[[#This Row],[PPAP no.]],tblPPAPs[PPAP no.],0)),""))</f>
        <v>1</v>
      </c>
      <c r="K86" s="43">
        <f>IF(tblElements[[#This Row],[PPAP no.]]="","",IF(tblElements[[#This Row],[Status]]="Complete","",tblElements[[#This Row],[Due date]]-AsOf))</f>
        <v/>
      </c>
      <c r="L86" s="39" t="str">
        <f>IF(tblElements[[#This Row],[PPAP no.]]="","",IF(tblElements[[#This Row],[Status]]="Complete","Complete",IF(AsOf&gt;tblElements[[#This Row],[Due date]],"Overdue",IF(tblElements[[#This Row],[Due date]]-AsOf&lt;=DueSoonDays,"Due soon","OK"))))</f>
        <v>Complete</v>
      </c>
      <c r="M86" s="36">
        <f>IF(tblElements[[#This Row],[PPAP no.]]="","",IF(OR(DashCustomer="",tblElements[[#This Row],[Customer]]=DashCustomer),1,0))</f>
        <v>1</v>
      </c>
      <c r="N8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86" s="41" t="s">
        <v>169</v>
      </c>
    </row>
    <row r="87" spans="2:15">
      <c r="B87" s="28" t="s">
        <v>187</v>
      </c>
      <c r="C87" s="28" t="s">
        <v>132</v>
      </c>
      <c r="D87" s="28" t="s">
        <v>108</v>
      </c>
      <c r="E87" s="29">
        <v>46227</v>
      </c>
      <c r="F87" s="28" t="s">
        <v>151</v>
      </c>
      <c r="G87" s="29">
        <v>46229</v>
      </c>
      <c r="H87" s="42" t="str">
        <f>IF(tblElements[[#This Row],[PPAP no.]]="","",IFERROR(INDEX(tblPPAPs[Part number],MATCH(tblElements[[#This Row],[PPAP no.]],tblPPAPs[PPAP no.],0)),""))</f>
        <v>MT-5502</v>
      </c>
      <c r="I87" s="42" t="str">
        <f>IF(tblElements[[#This Row],[PPAP no.]]="","",IFERROR(INDEX(tblPPAPs[Customer],MATCH(tblElements[[#This Row],[PPAP no.]],tblPPAPs[PPAP no.],0)),""))</f>
        <v>Northline Motors (example)</v>
      </c>
      <c r="J87" s="36">
        <f>IF(tblElements[[#This Row],[PPAP no.]]="","",IFERROR(INDEX(tblPPAPs[Open],MATCH(tblElements[[#This Row],[PPAP no.]],tblPPAPs[PPAP no.],0)),""))</f>
        <v>1</v>
      </c>
      <c r="K87" s="43">
        <f>IF(tblElements[[#This Row],[PPAP no.]]="","",IF(tblElements[[#This Row],[Status]]="Complete","",tblElements[[#This Row],[Due date]]-AsOf))</f>
        <v/>
      </c>
      <c r="L87" s="39" t="str">
        <f>IF(tblElements[[#This Row],[PPAP no.]]="","",IF(tblElements[[#This Row],[Status]]="Complete","Complete",IF(AsOf&gt;tblElements[[#This Row],[Due date]],"Overdue",IF(tblElements[[#This Row],[Due date]]-AsOf&lt;=DueSoonDays,"Due soon","OK"))))</f>
        <v>Complete</v>
      </c>
      <c r="M87" s="36">
        <f>IF(tblElements[[#This Row],[PPAP no.]]="","",IF(OR(DashCustomer="",tblElements[[#This Row],[Customer]]=DashCustomer),1,0))</f>
        <v>1</v>
      </c>
      <c r="N8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87" s="41" t="s">
        <v>169</v>
      </c>
    </row>
    <row r="88" spans="2:15">
      <c r="B88" s="28" t="s">
        <v>187</v>
      </c>
      <c r="C88" s="28" t="s">
        <v>131</v>
      </c>
      <c r="D88" s="28" t="s">
        <v>108</v>
      </c>
      <c r="E88" s="29">
        <v>46309</v>
      </c>
      <c r="F88" s="28" t="s">
        <v>221</v>
      </c>
      <c r="G88" s="29"/>
      <c r="H88" s="42" t="str">
        <f>IF(tblElements[[#This Row],[PPAP no.]]="","",IFERROR(INDEX(tblPPAPs[Part number],MATCH(tblElements[[#This Row],[PPAP no.]],tblPPAPs[PPAP no.],0)),""))</f>
        <v>MT-5502</v>
      </c>
      <c r="I88" s="42" t="str">
        <f>IF(tblElements[[#This Row],[PPAP no.]]="","",IFERROR(INDEX(tblPPAPs[Customer],MATCH(tblElements[[#This Row],[PPAP no.]],tblPPAPs[PPAP no.],0)),""))</f>
        <v>Northline Motors (example)</v>
      </c>
      <c r="J88" s="36">
        <f>IF(tblElements[[#This Row],[PPAP no.]]="","",IFERROR(INDEX(tblPPAPs[Open],MATCH(tblElements[[#This Row],[PPAP no.]],tblPPAPs[PPAP no.],0)),""))</f>
        <v>1</v>
      </c>
      <c r="K88" s="43">
        <f>IF(tblElements[[#This Row],[PPAP no.]]="","",IF(tblElements[[#This Row],[Status]]="Complete","",tblElements[[#This Row],[Due date]]-AsOf))</f>
        <v>5</v>
      </c>
      <c r="L88" s="39" t="str">
        <f>IF(tblElements[[#This Row],[PPAP no.]]="","",IF(tblElements[[#This Row],[Status]]="Complete","Complete",IF(AsOf&gt;tblElements[[#This Row],[Due date]],"Overdue",IF(tblElements[[#This Row],[Due date]]-AsOf&lt;=DueSoonDays,"Due soon","OK"))))</f>
        <v>Due soon</v>
      </c>
      <c r="M88" s="36">
        <f>IF(tblElements[[#This Row],[PPAP no.]]="","",IF(OR(DashCustomer="",tblElements[[#This Row],[Customer]]=DashCustomer),1,0))</f>
        <v>1</v>
      </c>
      <c r="N8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88" s="41" t="s">
        <v>222</v>
      </c>
    </row>
    <row r="89" spans="2:15">
      <c r="B89" s="28" t="s">
        <v>187</v>
      </c>
      <c r="C89" s="28" t="s">
        <v>134</v>
      </c>
      <c r="D89" s="28" t="s">
        <v>114</v>
      </c>
      <c r="E89" s="29">
        <v>46241</v>
      </c>
      <c r="F89" s="28" t="s">
        <v>151</v>
      </c>
      <c r="G89" s="29">
        <v>46235</v>
      </c>
      <c r="H89" s="42" t="str">
        <f>IF(tblElements[[#This Row],[PPAP no.]]="","",IFERROR(INDEX(tblPPAPs[Part number],MATCH(tblElements[[#This Row],[PPAP no.]],tblPPAPs[PPAP no.],0)),""))</f>
        <v>MT-5502</v>
      </c>
      <c r="I89" s="42" t="str">
        <f>IF(tblElements[[#This Row],[PPAP no.]]="","",IFERROR(INDEX(tblPPAPs[Customer],MATCH(tblElements[[#This Row],[PPAP no.]],tblPPAPs[PPAP no.],0)),""))</f>
        <v>Northline Motors (example)</v>
      </c>
      <c r="J89" s="36">
        <f>IF(tblElements[[#This Row],[PPAP no.]]="","",IFERROR(INDEX(tblPPAPs[Open],MATCH(tblElements[[#This Row],[PPAP no.]],tblPPAPs[PPAP no.],0)),""))</f>
        <v>1</v>
      </c>
      <c r="K89" s="43">
        <f>IF(tblElements[[#This Row],[PPAP no.]]="","",IF(tblElements[[#This Row],[Status]]="Complete","",tblElements[[#This Row],[Due date]]-AsOf))</f>
        <v/>
      </c>
      <c r="L89" s="39" t="str">
        <f>IF(tblElements[[#This Row],[PPAP no.]]="","",IF(tblElements[[#This Row],[Status]]="Complete","Complete",IF(AsOf&gt;tblElements[[#This Row],[Due date]],"Overdue",IF(tblElements[[#This Row],[Due date]]-AsOf&lt;=DueSoonDays,"Due soon","OK"))))</f>
        <v>Complete</v>
      </c>
      <c r="M89" s="36">
        <f>IF(tblElements[[#This Row],[PPAP no.]]="","",IF(OR(DashCustomer="",tblElements[[#This Row],[Customer]]=DashCustomer),1,0))</f>
        <v>1</v>
      </c>
      <c r="N8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89" s="41" t="s">
        <v>169</v>
      </c>
    </row>
    <row r="90" spans="2:15">
      <c r="B90" s="28" t="s">
        <v>187</v>
      </c>
      <c r="C90" s="28" t="s">
        <v>135</v>
      </c>
      <c r="D90" s="28" t="s">
        <v>108</v>
      </c>
      <c r="E90" s="29">
        <v>46241</v>
      </c>
      <c r="F90" s="28" t="s">
        <v>151</v>
      </c>
      <c r="G90" s="29">
        <v>46241</v>
      </c>
      <c r="H90" s="42" t="str">
        <f>IF(tblElements[[#This Row],[PPAP no.]]="","",IFERROR(INDEX(tblPPAPs[Part number],MATCH(tblElements[[#This Row],[PPAP no.]],tblPPAPs[PPAP no.],0)),""))</f>
        <v>MT-5502</v>
      </c>
      <c r="I90" s="42" t="str">
        <f>IF(tblElements[[#This Row],[PPAP no.]]="","",IFERROR(INDEX(tblPPAPs[Customer],MATCH(tblElements[[#This Row],[PPAP no.]],tblPPAPs[PPAP no.],0)),""))</f>
        <v>Northline Motors (example)</v>
      </c>
      <c r="J90" s="36">
        <f>IF(tblElements[[#This Row],[PPAP no.]]="","",IFERROR(INDEX(tblPPAPs[Open],MATCH(tblElements[[#This Row],[PPAP no.]],tblPPAPs[PPAP no.],0)),""))</f>
        <v>1</v>
      </c>
      <c r="K90" s="43">
        <f>IF(tblElements[[#This Row],[PPAP no.]]="","",IF(tblElements[[#This Row],[Status]]="Complete","",tblElements[[#This Row],[Due date]]-AsOf))</f>
        <v/>
      </c>
      <c r="L90" s="39" t="str">
        <f>IF(tblElements[[#This Row],[PPAP no.]]="","",IF(tblElements[[#This Row],[Status]]="Complete","Complete",IF(AsOf&gt;tblElements[[#This Row],[Due date]],"Overdue",IF(tblElements[[#This Row],[Due date]]-AsOf&lt;=DueSoonDays,"Due soon","OK"))))</f>
        <v>Complete</v>
      </c>
      <c r="M90" s="36">
        <f>IF(tblElements[[#This Row],[PPAP no.]]="","",IF(OR(DashCustomer="",tblElements[[#This Row],[Customer]]=DashCustomer),1,0))</f>
        <v>1</v>
      </c>
      <c r="N9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90" s="41" t="s">
        <v>169</v>
      </c>
    </row>
    <row r="91" spans="2:15">
      <c r="B91" s="28" t="s">
        <v>187</v>
      </c>
      <c r="C91" s="28" t="s">
        <v>137</v>
      </c>
      <c r="D91" s="28" t="s">
        <v>108</v>
      </c>
      <c r="E91" s="29">
        <v>46245</v>
      </c>
      <c r="F91" s="28" t="s">
        <v>221</v>
      </c>
      <c r="G91" s="29"/>
      <c r="H91" s="42" t="str">
        <f>IF(tblElements[[#This Row],[PPAP no.]]="","",IFERROR(INDEX(tblPPAPs[Part number],MATCH(tblElements[[#This Row],[PPAP no.]],tblPPAPs[PPAP no.],0)),""))</f>
        <v>MT-5502</v>
      </c>
      <c r="I91" s="42" t="str">
        <f>IF(tblElements[[#This Row],[PPAP no.]]="","",IFERROR(INDEX(tblPPAPs[Customer],MATCH(tblElements[[#This Row],[PPAP no.]],tblPPAPs[PPAP no.],0)),""))</f>
        <v>Northline Motors (example)</v>
      </c>
      <c r="J91" s="36">
        <f>IF(tblElements[[#This Row],[PPAP no.]]="","",IFERROR(INDEX(tblPPAPs[Open],MATCH(tblElements[[#This Row],[PPAP no.]],tblPPAPs[PPAP no.],0)),""))</f>
        <v>1</v>
      </c>
      <c r="K91" s="43">
        <f>IF(tblElements[[#This Row],[PPAP no.]]="","",IF(tblElements[[#This Row],[Status]]="Complete","",tblElements[[#This Row],[Due date]]-AsOf))</f>
        <v>-59</v>
      </c>
      <c r="L91" s="39" t="str">
        <f>IF(tblElements[[#This Row],[PPAP no.]]="","",IF(tblElements[[#This Row],[Status]]="Complete","Complete",IF(AsOf&gt;tblElements[[#This Row],[Due date]],"Overdue",IF(tblElements[[#This Row],[Due date]]-AsOf&lt;=DueSoonDays,"Due soon","OK"))))</f>
        <v>Overdue</v>
      </c>
      <c r="M91" s="36">
        <f>IF(tblElements[[#This Row],[PPAP no.]]="","",IF(OR(DashCustomer="",tblElements[[#This Row],[Customer]]=DashCustomer),1,0))</f>
        <v>1</v>
      </c>
      <c r="N91"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91" s="41" t="s">
        <v>169</v>
      </c>
    </row>
    <row r="92" spans="2:15">
      <c r="B92" s="28" t="s">
        <v>187</v>
      </c>
      <c r="C92" s="28" t="s">
        <v>138</v>
      </c>
      <c r="D92" s="28" t="s">
        <v>108</v>
      </c>
      <c r="E92" s="29">
        <v>46310</v>
      </c>
      <c r="F92" s="28" t="s">
        <v>223</v>
      </c>
      <c r="G92" s="29"/>
      <c r="H92" s="42" t="str">
        <f>IF(tblElements[[#This Row],[PPAP no.]]="","",IFERROR(INDEX(tblPPAPs[Part number],MATCH(tblElements[[#This Row],[PPAP no.]],tblPPAPs[PPAP no.],0)),""))</f>
        <v>MT-5502</v>
      </c>
      <c r="I92" s="42" t="str">
        <f>IF(tblElements[[#This Row],[PPAP no.]]="","",IFERROR(INDEX(tblPPAPs[Customer],MATCH(tblElements[[#This Row],[PPAP no.]],tblPPAPs[PPAP no.],0)),""))</f>
        <v>Northline Motors (example)</v>
      </c>
      <c r="J92" s="36">
        <f>IF(tblElements[[#This Row],[PPAP no.]]="","",IFERROR(INDEX(tblPPAPs[Open],MATCH(tblElements[[#This Row],[PPAP no.]],tblPPAPs[PPAP no.],0)),""))</f>
        <v>1</v>
      </c>
      <c r="K92" s="43">
        <f>IF(tblElements[[#This Row],[PPAP no.]]="","",IF(tblElements[[#This Row],[Status]]="Complete","",tblElements[[#This Row],[Due date]]-AsOf))</f>
        <v>6</v>
      </c>
      <c r="L92" s="39" t="str">
        <f>IF(tblElements[[#This Row],[PPAP no.]]="","",IF(tblElements[[#This Row],[Status]]="Complete","Complete",IF(AsOf&gt;tblElements[[#This Row],[Due date]],"Overdue",IF(tblElements[[#This Row],[Due date]]-AsOf&lt;=DueSoonDays,"Due soon","OK"))))</f>
        <v>Due soon</v>
      </c>
      <c r="M92" s="36">
        <f>IF(tblElements[[#This Row],[PPAP no.]]="","",IF(OR(DashCustomer="",tblElements[[#This Row],[Customer]]=DashCustomer),1,0))</f>
        <v>1</v>
      </c>
      <c r="N92"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92" s="41" t="s">
        <v>169</v>
      </c>
    </row>
    <row r="93" spans="2:15">
      <c r="B93" s="28" t="s">
        <v>192</v>
      </c>
      <c r="C93" s="28" t="s">
        <v>121</v>
      </c>
      <c r="D93" s="28" t="s">
        <v>110</v>
      </c>
      <c r="E93" s="29">
        <v>46220</v>
      </c>
      <c r="F93" s="28" t="s">
        <v>151</v>
      </c>
      <c r="G93" s="29">
        <v>46219</v>
      </c>
      <c r="H93" s="42" t="str">
        <f>IF(tblElements[[#This Row],[PPAP no.]]="","",IFERROR(INDEX(tblPPAPs[Part number],MATCH(tblElements[[#This Row],[PPAP no.]],tblPPAPs[PPAP no.],0)),""))</f>
        <v>BK-7710</v>
      </c>
      <c r="I93" s="42" t="str">
        <f>IF(tblElements[[#This Row],[PPAP no.]]="","",IFERROR(INDEX(tblPPAPs[Customer],MATCH(tblElements[[#This Row],[PPAP no.]],tblPPAPs[PPAP no.],0)),""))</f>
        <v>Brightway Axles (example)</v>
      </c>
      <c r="J93" s="36">
        <f>IF(tblElements[[#This Row],[PPAP no.]]="","",IFERROR(INDEX(tblPPAPs[Open],MATCH(tblElements[[#This Row],[PPAP no.]],tblPPAPs[PPAP no.],0)),""))</f>
        <v>1</v>
      </c>
      <c r="K93" s="43">
        <f>IF(tblElements[[#This Row],[PPAP no.]]="","",IF(tblElements[[#This Row],[Status]]="Complete","",tblElements[[#This Row],[Due date]]-AsOf))</f>
        <v/>
      </c>
      <c r="L93" s="39" t="str">
        <f>IF(tblElements[[#This Row],[PPAP no.]]="","",IF(tblElements[[#This Row],[Status]]="Complete","Complete",IF(AsOf&gt;tblElements[[#This Row],[Due date]],"Overdue",IF(tblElements[[#This Row],[Due date]]-AsOf&lt;=DueSoonDays,"Due soon","OK"))))</f>
        <v>Complete</v>
      </c>
      <c r="M93" s="36">
        <f>IF(tblElements[[#This Row],[PPAP no.]]="","",IF(OR(DashCustomer="",tblElements[[#This Row],[Customer]]=DashCustomer),1,0))</f>
        <v>1</v>
      </c>
      <c r="N93"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93" s="41" t="s">
        <v>169</v>
      </c>
    </row>
    <row r="94" spans="2:15">
      <c r="B94" s="28" t="s">
        <v>192</v>
      </c>
      <c r="C94" s="28" t="s">
        <v>124</v>
      </c>
      <c r="D94" s="28" t="s">
        <v>110</v>
      </c>
      <c r="E94" s="29">
        <v>46227</v>
      </c>
      <c r="F94" s="28" t="s">
        <v>151</v>
      </c>
      <c r="G94" s="29">
        <v>46229</v>
      </c>
      <c r="H94" s="42" t="str">
        <f>IF(tblElements[[#This Row],[PPAP no.]]="","",IFERROR(INDEX(tblPPAPs[Part number],MATCH(tblElements[[#This Row],[PPAP no.]],tblPPAPs[PPAP no.],0)),""))</f>
        <v>BK-7710</v>
      </c>
      <c r="I94" s="42" t="str">
        <f>IF(tblElements[[#This Row],[PPAP no.]]="","",IFERROR(INDEX(tblPPAPs[Customer],MATCH(tblElements[[#This Row],[PPAP no.]],tblPPAPs[PPAP no.],0)),""))</f>
        <v>Brightway Axles (example)</v>
      </c>
      <c r="J94" s="36">
        <f>IF(tblElements[[#This Row],[PPAP no.]]="","",IFERROR(INDEX(tblPPAPs[Open],MATCH(tblElements[[#This Row],[PPAP no.]],tblPPAPs[PPAP no.],0)),""))</f>
        <v>1</v>
      </c>
      <c r="K94" s="43">
        <f>IF(tblElements[[#This Row],[PPAP no.]]="","",IF(tblElements[[#This Row],[Status]]="Complete","",tblElements[[#This Row],[Due date]]-AsOf))</f>
        <v/>
      </c>
      <c r="L94" s="39" t="str">
        <f>IF(tblElements[[#This Row],[PPAP no.]]="","",IF(tblElements[[#This Row],[Status]]="Complete","Complete",IF(AsOf&gt;tblElements[[#This Row],[Due date]],"Overdue",IF(tblElements[[#This Row],[Due date]]-AsOf&lt;=DueSoonDays,"Due soon","OK"))))</f>
        <v>Complete</v>
      </c>
      <c r="M94" s="36">
        <f>IF(tblElements[[#This Row],[PPAP no.]]="","",IF(OR(DashCustomer="",tblElements[[#This Row],[Customer]]=DashCustomer),1,0))</f>
        <v>1</v>
      </c>
      <c r="N94"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94" s="41" t="s">
        <v>169</v>
      </c>
    </row>
    <row r="95" spans="2:15">
      <c r="B95" s="28" t="s">
        <v>192</v>
      </c>
      <c r="C95" s="28" t="s">
        <v>125</v>
      </c>
      <c r="D95" s="28" t="s">
        <v>110</v>
      </c>
      <c r="E95" s="29">
        <v>46227</v>
      </c>
      <c r="F95" s="28" t="s">
        <v>151</v>
      </c>
      <c r="G95" s="29">
        <v>46231</v>
      </c>
      <c r="H95" s="42" t="str">
        <f>IF(tblElements[[#This Row],[PPAP no.]]="","",IFERROR(INDEX(tblPPAPs[Part number],MATCH(tblElements[[#This Row],[PPAP no.]],tblPPAPs[PPAP no.],0)),""))</f>
        <v>BK-7710</v>
      </c>
      <c r="I95" s="42" t="str">
        <f>IF(tblElements[[#This Row],[PPAP no.]]="","",IFERROR(INDEX(tblPPAPs[Customer],MATCH(tblElements[[#This Row],[PPAP no.]],tblPPAPs[PPAP no.],0)),""))</f>
        <v>Brightway Axles (example)</v>
      </c>
      <c r="J95" s="36">
        <f>IF(tblElements[[#This Row],[PPAP no.]]="","",IFERROR(INDEX(tblPPAPs[Open],MATCH(tblElements[[#This Row],[PPAP no.]],tblPPAPs[PPAP no.],0)),""))</f>
        <v>1</v>
      </c>
      <c r="K95" s="43">
        <f>IF(tblElements[[#This Row],[PPAP no.]]="","",IF(tblElements[[#This Row],[Status]]="Complete","",tblElements[[#This Row],[Due date]]-AsOf))</f>
        <v/>
      </c>
      <c r="L95" s="39" t="str">
        <f>IF(tblElements[[#This Row],[PPAP no.]]="","",IF(tblElements[[#This Row],[Status]]="Complete","Complete",IF(AsOf&gt;tblElements[[#This Row],[Due date]],"Overdue",IF(tblElements[[#This Row],[Due date]]-AsOf&lt;=DueSoonDays,"Due soon","OK"))))</f>
        <v>Complete</v>
      </c>
      <c r="M95" s="36">
        <f>IF(tblElements[[#This Row],[PPAP no.]]="","",IF(OR(DashCustomer="",tblElements[[#This Row],[Customer]]=DashCustomer),1,0))</f>
        <v>1</v>
      </c>
      <c r="N95"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95" s="41" t="s">
        <v>169</v>
      </c>
    </row>
    <row r="96" spans="2:15">
      <c r="B96" s="28" t="s">
        <v>192</v>
      </c>
      <c r="C96" s="28" t="s">
        <v>126</v>
      </c>
      <c r="D96" s="28" t="s">
        <v>108</v>
      </c>
      <c r="E96" s="29">
        <v>46234</v>
      </c>
      <c r="F96" s="28" t="s">
        <v>151</v>
      </c>
      <c r="G96" s="29">
        <v>46229</v>
      </c>
      <c r="H96" s="42" t="str">
        <f>IF(tblElements[[#This Row],[PPAP no.]]="","",IFERROR(INDEX(tblPPAPs[Part number],MATCH(tblElements[[#This Row],[PPAP no.]],tblPPAPs[PPAP no.],0)),""))</f>
        <v>BK-7710</v>
      </c>
      <c r="I96" s="42" t="str">
        <f>IF(tblElements[[#This Row],[PPAP no.]]="","",IFERROR(INDEX(tblPPAPs[Customer],MATCH(tblElements[[#This Row],[PPAP no.]],tblPPAPs[PPAP no.],0)),""))</f>
        <v>Brightway Axles (example)</v>
      </c>
      <c r="J96" s="36">
        <f>IF(tblElements[[#This Row],[PPAP no.]]="","",IFERROR(INDEX(tblPPAPs[Open],MATCH(tblElements[[#This Row],[PPAP no.]],tblPPAPs[PPAP no.],0)),""))</f>
        <v>1</v>
      </c>
      <c r="K96" s="43">
        <f>IF(tblElements[[#This Row],[PPAP no.]]="","",IF(tblElements[[#This Row],[Status]]="Complete","",tblElements[[#This Row],[Due date]]-AsOf))</f>
        <v/>
      </c>
      <c r="L96" s="39" t="str">
        <f>IF(tblElements[[#This Row],[PPAP no.]]="","",IF(tblElements[[#This Row],[Status]]="Complete","Complete",IF(AsOf&gt;tblElements[[#This Row],[Due date]],"Overdue",IF(tblElements[[#This Row],[Due date]]-AsOf&lt;=DueSoonDays,"Due soon","OK"))))</f>
        <v>Complete</v>
      </c>
      <c r="M96" s="36">
        <f>IF(tblElements[[#This Row],[PPAP no.]]="","",IF(OR(DashCustomer="",tblElements[[#This Row],[Customer]]=DashCustomer),1,0))</f>
        <v>1</v>
      </c>
      <c r="N9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96" s="41" t="s">
        <v>169</v>
      </c>
    </row>
    <row r="97" spans="2:15">
      <c r="B97" s="28" t="s">
        <v>192</v>
      </c>
      <c r="C97" s="28" t="s">
        <v>127</v>
      </c>
      <c r="D97" s="28" t="s">
        <v>108</v>
      </c>
      <c r="E97" s="29">
        <v>46248</v>
      </c>
      <c r="F97" s="28" t="s">
        <v>151</v>
      </c>
      <c r="G97" s="29">
        <v>46245</v>
      </c>
      <c r="H97" s="42" t="str">
        <f>IF(tblElements[[#This Row],[PPAP no.]]="","",IFERROR(INDEX(tblPPAPs[Part number],MATCH(tblElements[[#This Row],[PPAP no.]],tblPPAPs[PPAP no.],0)),""))</f>
        <v>BK-7710</v>
      </c>
      <c r="I97" s="42" t="str">
        <f>IF(tblElements[[#This Row],[PPAP no.]]="","",IFERROR(INDEX(tblPPAPs[Customer],MATCH(tblElements[[#This Row],[PPAP no.]],tblPPAPs[PPAP no.],0)),""))</f>
        <v>Brightway Axles (example)</v>
      </c>
      <c r="J97" s="36">
        <f>IF(tblElements[[#This Row],[PPAP no.]]="","",IFERROR(INDEX(tblPPAPs[Open],MATCH(tblElements[[#This Row],[PPAP no.]],tblPPAPs[PPAP no.],0)),""))</f>
        <v>1</v>
      </c>
      <c r="K97" s="43">
        <f>IF(tblElements[[#This Row],[PPAP no.]]="","",IF(tblElements[[#This Row],[Status]]="Complete","",tblElements[[#This Row],[Due date]]-AsOf))</f>
        <v/>
      </c>
      <c r="L97" s="39" t="str">
        <f>IF(tblElements[[#This Row],[PPAP no.]]="","",IF(tblElements[[#This Row],[Status]]="Complete","Complete",IF(AsOf&gt;tblElements[[#This Row],[Due date]],"Overdue",IF(tblElements[[#This Row],[Due date]]-AsOf&lt;=DueSoonDays,"Due soon","OK"))))</f>
        <v>Complete</v>
      </c>
      <c r="M97" s="36">
        <f>IF(tblElements[[#This Row],[PPAP no.]]="","",IF(OR(DashCustomer="",tblElements[[#This Row],[Customer]]=DashCustomer),1,0))</f>
        <v>1</v>
      </c>
      <c r="N9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97" s="41" t="s">
        <v>169</v>
      </c>
    </row>
    <row r="98" spans="2:15">
      <c r="B98" s="28" t="s">
        <v>192</v>
      </c>
      <c r="C98" s="28" t="s">
        <v>128</v>
      </c>
      <c r="D98" s="28" t="s">
        <v>112</v>
      </c>
      <c r="E98" s="29">
        <v>46255</v>
      </c>
      <c r="F98" s="28" t="s">
        <v>151</v>
      </c>
      <c r="G98" s="29">
        <v>46253</v>
      </c>
      <c r="H98" s="42" t="str">
        <f>IF(tblElements[[#This Row],[PPAP no.]]="","",IFERROR(INDEX(tblPPAPs[Part number],MATCH(tblElements[[#This Row],[PPAP no.]],tblPPAPs[PPAP no.],0)),""))</f>
        <v>BK-7710</v>
      </c>
      <c r="I98" s="42" t="str">
        <f>IF(tblElements[[#This Row],[PPAP no.]]="","",IFERROR(INDEX(tblPPAPs[Customer],MATCH(tblElements[[#This Row],[PPAP no.]],tblPPAPs[PPAP no.],0)),""))</f>
        <v>Brightway Axles (example)</v>
      </c>
      <c r="J98" s="36">
        <f>IF(tblElements[[#This Row],[PPAP no.]]="","",IFERROR(INDEX(tblPPAPs[Open],MATCH(tblElements[[#This Row],[PPAP no.]],tblPPAPs[PPAP no.],0)),""))</f>
        <v>1</v>
      </c>
      <c r="K98" s="43">
        <f>IF(tblElements[[#This Row],[PPAP no.]]="","",IF(tblElements[[#This Row],[Status]]="Complete","",tblElements[[#This Row],[Due date]]-AsOf))</f>
        <v/>
      </c>
      <c r="L98" s="39" t="str">
        <f>IF(tblElements[[#This Row],[PPAP no.]]="","",IF(tblElements[[#This Row],[Status]]="Complete","Complete",IF(AsOf&gt;tblElements[[#This Row],[Due date]],"Overdue",IF(tblElements[[#This Row],[Due date]]-AsOf&lt;=DueSoonDays,"Due soon","OK"))))</f>
        <v>Complete</v>
      </c>
      <c r="M98" s="36">
        <f>IF(tblElements[[#This Row],[PPAP no.]]="","",IF(OR(DashCustomer="",tblElements[[#This Row],[Customer]]=DashCustomer),1,0))</f>
        <v>1</v>
      </c>
      <c r="N9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98" s="41" t="s">
        <v>169</v>
      </c>
    </row>
    <row r="99" spans="2:15">
      <c r="B99" s="28" t="s">
        <v>192</v>
      </c>
      <c r="C99" s="28" t="s">
        <v>136</v>
      </c>
      <c r="D99" s="28" t="s">
        <v>116</v>
      </c>
      <c r="E99" s="29">
        <v>46255</v>
      </c>
      <c r="F99" s="28" t="s">
        <v>151</v>
      </c>
      <c r="G99" s="29">
        <v>46258</v>
      </c>
      <c r="H99" s="42" t="str">
        <f>IF(tblElements[[#This Row],[PPAP no.]]="","",IFERROR(INDEX(tblPPAPs[Part number],MATCH(tblElements[[#This Row],[PPAP no.]],tblPPAPs[PPAP no.],0)),""))</f>
        <v>BK-7710</v>
      </c>
      <c r="I99" s="42" t="str">
        <f>IF(tblElements[[#This Row],[PPAP no.]]="","",IFERROR(INDEX(tblPPAPs[Customer],MATCH(tblElements[[#This Row],[PPAP no.]],tblPPAPs[PPAP no.],0)),""))</f>
        <v>Brightway Axles (example)</v>
      </c>
      <c r="J99" s="36">
        <f>IF(tblElements[[#This Row],[PPAP no.]]="","",IFERROR(INDEX(tblPPAPs[Open],MATCH(tblElements[[#This Row],[PPAP no.]],tblPPAPs[PPAP no.],0)),""))</f>
        <v>1</v>
      </c>
      <c r="K99" s="43">
        <f>IF(tblElements[[#This Row],[PPAP no.]]="","",IF(tblElements[[#This Row],[Status]]="Complete","",tblElements[[#This Row],[Due date]]-AsOf))</f>
        <v/>
      </c>
      <c r="L99" s="39" t="str">
        <f>IF(tblElements[[#This Row],[PPAP no.]]="","",IF(tblElements[[#This Row],[Status]]="Complete","Complete",IF(AsOf&gt;tblElements[[#This Row],[Due date]],"Overdue",IF(tblElements[[#This Row],[Due date]]-AsOf&lt;=DueSoonDays,"Due soon","OK"))))</f>
        <v>Complete</v>
      </c>
      <c r="M99" s="36">
        <f>IF(tblElements[[#This Row],[PPAP no.]]="","",IF(OR(DashCustomer="",tblElements[[#This Row],[Customer]]=DashCustomer),1,0))</f>
        <v>1</v>
      </c>
      <c r="N9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99" s="41" t="s">
        <v>169</v>
      </c>
    </row>
    <row r="100" spans="2:15">
      <c r="B100" s="28" t="s">
        <v>192</v>
      </c>
      <c r="C100" s="28" t="s">
        <v>129</v>
      </c>
      <c r="D100" s="28" t="s">
        <v>112</v>
      </c>
      <c r="E100" s="29">
        <v>46262</v>
      </c>
      <c r="F100" s="28" t="s">
        <v>151</v>
      </c>
      <c r="G100" s="29">
        <v>46264</v>
      </c>
      <c r="H100" s="42" t="str">
        <f>IF(tblElements[[#This Row],[PPAP no.]]="","",IFERROR(INDEX(tblPPAPs[Part number],MATCH(tblElements[[#This Row],[PPAP no.]],tblPPAPs[PPAP no.],0)),""))</f>
        <v>BK-7710</v>
      </c>
      <c r="I100" s="42" t="str">
        <f>IF(tblElements[[#This Row],[PPAP no.]]="","",IFERROR(INDEX(tblPPAPs[Customer],MATCH(tblElements[[#This Row],[PPAP no.]],tblPPAPs[PPAP no.],0)),""))</f>
        <v>Brightway Axles (example)</v>
      </c>
      <c r="J100" s="36">
        <f>IF(tblElements[[#This Row],[PPAP no.]]="","",IFERROR(INDEX(tblPPAPs[Open],MATCH(tblElements[[#This Row],[PPAP no.]],tblPPAPs[PPAP no.],0)),""))</f>
        <v>1</v>
      </c>
      <c r="K100" s="43">
        <f>IF(tblElements[[#This Row],[PPAP no.]]="","",IF(tblElements[[#This Row],[Status]]="Complete","",tblElements[[#This Row],[Due date]]-AsOf))</f>
        <v/>
      </c>
      <c r="L100" s="39" t="str">
        <f>IF(tblElements[[#This Row],[PPAP no.]]="","",IF(tblElements[[#This Row],[Status]]="Complete","Complete",IF(AsOf&gt;tblElements[[#This Row],[Due date]],"Overdue",IF(tblElements[[#This Row],[Due date]]-AsOf&lt;=DueSoonDays,"Due soon","OK"))))</f>
        <v>Complete</v>
      </c>
      <c r="M100" s="36">
        <f>IF(tblElements[[#This Row],[PPAP no.]]="","",IF(OR(DashCustomer="",tblElements[[#This Row],[Customer]]=DashCustomer),1,0))</f>
        <v>1</v>
      </c>
      <c r="N10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00" s="41" t="s">
        <v>169</v>
      </c>
    </row>
    <row r="101" spans="2:15">
      <c r="B101" s="28" t="s">
        <v>192</v>
      </c>
      <c r="C101" s="28" t="s">
        <v>130</v>
      </c>
      <c r="D101" s="28" t="s">
        <v>118</v>
      </c>
      <c r="E101" s="29">
        <v>46262</v>
      </c>
      <c r="F101" s="28" t="s">
        <v>151</v>
      </c>
      <c r="G101" s="29">
        <v>46257</v>
      </c>
      <c r="H101" s="42" t="str">
        <f>IF(tblElements[[#This Row],[PPAP no.]]="","",IFERROR(INDEX(tblPPAPs[Part number],MATCH(tblElements[[#This Row],[PPAP no.]],tblPPAPs[PPAP no.],0)),""))</f>
        <v>BK-7710</v>
      </c>
      <c r="I101" s="42" t="str">
        <f>IF(tblElements[[#This Row],[PPAP no.]]="","",IFERROR(INDEX(tblPPAPs[Customer],MATCH(tblElements[[#This Row],[PPAP no.]],tblPPAPs[PPAP no.],0)),""))</f>
        <v>Brightway Axles (example)</v>
      </c>
      <c r="J101" s="36">
        <f>IF(tblElements[[#This Row],[PPAP no.]]="","",IFERROR(INDEX(tblPPAPs[Open],MATCH(tblElements[[#This Row],[PPAP no.]],tblPPAPs[PPAP no.],0)),""))</f>
        <v>1</v>
      </c>
      <c r="K101" s="43">
        <f>IF(tblElements[[#This Row],[PPAP no.]]="","",IF(tblElements[[#This Row],[Status]]="Complete","",tblElements[[#This Row],[Due date]]-AsOf))</f>
        <v/>
      </c>
      <c r="L101" s="39" t="str">
        <f>IF(tblElements[[#This Row],[PPAP no.]]="","",IF(tblElements[[#This Row],[Status]]="Complete","Complete",IF(AsOf&gt;tblElements[[#This Row],[Due date]],"Overdue",IF(tblElements[[#This Row],[Due date]]-AsOf&lt;=DueSoonDays,"Due soon","OK"))))</f>
        <v>Complete</v>
      </c>
      <c r="M101" s="36">
        <f>IF(tblElements[[#This Row],[PPAP no.]]="","",IF(OR(DashCustomer="",tblElements[[#This Row],[Customer]]=DashCustomer),1,0))</f>
        <v>1</v>
      </c>
      <c r="N101"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01" s="41" t="s">
        <v>169</v>
      </c>
    </row>
    <row r="102" spans="2:15">
      <c r="B102" s="28" t="s">
        <v>192</v>
      </c>
      <c r="C102" s="28" t="s">
        <v>132</v>
      </c>
      <c r="D102" s="28" t="s">
        <v>108</v>
      </c>
      <c r="E102" s="29">
        <v>46262</v>
      </c>
      <c r="F102" s="28" t="s">
        <v>151</v>
      </c>
      <c r="G102" s="29">
        <v>46257</v>
      </c>
      <c r="H102" s="42" t="str">
        <f>IF(tblElements[[#This Row],[PPAP no.]]="","",IFERROR(INDEX(tblPPAPs[Part number],MATCH(tblElements[[#This Row],[PPAP no.]],tblPPAPs[PPAP no.],0)),""))</f>
        <v>BK-7710</v>
      </c>
      <c r="I102" s="42" t="str">
        <f>IF(tblElements[[#This Row],[PPAP no.]]="","",IFERROR(INDEX(tblPPAPs[Customer],MATCH(tblElements[[#This Row],[PPAP no.]],tblPPAPs[PPAP no.],0)),""))</f>
        <v>Brightway Axles (example)</v>
      </c>
      <c r="J102" s="36">
        <f>IF(tblElements[[#This Row],[PPAP no.]]="","",IFERROR(INDEX(tblPPAPs[Open],MATCH(tblElements[[#This Row],[PPAP no.]],tblPPAPs[PPAP no.],0)),""))</f>
        <v>1</v>
      </c>
      <c r="K102" s="43">
        <f>IF(tblElements[[#This Row],[PPAP no.]]="","",IF(tblElements[[#This Row],[Status]]="Complete","",tblElements[[#This Row],[Due date]]-AsOf))</f>
        <v/>
      </c>
      <c r="L102" s="39" t="str">
        <f>IF(tblElements[[#This Row],[PPAP no.]]="","",IF(tblElements[[#This Row],[Status]]="Complete","Complete",IF(AsOf&gt;tblElements[[#This Row],[Due date]],"Overdue",IF(tblElements[[#This Row],[Due date]]-AsOf&lt;=DueSoonDays,"Due soon","OK"))))</f>
        <v>Complete</v>
      </c>
      <c r="M102" s="36">
        <f>IF(tblElements[[#This Row],[PPAP no.]]="","",IF(OR(DashCustomer="",tblElements[[#This Row],[Customer]]=DashCustomer),1,0))</f>
        <v>1</v>
      </c>
      <c r="N102"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02" s="41" t="s">
        <v>169</v>
      </c>
    </row>
    <row r="103" spans="2:15">
      <c r="B103" s="28" t="s">
        <v>192</v>
      </c>
      <c r="C103" s="28" t="s">
        <v>131</v>
      </c>
      <c r="D103" s="28" t="s">
        <v>108</v>
      </c>
      <c r="E103" s="29">
        <v>46269</v>
      </c>
      <c r="F103" s="28" t="s">
        <v>151</v>
      </c>
      <c r="G103" s="29">
        <v>46273</v>
      </c>
      <c r="H103" s="42" t="str">
        <f>IF(tblElements[[#This Row],[PPAP no.]]="","",IFERROR(INDEX(tblPPAPs[Part number],MATCH(tblElements[[#This Row],[PPAP no.]],tblPPAPs[PPAP no.],0)),""))</f>
        <v>BK-7710</v>
      </c>
      <c r="I103" s="42" t="str">
        <f>IF(tblElements[[#This Row],[PPAP no.]]="","",IFERROR(INDEX(tblPPAPs[Customer],MATCH(tblElements[[#This Row],[PPAP no.]],tblPPAPs[PPAP no.],0)),""))</f>
        <v>Brightway Axles (example)</v>
      </c>
      <c r="J103" s="36">
        <f>IF(tblElements[[#This Row],[PPAP no.]]="","",IFERROR(INDEX(tblPPAPs[Open],MATCH(tblElements[[#This Row],[PPAP no.]],tblPPAPs[PPAP no.],0)),""))</f>
        <v>1</v>
      </c>
      <c r="K103" s="43">
        <f>IF(tblElements[[#This Row],[PPAP no.]]="","",IF(tblElements[[#This Row],[Status]]="Complete","",tblElements[[#This Row],[Due date]]-AsOf))</f>
        <v/>
      </c>
      <c r="L103" s="39" t="str">
        <f>IF(tblElements[[#This Row],[PPAP no.]]="","",IF(tblElements[[#This Row],[Status]]="Complete","Complete",IF(AsOf&gt;tblElements[[#This Row],[Due date]],"Overdue",IF(tblElements[[#This Row],[Due date]]-AsOf&lt;=DueSoonDays,"Due soon","OK"))))</f>
        <v>Complete</v>
      </c>
      <c r="M103" s="36">
        <f>IF(tblElements[[#This Row],[PPAP no.]]="","",IF(OR(DashCustomer="",tblElements[[#This Row],[Customer]]=DashCustomer),1,0))</f>
        <v>1</v>
      </c>
      <c r="N103"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03" s="41" t="s">
        <v>169</v>
      </c>
    </row>
    <row r="104" spans="2:15">
      <c r="B104" s="28" t="s">
        <v>192</v>
      </c>
      <c r="C104" s="28" t="s">
        <v>134</v>
      </c>
      <c r="D104" s="28" t="s">
        <v>114</v>
      </c>
      <c r="E104" s="29">
        <v>46276</v>
      </c>
      <c r="F104" s="28" t="s">
        <v>151</v>
      </c>
      <c r="G104" s="29">
        <v>46272</v>
      </c>
      <c r="H104" s="42" t="str">
        <f>IF(tblElements[[#This Row],[PPAP no.]]="","",IFERROR(INDEX(tblPPAPs[Part number],MATCH(tblElements[[#This Row],[PPAP no.]],tblPPAPs[PPAP no.],0)),""))</f>
        <v>BK-7710</v>
      </c>
      <c r="I104" s="42" t="str">
        <f>IF(tblElements[[#This Row],[PPAP no.]]="","",IFERROR(INDEX(tblPPAPs[Customer],MATCH(tblElements[[#This Row],[PPAP no.]],tblPPAPs[PPAP no.],0)),""))</f>
        <v>Brightway Axles (example)</v>
      </c>
      <c r="J104" s="36">
        <f>IF(tblElements[[#This Row],[PPAP no.]]="","",IFERROR(INDEX(tblPPAPs[Open],MATCH(tblElements[[#This Row],[PPAP no.]],tblPPAPs[PPAP no.],0)),""))</f>
        <v>1</v>
      </c>
      <c r="K104" s="43">
        <f>IF(tblElements[[#This Row],[PPAP no.]]="","",IF(tblElements[[#This Row],[Status]]="Complete","",tblElements[[#This Row],[Due date]]-AsOf))</f>
        <v/>
      </c>
      <c r="L104" s="39" t="str">
        <f>IF(tblElements[[#This Row],[PPAP no.]]="","",IF(tblElements[[#This Row],[Status]]="Complete","Complete",IF(AsOf&gt;tblElements[[#This Row],[Due date]],"Overdue",IF(tblElements[[#This Row],[Due date]]-AsOf&lt;=DueSoonDays,"Due soon","OK"))))</f>
        <v>Complete</v>
      </c>
      <c r="M104" s="36">
        <f>IF(tblElements[[#This Row],[PPAP no.]]="","",IF(OR(DashCustomer="",tblElements[[#This Row],[Customer]]=DashCustomer),1,0))</f>
        <v>1</v>
      </c>
      <c r="N104"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04" s="41" t="s">
        <v>169</v>
      </c>
    </row>
    <row r="105" spans="2:15">
      <c r="B105" s="28" t="s">
        <v>192</v>
      </c>
      <c r="C105" s="28" t="s">
        <v>135</v>
      </c>
      <c r="D105" s="28" t="s">
        <v>108</v>
      </c>
      <c r="E105" s="29">
        <v>46276</v>
      </c>
      <c r="F105" s="28" t="s">
        <v>151</v>
      </c>
      <c r="G105" s="29">
        <v>46279</v>
      </c>
      <c r="H105" s="42" t="str">
        <f>IF(tblElements[[#This Row],[PPAP no.]]="","",IFERROR(INDEX(tblPPAPs[Part number],MATCH(tblElements[[#This Row],[PPAP no.]],tblPPAPs[PPAP no.],0)),""))</f>
        <v>BK-7710</v>
      </c>
      <c r="I105" s="42" t="str">
        <f>IF(tblElements[[#This Row],[PPAP no.]]="","",IFERROR(INDEX(tblPPAPs[Customer],MATCH(tblElements[[#This Row],[PPAP no.]],tblPPAPs[PPAP no.],0)),""))</f>
        <v>Brightway Axles (example)</v>
      </c>
      <c r="J105" s="36">
        <f>IF(tblElements[[#This Row],[PPAP no.]]="","",IFERROR(INDEX(tblPPAPs[Open],MATCH(tblElements[[#This Row],[PPAP no.]],tblPPAPs[PPAP no.],0)),""))</f>
        <v>1</v>
      </c>
      <c r="K105" s="43">
        <f>IF(tblElements[[#This Row],[PPAP no.]]="","",IF(tblElements[[#This Row],[Status]]="Complete","",tblElements[[#This Row],[Due date]]-AsOf))</f>
        <v/>
      </c>
      <c r="L105" s="39" t="str">
        <f>IF(tblElements[[#This Row],[PPAP no.]]="","",IF(tblElements[[#This Row],[Status]]="Complete","Complete",IF(AsOf&gt;tblElements[[#This Row],[Due date]],"Overdue",IF(tblElements[[#This Row],[Due date]]-AsOf&lt;=DueSoonDays,"Due soon","OK"))))</f>
        <v>Complete</v>
      </c>
      <c r="M105" s="36">
        <f>IF(tblElements[[#This Row],[PPAP no.]]="","",IF(OR(DashCustomer="",tblElements[[#This Row],[Customer]]=DashCustomer),1,0))</f>
        <v>1</v>
      </c>
      <c r="N105"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05" s="41" t="s">
        <v>169</v>
      </c>
    </row>
    <row r="106" spans="2:15">
      <c r="B106" s="28" t="s">
        <v>192</v>
      </c>
      <c r="C106" s="28" t="s">
        <v>137</v>
      </c>
      <c r="D106" s="28" t="s">
        <v>108</v>
      </c>
      <c r="E106" s="29">
        <v>46280</v>
      </c>
      <c r="F106" s="28" t="s">
        <v>151</v>
      </c>
      <c r="G106" s="29">
        <v>46280</v>
      </c>
      <c r="H106" s="42" t="str">
        <f>IF(tblElements[[#This Row],[PPAP no.]]="","",IFERROR(INDEX(tblPPAPs[Part number],MATCH(tblElements[[#This Row],[PPAP no.]],tblPPAPs[PPAP no.],0)),""))</f>
        <v>BK-7710</v>
      </c>
      <c r="I106" s="42" t="str">
        <f>IF(tblElements[[#This Row],[PPAP no.]]="","",IFERROR(INDEX(tblPPAPs[Customer],MATCH(tblElements[[#This Row],[PPAP no.]],tblPPAPs[PPAP no.],0)),""))</f>
        <v>Brightway Axles (example)</v>
      </c>
      <c r="J106" s="36">
        <f>IF(tblElements[[#This Row],[PPAP no.]]="","",IFERROR(INDEX(tblPPAPs[Open],MATCH(tblElements[[#This Row],[PPAP no.]],tblPPAPs[PPAP no.],0)),""))</f>
        <v>1</v>
      </c>
      <c r="K106" s="43">
        <f>IF(tblElements[[#This Row],[PPAP no.]]="","",IF(tblElements[[#This Row],[Status]]="Complete","",tblElements[[#This Row],[Due date]]-AsOf))</f>
        <v/>
      </c>
      <c r="L106" s="39" t="str">
        <f>IF(tblElements[[#This Row],[PPAP no.]]="","",IF(tblElements[[#This Row],[Status]]="Complete","Complete",IF(AsOf&gt;tblElements[[#This Row],[Due date]],"Overdue",IF(tblElements[[#This Row],[Due date]]-AsOf&lt;=DueSoonDays,"Due soon","OK"))))</f>
        <v>Complete</v>
      </c>
      <c r="M106" s="36">
        <f>IF(tblElements[[#This Row],[PPAP no.]]="","",IF(OR(DashCustomer="",tblElements[[#This Row],[Customer]]=DashCustomer),1,0))</f>
        <v>1</v>
      </c>
      <c r="N10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06" s="41" t="s">
        <v>169</v>
      </c>
    </row>
    <row r="107" spans="2:15">
      <c r="B107" s="28" t="s">
        <v>192</v>
      </c>
      <c r="C107" s="28" t="s">
        <v>138</v>
      </c>
      <c r="D107" s="28" t="s">
        <v>108</v>
      </c>
      <c r="E107" s="29">
        <v>46287</v>
      </c>
      <c r="F107" s="28" t="s">
        <v>151</v>
      </c>
      <c r="G107" s="29">
        <v>46284</v>
      </c>
      <c r="H107" s="42" t="str">
        <f>IF(tblElements[[#This Row],[PPAP no.]]="","",IFERROR(INDEX(tblPPAPs[Part number],MATCH(tblElements[[#This Row],[PPAP no.]],tblPPAPs[PPAP no.],0)),""))</f>
        <v>BK-7710</v>
      </c>
      <c r="I107" s="42" t="str">
        <f>IF(tblElements[[#This Row],[PPAP no.]]="","",IFERROR(INDEX(tblPPAPs[Customer],MATCH(tblElements[[#This Row],[PPAP no.]],tblPPAPs[PPAP no.],0)),""))</f>
        <v>Brightway Axles (example)</v>
      </c>
      <c r="J107" s="36">
        <f>IF(tblElements[[#This Row],[PPAP no.]]="","",IFERROR(INDEX(tblPPAPs[Open],MATCH(tblElements[[#This Row],[PPAP no.]],tblPPAPs[PPAP no.],0)),""))</f>
        <v>1</v>
      </c>
      <c r="K107" s="43">
        <f>IF(tblElements[[#This Row],[PPAP no.]]="","",IF(tblElements[[#This Row],[Status]]="Complete","",tblElements[[#This Row],[Due date]]-AsOf))</f>
        <v/>
      </c>
      <c r="L107" s="39" t="str">
        <f>IF(tblElements[[#This Row],[PPAP no.]]="","",IF(tblElements[[#This Row],[Status]]="Complete","Complete",IF(AsOf&gt;tblElements[[#This Row],[Due date]],"Overdue",IF(tblElements[[#This Row],[Due date]]-AsOf&lt;=DueSoonDays,"Due soon","OK"))))</f>
        <v>Complete</v>
      </c>
      <c r="M107" s="36">
        <f>IF(tblElements[[#This Row],[PPAP no.]]="","",IF(OR(DashCustomer="",tblElements[[#This Row],[Customer]]=DashCustomer),1,0))</f>
        <v>1</v>
      </c>
      <c r="N10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07" s="41" t="s">
        <v>169</v>
      </c>
    </row>
    <row r="108" spans="2:15">
      <c r="B108" s="28" t="s">
        <v>195</v>
      </c>
      <c r="C108" s="28" t="s">
        <v>121</v>
      </c>
      <c r="D108" s="28" t="s">
        <v>110</v>
      </c>
      <c r="E108" s="29">
        <v>46227</v>
      </c>
      <c r="F108" s="28" t="s">
        <v>151</v>
      </c>
      <c r="G108" s="29">
        <v>46226</v>
      </c>
      <c r="H108" s="42" t="str">
        <f>IF(tblElements[[#This Row],[PPAP no.]]="","",IFERROR(INDEX(tblPPAPs[Part number],MATCH(tblElements[[#This Row],[PPAP no.]],tblPPAPs[PPAP no.],0)),""))</f>
        <v>HS-4411</v>
      </c>
      <c r="I108" s="42" t="str">
        <f>IF(tblElements[[#This Row],[PPAP no.]]="","",IFERROR(INDEX(tblPPAPs[Customer],MATCH(tblElements[[#This Row],[PPAP no.]],tblPPAPs[PPAP no.],0)),""))</f>
        <v>Northline Motors (example)</v>
      </c>
      <c r="J108" s="36">
        <f>IF(tblElements[[#This Row],[PPAP no.]]="","",IFERROR(INDEX(tblPPAPs[Open],MATCH(tblElements[[#This Row],[PPAP no.]],tblPPAPs[PPAP no.],0)),""))</f>
        <v>1</v>
      </c>
      <c r="K108" s="43">
        <f>IF(tblElements[[#This Row],[PPAP no.]]="","",IF(tblElements[[#This Row],[Status]]="Complete","",tblElements[[#This Row],[Due date]]-AsOf))</f>
        <v/>
      </c>
      <c r="L108" s="39" t="str">
        <f>IF(tblElements[[#This Row],[PPAP no.]]="","",IF(tblElements[[#This Row],[Status]]="Complete","Complete",IF(AsOf&gt;tblElements[[#This Row],[Due date]],"Overdue",IF(tblElements[[#This Row],[Due date]]-AsOf&lt;=DueSoonDays,"Due soon","OK"))))</f>
        <v>Complete</v>
      </c>
      <c r="M108" s="36">
        <f>IF(tblElements[[#This Row],[PPAP no.]]="","",IF(OR(DashCustomer="",tblElements[[#This Row],[Customer]]=DashCustomer),1,0))</f>
        <v>1</v>
      </c>
      <c r="N10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08" s="41" t="s">
        <v>169</v>
      </c>
    </row>
    <row r="109" spans="2:15">
      <c r="B109" s="28" t="s">
        <v>195</v>
      </c>
      <c r="C109" s="28" t="s">
        <v>124</v>
      </c>
      <c r="D109" s="28" t="s">
        <v>110</v>
      </c>
      <c r="E109" s="29">
        <v>46234</v>
      </c>
      <c r="F109" s="28" t="s">
        <v>151</v>
      </c>
      <c r="G109" s="29">
        <v>46228</v>
      </c>
      <c r="H109" s="42" t="str">
        <f>IF(tblElements[[#This Row],[PPAP no.]]="","",IFERROR(INDEX(tblPPAPs[Part number],MATCH(tblElements[[#This Row],[PPAP no.]],tblPPAPs[PPAP no.],0)),""))</f>
        <v>HS-4411</v>
      </c>
      <c r="I109" s="42" t="str">
        <f>IF(tblElements[[#This Row],[PPAP no.]]="","",IFERROR(INDEX(tblPPAPs[Customer],MATCH(tblElements[[#This Row],[PPAP no.]],tblPPAPs[PPAP no.],0)),""))</f>
        <v>Northline Motors (example)</v>
      </c>
      <c r="J109" s="36">
        <f>IF(tblElements[[#This Row],[PPAP no.]]="","",IFERROR(INDEX(tblPPAPs[Open],MATCH(tblElements[[#This Row],[PPAP no.]],tblPPAPs[PPAP no.],0)),""))</f>
        <v>1</v>
      </c>
      <c r="K109" s="43">
        <f>IF(tblElements[[#This Row],[PPAP no.]]="","",IF(tblElements[[#This Row],[Status]]="Complete","",tblElements[[#This Row],[Due date]]-AsOf))</f>
        <v/>
      </c>
      <c r="L109" s="39" t="str">
        <f>IF(tblElements[[#This Row],[PPAP no.]]="","",IF(tblElements[[#This Row],[Status]]="Complete","Complete",IF(AsOf&gt;tblElements[[#This Row],[Due date]],"Overdue",IF(tblElements[[#This Row],[Due date]]-AsOf&lt;=DueSoonDays,"Due soon","OK"))))</f>
        <v>Complete</v>
      </c>
      <c r="M109" s="36">
        <f>IF(tblElements[[#This Row],[PPAP no.]]="","",IF(OR(DashCustomer="",tblElements[[#This Row],[Customer]]=DashCustomer),1,0))</f>
        <v>1</v>
      </c>
      <c r="N10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09" s="41" t="s">
        <v>169</v>
      </c>
    </row>
    <row r="110" spans="2:15">
      <c r="B110" s="28" t="s">
        <v>195</v>
      </c>
      <c r="C110" s="28" t="s">
        <v>125</v>
      </c>
      <c r="D110" s="28" t="s">
        <v>110</v>
      </c>
      <c r="E110" s="29">
        <v>46234</v>
      </c>
      <c r="F110" s="28" t="s">
        <v>151</v>
      </c>
      <c r="G110" s="29">
        <v>46229</v>
      </c>
      <c r="H110" s="42" t="str">
        <f>IF(tblElements[[#This Row],[PPAP no.]]="","",IFERROR(INDEX(tblPPAPs[Part number],MATCH(tblElements[[#This Row],[PPAP no.]],tblPPAPs[PPAP no.],0)),""))</f>
        <v>HS-4411</v>
      </c>
      <c r="I110" s="42" t="str">
        <f>IF(tblElements[[#This Row],[PPAP no.]]="","",IFERROR(INDEX(tblPPAPs[Customer],MATCH(tblElements[[#This Row],[PPAP no.]],tblPPAPs[PPAP no.],0)),""))</f>
        <v>Northline Motors (example)</v>
      </c>
      <c r="J110" s="36">
        <f>IF(tblElements[[#This Row],[PPAP no.]]="","",IFERROR(INDEX(tblPPAPs[Open],MATCH(tblElements[[#This Row],[PPAP no.]],tblPPAPs[PPAP no.],0)),""))</f>
        <v>1</v>
      </c>
      <c r="K110" s="43">
        <f>IF(tblElements[[#This Row],[PPAP no.]]="","",IF(tblElements[[#This Row],[Status]]="Complete","",tblElements[[#This Row],[Due date]]-AsOf))</f>
        <v/>
      </c>
      <c r="L110" s="39" t="str">
        <f>IF(tblElements[[#This Row],[PPAP no.]]="","",IF(tblElements[[#This Row],[Status]]="Complete","Complete",IF(AsOf&gt;tblElements[[#This Row],[Due date]],"Overdue",IF(tblElements[[#This Row],[Due date]]-AsOf&lt;=DueSoonDays,"Due soon","OK"))))</f>
        <v>Complete</v>
      </c>
      <c r="M110" s="36">
        <f>IF(tblElements[[#This Row],[PPAP no.]]="","",IF(OR(DashCustomer="",tblElements[[#This Row],[Customer]]=DashCustomer),1,0))</f>
        <v>1</v>
      </c>
      <c r="N11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10" s="41" t="s">
        <v>169</v>
      </c>
    </row>
    <row r="111" spans="2:15">
      <c r="B111" s="28" t="s">
        <v>195</v>
      </c>
      <c r="C111" s="28" t="s">
        <v>126</v>
      </c>
      <c r="D111" s="28" t="s">
        <v>108</v>
      </c>
      <c r="E111" s="29">
        <v>46241</v>
      </c>
      <c r="F111" s="28" t="s">
        <v>151</v>
      </c>
      <c r="G111" s="29">
        <v>46241</v>
      </c>
      <c r="H111" s="42" t="str">
        <f>IF(tblElements[[#This Row],[PPAP no.]]="","",IFERROR(INDEX(tblPPAPs[Part number],MATCH(tblElements[[#This Row],[PPAP no.]],tblPPAPs[PPAP no.],0)),""))</f>
        <v>HS-4411</v>
      </c>
      <c r="I111" s="42" t="str">
        <f>IF(tblElements[[#This Row],[PPAP no.]]="","",IFERROR(INDEX(tblPPAPs[Customer],MATCH(tblElements[[#This Row],[PPAP no.]],tblPPAPs[PPAP no.],0)),""))</f>
        <v>Northline Motors (example)</v>
      </c>
      <c r="J111" s="36">
        <f>IF(tblElements[[#This Row],[PPAP no.]]="","",IFERROR(INDEX(tblPPAPs[Open],MATCH(tblElements[[#This Row],[PPAP no.]],tblPPAPs[PPAP no.],0)),""))</f>
        <v>1</v>
      </c>
      <c r="K111" s="43">
        <f>IF(tblElements[[#This Row],[PPAP no.]]="","",IF(tblElements[[#This Row],[Status]]="Complete","",tblElements[[#This Row],[Due date]]-AsOf))</f>
        <v/>
      </c>
      <c r="L111" s="39" t="str">
        <f>IF(tblElements[[#This Row],[PPAP no.]]="","",IF(tblElements[[#This Row],[Status]]="Complete","Complete",IF(AsOf&gt;tblElements[[#This Row],[Due date]],"Overdue",IF(tblElements[[#This Row],[Due date]]-AsOf&lt;=DueSoonDays,"Due soon","OK"))))</f>
        <v>Complete</v>
      </c>
      <c r="M111" s="36">
        <f>IF(tblElements[[#This Row],[PPAP no.]]="","",IF(OR(DashCustomer="",tblElements[[#This Row],[Customer]]=DashCustomer),1,0))</f>
        <v>1</v>
      </c>
      <c r="N111"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11" s="41" t="s">
        <v>169</v>
      </c>
    </row>
    <row r="112" spans="2:15">
      <c r="B112" s="28" t="s">
        <v>195</v>
      </c>
      <c r="C112" s="28" t="s">
        <v>127</v>
      </c>
      <c r="D112" s="28" t="s">
        <v>108</v>
      </c>
      <c r="E112" s="29">
        <v>46255</v>
      </c>
      <c r="F112" s="28" t="s">
        <v>151</v>
      </c>
      <c r="G112" s="29">
        <v>46253</v>
      </c>
      <c r="H112" s="42" t="str">
        <f>IF(tblElements[[#This Row],[PPAP no.]]="","",IFERROR(INDEX(tblPPAPs[Part number],MATCH(tblElements[[#This Row],[PPAP no.]],tblPPAPs[PPAP no.],0)),""))</f>
        <v>HS-4411</v>
      </c>
      <c r="I112" s="42" t="str">
        <f>IF(tblElements[[#This Row],[PPAP no.]]="","",IFERROR(INDEX(tblPPAPs[Customer],MATCH(tblElements[[#This Row],[PPAP no.]],tblPPAPs[PPAP no.],0)),""))</f>
        <v>Northline Motors (example)</v>
      </c>
      <c r="J112" s="36">
        <f>IF(tblElements[[#This Row],[PPAP no.]]="","",IFERROR(INDEX(tblPPAPs[Open],MATCH(tblElements[[#This Row],[PPAP no.]],tblPPAPs[PPAP no.],0)),""))</f>
        <v>1</v>
      </c>
      <c r="K112" s="43">
        <f>IF(tblElements[[#This Row],[PPAP no.]]="","",IF(tblElements[[#This Row],[Status]]="Complete","",tblElements[[#This Row],[Due date]]-AsOf))</f>
        <v/>
      </c>
      <c r="L112" s="39" t="str">
        <f>IF(tblElements[[#This Row],[PPAP no.]]="","",IF(tblElements[[#This Row],[Status]]="Complete","Complete",IF(AsOf&gt;tblElements[[#This Row],[Due date]],"Overdue",IF(tblElements[[#This Row],[Due date]]-AsOf&lt;=DueSoonDays,"Due soon","OK"))))</f>
        <v>Complete</v>
      </c>
      <c r="M112" s="36">
        <f>IF(tblElements[[#This Row],[PPAP no.]]="","",IF(OR(DashCustomer="",tblElements[[#This Row],[Customer]]=DashCustomer),1,0))</f>
        <v>1</v>
      </c>
      <c r="N112"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12" s="41" t="s">
        <v>169</v>
      </c>
    </row>
    <row r="113" spans="2:15">
      <c r="B113" s="28" t="s">
        <v>195</v>
      </c>
      <c r="C113" s="28" t="s">
        <v>128</v>
      </c>
      <c r="D113" s="28" t="s">
        <v>112</v>
      </c>
      <c r="E113" s="29">
        <v>46262</v>
      </c>
      <c r="F113" s="28" t="s">
        <v>151</v>
      </c>
      <c r="G113" s="29">
        <v>46260</v>
      </c>
      <c r="H113" s="42" t="str">
        <f>IF(tblElements[[#This Row],[PPAP no.]]="","",IFERROR(INDEX(tblPPAPs[Part number],MATCH(tblElements[[#This Row],[PPAP no.]],tblPPAPs[PPAP no.],0)),""))</f>
        <v>HS-4411</v>
      </c>
      <c r="I113" s="42" t="str">
        <f>IF(tblElements[[#This Row],[PPAP no.]]="","",IFERROR(INDEX(tblPPAPs[Customer],MATCH(tblElements[[#This Row],[PPAP no.]],tblPPAPs[PPAP no.],0)),""))</f>
        <v>Northline Motors (example)</v>
      </c>
      <c r="J113" s="36">
        <f>IF(tblElements[[#This Row],[PPAP no.]]="","",IFERROR(INDEX(tblPPAPs[Open],MATCH(tblElements[[#This Row],[PPAP no.]],tblPPAPs[PPAP no.],0)),""))</f>
        <v>1</v>
      </c>
      <c r="K113" s="43">
        <f>IF(tblElements[[#This Row],[PPAP no.]]="","",IF(tblElements[[#This Row],[Status]]="Complete","",tblElements[[#This Row],[Due date]]-AsOf))</f>
        <v/>
      </c>
      <c r="L113" s="39" t="str">
        <f>IF(tblElements[[#This Row],[PPAP no.]]="","",IF(tblElements[[#This Row],[Status]]="Complete","Complete",IF(AsOf&gt;tblElements[[#This Row],[Due date]],"Overdue",IF(tblElements[[#This Row],[Due date]]-AsOf&lt;=DueSoonDays,"Due soon","OK"))))</f>
        <v>Complete</v>
      </c>
      <c r="M113" s="36">
        <f>IF(tblElements[[#This Row],[PPAP no.]]="","",IF(OR(DashCustomer="",tblElements[[#This Row],[Customer]]=DashCustomer),1,0))</f>
        <v>1</v>
      </c>
      <c r="N113"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13" s="41" t="s">
        <v>169</v>
      </c>
    </row>
    <row r="114" spans="2:15">
      <c r="B114" s="28" t="s">
        <v>195</v>
      </c>
      <c r="C114" s="28" t="s">
        <v>136</v>
      </c>
      <c r="D114" s="28" t="s">
        <v>116</v>
      </c>
      <c r="E114" s="29">
        <v>46262</v>
      </c>
      <c r="F114" s="28" t="s">
        <v>151</v>
      </c>
      <c r="G114" s="29">
        <v>46259</v>
      </c>
      <c r="H114" s="42" t="str">
        <f>IF(tblElements[[#This Row],[PPAP no.]]="","",IFERROR(INDEX(tblPPAPs[Part number],MATCH(tblElements[[#This Row],[PPAP no.]],tblPPAPs[PPAP no.],0)),""))</f>
        <v>HS-4411</v>
      </c>
      <c r="I114" s="42" t="str">
        <f>IF(tblElements[[#This Row],[PPAP no.]]="","",IFERROR(INDEX(tblPPAPs[Customer],MATCH(tblElements[[#This Row],[PPAP no.]],tblPPAPs[PPAP no.],0)),""))</f>
        <v>Northline Motors (example)</v>
      </c>
      <c r="J114" s="36">
        <f>IF(tblElements[[#This Row],[PPAP no.]]="","",IFERROR(INDEX(tblPPAPs[Open],MATCH(tblElements[[#This Row],[PPAP no.]],tblPPAPs[PPAP no.],0)),""))</f>
        <v>1</v>
      </c>
      <c r="K114" s="43">
        <f>IF(tblElements[[#This Row],[PPAP no.]]="","",IF(tblElements[[#This Row],[Status]]="Complete","",tblElements[[#This Row],[Due date]]-AsOf))</f>
        <v/>
      </c>
      <c r="L114" s="39" t="str">
        <f>IF(tblElements[[#This Row],[PPAP no.]]="","",IF(tblElements[[#This Row],[Status]]="Complete","Complete",IF(AsOf&gt;tblElements[[#This Row],[Due date]],"Overdue",IF(tblElements[[#This Row],[Due date]]-AsOf&lt;=DueSoonDays,"Due soon","OK"))))</f>
        <v>Complete</v>
      </c>
      <c r="M114" s="36">
        <f>IF(tblElements[[#This Row],[PPAP no.]]="","",IF(OR(DashCustomer="",tblElements[[#This Row],[Customer]]=DashCustomer),1,0))</f>
        <v>1</v>
      </c>
      <c r="N114"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14" s="41" t="s">
        <v>169</v>
      </c>
    </row>
    <row r="115" spans="2:15">
      <c r="B115" s="28" t="s">
        <v>195</v>
      </c>
      <c r="C115" s="28" t="s">
        <v>129</v>
      </c>
      <c r="D115" s="28" t="s">
        <v>112</v>
      </c>
      <c r="E115" s="29">
        <v>46269</v>
      </c>
      <c r="F115" s="28" t="s">
        <v>151</v>
      </c>
      <c r="G115" s="29">
        <v>46268</v>
      </c>
      <c r="H115" s="42" t="str">
        <f>IF(tblElements[[#This Row],[PPAP no.]]="","",IFERROR(INDEX(tblPPAPs[Part number],MATCH(tblElements[[#This Row],[PPAP no.]],tblPPAPs[PPAP no.],0)),""))</f>
        <v>HS-4411</v>
      </c>
      <c r="I115" s="42" t="str">
        <f>IF(tblElements[[#This Row],[PPAP no.]]="","",IFERROR(INDEX(tblPPAPs[Customer],MATCH(tblElements[[#This Row],[PPAP no.]],tblPPAPs[PPAP no.],0)),""))</f>
        <v>Northline Motors (example)</v>
      </c>
      <c r="J115" s="36">
        <f>IF(tblElements[[#This Row],[PPAP no.]]="","",IFERROR(INDEX(tblPPAPs[Open],MATCH(tblElements[[#This Row],[PPAP no.]],tblPPAPs[PPAP no.],0)),""))</f>
        <v>1</v>
      </c>
      <c r="K115" s="43">
        <f>IF(tblElements[[#This Row],[PPAP no.]]="","",IF(tblElements[[#This Row],[Status]]="Complete","",tblElements[[#This Row],[Due date]]-AsOf))</f>
        <v/>
      </c>
      <c r="L115" s="39" t="str">
        <f>IF(tblElements[[#This Row],[PPAP no.]]="","",IF(tblElements[[#This Row],[Status]]="Complete","Complete",IF(AsOf&gt;tblElements[[#This Row],[Due date]],"Overdue",IF(tblElements[[#This Row],[Due date]]-AsOf&lt;=DueSoonDays,"Due soon","OK"))))</f>
        <v>Complete</v>
      </c>
      <c r="M115" s="36">
        <f>IF(tblElements[[#This Row],[PPAP no.]]="","",IF(OR(DashCustomer="",tblElements[[#This Row],[Customer]]=DashCustomer),1,0))</f>
        <v>1</v>
      </c>
      <c r="N115"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15" s="41" t="s">
        <v>169</v>
      </c>
    </row>
    <row r="116" spans="2:15">
      <c r="B116" s="28" t="s">
        <v>195</v>
      </c>
      <c r="C116" s="28" t="s">
        <v>130</v>
      </c>
      <c r="D116" s="28" t="s">
        <v>118</v>
      </c>
      <c r="E116" s="29">
        <v>46269</v>
      </c>
      <c r="F116" s="28" t="s">
        <v>151</v>
      </c>
      <c r="G116" s="29">
        <v>46266</v>
      </c>
      <c r="H116" s="42" t="str">
        <f>IF(tblElements[[#This Row],[PPAP no.]]="","",IFERROR(INDEX(tblPPAPs[Part number],MATCH(tblElements[[#This Row],[PPAP no.]],tblPPAPs[PPAP no.],0)),""))</f>
        <v>HS-4411</v>
      </c>
      <c r="I116" s="42" t="str">
        <f>IF(tblElements[[#This Row],[PPAP no.]]="","",IFERROR(INDEX(tblPPAPs[Customer],MATCH(tblElements[[#This Row],[PPAP no.]],tblPPAPs[PPAP no.],0)),""))</f>
        <v>Northline Motors (example)</v>
      </c>
      <c r="J116" s="36">
        <f>IF(tblElements[[#This Row],[PPAP no.]]="","",IFERROR(INDEX(tblPPAPs[Open],MATCH(tblElements[[#This Row],[PPAP no.]],tblPPAPs[PPAP no.],0)),""))</f>
        <v>1</v>
      </c>
      <c r="K116" s="43">
        <f>IF(tblElements[[#This Row],[PPAP no.]]="","",IF(tblElements[[#This Row],[Status]]="Complete","",tblElements[[#This Row],[Due date]]-AsOf))</f>
        <v/>
      </c>
      <c r="L116" s="39" t="str">
        <f>IF(tblElements[[#This Row],[PPAP no.]]="","",IF(tblElements[[#This Row],[Status]]="Complete","Complete",IF(AsOf&gt;tblElements[[#This Row],[Due date]],"Overdue",IF(tblElements[[#This Row],[Due date]]-AsOf&lt;=DueSoonDays,"Due soon","OK"))))</f>
        <v>Complete</v>
      </c>
      <c r="M116" s="36">
        <f>IF(tblElements[[#This Row],[PPAP no.]]="","",IF(OR(DashCustomer="",tblElements[[#This Row],[Customer]]=DashCustomer),1,0))</f>
        <v>1</v>
      </c>
      <c r="N11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16" s="41" t="s">
        <v>169</v>
      </c>
    </row>
    <row r="117" spans="2:15">
      <c r="B117" s="28" t="s">
        <v>195</v>
      </c>
      <c r="C117" s="28" t="s">
        <v>132</v>
      </c>
      <c r="D117" s="28" t="s">
        <v>108</v>
      </c>
      <c r="E117" s="29">
        <v>46269</v>
      </c>
      <c r="F117" s="28" t="s">
        <v>151</v>
      </c>
      <c r="G117" s="29">
        <v>46266</v>
      </c>
      <c r="H117" s="42" t="str">
        <f>IF(tblElements[[#This Row],[PPAP no.]]="","",IFERROR(INDEX(tblPPAPs[Part number],MATCH(tblElements[[#This Row],[PPAP no.]],tblPPAPs[PPAP no.],0)),""))</f>
        <v>HS-4411</v>
      </c>
      <c r="I117" s="42" t="str">
        <f>IF(tblElements[[#This Row],[PPAP no.]]="","",IFERROR(INDEX(tblPPAPs[Customer],MATCH(tblElements[[#This Row],[PPAP no.]],tblPPAPs[PPAP no.],0)),""))</f>
        <v>Northline Motors (example)</v>
      </c>
      <c r="J117" s="36">
        <f>IF(tblElements[[#This Row],[PPAP no.]]="","",IFERROR(INDEX(tblPPAPs[Open],MATCH(tblElements[[#This Row],[PPAP no.]],tblPPAPs[PPAP no.],0)),""))</f>
        <v>1</v>
      </c>
      <c r="K117" s="43">
        <f>IF(tblElements[[#This Row],[PPAP no.]]="","",IF(tblElements[[#This Row],[Status]]="Complete","",tblElements[[#This Row],[Due date]]-AsOf))</f>
        <v/>
      </c>
      <c r="L117" s="39" t="str">
        <f>IF(tblElements[[#This Row],[PPAP no.]]="","",IF(tblElements[[#This Row],[Status]]="Complete","Complete",IF(AsOf&gt;tblElements[[#This Row],[Due date]],"Overdue",IF(tblElements[[#This Row],[Due date]]-AsOf&lt;=DueSoonDays,"Due soon","OK"))))</f>
        <v>Complete</v>
      </c>
      <c r="M117" s="36">
        <f>IF(tblElements[[#This Row],[PPAP no.]]="","",IF(OR(DashCustomer="",tblElements[[#This Row],[Customer]]=DashCustomer),1,0))</f>
        <v>1</v>
      </c>
      <c r="N11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17" s="41" t="s">
        <v>169</v>
      </c>
    </row>
    <row r="118" spans="2:15">
      <c r="B118" s="28" t="s">
        <v>195</v>
      </c>
      <c r="C118" s="28" t="s">
        <v>131</v>
      </c>
      <c r="D118" s="28" t="s">
        <v>108</v>
      </c>
      <c r="E118" s="29">
        <v>46276</v>
      </c>
      <c r="F118" s="28" t="s">
        <v>151</v>
      </c>
      <c r="G118" s="29">
        <v>46275</v>
      </c>
      <c r="H118" s="42" t="str">
        <f>IF(tblElements[[#This Row],[PPAP no.]]="","",IFERROR(INDEX(tblPPAPs[Part number],MATCH(tblElements[[#This Row],[PPAP no.]],tblPPAPs[PPAP no.],0)),""))</f>
        <v>HS-4411</v>
      </c>
      <c r="I118" s="42" t="str">
        <f>IF(tblElements[[#This Row],[PPAP no.]]="","",IFERROR(INDEX(tblPPAPs[Customer],MATCH(tblElements[[#This Row],[PPAP no.]],tblPPAPs[PPAP no.],0)),""))</f>
        <v>Northline Motors (example)</v>
      </c>
      <c r="J118" s="36">
        <f>IF(tblElements[[#This Row],[PPAP no.]]="","",IFERROR(INDEX(tblPPAPs[Open],MATCH(tblElements[[#This Row],[PPAP no.]],tblPPAPs[PPAP no.],0)),""))</f>
        <v>1</v>
      </c>
      <c r="K118" s="43">
        <f>IF(tblElements[[#This Row],[PPAP no.]]="","",IF(tblElements[[#This Row],[Status]]="Complete","",tblElements[[#This Row],[Due date]]-AsOf))</f>
        <v/>
      </c>
      <c r="L118" s="39" t="str">
        <f>IF(tblElements[[#This Row],[PPAP no.]]="","",IF(tblElements[[#This Row],[Status]]="Complete","Complete",IF(AsOf&gt;tblElements[[#This Row],[Due date]],"Overdue",IF(tblElements[[#This Row],[Due date]]-AsOf&lt;=DueSoonDays,"Due soon","OK"))))</f>
        <v>Complete</v>
      </c>
      <c r="M118" s="36">
        <f>IF(tblElements[[#This Row],[PPAP no.]]="","",IF(OR(DashCustomer="",tblElements[[#This Row],[Customer]]=DashCustomer),1,0))</f>
        <v>1</v>
      </c>
      <c r="N11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18" s="41" t="s">
        <v>169</v>
      </c>
    </row>
    <row r="119" spans="2:15">
      <c r="B119" s="28" t="s">
        <v>195</v>
      </c>
      <c r="C119" s="28" t="s">
        <v>134</v>
      </c>
      <c r="D119" s="28" t="s">
        <v>114</v>
      </c>
      <c r="E119" s="29">
        <v>46283</v>
      </c>
      <c r="F119" s="28" t="s">
        <v>151</v>
      </c>
      <c r="G119" s="29">
        <v>46283</v>
      </c>
      <c r="H119" s="42" t="str">
        <f>IF(tblElements[[#This Row],[PPAP no.]]="","",IFERROR(INDEX(tblPPAPs[Part number],MATCH(tblElements[[#This Row],[PPAP no.]],tblPPAPs[PPAP no.],0)),""))</f>
        <v>HS-4411</v>
      </c>
      <c r="I119" s="42" t="str">
        <f>IF(tblElements[[#This Row],[PPAP no.]]="","",IFERROR(INDEX(tblPPAPs[Customer],MATCH(tblElements[[#This Row],[PPAP no.]],tblPPAPs[PPAP no.],0)),""))</f>
        <v>Northline Motors (example)</v>
      </c>
      <c r="J119" s="36">
        <f>IF(tblElements[[#This Row],[PPAP no.]]="","",IFERROR(INDEX(tblPPAPs[Open],MATCH(tblElements[[#This Row],[PPAP no.]],tblPPAPs[PPAP no.],0)),""))</f>
        <v>1</v>
      </c>
      <c r="K119" s="43">
        <f>IF(tblElements[[#This Row],[PPAP no.]]="","",IF(tblElements[[#This Row],[Status]]="Complete","",tblElements[[#This Row],[Due date]]-AsOf))</f>
        <v/>
      </c>
      <c r="L119" s="39" t="str">
        <f>IF(tblElements[[#This Row],[PPAP no.]]="","",IF(tblElements[[#This Row],[Status]]="Complete","Complete",IF(AsOf&gt;tblElements[[#This Row],[Due date]],"Overdue",IF(tblElements[[#This Row],[Due date]]-AsOf&lt;=DueSoonDays,"Due soon","OK"))))</f>
        <v>Complete</v>
      </c>
      <c r="M119" s="36">
        <f>IF(tblElements[[#This Row],[PPAP no.]]="","",IF(OR(DashCustomer="",tblElements[[#This Row],[Customer]]=DashCustomer),1,0))</f>
        <v>1</v>
      </c>
      <c r="N11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19" s="41" t="s">
        <v>169</v>
      </c>
    </row>
    <row r="120" spans="2:15">
      <c r="B120" s="28" t="s">
        <v>195</v>
      </c>
      <c r="C120" s="28" t="s">
        <v>135</v>
      </c>
      <c r="D120" s="28" t="s">
        <v>108</v>
      </c>
      <c r="E120" s="29">
        <v>46283</v>
      </c>
      <c r="F120" s="28" t="s">
        <v>151</v>
      </c>
      <c r="G120" s="29">
        <v>46287</v>
      </c>
      <c r="H120" s="42" t="str">
        <f>IF(tblElements[[#This Row],[PPAP no.]]="","",IFERROR(INDEX(tblPPAPs[Part number],MATCH(tblElements[[#This Row],[PPAP no.]],tblPPAPs[PPAP no.],0)),""))</f>
        <v>HS-4411</v>
      </c>
      <c r="I120" s="42" t="str">
        <f>IF(tblElements[[#This Row],[PPAP no.]]="","",IFERROR(INDEX(tblPPAPs[Customer],MATCH(tblElements[[#This Row],[PPAP no.]],tblPPAPs[PPAP no.],0)),""))</f>
        <v>Northline Motors (example)</v>
      </c>
      <c r="J120" s="36">
        <f>IF(tblElements[[#This Row],[PPAP no.]]="","",IFERROR(INDEX(tblPPAPs[Open],MATCH(tblElements[[#This Row],[PPAP no.]],tblPPAPs[PPAP no.],0)),""))</f>
        <v>1</v>
      </c>
      <c r="K120" s="43">
        <f>IF(tblElements[[#This Row],[PPAP no.]]="","",IF(tblElements[[#This Row],[Status]]="Complete","",tblElements[[#This Row],[Due date]]-AsOf))</f>
        <v/>
      </c>
      <c r="L120" s="39" t="str">
        <f>IF(tblElements[[#This Row],[PPAP no.]]="","",IF(tblElements[[#This Row],[Status]]="Complete","Complete",IF(AsOf&gt;tblElements[[#This Row],[Due date]],"Overdue",IF(tblElements[[#This Row],[Due date]]-AsOf&lt;=DueSoonDays,"Due soon","OK"))))</f>
        <v>Complete</v>
      </c>
      <c r="M120" s="36">
        <f>IF(tblElements[[#This Row],[PPAP no.]]="","",IF(OR(DashCustomer="",tblElements[[#This Row],[Customer]]=DashCustomer),1,0))</f>
        <v>1</v>
      </c>
      <c r="N12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20" s="41" t="s">
        <v>169</v>
      </c>
    </row>
    <row r="121" spans="2:15">
      <c r="B121" s="28" t="s">
        <v>195</v>
      </c>
      <c r="C121" s="28" t="s">
        <v>137</v>
      </c>
      <c r="D121" s="28" t="s">
        <v>108</v>
      </c>
      <c r="E121" s="29">
        <v>46287</v>
      </c>
      <c r="F121" s="28" t="s">
        <v>151</v>
      </c>
      <c r="G121" s="29">
        <v>46289</v>
      </c>
      <c r="H121" s="42" t="str">
        <f>IF(tblElements[[#This Row],[PPAP no.]]="","",IFERROR(INDEX(tblPPAPs[Part number],MATCH(tblElements[[#This Row],[PPAP no.]],tblPPAPs[PPAP no.],0)),""))</f>
        <v>HS-4411</v>
      </c>
      <c r="I121" s="42" t="str">
        <f>IF(tblElements[[#This Row],[PPAP no.]]="","",IFERROR(INDEX(tblPPAPs[Customer],MATCH(tblElements[[#This Row],[PPAP no.]],tblPPAPs[PPAP no.],0)),""))</f>
        <v>Northline Motors (example)</v>
      </c>
      <c r="J121" s="36">
        <f>IF(tblElements[[#This Row],[PPAP no.]]="","",IFERROR(INDEX(tblPPAPs[Open],MATCH(tblElements[[#This Row],[PPAP no.]],tblPPAPs[PPAP no.],0)),""))</f>
        <v>1</v>
      </c>
      <c r="K121" s="43">
        <f>IF(tblElements[[#This Row],[PPAP no.]]="","",IF(tblElements[[#This Row],[Status]]="Complete","",tblElements[[#This Row],[Due date]]-AsOf))</f>
        <v/>
      </c>
      <c r="L121" s="39" t="str">
        <f>IF(tblElements[[#This Row],[PPAP no.]]="","",IF(tblElements[[#This Row],[Status]]="Complete","Complete",IF(AsOf&gt;tblElements[[#This Row],[Due date]],"Overdue",IF(tblElements[[#This Row],[Due date]]-AsOf&lt;=DueSoonDays,"Due soon","OK"))))</f>
        <v>Complete</v>
      </c>
      <c r="M121" s="36">
        <f>IF(tblElements[[#This Row],[PPAP no.]]="","",IF(OR(DashCustomer="",tblElements[[#This Row],[Customer]]=DashCustomer),1,0))</f>
        <v>1</v>
      </c>
      <c r="N121"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21" s="41" t="s">
        <v>169</v>
      </c>
    </row>
    <row r="122" spans="2:15">
      <c r="B122" s="28" t="s">
        <v>195</v>
      </c>
      <c r="C122" s="28" t="s">
        <v>138</v>
      </c>
      <c r="D122" s="28" t="s">
        <v>108</v>
      </c>
      <c r="E122" s="29">
        <v>46294</v>
      </c>
      <c r="F122" s="28" t="s">
        <v>151</v>
      </c>
      <c r="G122" s="29">
        <v>46294</v>
      </c>
      <c r="H122" s="42" t="str">
        <f>IF(tblElements[[#This Row],[PPAP no.]]="","",IFERROR(INDEX(tblPPAPs[Part number],MATCH(tblElements[[#This Row],[PPAP no.]],tblPPAPs[PPAP no.],0)),""))</f>
        <v>HS-4411</v>
      </c>
      <c r="I122" s="42" t="str">
        <f>IF(tblElements[[#This Row],[PPAP no.]]="","",IFERROR(INDEX(tblPPAPs[Customer],MATCH(tblElements[[#This Row],[PPAP no.]],tblPPAPs[PPAP no.],0)),""))</f>
        <v>Northline Motors (example)</v>
      </c>
      <c r="J122" s="36">
        <f>IF(tblElements[[#This Row],[PPAP no.]]="","",IFERROR(INDEX(tblPPAPs[Open],MATCH(tblElements[[#This Row],[PPAP no.]],tblPPAPs[PPAP no.],0)),""))</f>
        <v>1</v>
      </c>
      <c r="K122" s="43">
        <f>IF(tblElements[[#This Row],[PPAP no.]]="","",IF(tblElements[[#This Row],[Status]]="Complete","",tblElements[[#This Row],[Due date]]-AsOf))</f>
        <v/>
      </c>
      <c r="L122" s="39" t="str">
        <f>IF(tblElements[[#This Row],[PPAP no.]]="","",IF(tblElements[[#This Row],[Status]]="Complete","Complete",IF(AsOf&gt;tblElements[[#This Row],[Due date]],"Overdue",IF(tblElements[[#This Row],[Due date]]-AsOf&lt;=DueSoonDays,"Due soon","OK"))))</f>
        <v>Complete</v>
      </c>
      <c r="M122" s="36">
        <f>IF(tblElements[[#This Row],[PPAP no.]]="","",IF(OR(DashCustomer="",tblElements[[#This Row],[Customer]]=DashCustomer),1,0))</f>
        <v>1</v>
      </c>
      <c r="N122"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22" s="41" t="s">
        <v>169</v>
      </c>
    </row>
    <row r="123" spans="2:15">
      <c r="B123" s="28" t="s">
        <v>200</v>
      </c>
      <c r="C123" s="28" t="s">
        <v>121</v>
      </c>
      <c r="D123" s="28" t="s">
        <v>110</v>
      </c>
      <c r="E123" s="29">
        <v>46241</v>
      </c>
      <c r="F123" s="28" t="s">
        <v>151</v>
      </c>
      <c r="G123" s="29">
        <v>46238</v>
      </c>
      <c r="H123" s="42" t="str">
        <f>IF(tblElements[[#This Row],[PPAP no.]]="","",IFERROR(INDEX(tblPPAPs[Part number],MATCH(tblElements[[#This Row],[PPAP no.]],tblPPAPs[PPAP no.],0)),""))</f>
        <v>CV-9001</v>
      </c>
      <c r="I123" s="42" t="str">
        <f>IF(tblElements[[#This Row],[PPAP no.]]="","",IFERROR(INDEX(tblPPAPs[Customer],MATCH(tblElements[[#This Row],[PPAP no.]],tblPPAPs[PPAP no.],0)),""))</f>
        <v>Northline Motors (example)</v>
      </c>
      <c r="J123" s="36">
        <f>IF(tblElements[[#This Row],[PPAP no.]]="","",IFERROR(INDEX(tblPPAPs[Open],MATCH(tblElements[[#This Row],[PPAP no.]],tblPPAPs[PPAP no.],0)),""))</f>
        <v>1</v>
      </c>
      <c r="K123" s="43">
        <f>IF(tblElements[[#This Row],[PPAP no.]]="","",IF(tblElements[[#This Row],[Status]]="Complete","",tblElements[[#This Row],[Due date]]-AsOf))</f>
        <v/>
      </c>
      <c r="L123" s="39" t="str">
        <f>IF(tblElements[[#This Row],[PPAP no.]]="","",IF(tblElements[[#This Row],[Status]]="Complete","Complete",IF(AsOf&gt;tblElements[[#This Row],[Due date]],"Overdue",IF(tblElements[[#This Row],[Due date]]-AsOf&lt;=DueSoonDays,"Due soon","OK"))))</f>
        <v>Complete</v>
      </c>
      <c r="M123" s="36">
        <f>IF(tblElements[[#This Row],[PPAP no.]]="","",IF(OR(DashCustomer="",tblElements[[#This Row],[Customer]]=DashCustomer),1,0))</f>
        <v>1</v>
      </c>
      <c r="N123"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23" s="41" t="s">
        <v>169</v>
      </c>
    </row>
    <row r="124" spans="2:15">
      <c r="B124" s="28" t="s">
        <v>200</v>
      </c>
      <c r="C124" s="28" t="s">
        <v>124</v>
      </c>
      <c r="D124" s="28" t="s">
        <v>110</v>
      </c>
      <c r="E124" s="29">
        <v>46248</v>
      </c>
      <c r="F124" s="28" t="s">
        <v>151</v>
      </c>
      <c r="G124" s="29">
        <v>46249</v>
      </c>
      <c r="H124" s="42" t="str">
        <f>IF(tblElements[[#This Row],[PPAP no.]]="","",IFERROR(INDEX(tblPPAPs[Part number],MATCH(tblElements[[#This Row],[PPAP no.]],tblPPAPs[PPAP no.],0)),""))</f>
        <v>CV-9001</v>
      </c>
      <c r="I124" s="42" t="str">
        <f>IF(tblElements[[#This Row],[PPAP no.]]="","",IFERROR(INDEX(tblPPAPs[Customer],MATCH(tblElements[[#This Row],[PPAP no.]],tblPPAPs[PPAP no.],0)),""))</f>
        <v>Northline Motors (example)</v>
      </c>
      <c r="J124" s="36">
        <f>IF(tblElements[[#This Row],[PPAP no.]]="","",IFERROR(INDEX(tblPPAPs[Open],MATCH(tblElements[[#This Row],[PPAP no.]],tblPPAPs[PPAP no.],0)),""))</f>
        <v>1</v>
      </c>
      <c r="K124" s="43">
        <f>IF(tblElements[[#This Row],[PPAP no.]]="","",IF(tblElements[[#This Row],[Status]]="Complete","",tblElements[[#This Row],[Due date]]-AsOf))</f>
        <v/>
      </c>
      <c r="L124" s="39" t="str">
        <f>IF(tblElements[[#This Row],[PPAP no.]]="","",IF(tblElements[[#This Row],[Status]]="Complete","Complete",IF(AsOf&gt;tblElements[[#This Row],[Due date]],"Overdue",IF(tblElements[[#This Row],[Due date]]-AsOf&lt;=DueSoonDays,"Due soon","OK"))))</f>
        <v>Complete</v>
      </c>
      <c r="M124" s="36">
        <f>IF(tblElements[[#This Row],[PPAP no.]]="","",IF(OR(DashCustomer="",tblElements[[#This Row],[Customer]]=DashCustomer),1,0))</f>
        <v>1</v>
      </c>
      <c r="N124"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24" s="41" t="s">
        <v>169</v>
      </c>
    </row>
    <row r="125" spans="2:15">
      <c r="B125" s="28" t="s">
        <v>200</v>
      </c>
      <c r="C125" s="28" t="s">
        <v>125</v>
      </c>
      <c r="D125" s="28" t="s">
        <v>110</v>
      </c>
      <c r="E125" s="29">
        <v>46248</v>
      </c>
      <c r="F125" s="28" t="s">
        <v>151</v>
      </c>
      <c r="G125" s="29">
        <v>46248</v>
      </c>
      <c r="H125" s="42" t="str">
        <f>IF(tblElements[[#This Row],[PPAP no.]]="","",IFERROR(INDEX(tblPPAPs[Part number],MATCH(tblElements[[#This Row],[PPAP no.]],tblPPAPs[PPAP no.],0)),""))</f>
        <v>CV-9001</v>
      </c>
      <c r="I125" s="42" t="str">
        <f>IF(tblElements[[#This Row],[PPAP no.]]="","",IFERROR(INDEX(tblPPAPs[Customer],MATCH(tblElements[[#This Row],[PPAP no.]],tblPPAPs[PPAP no.],0)),""))</f>
        <v>Northline Motors (example)</v>
      </c>
      <c r="J125" s="36">
        <f>IF(tblElements[[#This Row],[PPAP no.]]="","",IFERROR(INDEX(tblPPAPs[Open],MATCH(tblElements[[#This Row],[PPAP no.]],tblPPAPs[PPAP no.],0)),""))</f>
        <v>1</v>
      </c>
      <c r="K125" s="43">
        <f>IF(tblElements[[#This Row],[PPAP no.]]="","",IF(tblElements[[#This Row],[Status]]="Complete","",tblElements[[#This Row],[Due date]]-AsOf))</f>
        <v/>
      </c>
      <c r="L125" s="39" t="str">
        <f>IF(tblElements[[#This Row],[PPAP no.]]="","",IF(tblElements[[#This Row],[Status]]="Complete","Complete",IF(AsOf&gt;tblElements[[#This Row],[Due date]],"Overdue",IF(tblElements[[#This Row],[Due date]]-AsOf&lt;=DueSoonDays,"Due soon","OK"))))</f>
        <v>Complete</v>
      </c>
      <c r="M125" s="36">
        <f>IF(tblElements[[#This Row],[PPAP no.]]="","",IF(OR(DashCustomer="",tblElements[[#This Row],[Customer]]=DashCustomer),1,0))</f>
        <v>1</v>
      </c>
      <c r="N125"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25" s="41" t="s">
        <v>169</v>
      </c>
    </row>
    <row r="126" spans="2:15">
      <c r="B126" s="28" t="s">
        <v>200</v>
      </c>
      <c r="C126" s="28" t="s">
        <v>126</v>
      </c>
      <c r="D126" s="28" t="s">
        <v>108</v>
      </c>
      <c r="E126" s="29">
        <v>46255</v>
      </c>
      <c r="F126" s="28" t="s">
        <v>151</v>
      </c>
      <c r="G126" s="29">
        <v>46250</v>
      </c>
      <c r="H126" s="42" t="str">
        <f>IF(tblElements[[#This Row],[PPAP no.]]="","",IFERROR(INDEX(tblPPAPs[Part number],MATCH(tblElements[[#This Row],[PPAP no.]],tblPPAPs[PPAP no.],0)),""))</f>
        <v>CV-9001</v>
      </c>
      <c r="I126" s="42" t="str">
        <f>IF(tblElements[[#This Row],[PPAP no.]]="","",IFERROR(INDEX(tblPPAPs[Customer],MATCH(tblElements[[#This Row],[PPAP no.]],tblPPAPs[PPAP no.],0)),""))</f>
        <v>Northline Motors (example)</v>
      </c>
      <c r="J126" s="36">
        <f>IF(tblElements[[#This Row],[PPAP no.]]="","",IFERROR(INDEX(tblPPAPs[Open],MATCH(tblElements[[#This Row],[PPAP no.]],tblPPAPs[PPAP no.],0)),""))</f>
        <v>1</v>
      </c>
      <c r="K126" s="43">
        <f>IF(tblElements[[#This Row],[PPAP no.]]="","",IF(tblElements[[#This Row],[Status]]="Complete","",tblElements[[#This Row],[Due date]]-AsOf))</f>
        <v/>
      </c>
      <c r="L126" s="39" t="str">
        <f>IF(tblElements[[#This Row],[PPAP no.]]="","",IF(tblElements[[#This Row],[Status]]="Complete","Complete",IF(AsOf&gt;tblElements[[#This Row],[Due date]],"Overdue",IF(tblElements[[#This Row],[Due date]]-AsOf&lt;=DueSoonDays,"Due soon","OK"))))</f>
        <v>Complete</v>
      </c>
      <c r="M126" s="36">
        <f>IF(tblElements[[#This Row],[PPAP no.]]="","",IF(OR(DashCustomer="",tblElements[[#This Row],[Customer]]=DashCustomer),1,0))</f>
        <v>1</v>
      </c>
      <c r="N12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26" s="41" t="s">
        <v>169</v>
      </c>
    </row>
    <row r="127" spans="2:15">
      <c r="B127" s="28" t="s">
        <v>200</v>
      </c>
      <c r="C127" s="28" t="s">
        <v>127</v>
      </c>
      <c r="D127" s="28" t="s">
        <v>108</v>
      </c>
      <c r="E127" s="29">
        <v>46269</v>
      </c>
      <c r="F127" s="28" t="s">
        <v>151</v>
      </c>
      <c r="G127" s="29">
        <v>46265</v>
      </c>
      <c r="H127" s="42" t="str">
        <f>IF(tblElements[[#This Row],[PPAP no.]]="","",IFERROR(INDEX(tblPPAPs[Part number],MATCH(tblElements[[#This Row],[PPAP no.]],tblPPAPs[PPAP no.],0)),""))</f>
        <v>CV-9001</v>
      </c>
      <c r="I127" s="42" t="str">
        <f>IF(tblElements[[#This Row],[PPAP no.]]="","",IFERROR(INDEX(tblPPAPs[Customer],MATCH(tblElements[[#This Row],[PPAP no.]],tblPPAPs[PPAP no.],0)),""))</f>
        <v>Northline Motors (example)</v>
      </c>
      <c r="J127" s="36">
        <f>IF(tblElements[[#This Row],[PPAP no.]]="","",IFERROR(INDEX(tblPPAPs[Open],MATCH(tblElements[[#This Row],[PPAP no.]],tblPPAPs[PPAP no.],0)),""))</f>
        <v>1</v>
      </c>
      <c r="K127" s="43">
        <f>IF(tblElements[[#This Row],[PPAP no.]]="","",IF(tblElements[[#This Row],[Status]]="Complete","",tblElements[[#This Row],[Due date]]-AsOf))</f>
        <v/>
      </c>
      <c r="L127" s="39" t="str">
        <f>IF(tblElements[[#This Row],[PPAP no.]]="","",IF(tblElements[[#This Row],[Status]]="Complete","Complete",IF(AsOf&gt;tblElements[[#This Row],[Due date]],"Overdue",IF(tblElements[[#This Row],[Due date]]-AsOf&lt;=DueSoonDays,"Due soon","OK"))))</f>
        <v>Complete</v>
      </c>
      <c r="M127" s="36">
        <f>IF(tblElements[[#This Row],[PPAP no.]]="","",IF(OR(DashCustomer="",tblElements[[#This Row],[Customer]]=DashCustomer),1,0))</f>
        <v>1</v>
      </c>
      <c r="N12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27" s="41" t="s">
        <v>169</v>
      </c>
    </row>
    <row r="128" spans="2:15">
      <c r="B128" s="28" t="s">
        <v>200</v>
      </c>
      <c r="C128" s="28" t="s">
        <v>128</v>
      </c>
      <c r="D128" s="28" t="s">
        <v>112</v>
      </c>
      <c r="E128" s="29">
        <v>46276</v>
      </c>
      <c r="F128" s="28" t="s">
        <v>151</v>
      </c>
      <c r="G128" s="29">
        <v>46270</v>
      </c>
      <c r="H128" s="42" t="str">
        <f>IF(tblElements[[#This Row],[PPAP no.]]="","",IFERROR(INDEX(tblPPAPs[Part number],MATCH(tblElements[[#This Row],[PPAP no.]],tblPPAPs[PPAP no.],0)),""))</f>
        <v>CV-9001</v>
      </c>
      <c r="I128" s="42" t="str">
        <f>IF(tblElements[[#This Row],[PPAP no.]]="","",IFERROR(INDEX(tblPPAPs[Customer],MATCH(tblElements[[#This Row],[PPAP no.]],tblPPAPs[PPAP no.],0)),""))</f>
        <v>Northline Motors (example)</v>
      </c>
      <c r="J128" s="36">
        <f>IF(tblElements[[#This Row],[PPAP no.]]="","",IFERROR(INDEX(tblPPAPs[Open],MATCH(tblElements[[#This Row],[PPAP no.]],tblPPAPs[PPAP no.],0)),""))</f>
        <v>1</v>
      </c>
      <c r="K128" s="43">
        <f>IF(tblElements[[#This Row],[PPAP no.]]="","",IF(tblElements[[#This Row],[Status]]="Complete","",tblElements[[#This Row],[Due date]]-AsOf))</f>
        <v/>
      </c>
      <c r="L128" s="39" t="str">
        <f>IF(tblElements[[#This Row],[PPAP no.]]="","",IF(tblElements[[#This Row],[Status]]="Complete","Complete",IF(AsOf&gt;tblElements[[#This Row],[Due date]],"Overdue",IF(tblElements[[#This Row],[Due date]]-AsOf&lt;=DueSoonDays,"Due soon","OK"))))</f>
        <v>Complete</v>
      </c>
      <c r="M128" s="36">
        <f>IF(tblElements[[#This Row],[PPAP no.]]="","",IF(OR(DashCustomer="",tblElements[[#This Row],[Customer]]=DashCustomer),1,0))</f>
        <v>1</v>
      </c>
      <c r="N12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28" s="41" t="s">
        <v>169</v>
      </c>
    </row>
    <row r="129" spans="2:15">
      <c r="B129" s="28" t="s">
        <v>200</v>
      </c>
      <c r="C129" s="28" t="s">
        <v>136</v>
      </c>
      <c r="D129" s="28" t="s">
        <v>116</v>
      </c>
      <c r="E129" s="29">
        <v>46276</v>
      </c>
      <c r="F129" s="28" t="s">
        <v>151</v>
      </c>
      <c r="G129" s="29">
        <v>46275</v>
      </c>
      <c r="H129" s="42" t="str">
        <f>IF(tblElements[[#This Row],[PPAP no.]]="","",IFERROR(INDEX(tblPPAPs[Part number],MATCH(tblElements[[#This Row],[PPAP no.]],tblPPAPs[PPAP no.],0)),""))</f>
        <v>CV-9001</v>
      </c>
      <c r="I129" s="42" t="str">
        <f>IF(tblElements[[#This Row],[PPAP no.]]="","",IFERROR(INDEX(tblPPAPs[Customer],MATCH(tblElements[[#This Row],[PPAP no.]],tblPPAPs[PPAP no.],0)),""))</f>
        <v>Northline Motors (example)</v>
      </c>
      <c r="J129" s="36">
        <f>IF(tblElements[[#This Row],[PPAP no.]]="","",IFERROR(INDEX(tblPPAPs[Open],MATCH(tblElements[[#This Row],[PPAP no.]],tblPPAPs[PPAP no.],0)),""))</f>
        <v>1</v>
      </c>
      <c r="K129" s="43">
        <f>IF(tblElements[[#This Row],[PPAP no.]]="","",IF(tblElements[[#This Row],[Status]]="Complete","",tblElements[[#This Row],[Due date]]-AsOf))</f>
        <v/>
      </c>
      <c r="L129" s="39" t="str">
        <f>IF(tblElements[[#This Row],[PPAP no.]]="","",IF(tblElements[[#This Row],[Status]]="Complete","Complete",IF(AsOf&gt;tblElements[[#This Row],[Due date]],"Overdue",IF(tblElements[[#This Row],[Due date]]-AsOf&lt;=DueSoonDays,"Due soon","OK"))))</f>
        <v>Complete</v>
      </c>
      <c r="M129" s="36">
        <f>IF(tblElements[[#This Row],[PPAP no.]]="","",IF(OR(DashCustomer="",tblElements[[#This Row],[Customer]]=DashCustomer),1,0))</f>
        <v>1</v>
      </c>
      <c r="N12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29" s="41" t="s">
        <v>169</v>
      </c>
    </row>
    <row r="130" spans="2:15">
      <c r="B130" s="28" t="s">
        <v>200</v>
      </c>
      <c r="C130" s="28" t="s">
        <v>129</v>
      </c>
      <c r="D130" s="28" t="s">
        <v>112</v>
      </c>
      <c r="E130" s="29">
        <v>46283</v>
      </c>
      <c r="F130" s="28" t="s">
        <v>151</v>
      </c>
      <c r="G130" s="29">
        <v>46286</v>
      </c>
      <c r="H130" s="42" t="str">
        <f>IF(tblElements[[#This Row],[PPAP no.]]="","",IFERROR(INDEX(tblPPAPs[Part number],MATCH(tblElements[[#This Row],[PPAP no.]],tblPPAPs[PPAP no.],0)),""))</f>
        <v>CV-9001</v>
      </c>
      <c r="I130" s="42" t="str">
        <f>IF(tblElements[[#This Row],[PPAP no.]]="","",IFERROR(INDEX(tblPPAPs[Customer],MATCH(tblElements[[#This Row],[PPAP no.]],tblPPAPs[PPAP no.],0)),""))</f>
        <v>Northline Motors (example)</v>
      </c>
      <c r="J130" s="36">
        <f>IF(tblElements[[#This Row],[PPAP no.]]="","",IFERROR(INDEX(tblPPAPs[Open],MATCH(tblElements[[#This Row],[PPAP no.]],tblPPAPs[PPAP no.],0)),""))</f>
        <v>1</v>
      </c>
      <c r="K130" s="43">
        <f>IF(tblElements[[#This Row],[PPAP no.]]="","",IF(tblElements[[#This Row],[Status]]="Complete","",tblElements[[#This Row],[Due date]]-AsOf))</f>
        <v/>
      </c>
      <c r="L130" s="39" t="str">
        <f>IF(tblElements[[#This Row],[PPAP no.]]="","",IF(tblElements[[#This Row],[Status]]="Complete","Complete",IF(AsOf&gt;tblElements[[#This Row],[Due date]],"Overdue",IF(tblElements[[#This Row],[Due date]]-AsOf&lt;=DueSoonDays,"Due soon","OK"))))</f>
        <v>Complete</v>
      </c>
      <c r="M130" s="36">
        <f>IF(tblElements[[#This Row],[PPAP no.]]="","",IF(OR(DashCustomer="",tblElements[[#This Row],[Customer]]=DashCustomer),1,0))</f>
        <v>1</v>
      </c>
      <c r="N13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30" s="41" t="s">
        <v>169</v>
      </c>
    </row>
    <row r="131" spans="2:15">
      <c r="B131" s="28" t="s">
        <v>200</v>
      </c>
      <c r="C131" s="28" t="s">
        <v>130</v>
      </c>
      <c r="D131" s="28" t="s">
        <v>118</v>
      </c>
      <c r="E131" s="29">
        <v>46283</v>
      </c>
      <c r="F131" s="28" t="s">
        <v>151</v>
      </c>
      <c r="G131" s="29">
        <v>46284</v>
      </c>
      <c r="H131" s="42" t="str">
        <f>IF(tblElements[[#This Row],[PPAP no.]]="","",IFERROR(INDEX(tblPPAPs[Part number],MATCH(tblElements[[#This Row],[PPAP no.]],tblPPAPs[PPAP no.],0)),""))</f>
        <v>CV-9001</v>
      </c>
      <c r="I131" s="42" t="str">
        <f>IF(tblElements[[#This Row],[PPAP no.]]="","",IFERROR(INDEX(tblPPAPs[Customer],MATCH(tblElements[[#This Row],[PPAP no.]],tblPPAPs[PPAP no.],0)),""))</f>
        <v>Northline Motors (example)</v>
      </c>
      <c r="J131" s="36">
        <f>IF(tblElements[[#This Row],[PPAP no.]]="","",IFERROR(INDEX(tblPPAPs[Open],MATCH(tblElements[[#This Row],[PPAP no.]],tblPPAPs[PPAP no.],0)),""))</f>
        <v>1</v>
      </c>
      <c r="K131" s="43">
        <f>IF(tblElements[[#This Row],[PPAP no.]]="","",IF(tblElements[[#This Row],[Status]]="Complete","",tblElements[[#This Row],[Due date]]-AsOf))</f>
        <v/>
      </c>
      <c r="L131" s="39" t="str">
        <f>IF(tblElements[[#This Row],[PPAP no.]]="","",IF(tblElements[[#This Row],[Status]]="Complete","Complete",IF(AsOf&gt;tblElements[[#This Row],[Due date]],"Overdue",IF(tblElements[[#This Row],[Due date]]-AsOf&lt;=DueSoonDays,"Due soon","OK"))))</f>
        <v>Complete</v>
      </c>
      <c r="M131" s="36">
        <f>IF(tblElements[[#This Row],[PPAP no.]]="","",IF(OR(DashCustomer="",tblElements[[#This Row],[Customer]]=DashCustomer),1,0))</f>
        <v>1</v>
      </c>
      <c r="N131"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31" s="41" t="s">
        <v>169</v>
      </c>
    </row>
    <row r="132" spans="2:15">
      <c r="B132" s="28" t="s">
        <v>200</v>
      </c>
      <c r="C132" s="28" t="s">
        <v>132</v>
      </c>
      <c r="D132" s="28" t="s">
        <v>108</v>
      </c>
      <c r="E132" s="29">
        <v>46283</v>
      </c>
      <c r="F132" s="28" t="s">
        <v>151</v>
      </c>
      <c r="G132" s="29">
        <v>46279</v>
      </c>
      <c r="H132" s="42" t="str">
        <f>IF(tblElements[[#This Row],[PPAP no.]]="","",IFERROR(INDEX(tblPPAPs[Part number],MATCH(tblElements[[#This Row],[PPAP no.]],tblPPAPs[PPAP no.],0)),""))</f>
        <v>CV-9001</v>
      </c>
      <c r="I132" s="42" t="str">
        <f>IF(tblElements[[#This Row],[PPAP no.]]="","",IFERROR(INDEX(tblPPAPs[Customer],MATCH(tblElements[[#This Row],[PPAP no.]],tblPPAPs[PPAP no.],0)),""))</f>
        <v>Northline Motors (example)</v>
      </c>
      <c r="J132" s="36">
        <f>IF(tblElements[[#This Row],[PPAP no.]]="","",IFERROR(INDEX(tblPPAPs[Open],MATCH(tblElements[[#This Row],[PPAP no.]],tblPPAPs[PPAP no.],0)),""))</f>
        <v>1</v>
      </c>
      <c r="K132" s="43">
        <f>IF(tblElements[[#This Row],[PPAP no.]]="","",IF(tblElements[[#This Row],[Status]]="Complete","",tblElements[[#This Row],[Due date]]-AsOf))</f>
        <v/>
      </c>
      <c r="L132" s="39" t="str">
        <f>IF(tblElements[[#This Row],[PPAP no.]]="","",IF(tblElements[[#This Row],[Status]]="Complete","Complete",IF(AsOf&gt;tblElements[[#This Row],[Due date]],"Overdue",IF(tblElements[[#This Row],[Due date]]-AsOf&lt;=DueSoonDays,"Due soon","OK"))))</f>
        <v>Complete</v>
      </c>
      <c r="M132" s="36">
        <f>IF(tblElements[[#This Row],[PPAP no.]]="","",IF(OR(DashCustomer="",tblElements[[#This Row],[Customer]]=DashCustomer),1,0))</f>
        <v>1</v>
      </c>
      <c r="N132"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32" s="41" t="s">
        <v>169</v>
      </c>
    </row>
    <row r="133" spans="2:15">
      <c r="B133" s="28" t="s">
        <v>200</v>
      </c>
      <c r="C133" s="28" t="s">
        <v>131</v>
      </c>
      <c r="D133" s="28" t="s">
        <v>108</v>
      </c>
      <c r="E133" s="29">
        <v>46290</v>
      </c>
      <c r="F133" s="28" t="s">
        <v>151</v>
      </c>
      <c r="G133" s="29">
        <v>46289</v>
      </c>
      <c r="H133" s="42" t="str">
        <f>IF(tblElements[[#This Row],[PPAP no.]]="","",IFERROR(INDEX(tblPPAPs[Part number],MATCH(tblElements[[#This Row],[PPAP no.]],tblPPAPs[PPAP no.],0)),""))</f>
        <v>CV-9001</v>
      </c>
      <c r="I133" s="42" t="str">
        <f>IF(tblElements[[#This Row],[PPAP no.]]="","",IFERROR(INDEX(tblPPAPs[Customer],MATCH(tblElements[[#This Row],[PPAP no.]],tblPPAPs[PPAP no.],0)),""))</f>
        <v>Northline Motors (example)</v>
      </c>
      <c r="J133" s="36">
        <f>IF(tblElements[[#This Row],[PPAP no.]]="","",IFERROR(INDEX(tblPPAPs[Open],MATCH(tblElements[[#This Row],[PPAP no.]],tblPPAPs[PPAP no.],0)),""))</f>
        <v>1</v>
      </c>
      <c r="K133" s="43">
        <f>IF(tblElements[[#This Row],[PPAP no.]]="","",IF(tblElements[[#This Row],[Status]]="Complete","",tblElements[[#This Row],[Due date]]-AsOf))</f>
        <v/>
      </c>
      <c r="L133" s="39" t="str">
        <f>IF(tblElements[[#This Row],[PPAP no.]]="","",IF(tblElements[[#This Row],[Status]]="Complete","Complete",IF(AsOf&gt;tblElements[[#This Row],[Due date]],"Overdue",IF(tblElements[[#This Row],[Due date]]-AsOf&lt;=DueSoonDays,"Due soon","OK"))))</f>
        <v>Complete</v>
      </c>
      <c r="M133" s="36">
        <f>IF(tblElements[[#This Row],[PPAP no.]]="","",IF(OR(DashCustomer="",tblElements[[#This Row],[Customer]]=DashCustomer),1,0))</f>
        <v>1</v>
      </c>
      <c r="N133"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33" s="41" t="s">
        <v>169</v>
      </c>
    </row>
    <row r="134" spans="2:15">
      <c r="B134" s="28" t="s">
        <v>200</v>
      </c>
      <c r="C134" s="28" t="s">
        <v>133</v>
      </c>
      <c r="D134" s="28" t="s">
        <v>108</v>
      </c>
      <c r="E134" s="29">
        <v>46290</v>
      </c>
      <c r="F134" s="28" t="s">
        <v>151</v>
      </c>
      <c r="G134" s="29">
        <v>46294</v>
      </c>
      <c r="H134" s="42" t="str">
        <f>IF(tblElements[[#This Row],[PPAP no.]]="","",IFERROR(INDEX(tblPPAPs[Part number],MATCH(tblElements[[#This Row],[PPAP no.]],tblPPAPs[PPAP no.],0)),""))</f>
        <v>CV-9001</v>
      </c>
      <c r="I134" s="42" t="str">
        <f>IF(tblElements[[#This Row],[PPAP no.]]="","",IFERROR(INDEX(tblPPAPs[Customer],MATCH(tblElements[[#This Row],[PPAP no.]],tblPPAPs[PPAP no.],0)),""))</f>
        <v>Northline Motors (example)</v>
      </c>
      <c r="J134" s="36">
        <f>IF(tblElements[[#This Row],[PPAP no.]]="","",IFERROR(INDEX(tblPPAPs[Open],MATCH(tblElements[[#This Row],[PPAP no.]],tblPPAPs[PPAP no.],0)),""))</f>
        <v>1</v>
      </c>
      <c r="K134" s="43">
        <f>IF(tblElements[[#This Row],[PPAP no.]]="","",IF(tblElements[[#This Row],[Status]]="Complete","",tblElements[[#This Row],[Due date]]-AsOf))</f>
        <v/>
      </c>
      <c r="L134" s="39" t="str">
        <f>IF(tblElements[[#This Row],[PPAP no.]]="","",IF(tblElements[[#This Row],[Status]]="Complete","Complete",IF(AsOf&gt;tblElements[[#This Row],[Due date]],"Overdue",IF(tblElements[[#This Row],[Due date]]-AsOf&lt;=DueSoonDays,"Due soon","OK"))))</f>
        <v>Complete</v>
      </c>
      <c r="M134" s="36">
        <f>IF(tblElements[[#This Row],[PPAP no.]]="","",IF(OR(DashCustomer="",tblElements[[#This Row],[Customer]]=DashCustomer),1,0))</f>
        <v>1</v>
      </c>
      <c r="N134"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34" s="41" t="s">
        <v>169</v>
      </c>
    </row>
    <row r="135" spans="2:15">
      <c r="B135" s="28" t="s">
        <v>200</v>
      </c>
      <c r="C135" s="28" t="s">
        <v>134</v>
      </c>
      <c r="D135" s="28" t="s">
        <v>114</v>
      </c>
      <c r="E135" s="29">
        <v>46297</v>
      </c>
      <c r="F135" s="28" t="s">
        <v>221</v>
      </c>
      <c r="G135" s="29"/>
      <c r="H135" s="42" t="str">
        <f>IF(tblElements[[#This Row],[PPAP no.]]="","",IFERROR(INDEX(tblPPAPs[Part number],MATCH(tblElements[[#This Row],[PPAP no.]],tblPPAPs[PPAP no.],0)),""))</f>
        <v>CV-9001</v>
      </c>
      <c r="I135" s="42" t="str">
        <f>IF(tblElements[[#This Row],[PPAP no.]]="","",IFERROR(INDEX(tblPPAPs[Customer],MATCH(tblElements[[#This Row],[PPAP no.]],tblPPAPs[PPAP no.],0)),""))</f>
        <v>Northline Motors (example)</v>
      </c>
      <c r="J135" s="36">
        <f>IF(tblElements[[#This Row],[PPAP no.]]="","",IFERROR(INDEX(tblPPAPs[Open],MATCH(tblElements[[#This Row],[PPAP no.]],tblPPAPs[PPAP no.],0)),""))</f>
        <v>1</v>
      </c>
      <c r="K135" s="43">
        <f>IF(tblElements[[#This Row],[PPAP no.]]="","",IF(tblElements[[#This Row],[Status]]="Complete","",tblElements[[#This Row],[Due date]]-AsOf))</f>
        <v>-7</v>
      </c>
      <c r="L135" s="39" t="str">
        <f>IF(tblElements[[#This Row],[PPAP no.]]="","",IF(tblElements[[#This Row],[Status]]="Complete","Complete",IF(AsOf&gt;tblElements[[#This Row],[Due date]],"Overdue",IF(tblElements[[#This Row],[Due date]]-AsOf&lt;=DueSoonDays,"Due soon","OK"))))</f>
        <v>Overdue</v>
      </c>
      <c r="M135" s="36">
        <f>IF(tblElements[[#This Row],[PPAP no.]]="","",IF(OR(DashCustomer="",tblElements[[#This Row],[Customer]]=DashCustomer),1,0))</f>
        <v>1</v>
      </c>
      <c r="N135"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35" s="41" t="s">
        <v>169</v>
      </c>
    </row>
    <row r="136" spans="2:15">
      <c r="B136" s="28" t="s">
        <v>200</v>
      </c>
      <c r="C136" s="28" t="s">
        <v>135</v>
      </c>
      <c r="D136" s="28" t="s">
        <v>108</v>
      </c>
      <c r="E136" s="29">
        <v>46297</v>
      </c>
      <c r="F136" s="28" t="s">
        <v>221</v>
      </c>
      <c r="G136" s="29"/>
      <c r="H136" s="42" t="str">
        <f>IF(tblElements[[#This Row],[PPAP no.]]="","",IFERROR(INDEX(tblPPAPs[Part number],MATCH(tblElements[[#This Row],[PPAP no.]],tblPPAPs[PPAP no.],0)),""))</f>
        <v>CV-9001</v>
      </c>
      <c r="I136" s="42" t="str">
        <f>IF(tblElements[[#This Row],[PPAP no.]]="","",IFERROR(INDEX(tblPPAPs[Customer],MATCH(tblElements[[#This Row],[PPAP no.]],tblPPAPs[PPAP no.],0)),""))</f>
        <v>Northline Motors (example)</v>
      </c>
      <c r="J136" s="36">
        <f>IF(tblElements[[#This Row],[PPAP no.]]="","",IFERROR(INDEX(tblPPAPs[Open],MATCH(tblElements[[#This Row],[PPAP no.]],tblPPAPs[PPAP no.],0)),""))</f>
        <v>1</v>
      </c>
      <c r="K136" s="43">
        <f>IF(tblElements[[#This Row],[PPAP no.]]="","",IF(tblElements[[#This Row],[Status]]="Complete","",tblElements[[#This Row],[Due date]]-AsOf))</f>
        <v>-7</v>
      </c>
      <c r="L136" s="39" t="str">
        <f>IF(tblElements[[#This Row],[PPAP no.]]="","",IF(tblElements[[#This Row],[Status]]="Complete","Complete",IF(AsOf&gt;tblElements[[#This Row],[Due date]],"Overdue",IF(tblElements[[#This Row],[Due date]]-AsOf&lt;=DueSoonDays,"Due soon","OK"))))</f>
        <v>Overdue</v>
      </c>
      <c r="M136" s="36">
        <f>IF(tblElements[[#This Row],[PPAP no.]]="","",IF(OR(DashCustomer="",tblElements[[#This Row],[Customer]]=DashCustomer),1,0))</f>
        <v>1</v>
      </c>
      <c r="N13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36" s="41" t="s">
        <v>169</v>
      </c>
    </row>
    <row r="137" spans="2:15">
      <c r="B137" s="28" t="s">
        <v>200</v>
      </c>
      <c r="C137" s="28" t="s">
        <v>137</v>
      </c>
      <c r="D137" s="28" t="s">
        <v>108</v>
      </c>
      <c r="E137" s="29">
        <v>46301</v>
      </c>
      <c r="F137" s="28" t="s">
        <v>223</v>
      </c>
      <c r="G137" s="29"/>
      <c r="H137" s="42" t="str">
        <f>IF(tblElements[[#This Row],[PPAP no.]]="","",IFERROR(INDEX(tblPPAPs[Part number],MATCH(tblElements[[#This Row],[PPAP no.]],tblPPAPs[PPAP no.],0)),""))</f>
        <v>CV-9001</v>
      </c>
      <c r="I137" s="42" t="str">
        <f>IF(tblElements[[#This Row],[PPAP no.]]="","",IFERROR(INDEX(tblPPAPs[Customer],MATCH(tblElements[[#This Row],[PPAP no.]],tblPPAPs[PPAP no.],0)),""))</f>
        <v>Northline Motors (example)</v>
      </c>
      <c r="J137" s="36">
        <f>IF(tblElements[[#This Row],[PPAP no.]]="","",IFERROR(INDEX(tblPPAPs[Open],MATCH(tblElements[[#This Row],[PPAP no.]],tblPPAPs[PPAP no.],0)),""))</f>
        <v>1</v>
      </c>
      <c r="K137" s="43">
        <f>IF(tblElements[[#This Row],[PPAP no.]]="","",IF(tblElements[[#This Row],[Status]]="Complete","",tblElements[[#This Row],[Due date]]-AsOf))</f>
        <v>-3</v>
      </c>
      <c r="L137" s="39" t="str">
        <f>IF(tblElements[[#This Row],[PPAP no.]]="","",IF(tblElements[[#This Row],[Status]]="Complete","Complete",IF(AsOf&gt;tblElements[[#This Row],[Due date]],"Overdue",IF(tblElements[[#This Row],[Due date]]-AsOf&lt;=DueSoonDays,"Due soon","OK"))))</f>
        <v>Overdue</v>
      </c>
      <c r="M137" s="36">
        <f>IF(tblElements[[#This Row],[PPAP no.]]="","",IF(OR(DashCustomer="",tblElements[[#This Row],[Customer]]=DashCustomer),1,0))</f>
        <v>1</v>
      </c>
      <c r="N13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37" s="41" t="s">
        <v>169</v>
      </c>
    </row>
    <row r="138" spans="2:15">
      <c r="B138" s="28" t="s">
        <v>200</v>
      </c>
      <c r="C138" s="28" t="s">
        <v>138</v>
      </c>
      <c r="D138" s="28" t="s">
        <v>108</v>
      </c>
      <c r="E138" s="29">
        <v>46308</v>
      </c>
      <c r="F138" s="28" t="s">
        <v>223</v>
      </c>
      <c r="G138" s="29"/>
      <c r="H138" s="42" t="str">
        <f>IF(tblElements[[#This Row],[PPAP no.]]="","",IFERROR(INDEX(tblPPAPs[Part number],MATCH(tblElements[[#This Row],[PPAP no.]],tblPPAPs[PPAP no.],0)),""))</f>
        <v>CV-9001</v>
      </c>
      <c r="I138" s="42" t="str">
        <f>IF(tblElements[[#This Row],[PPAP no.]]="","",IFERROR(INDEX(tblPPAPs[Customer],MATCH(tblElements[[#This Row],[PPAP no.]],tblPPAPs[PPAP no.],0)),""))</f>
        <v>Northline Motors (example)</v>
      </c>
      <c r="J138" s="36">
        <f>IF(tblElements[[#This Row],[PPAP no.]]="","",IFERROR(INDEX(tblPPAPs[Open],MATCH(tblElements[[#This Row],[PPAP no.]],tblPPAPs[PPAP no.],0)),""))</f>
        <v>1</v>
      </c>
      <c r="K138" s="43">
        <f>IF(tblElements[[#This Row],[PPAP no.]]="","",IF(tblElements[[#This Row],[Status]]="Complete","",tblElements[[#This Row],[Due date]]-AsOf))</f>
        <v>4</v>
      </c>
      <c r="L138" s="39" t="str">
        <f>IF(tblElements[[#This Row],[PPAP no.]]="","",IF(tblElements[[#This Row],[Status]]="Complete","Complete",IF(AsOf&gt;tblElements[[#This Row],[Due date]],"Overdue",IF(tblElements[[#This Row],[Due date]]-AsOf&lt;=DueSoonDays,"Due soon","OK"))))</f>
        <v>Due soon</v>
      </c>
      <c r="M138" s="36">
        <f>IF(tblElements[[#This Row],[PPAP no.]]="","",IF(OR(DashCustomer="",tblElements[[#This Row],[Customer]]=DashCustomer),1,0))</f>
        <v>1</v>
      </c>
      <c r="N13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38" s="41" t="s">
        <v>169</v>
      </c>
    </row>
    <row r="139" spans="2:15">
      <c r="B139" s="28" t="s">
        <v>203</v>
      </c>
      <c r="C139" s="28" t="s">
        <v>121</v>
      </c>
      <c r="D139" s="28" t="s">
        <v>110</v>
      </c>
      <c r="E139" s="29">
        <v>46230</v>
      </c>
      <c r="F139" s="28" t="s">
        <v>151</v>
      </c>
      <c r="G139" s="29">
        <v>46232</v>
      </c>
      <c r="H139" s="42" t="str">
        <f>IF(tblElements[[#This Row],[PPAP no.]]="","",IFERROR(INDEX(tblPPAPs[Part number],MATCH(tblElements[[#This Row],[PPAP no.]],tblPPAPs[PPAP no.],0)),""))</f>
        <v>BR-2310</v>
      </c>
      <c r="I139" s="42" t="str">
        <f>IF(tblElements[[#This Row],[PPAP no.]]="","",IFERROR(INDEX(tblPPAPs[Customer],MATCH(tblElements[[#This Row],[PPAP no.]],tblPPAPs[PPAP no.],0)),""))</f>
        <v>Vantis Seating (example)</v>
      </c>
      <c r="J139" s="36">
        <f>IF(tblElements[[#This Row],[PPAP no.]]="","",IFERROR(INDEX(tblPPAPs[Open],MATCH(tblElements[[#This Row],[PPAP no.]],tblPPAPs[PPAP no.],0)),""))</f>
        <v>1</v>
      </c>
      <c r="K139" s="43">
        <f>IF(tblElements[[#This Row],[PPAP no.]]="","",IF(tblElements[[#This Row],[Status]]="Complete","",tblElements[[#This Row],[Due date]]-AsOf))</f>
        <v/>
      </c>
      <c r="L139" s="39" t="str">
        <f>IF(tblElements[[#This Row],[PPAP no.]]="","",IF(tblElements[[#This Row],[Status]]="Complete","Complete",IF(AsOf&gt;tblElements[[#This Row],[Due date]],"Overdue",IF(tblElements[[#This Row],[Due date]]-AsOf&lt;=DueSoonDays,"Due soon","OK"))))</f>
        <v>Complete</v>
      </c>
      <c r="M139" s="36">
        <f>IF(tblElements[[#This Row],[PPAP no.]]="","",IF(OR(DashCustomer="",tblElements[[#This Row],[Customer]]=DashCustomer),1,0))</f>
        <v>1</v>
      </c>
      <c r="N13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39" s="41" t="s">
        <v>169</v>
      </c>
    </row>
    <row r="140" spans="2:15">
      <c r="B140" s="28" t="s">
        <v>203</v>
      </c>
      <c r="C140" s="28" t="s">
        <v>124</v>
      </c>
      <c r="D140" s="28" t="s">
        <v>110</v>
      </c>
      <c r="E140" s="29">
        <v>46237</v>
      </c>
      <c r="F140" s="28" t="s">
        <v>151</v>
      </c>
      <c r="G140" s="29">
        <v>46231</v>
      </c>
      <c r="H140" s="42" t="str">
        <f>IF(tblElements[[#This Row],[PPAP no.]]="","",IFERROR(INDEX(tblPPAPs[Part number],MATCH(tblElements[[#This Row],[PPAP no.]],tblPPAPs[PPAP no.],0)),""))</f>
        <v>BR-2310</v>
      </c>
      <c r="I140" s="42" t="str">
        <f>IF(tblElements[[#This Row],[PPAP no.]]="","",IFERROR(INDEX(tblPPAPs[Customer],MATCH(tblElements[[#This Row],[PPAP no.]],tblPPAPs[PPAP no.],0)),""))</f>
        <v>Vantis Seating (example)</v>
      </c>
      <c r="J140" s="36">
        <f>IF(tblElements[[#This Row],[PPAP no.]]="","",IFERROR(INDEX(tblPPAPs[Open],MATCH(tblElements[[#This Row],[PPAP no.]],tblPPAPs[PPAP no.],0)),""))</f>
        <v>1</v>
      </c>
      <c r="K140" s="43">
        <f>IF(tblElements[[#This Row],[PPAP no.]]="","",IF(tblElements[[#This Row],[Status]]="Complete","",tblElements[[#This Row],[Due date]]-AsOf))</f>
        <v/>
      </c>
      <c r="L140" s="39" t="str">
        <f>IF(tblElements[[#This Row],[PPAP no.]]="","",IF(tblElements[[#This Row],[Status]]="Complete","Complete",IF(AsOf&gt;tblElements[[#This Row],[Due date]],"Overdue",IF(tblElements[[#This Row],[Due date]]-AsOf&lt;=DueSoonDays,"Due soon","OK"))))</f>
        <v>Complete</v>
      </c>
      <c r="M140" s="36">
        <f>IF(tblElements[[#This Row],[PPAP no.]]="","",IF(OR(DashCustomer="",tblElements[[#This Row],[Customer]]=DashCustomer),1,0))</f>
        <v>1</v>
      </c>
      <c r="N14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40" s="41" t="s">
        <v>169</v>
      </c>
    </row>
    <row r="141" spans="2:15">
      <c r="B141" s="28" t="s">
        <v>203</v>
      </c>
      <c r="C141" s="28" t="s">
        <v>125</v>
      </c>
      <c r="D141" s="28" t="s">
        <v>110</v>
      </c>
      <c r="E141" s="29">
        <v>46237</v>
      </c>
      <c r="F141" s="28" t="s">
        <v>151</v>
      </c>
      <c r="G141" s="29">
        <v>46233</v>
      </c>
      <c r="H141" s="42" t="str">
        <f>IF(tblElements[[#This Row],[PPAP no.]]="","",IFERROR(INDEX(tblPPAPs[Part number],MATCH(tblElements[[#This Row],[PPAP no.]],tblPPAPs[PPAP no.],0)),""))</f>
        <v>BR-2310</v>
      </c>
      <c r="I141" s="42" t="str">
        <f>IF(tblElements[[#This Row],[PPAP no.]]="","",IFERROR(INDEX(tblPPAPs[Customer],MATCH(tblElements[[#This Row],[PPAP no.]],tblPPAPs[PPAP no.],0)),""))</f>
        <v>Vantis Seating (example)</v>
      </c>
      <c r="J141" s="36">
        <f>IF(tblElements[[#This Row],[PPAP no.]]="","",IFERROR(INDEX(tblPPAPs[Open],MATCH(tblElements[[#This Row],[PPAP no.]],tblPPAPs[PPAP no.],0)),""))</f>
        <v>1</v>
      </c>
      <c r="K141" s="43">
        <f>IF(tblElements[[#This Row],[PPAP no.]]="","",IF(tblElements[[#This Row],[Status]]="Complete","",tblElements[[#This Row],[Due date]]-AsOf))</f>
        <v/>
      </c>
      <c r="L141" s="39" t="str">
        <f>IF(tblElements[[#This Row],[PPAP no.]]="","",IF(tblElements[[#This Row],[Status]]="Complete","Complete",IF(AsOf&gt;tblElements[[#This Row],[Due date]],"Overdue",IF(tblElements[[#This Row],[Due date]]-AsOf&lt;=DueSoonDays,"Due soon","OK"))))</f>
        <v>Complete</v>
      </c>
      <c r="M141" s="36">
        <f>IF(tblElements[[#This Row],[PPAP no.]]="","",IF(OR(DashCustomer="",tblElements[[#This Row],[Customer]]=DashCustomer),1,0))</f>
        <v>1</v>
      </c>
      <c r="N141"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41" s="41" t="s">
        <v>169</v>
      </c>
    </row>
    <row r="142" spans="2:15">
      <c r="B142" s="28" t="s">
        <v>203</v>
      </c>
      <c r="C142" s="28" t="s">
        <v>126</v>
      </c>
      <c r="D142" s="28" t="s">
        <v>108</v>
      </c>
      <c r="E142" s="29">
        <v>46244</v>
      </c>
      <c r="F142" s="28" t="s">
        <v>151</v>
      </c>
      <c r="G142" s="29">
        <v>46248</v>
      </c>
      <c r="H142" s="42" t="str">
        <f>IF(tblElements[[#This Row],[PPAP no.]]="","",IFERROR(INDEX(tblPPAPs[Part number],MATCH(tblElements[[#This Row],[PPAP no.]],tblPPAPs[PPAP no.],0)),""))</f>
        <v>BR-2310</v>
      </c>
      <c r="I142" s="42" t="str">
        <f>IF(tblElements[[#This Row],[PPAP no.]]="","",IFERROR(INDEX(tblPPAPs[Customer],MATCH(tblElements[[#This Row],[PPAP no.]],tblPPAPs[PPAP no.],0)),""))</f>
        <v>Vantis Seating (example)</v>
      </c>
      <c r="J142" s="36">
        <f>IF(tblElements[[#This Row],[PPAP no.]]="","",IFERROR(INDEX(tblPPAPs[Open],MATCH(tblElements[[#This Row],[PPAP no.]],tblPPAPs[PPAP no.],0)),""))</f>
        <v>1</v>
      </c>
      <c r="K142" s="43">
        <f>IF(tblElements[[#This Row],[PPAP no.]]="","",IF(tblElements[[#This Row],[Status]]="Complete","",tblElements[[#This Row],[Due date]]-AsOf))</f>
        <v/>
      </c>
      <c r="L142" s="39" t="str">
        <f>IF(tblElements[[#This Row],[PPAP no.]]="","",IF(tblElements[[#This Row],[Status]]="Complete","Complete",IF(AsOf&gt;tblElements[[#This Row],[Due date]],"Overdue",IF(tblElements[[#This Row],[Due date]]-AsOf&lt;=DueSoonDays,"Due soon","OK"))))</f>
        <v>Complete</v>
      </c>
      <c r="M142" s="36">
        <f>IF(tblElements[[#This Row],[PPAP no.]]="","",IF(OR(DashCustomer="",tblElements[[#This Row],[Customer]]=DashCustomer),1,0))</f>
        <v>1</v>
      </c>
      <c r="N142"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42" s="41" t="s">
        <v>169</v>
      </c>
    </row>
    <row r="143" spans="2:15">
      <c r="B143" s="28" t="s">
        <v>203</v>
      </c>
      <c r="C143" s="28" t="s">
        <v>127</v>
      </c>
      <c r="D143" s="28" t="s">
        <v>108</v>
      </c>
      <c r="E143" s="29">
        <v>46258</v>
      </c>
      <c r="F143" s="28" t="s">
        <v>151</v>
      </c>
      <c r="G143" s="29">
        <v>46261</v>
      </c>
      <c r="H143" s="42" t="str">
        <f>IF(tblElements[[#This Row],[PPAP no.]]="","",IFERROR(INDEX(tblPPAPs[Part number],MATCH(tblElements[[#This Row],[PPAP no.]],tblPPAPs[PPAP no.],0)),""))</f>
        <v>BR-2310</v>
      </c>
      <c r="I143" s="42" t="str">
        <f>IF(tblElements[[#This Row],[PPAP no.]]="","",IFERROR(INDEX(tblPPAPs[Customer],MATCH(tblElements[[#This Row],[PPAP no.]],tblPPAPs[PPAP no.],0)),""))</f>
        <v>Vantis Seating (example)</v>
      </c>
      <c r="J143" s="36">
        <f>IF(tblElements[[#This Row],[PPAP no.]]="","",IFERROR(INDEX(tblPPAPs[Open],MATCH(tblElements[[#This Row],[PPAP no.]],tblPPAPs[PPAP no.],0)),""))</f>
        <v>1</v>
      </c>
      <c r="K143" s="43">
        <f>IF(tblElements[[#This Row],[PPAP no.]]="","",IF(tblElements[[#This Row],[Status]]="Complete","",tblElements[[#This Row],[Due date]]-AsOf))</f>
        <v/>
      </c>
      <c r="L143" s="39" t="str">
        <f>IF(tblElements[[#This Row],[PPAP no.]]="","",IF(tblElements[[#This Row],[Status]]="Complete","Complete",IF(AsOf&gt;tblElements[[#This Row],[Due date]],"Overdue",IF(tblElements[[#This Row],[Due date]]-AsOf&lt;=DueSoonDays,"Due soon","OK"))))</f>
        <v>Complete</v>
      </c>
      <c r="M143" s="36">
        <f>IF(tblElements[[#This Row],[PPAP no.]]="","",IF(OR(DashCustomer="",tblElements[[#This Row],[Customer]]=DashCustomer),1,0))</f>
        <v>1</v>
      </c>
      <c r="N143"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43" s="41" t="s">
        <v>169</v>
      </c>
    </row>
    <row r="144" spans="2:15">
      <c r="B144" s="28" t="s">
        <v>203</v>
      </c>
      <c r="C144" s="28" t="s">
        <v>128</v>
      </c>
      <c r="D144" s="28" t="s">
        <v>112</v>
      </c>
      <c r="E144" s="29">
        <v>46265</v>
      </c>
      <c r="F144" s="28" t="s">
        <v>151</v>
      </c>
      <c r="G144" s="29">
        <v>46261</v>
      </c>
      <c r="H144" s="42" t="str">
        <f>IF(tblElements[[#This Row],[PPAP no.]]="","",IFERROR(INDEX(tblPPAPs[Part number],MATCH(tblElements[[#This Row],[PPAP no.]],tblPPAPs[PPAP no.],0)),""))</f>
        <v>BR-2310</v>
      </c>
      <c r="I144" s="42" t="str">
        <f>IF(tblElements[[#This Row],[PPAP no.]]="","",IFERROR(INDEX(tblPPAPs[Customer],MATCH(tblElements[[#This Row],[PPAP no.]],tblPPAPs[PPAP no.],0)),""))</f>
        <v>Vantis Seating (example)</v>
      </c>
      <c r="J144" s="36">
        <f>IF(tblElements[[#This Row],[PPAP no.]]="","",IFERROR(INDEX(tblPPAPs[Open],MATCH(tblElements[[#This Row],[PPAP no.]],tblPPAPs[PPAP no.],0)),""))</f>
        <v>1</v>
      </c>
      <c r="K144" s="43">
        <f>IF(tblElements[[#This Row],[PPAP no.]]="","",IF(tblElements[[#This Row],[Status]]="Complete","",tblElements[[#This Row],[Due date]]-AsOf))</f>
        <v/>
      </c>
      <c r="L144" s="39" t="str">
        <f>IF(tblElements[[#This Row],[PPAP no.]]="","",IF(tblElements[[#This Row],[Status]]="Complete","Complete",IF(AsOf&gt;tblElements[[#This Row],[Due date]],"Overdue",IF(tblElements[[#This Row],[Due date]]-AsOf&lt;=DueSoonDays,"Due soon","OK"))))</f>
        <v>Complete</v>
      </c>
      <c r="M144" s="36">
        <f>IF(tblElements[[#This Row],[PPAP no.]]="","",IF(OR(DashCustomer="",tblElements[[#This Row],[Customer]]=DashCustomer),1,0))</f>
        <v>1</v>
      </c>
      <c r="N144"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44" s="41" t="s">
        <v>169</v>
      </c>
    </row>
    <row r="145" spans="2:15">
      <c r="B145" s="28" t="s">
        <v>203</v>
      </c>
      <c r="C145" s="28" t="s">
        <v>136</v>
      </c>
      <c r="D145" s="28" t="s">
        <v>116</v>
      </c>
      <c r="E145" s="29">
        <v>46265</v>
      </c>
      <c r="F145" s="28" t="s">
        <v>151</v>
      </c>
      <c r="G145" s="29">
        <v>46264</v>
      </c>
      <c r="H145" s="42" t="str">
        <f>IF(tblElements[[#This Row],[PPAP no.]]="","",IFERROR(INDEX(tblPPAPs[Part number],MATCH(tblElements[[#This Row],[PPAP no.]],tblPPAPs[PPAP no.],0)),""))</f>
        <v>BR-2310</v>
      </c>
      <c r="I145" s="42" t="str">
        <f>IF(tblElements[[#This Row],[PPAP no.]]="","",IFERROR(INDEX(tblPPAPs[Customer],MATCH(tblElements[[#This Row],[PPAP no.]],tblPPAPs[PPAP no.],0)),""))</f>
        <v>Vantis Seating (example)</v>
      </c>
      <c r="J145" s="36">
        <f>IF(tblElements[[#This Row],[PPAP no.]]="","",IFERROR(INDEX(tblPPAPs[Open],MATCH(tblElements[[#This Row],[PPAP no.]],tblPPAPs[PPAP no.],0)),""))</f>
        <v>1</v>
      </c>
      <c r="K145" s="43">
        <f>IF(tblElements[[#This Row],[PPAP no.]]="","",IF(tblElements[[#This Row],[Status]]="Complete","",tblElements[[#This Row],[Due date]]-AsOf))</f>
        <v/>
      </c>
      <c r="L145" s="39" t="str">
        <f>IF(tblElements[[#This Row],[PPAP no.]]="","",IF(tblElements[[#This Row],[Status]]="Complete","Complete",IF(AsOf&gt;tblElements[[#This Row],[Due date]],"Overdue",IF(tblElements[[#This Row],[Due date]]-AsOf&lt;=DueSoonDays,"Due soon","OK"))))</f>
        <v>Complete</v>
      </c>
      <c r="M145" s="36">
        <f>IF(tblElements[[#This Row],[PPAP no.]]="","",IF(OR(DashCustomer="",tblElements[[#This Row],[Customer]]=DashCustomer),1,0))</f>
        <v>1</v>
      </c>
      <c r="N145"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45" s="41" t="s">
        <v>169</v>
      </c>
    </row>
    <row r="146" spans="2:15">
      <c r="B146" s="28" t="s">
        <v>203</v>
      </c>
      <c r="C146" s="28" t="s">
        <v>129</v>
      </c>
      <c r="D146" s="28" t="s">
        <v>112</v>
      </c>
      <c r="E146" s="29">
        <v>46272</v>
      </c>
      <c r="F146" s="28" t="s">
        <v>151</v>
      </c>
      <c r="G146" s="29">
        <v>46275</v>
      </c>
      <c r="H146" s="42" t="str">
        <f>IF(tblElements[[#This Row],[PPAP no.]]="","",IFERROR(INDEX(tblPPAPs[Part number],MATCH(tblElements[[#This Row],[PPAP no.]],tblPPAPs[PPAP no.],0)),""))</f>
        <v>BR-2310</v>
      </c>
      <c r="I146" s="42" t="str">
        <f>IF(tblElements[[#This Row],[PPAP no.]]="","",IFERROR(INDEX(tblPPAPs[Customer],MATCH(tblElements[[#This Row],[PPAP no.]],tblPPAPs[PPAP no.],0)),""))</f>
        <v>Vantis Seating (example)</v>
      </c>
      <c r="J146" s="36">
        <f>IF(tblElements[[#This Row],[PPAP no.]]="","",IFERROR(INDEX(tblPPAPs[Open],MATCH(tblElements[[#This Row],[PPAP no.]],tblPPAPs[PPAP no.],0)),""))</f>
        <v>1</v>
      </c>
      <c r="K146" s="43">
        <f>IF(tblElements[[#This Row],[PPAP no.]]="","",IF(tblElements[[#This Row],[Status]]="Complete","",tblElements[[#This Row],[Due date]]-AsOf))</f>
        <v/>
      </c>
      <c r="L146" s="39" t="str">
        <f>IF(tblElements[[#This Row],[PPAP no.]]="","",IF(tblElements[[#This Row],[Status]]="Complete","Complete",IF(AsOf&gt;tblElements[[#This Row],[Due date]],"Overdue",IF(tblElements[[#This Row],[Due date]]-AsOf&lt;=DueSoonDays,"Due soon","OK"))))</f>
        <v>Complete</v>
      </c>
      <c r="M146" s="36">
        <f>IF(tblElements[[#This Row],[PPAP no.]]="","",IF(OR(DashCustomer="",tblElements[[#This Row],[Customer]]=DashCustomer),1,0))</f>
        <v>1</v>
      </c>
      <c r="N14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46" s="41" t="s">
        <v>169</v>
      </c>
    </row>
    <row r="147" spans="2:15">
      <c r="B147" s="28" t="s">
        <v>203</v>
      </c>
      <c r="C147" s="28" t="s">
        <v>130</v>
      </c>
      <c r="D147" s="28" t="s">
        <v>118</v>
      </c>
      <c r="E147" s="29">
        <v>46272</v>
      </c>
      <c r="F147" s="28" t="s">
        <v>151</v>
      </c>
      <c r="G147" s="29">
        <v>46273</v>
      </c>
      <c r="H147" s="42" t="str">
        <f>IF(tblElements[[#This Row],[PPAP no.]]="","",IFERROR(INDEX(tblPPAPs[Part number],MATCH(tblElements[[#This Row],[PPAP no.]],tblPPAPs[PPAP no.],0)),""))</f>
        <v>BR-2310</v>
      </c>
      <c r="I147" s="42" t="str">
        <f>IF(tblElements[[#This Row],[PPAP no.]]="","",IFERROR(INDEX(tblPPAPs[Customer],MATCH(tblElements[[#This Row],[PPAP no.]],tblPPAPs[PPAP no.],0)),""))</f>
        <v>Vantis Seating (example)</v>
      </c>
      <c r="J147" s="36">
        <f>IF(tblElements[[#This Row],[PPAP no.]]="","",IFERROR(INDEX(tblPPAPs[Open],MATCH(tblElements[[#This Row],[PPAP no.]],tblPPAPs[PPAP no.],0)),""))</f>
        <v>1</v>
      </c>
      <c r="K147" s="43">
        <f>IF(tblElements[[#This Row],[PPAP no.]]="","",IF(tblElements[[#This Row],[Status]]="Complete","",tblElements[[#This Row],[Due date]]-AsOf))</f>
        <v/>
      </c>
      <c r="L147" s="39" t="str">
        <f>IF(tblElements[[#This Row],[PPAP no.]]="","",IF(tblElements[[#This Row],[Status]]="Complete","Complete",IF(AsOf&gt;tblElements[[#This Row],[Due date]],"Overdue",IF(tblElements[[#This Row],[Due date]]-AsOf&lt;=DueSoonDays,"Due soon","OK"))))</f>
        <v>Complete</v>
      </c>
      <c r="M147" s="36">
        <f>IF(tblElements[[#This Row],[PPAP no.]]="","",IF(OR(DashCustomer="",tblElements[[#This Row],[Customer]]=DashCustomer),1,0))</f>
        <v>1</v>
      </c>
      <c r="N14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47" s="41" t="s">
        <v>169</v>
      </c>
    </row>
    <row r="148" spans="2:15">
      <c r="B148" s="28" t="s">
        <v>203</v>
      </c>
      <c r="C148" s="28" t="s">
        <v>132</v>
      </c>
      <c r="D148" s="28" t="s">
        <v>108</v>
      </c>
      <c r="E148" s="29">
        <v>46272</v>
      </c>
      <c r="F148" s="28" t="s">
        <v>151</v>
      </c>
      <c r="G148" s="29">
        <v>46275</v>
      </c>
      <c r="H148" s="42" t="str">
        <f>IF(tblElements[[#This Row],[PPAP no.]]="","",IFERROR(INDEX(tblPPAPs[Part number],MATCH(tblElements[[#This Row],[PPAP no.]],tblPPAPs[PPAP no.],0)),""))</f>
        <v>BR-2310</v>
      </c>
      <c r="I148" s="42" t="str">
        <f>IF(tblElements[[#This Row],[PPAP no.]]="","",IFERROR(INDEX(tblPPAPs[Customer],MATCH(tblElements[[#This Row],[PPAP no.]],tblPPAPs[PPAP no.],0)),""))</f>
        <v>Vantis Seating (example)</v>
      </c>
      <c r="J148" s="36">
        <f>IF(tblElements[[#This Row],[PPAP no.]]="","",IFERROR(INDEX(tblPPAPs[Open],MATCH(tblElements[[#This Row],[PPAP no.]],tblPPAPs[PPAP no.],0)),""))</f>
        <v>1</v>
      </c>
      <c r="K148" s="43">
        <f>IF(tblElements[[#This Row],[PPAP no.]]="","",IF(tblElements[[#This Row],[Status]]="Complete","",tblElements[[#This Row],[Due date]]-AsOf))</f>
        <v/>
      </c>
      <c r="L148" s="39" t="str">
        <f>IF(tblElements[[#This Row],[PPAP no.]]="","",IF(tblElements[[#This Row],[Status]]="Complete","Complete",IF(AsOf&gt;tblElements[[#This Row],[Due date]],"Overdue",IF(tblElements[[#This Row],[Due date]]-AsOf&lt;=DueSoonDays,"Due soon","OK"))))</f>
        <v>Complete</v>
      </c>
      <c r="M148" s="36">
        <f>IF(tblElements[[#This Row],[PPAP no.]]="","",IF(OR(DashCustomer="",tblElements[[#This Row],[Customer]]=DashCustomer),1,0))</f>
        <v>1</v>
      </c>
      <c r="N14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48" s="41" t="s">
        <v>169</v>
      </c>
    </row>
    <row r="149" spans="2:15">
      <c r="B149" s="28" t="s">
        <v>203</v>
      </c>
      <c r="C149" s="28" t="s">
        <v>131</v>
      </c>
      <c r="D149" s="28" t="s">
        <v>108</v>
      </c>
      <c r="E149" s="29">
        <v>46279</v>
      </c>
      <c r="F149" s="28" t="s">
        <v>151</v>
      </c>
      <c r="G149" s="29">
        <v>46280</v>
      </c>
      <c r="H149" s="42" t="str">
        <f>IF(tblElements[[#This Row],[PPAP no.]]="","",IFERROR(INDEX(tblPPAPs[Part number],MATCH(tblElements[[#This Row],[PPAP no.]],tblPPAPs[PPAP no.],0)),""))</f>
        <v>BR-2310</v>
      </c>
      <c r="I149" s="42" t="str">
        <f>IF(tblElements[[#This Row],[PPAP no.]]="","",IFERROR(INDEX(tblPPAPs[Customer],MATCH(tblElements[[#This Row],[PPAP no.]],tblPPAPs[PPAP no.],0)),""))</f>
        <v>Vantis Seating (example)</v>
      </c>
      <c r="J149" s="36">
        <f>IF(tblElements[[#This Row],[PPAP no.]]="","",IFERROR(INDEX(tblPPAPs[Open],MATCH(tblElements[[#This Row],[PPAP no.]],tblPPAPs[PPAP no.],0)),""))</f>
        <v>1</v>
      </c>
      <c r="K149" s="43">
        <f>IF(tblElements[[#This Row],[PPAP no.]]="","",IF(tblElements[[#This Row],[Status]]="Complete","",tblElements[[#This Row],[Due date]]-AsOf))</f>
        <v/>
      </c>
      <c r="L149" s="39" t="str">
        <f>IF(tblElements[[#This Row],[PPAP no.]]="","",IF(tblElements[[#This Row],[Status]]="Complete","Complete",IF(AsOf&gt;tblElements[[#This Row],[Due date]],"Overdue",IF(tblElements[[#This Row],[Due date]]-AsOf&lt;=DueSoonDays,"Due soon","OK"))))</f>
        <v>Complete</v>
      </c>
      <c r="M149" s="36">
        <f>IF(tblElements[[#This Row],[PPAP no.]]="","",IF(OR(DashCustomer="",tblElements[[#This Row],[Customer]]=DashCustomer),1,0))</f>
        <v>1</v>
      </c>
      <c r="N14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49" s="41" t="s">
        <v>169</v>
      </c>
    </row>
    <row r="150" spans="2:15">
      <c r="B150" s="28" t="s">
        <v>203</v>
      </c>
      <c r="C150" s="28" t="s">
        <v>134</v>
      </c>
      <c r="D150" s="28" t="s">
        <v>114</v>
      </c>
      <c r="E150" s="29">
        <v>46286</v>
      </c>
      <c r="F150" s="28" t="s">
        <v>151</v>
      </c>
      <c r="G150" s="29">
        <v>46283</v>
      </c>
      <c r="H150" s="42" t="str">
        <f>IF(tblElements[[#This Row],[PPAP no.]]="","",IFERROR(INDEX(tblPPAPs[Part number],MATCH(tblElements[[#This Row],[PPAP no.]],tblPPAPs[PPAP no.],0)),""))</f>
        <v>BR-2310</v>
      </c>
      <c r="I150" s="42" t="str">
        <f>IF(tblElements[[#This Row],[PPAP no.]]="","",IFERROR(INDEX(tblPPAPs[Customer],MATCH(tblElements[[#This Row],[PPAP no.]],tblPPAPs[PPAP no.],0)),""))</f>
        <v>Vantis Seating (example)</v>
      </c>
      <c r="J150" s="36">
        <f>IF(tblElements[[#This Row],[PPAP no.]]="","",IFERROR(INDEX(tblPPAPs[Open],MATCH(tblElements[[#This Row],[PPAP no.]],tblPPAPs[PPAP no.],0)),""))</f>
        <v>1</v>
      </c>
      <c r="K150" s="43">
        <f>IF(tblElements[[#This Row],[PPAP no.]]="","",IF(tblElements[[#This Row],[Status]]="Complete","",tblElements[[#This Row],[Due date]]-AsOf))</f>
        <v/>
      </c>
      <c r="L150" s="39" t="str">
        <f>IF(tblElements[[#This Row],[PPAP no.]]="","",IF(tblElements[[#This Row],[Status]]="Complete","Complete",IF(AsOf&gt;tblElements[[#This Row],[Due date]],"Overdue",IF(tblElements[[#This Row],[Due date]]-AsOf&lt;=DueSoonDays,"Due soon","OK"))))</f>
        <v>Complete</v>
      </c>
      <c r="M150" s="36">
        <f>IF(tblElements[[#This Row],[PPAP no.]]="","",IF(OR(DashCustomer="",tblElements[[#This Row],[Customer]]=DashCustomer),1,0))</f>
        <v>1</v>
      </c>
      <c r="N15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50" s="41" t="s">
        <v>169</v>
      </c>
    </row>
    <row r="151" spans="2:15">
      <c r="B151" s="28" t="s">
        <v>203</v>
      </c>
      <c r="C151" s="28" t="s">
        <v>135</v>
      </c>
      <c r="D151" s="28" t="s">
        <v>108</v>
      </c>
      <c r="E151" s="29">
        <v>46286</v>
      </c>
      <c r="F151" s="28" t="s">
        <v>151</v>
      </c>
      <c r="G151" s="29">
        <v>46288</v>
      </c>
      <c r="H151" s="42" t="str">
        <f>IF(tblElements[[#This Row],[PPAP no.]]="","",IFERROR(INDEX(tblPPAPs[Part number],MATCH(tblElements[[#This Row],[PPAP no.]],tblPPAPs[PPAP no.],0)),""))</f>
        <v>BR-2310</v>
      </c>
      <c r="I151" s="42" t="str">
        <f>IF(tblElements[[#This Row],[PPAP no.]]="","",IFERROR(INDEX(tblPPAPs[Customer],MATCH(tblElements[[#This Row],[PPAP no.]],tblPPAPs[PPAP no.],0)),""))</f>
        <v>Vantis Seating (example)</v>
      </c>
      <c r="J151" s="36">
        <f>IF(tblElements[[#This Row],[PPAP no.]]="","",IFERROR(INDEX(tblPPAPs[Open],MATCH(tblElements[[#This Row],[PPAP no.]],tblPPAPs[PPAP no.],0)),""))</f>
        <v>1</v>
      </c>
      <c r="K151" s="43">
        <f>IF(tblElements[[#This Row],[PPAP no.]]="","",IF(tblElements[[#This Row],[Status]]="Complete","",tblElements[[#This Row],[Due date]]-AsOf))</f>
        <v/>
      </c>
      <c r="L151" s="39" t="str">
        <f>IF(tblElements[[#This Row],[PPAP no.]]="","",IF(tblElements[[#This Row],[Status]]="Complete","Complete",IF(AsOf&gt;tblElements[[#This Row],[Due date]],"Overdue",IF(tblElements[[#This Row],[Due date]]-AsOf&lt;=DueSoonDays,"Due soon","OK"))))</f>
        <v>Complete</v>
      </c>
      <c r="M151" s="36">
        <f>IF(tblElements[[#This Row],[PPAP no.]]="","",IF(OR(DashCustomer="",tblElements[[#This Row],[Customer]]=DashCustomer),1,0))</f>
        <v>1</v>
      </c>
      <c r="N151"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51" s="41" t="s">
        <v>169</v>
      </c>
    </row>
    <row r="152" spans="2:15">
      <c r="B152" s="28" t="s">
        <v>203</v>
      </c>
      <c r="C152" s="28" t="s">
        <v>137</v>
      </c>
      <c r="D152" s="28" t="s">
        <v>108</v>
      </c>
      <c r="E152" s="29">
        <v>46290</v>
      </c>
      <c r="F152" s="28" t="s">
        <v>221</v>
      </c>
      <c r="G152" s="29"/>
      <c r="H152" s="42" t="str">
        <f>IF(tblElements[[#This Row],[PPAP no.]]="","",IFERROR(INDEX(tblPPAPs[Part number],MATCH(tblElements[[#This Row],[PPAP no.]],tblPPAPs[PPAP no.],0)),""))</f>
        <v>BR-2310</v>
      </c>
      <c r="I152" s="42" t="str">
        <f>IF(tblElements[[#This Row],[PPAP no.]]="","",IFERROR(INDEX(tblPPAPs[Customer],MATCH(tblElements[[#This Row],[PPAP no.]],tblPPAPs[PPAP no.],0)),""))</f>
        <v>Vantis Seating (example)</v>
      </c>
      <c r="J152" s="36">
        <f>IF(tblElements[[#This Row],[PPAP no.]]="","",IFERROR(INDEX(tblPPAPs[Open],MATCH(tblElements[[#This Row],[PPAP no.]],tblPPAPs[PPAP no.],0)),""))</f>
        <v>1</v>
      </c>
      <c r="K152" s="43">
        <f>IF(tblElements[[#This Row],[PPAP no.]]="","",IF(tblElements[[#This Row],[Status]]="Complete","",tblElements[[#This Row],[Due date]]-AsOf))</f>
        <v>-14</v>
      </c>
      <c r="L152" s="39" t="str">
        <f>IF(tblElements[[#This Row],[PPAP no.]]="","",IF(tblElements[[#This Row],[Status]]="Complete","Complete",IF(AsOf&gt;tblElements[[#This Row],[Due date]],"Overdue",IF(tblElements[[#This Row],[Due date]]-AsOf&lt;=DueSoonDays,"Due soon","OK"))))</f>
        <v>Overdue</v>
      </c>
      <c r="M152" s="36">
        <f>IF(tblElements[[#This Row],[PPAP no.]]="","",IF(OR(DashCustomer="",tblElements[[#This Row],[Customer]]=DashCustomer),1,0))</f>
        <v>1</v>
      </c>
      <c r="N152"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52" s="41" t="s">
        <v>169</v>
      </c>
    </row>
    <row r="153" spans="2:15">
      <c r="B153" s="28" t="s">
        <v>203</v>
      </c>
      <c r="C153" s="28" t="s">
        <v>138</v>
      </c>
      <c r="D153" s="28" t="s">
        <v>108</v>
      </c>
      <c r="E153" s="29">
        <v>46297</v>
      </c>
      <c r="F153" s="28" t="s">
        <v>221</v>
      </c>
      <c r="G153" s="29"/>
      <c r="H153" s="42" t="str">
        <f>IF(tblElements[[#This Row],[PPAP no.]]="","",IFERROR(INDEX(tblPPAPs[Part number],MATCH(tblElements[[#This Row],[PPAP no.]],tblPPAPs[PPAP no.],0)),""))</f>
        <v>BR-2310</v>
      </c>
      <c r="I153" s="42" t="str">
        <f>IF(tblElements[[#This Row],[PPAP no.]]="","",IFERROR(INDEX(tblPPAPs[Customer],MATCH(tblElements[[#This Row],[PPAP no.]],tblPPAPs[PPAP no.],0)),""))</f>
        <v>Vantis Seating (example)</v>
      </c>
      <c r="J153" s="36">
        <f>IF(tblElements[[#This Row],[PPAP no.]]="","",IFERROR(INDEX(tblPPAPs[Open],MATCH(tblElements[[#This Row],[PPAP no.]],tblPPAPs[PPAP no.],0)),""))</f>
        <v>1</v>
      </c>
      <c r="K153" s="43">
        <f>IF(tblElements[[#This Row],[PPAP no.]]="","",IF(tblElements[[#This Row],[Status]]="Complete","",tblElements[[#This Row],[Due date]]-AsOf))</f>
        <v>-7</v>
      </c>
      <c r="L153" s="39" t="str">
        <f>IF(tblElements[[#This Row],[PPAP no.]]="","",IF(tblElements[[#This Row],[Status]]="Complete","Complete",IF(AsOf&gt;tblElements[[#This Row],[Due date]],"Overdue",IF(tblElements[[#This Row],[Due date]]-AsOf&lt;=DueSoonDays,"Due soon","OK"))))</f>
        <v>Overdue</v>
      </c>
      <c r="M153" s="36">
        <f>IF(tblElements[[#This Row],[PPAP no.]]="","",IF(OR(DashCustomer="",tblElements[[#This Row],[Customer]]=DashCustomer),1,0))</f>
        <v>1</v>
      </c>
      <c r="N153"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53" s="41" t="s">
        <v>169</v>
      </c>
    </row>
    <row r="154" spans="2:15">
      <c r="B154" s="28" t="s">
        <v>207</v>
      </c>
      <c r="C154" s="28" t="s">
        <v>125</v>
      </c>
      <c r="D154" s="28" t="s">
        <v>110</v>
      </c>
      <c r="E154" s="29">
        <v>46283</v>
      </c>
      <c r="F154" s="28" t="s">
        <v>151</v>
      </c>
      <c r="G154" s="29">
        <v>46286</v>
      </c>
      <c r="H154" s="42" t="str">
        <f>IF(tblElements[[#This Row],[PPAP no.]]="","",IFERROR(INDEX(tblPPAPs[Part number],MATCH(tblElements[[#This Row],[PPAP no.]],tblPPAPs[PPAP no.],0)),""))</f>
        <v>AX-3022</v>
      </c>
      <c r="I154" s="42" t="str">
        <f>IF(tblElements[[#This Row],[PPAP no.]]="","",IFERROR(INDEX(tblPPAPs[Customer],MATCH(tblElements[[#This Row],[PPAP no.]],tblPPAPs[PPAP no.],0)),""))</f>
        <v>Brightway Axles (example)</v>
      </c>
      <c r="J154" s="36">
        <f>IF(tblElements[[#This Row],[PPAP no.]]="","",IFERROR(INDEX(tblPPAPs[Open],MATCH(tblElements[[#This Row],[PPAP no.]],tblPPAPs[PPAP no.],0)),""))</f>
        <v>1</v>
      </c>
      <c r="K154" s="43">
        <f>IF(tblElements[[#This Row],[PPAP no.]]="","",IF(tblElements[[#This Row],[Status]]="Complete","",tblElements[[#This Row],[Due date]]-AsOf))</f>
        <v/>
      </c>
      <c r="L154" s="39" t="str">
        <f>IF(tblElements[[#This Row],[PPAP no.]]="","",IF(tblElements[[#This Row],[Status]]="Complete","Complete",IF(AsOf&gt;tblElements[[#This Row],[Due date]],"Overdue",IF(tblElements[[#This Row],[Due date]]-AsOf&lt;=DueSoonDays,"Due soon","OK"))))</f>
        <v>Complete</v>
      </c>
      <c r="M154" s="36">
        <f>IF(tblElements[[#This Row],[PPAP no.]]="","",IF(OR(DashCustomer="",tblElements[[#This Row],[Customer]]=DashCustomer),1,0))</f>
        <v>1</v>
      </c>
      <c r="N154"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54" s="41" t="s">
        <v>169</v>
      </c>
    </row>
    <row r="155" spans="2:15">
      <c r="B155" s="28" t="s">
        <v>207</v>
      </c>
      <c r="C155" s="28" t="s">
        <v>126</v>
      </c>
      <c r="D155" s="28" t="s">
        <v>108</v>
      </c>
      <c r="E155" s="29">
        <v>46290</v>
      </c>
      <c r="F155" s="28" t="s">
        <v>151</v>
      </c>
      <c r="G155" s="29">
        <v>46292</v>
      </c>
      <c r="H155" s="42" t="str">
        <f>IF(tblElements[[#This Row],[PPAP no.]]="","",IFERROR(INDEX(tblPPAPs[Part number],MATCH(tblElements[[#This Row],[PPAP no.]],tblPPAPs[PPAP no.],0)),""))</f>
        <v>AX-3022</v>
      </c>
      <c r="I155" s="42" t="str">
        <f>IF(tblElements[[#This Row],[PPAP no.]]="","",IFERROR(INDEX(tblPPAPs[Customer],MATCH(tblElements[[#This Row],[PPAP no.]],tblPPAPs[PPAP no.],0)),""))</f>
        <v>Brightway Axles (example)</v>
      </c>
      <c r="J155" s="36">
        <f>IF(tblElements[[#This Row],[PPAP no.]]="","",IFERROR(INDEX(tblPPAPs[Open],MATCH(tblElements[[#This Row],[PPAP no.]],tblPPAPs[PPAP no.],0)),""))</f>
        <v>1</v>
      </c>
      <c r="K155" s="43">
        <f>IF(tblElements[[#This Row],[PPAP no.]]="","",IF(tblElements[[#This Row],[Status]]="Complete","",tblElements[[#This Row],[Due date]]-AsOf))</f>
        <v/>
      </c>
      <c r="L155" s="39" t="str">
        <f>IF(tblElements[[#This Row],[PPAP no.]]="","",IF(tblElements[[#This Row],[Status]]="Complete","Complete",IF(AsOf&gt;tblElements[[#This Row],[Due date]],"Overdue",IF(tblElements[[#This Row],[Due date]]-AsOf&lt;=DueSoonDays,"Due soon","OK"))))</f>
        <v>Complete</v>
      </c>
      <c r="M155" s="36">
        <f>IF(tblElements[[#This Row],[PPAP no.]]="","",IF(OR(DashCustomer="",tblElements[[#This Row],[Customer]]=DashCustomer),1,0))</f>
        <v>1</v>
      </c>
      <c r="N155"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55" s="41" t="s">
        <v>169</v>
      </c>
    </row>
    <row r="156" spans="2:15">
      <c r="B156" s="28" t="s">
        <v>207</v>
      </c>
      <c r="C156" s="28" t="s">
        <v>127</v>
      </c>
      <c r="D156" s="28" t="s">
        <v>108</v>
      </c>
      <c r="E156" s="29">
        <v>46304</v>
      </c>
      <c r="F156" s="28" t="s">
        <v>151</v>
      </c>
      <c r="G156" s="29">
        <v>46302</v>
      </c>
      <c r="H156" s="42" t="str">
        <f>IF(tblElements[[#This Row],[PPAP no.]]="","",IFERROR(INDEX(tblPPAPs[Part number],MATCH(tblElements[[#This Row],[PPAP no.]],tblPPAPs[PPAP no.],0)),""))</f>
        <v>AX-3022</v>
      </c>
      <c r="I156" s="42" t="str">
        <f>IF(tblElements[[#This Row],[PPAP no.]]="","",IFERROR(INDEX(tblPPAPs[Customer],MATCH(tblElements[[#This Row],[PPAP no.]],tblPPAPs[PPAP no.],0)),""))</f>
        <v>Brightway Axles (example)</v>
      </c>
      <c r="J156" s="36">
        <f>IF(tblElements[[#This Row],[PPAP no.]]="","",IFERROR(INDEX(tblPPAPs[Open],MATCH(tblElements[[#This Row],[PPAP no.]],tblPPAPs[PPAP no.],0)),""))</f>
        <v>1</v>
      </c>
      <c r="K156" s="43">
        <f>IF(tblElements[[#This Row],[PPAP no.]]="","",IF(tblElements[[#This Row],[Status]]="Complete","",tblElements[[#This Row],[Due date]]-AsOf))</f>
        <v/>
      </c>
      <c r="L156" s="39" t="str">
        <f>IF(tblElements[[#This Row],[PPAP no.]]="","",IF(tblElements[[#This Row],[Status]]="Complete","Complete",IF(AsOf&gt;tblElements[[#This Row],[Due date]],"Overdue",IF(tblElements[[#This Row],[Due date]]-AsOf&lt;=DueSoonDays,"Due soon","OK"))))</f>
        <v>Complete</v>
      </c>
      <c r="M156" s="36">
        <f>IF(tblElements[[#This Row],[PPAP no.]]="","",IF(OR(DashCustomer="",tblElements[[#This Row],[Customer]]=DashCustomer),1,0))</f>
        <v>1</v>
      </c>
      <c r="N15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56" s="41" t="s">
        <v>169</v>
      </c>
    </row>
    <row r="157" spans="2:15">
      <c r="B157" s="28" t="s">
        <v>207</v>
      </c>
      <c r="C157" s="28" t="s">
        <v>128</v>
      </c>
      <c r="D157" s="28" t="s">
        <v>112</v>
      </c>
      <c r="E157" s="29">
        <v>46311</v>
      </c>
      <c r="F157" s="28" t="s">
        <v>151</v>
      </c>
      <c r="G157" s="29">
        <v>46303</v>
      </c>
      <c r="H157" s="42" t="str">
        <f>IF(tblElements[[#This Row],[PPAP no.]]="","",IFERROR(INDEX(tblPPAPs[Part number],MATCH(tblElements[[#This Row],[PPAP no.]],tblPPAPs[PPAP no.],0)),""))</f>
        <v>AX-3022</v>
      </c>
      <c r="I157" s="42" t="str">
        <f>IF(tblElements[[#This Row],[PPAP no.]]="","",IFERROR(INDEX(tblPPAPs[Customer],MATCH(tblElements[[#This Row],[PPAP no.]],tblPPAPs[PPAP no.],0)),""))</f>
        <v>Brightway Axles (example)</v>
      </c>
      <c r="J157" s="36">
        <f>IF(tblElements[[#This Row],[PPAP no.]]="","",IFERROR(INDEX(tblPPAPs[Open],MATCH(tblElements[[#This Row],[PPAP no.]],tblPPAPs[PPAP no.],0)),""))</f>
        <v>1</v>
      </c>
      <c r="K157" s="43">
        <f>IF(tblElements[[#This Row],[PPAP no.]]="","",IF(tblElements[[#This Row],[Status]]="Complete","",tblElements[[#This Row],[Due date]]-AsOf))</f>
        <v/>
      </c>
      <c r="L157" s="39" t="str">
        <f>IF(tblElements[[#This Row],[PPAP no.]]="","",IF(tblElements[[#This Row],[Status]]="Complete","Complete",IF(AsOf&gt;tblElements[[#This Row],[Due date]],"Overdue",IF(tblElements[[#This Row],[Due date]]-AsOf&lt;=DueSoonDays,"Due soon","OK"))))</f>
        <v>Complete</v>
      </c>
      <c r="M157" s="36">
        <f>IF(tblElements[[#This Row],[PPAP no.]]="","",IF(OR(DashCustomer="",tblElements[[#This Row],[Customer]]=DashCustomer),1,0))</f>
        <v>1</v>
      </c>
      <c r="N15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57" s="41" t="s">
        <v>169</v>
      </c>
    </row>
    <row r="158" spans="2:15">
      <c r="B158" s="28" t="s">
        <v>207</v>
      </c>
      <c r="C158" s="28" t="s">
        <v>136</v>
      </c>
      <c r="D158" s="28" t="s">
        <v>116</v>
      </c>
      <c r="E158" s="29">
        <v>46311</v>
      </c>
      <c r="F158" s="28" t="s">
        <v>221</v>
      </c>
      <c r="G158" s="29"/>
      <c r="H158" s="42" t="str">
        <f>IF(tblElements[[#This Row],[PPAP no.]]="","",IFERROR(INDEX(tblPPAPs[Part number],MATCH(tblElements[[#This Row],[PPAP no.]],tblPPAPs[PPAP no.],0)),""))</f>
        <v>AX-3022</v>
      </c>
      <c r="I158" s="42" t="str">
        <f>IF(tblElements[[#This Row],[PPAP no.]]="","",IFERROR(INDEX(tblPPAPs[Customer],MATCH(tblElements[[#This Row],[PPAP no.]],tblPPAPs[PPAP no.],0)),""))</f>
        <v>Brightway Axles (example)</v>
      </c>
      <c r="J158" s="36">
        <f>IF(tblElements[[#This Row],[PPAP no.]]="","",IFERROR(INDEX(tblPPAPs[Open],MATCH(tblElements[[#This Row],[PPAP no.]],tblPPAPs[PPAP no.],0)),""))</f>
        <v>1</v>
      </c>
      <c r="K158" s="43">
        <f>IF(tblElements[[#This Row],[PPAP no.]]="","",IF(tblElements[[#This Row],[Status]]="Complete","",tblElements[[#This Row],[Due date]]-AsOf))</f>
        <v>7</v>
      </c>
      <c r="L158" s="39" t="str">
        <f>IF(tblElements[[#This Row],[PPAP no.]]="","",IF(tblElements[[#This Row],[Status]]="Complete","Complete",IF(AsOf&gt;tblElements[[#This Row],[Due date]],"Overdue",IF(tblElements[[#This Row],[Due date]]-AsOf&lt;=DueSoonDays,"Due soon","OK"))))</f>
        <v>Due soon</v>
      </c>
      <c r="M158" s="36">
        <f>IF(tblElements[[#This Row],[PPAP no.]]="","",IF(OR(DashCustomer="",tblElements[[#This Row],[Customer]]=DashCustomer),1,0))</f>
        <v>1</v>
      </c>
      <c r="N15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58" s="41" t="s">
        <v>169</v>
      </c>
    </row>
    <row r="159" spans="2:15">
      <c r="B159" s="28" t="s">
        <v>207</v>
      </c>
      <c r="C159" s="28" t="s">
        <v>129</v>
      </c>
      <c r="D159" s="28" t="s">
        <v>112</v>
      </c>
      <c r="E159" s="29">
        <v>46318</v>
      </c>
      <c r="F159" s="28" t="s">
        <v>221</v>
      </c>
      <c r="G159" s="29"/>
      <c r="H159" s="42" t="str">
        <f>IF(tblElements[[#This Row],[PPAP no.]]="","",IFERROR(INDEX(tblPPAPs[Part number],MATCH(tblElements[[#This Row],[PPAP no.]],tblPPAPs[PPAP no.],0)),""))</f>
        <v>AX-3022</v>
      </c>
      <c r="I159" s="42" t="str">
        <f>IF(tblElements[[#This Row],[PPAP no.]]="","",IFERROR(INDEX(tblPPAPs[Customer],MATCH(tblElements[[#This Row],[PPAP no.]],tblPPAPs[PPAP no.],0)),""))</f>
        <v>Brightway Axles (example)</v>
      </c>
      <c r="J159" s="36">
        <f>IF(tblElements[[#This Row],[PPAP no.]]="","",IFERROR(INDEX(tblPPAPs[Open],MATCH(tblElements[[#This Row],[PPAP no.]],tblPPAPs[PPAP no.],0)),""))</f>
        <v>1</v>
      </c>
      <c r="K159" s="43">
        <f>IF(tblElements[[#This Row],[PPAP no.]]="","",IF(tblElements[[#This Row],[Status]]="Complete","",tblElements[[#This Row],[Due date]]-AsOf))</f>
        <v>14</v>
      </c>
      <c r="L159" s="39" t="str">
        <f>IF(tblElements[[#This Row],[PPAP no.]]="","",IF(tblElements[[#This Row],[Status]]="Complete","Complete",IF(AsOf&gt;tblElements[[#This Row],[Due date]],"Overdue",IF(tblElements[[#This Row],[Due date]]-AsOf&lt;=DueSoonDays,"Due soon","OK"))))</f>
        <v>Due soon</v>
      </c>
      <c r="M159" s="36">
        <f>IF(tblElements[[#This Row],[PPAP no.]]="","",IF(OR(DashCustomer="",tblElements[[#This Row],[Customer]]=DashCustomer),1,0))</f>
        <v>1</v>
      </c>
      <c r="N15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59" s="41" t="s">
        <v>169</v>
      </c>
    </row>
    <row r="160" spans="2:15">
      <c r="B160" s="28" t="s">
        <v>207</v>
      </c>
      <c r="C160" s="28" t="s">
        <v>131</v>
      </c>
      <c r="D160" s="28" t="s">
        <v>108</v>
      </c>
      <c r="E160" s="29">
        <v>46325</v>
      </c>
      <c r="F160" s="28" t="s">
        <v>223</v>
      </c>
      <c r="G160" s="29"/>
      <c r="H160" s="42" t="str">
        <f>IF(tblElements[[#This Row],[PPAP no.]]="","",IFERROR(INDEX(tblPPAPs[Part number],MATCH(tblElements[[#This Row],[PPAP no.]],tblPPAPs[PPAP no.],0)),""))</f>
        <v>AX-3022</v>
      </c>
      <c r="I160" s="42" t="str">
        <f>IF(tblElements[[#This Row],[PPAP no.]]="","",IFERROR(INDEX(tblPPAPs[Customer],MATCH(tblElements[[#This Row],[PPAP no.]],tblPPAPs[PPAP no.],0)),""))</f>
        <v>Brightway Axles (example)</v>
      </c>
      <c r="J160" s="36">
        <f>IF(tblElements[[#This Row],[PPAP no.]]="","",IFERROR(INDEX(tblPPAPs[Open],MATCH(tblElements[[#This Row],[PPAP no.]],tblPPAPs[PPAP no.],0)),""))</f>
        <v>1</v>
      </c>
      <c r="K160" s="43">
        <f>IF(tblElements[[#This Row],[PPAP no.]]="","",IF(tblElements[[#This Row],[Status]]="Complete","",tblElements[[#This Row],[Due date]]-AsOf))</f>
        <v>21</v>
      </c>
      <c r="L160" s="39" t="str">
        <f>IF(tblElements[[#This Row],[PPAP no.]]="","",IF(tblElements[[#This Row],[Status]]="Complete","Complete",IF(AsOf&gt;tblElements[[#This Row],[Due date]],"Overdue",IF(tblElements[[#This Row],[Due date]]-AsOf&lt;=DueSoonDays,"Due soon","OK"))))</f>
        <v>OK</v>
      </c>
      <c r="M160" s="36">
        <f>IF(tblElements[[#This Row],[PPAP no.]]="","",IF(OR(DashCustomer="",tblElements[[#This Row],[Customer]]=DashCustomer),1,0))</f>
        <v>1</v>
      </c>
      <c r="N16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60" s="41" t="s">
        <v>169</v>
      </c>
    </row>
    <row r="161" spans="2:15">
      <c r="B161" s="28" t="s">
        <v>207</v>
      </c>
      <c r="C161" s="28" t="s">
        <v>134</v>
      </c>
      <c r="D161" s="28" t="s">
        <v>114</v>
      </c>
      <c r="E161" s="29">
        <v>46332</v>
      </c>
      <c r="F161" s="28" t="s">
        <v>223</v>
      </c>
      <c r="G161" s="29"/>
      <c r="H161" s="42" t="str">
        <f>IF(tblElements[[#This Row],[PPAP no.]]="","",IFERROR(INDEX(tblPPAPs[Part number],MATCH(tblElements[[#This Row],[PPAP no.]],tblPPAPs[PPAP no.],0)),""))</f>
        <v>AX-3022</v>
      </c>
      <c r="I161" s="42" t="str">
        <f>IF(tblElements[[#This Row],[PPAP no.]]="","",IFERROR(INDEX(tblPPAPs[Customer],MATCH(tblElements[[#This Row],[PPAP no.]],tblPPAPs[PPAP no.],0)),""))</f>
        <v>Brightway Axles (example)</v>
      </c>
      <c r="J161" s="36">
        <f>IF(tblElements[[#This Row],[PPAP no.]]="","",IFERROR(INDEX(tblPPAPs[Open],MATCH(tblElements[[#This Row],[PPAP no.]],tblPPAPs[PPAP no.],0)),""))</f>
        <v>1</v>
      </c>
      <c r="K161" s="43">
        <f>IF(tblElements[[#This Row],[PPAP no.]]="","",IF(tblElements[[#This Row],[Status]]="Complete","",tblElements[[#This Row],[Due date]]-AsOf))</f>
        <v>28</v>
      </c>
      <c r="L161" s="39" t="str">
        <f>IF(tblElements[[#This Row],[PPAP no.]]="","",IF(tblElements[[#This Row],[Status]]="Complete","Complete",IF(AsOf&gt;tblElements[[#This Row],[Due date]],"Overdue",IF(tblElements[[#This Row],[Due date]]-AsOf&lt;=DueSoonDays,"Due soon","OK"))))</f>
        <v>OK</v>
      </c>
      <c r="M161" s="36">
        <f>IF(tblElements[[#This Row],[PPAP no.]]="","",IF(OR(DashCustomer="",tblElements[[#This Row],[Customer]]=DashCustomer),1,0))</f>
        <v>1</v>
      </c>
      <c r="N161"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61" s="41" t="s">
        <v>169</v>
      </c>
    </row>
    <row r="162" spans="2:15">
      <c r="B162" s="28" t="s">
        <v>207</v>
      </c>
      <c r="C162" s="28" t="s">
        <v>138</v>
      </c>
      <c r="D162" s="28" t="s">
        <v>108</v>
      </c>
      <c r="E162" s="29">
        <v>46343</v>
      </c>
      <c r="F162" s="28" t="s">
        <v>223</v>
      </c>
      <c r="G162" s="29"/>
      <c r="H162" s="42" t="str">
        <f>IF(tblElements[[#This Row],[PPAP no.]]="","",IFERROR(INDEX(tblPPAPs[Part number],MATCH(tblElements[[#This Row],[PPAP no.]],tblPPAPs[PPAP no.],0)),""))</f>
        <v>AX-3022</v>
      </c>
      <c r="I162" s="42" t="str">
        <f>IF(tblElements[[#This Row],[PPAP no.]]="","",IFERROR(INDEX(tblPPAPs[Customer],MATCH(tblElements[[#This Row],[PPAP no.]],tblPPAPs[PPAP no.],0)),""))</f>
        <v>Brightway Axles (example)</v>
      </c>
      <c r="J162" s="36">
        <f>IF(tblElements[[#This Row],[PPAP no.]]="","",IFERROR(INDEX(tblPPAPs[Open],MATCH(tblElements[[#This Row],[PPAP no.]],tblPPAPs[PPAP no.],0)),""))</f>
        <v>1</v>
      </c>
      <c r="K162" s="43">
        <f>IF(tblElements[[#This Row],[PPAP no.]]="","",IF(tblElements[[#This Row],[Status]]="Complete","",tblElements[[#This Row],[Due date]]-AsOf))</f>
        <v>39</v>
      </c>
      <c r="L162" s="39" t="str">
        <f>IF(tblElements[[#This Row],[PPAP no.]]="","",IF(tblElements[[#This Row],[Status]]="Complete","Complete",IF(AsOf&gt;tblElements[[#This Row],[Due date]],"Overdue",IF(tblElements[[#This Row],[Due date]]-AsOf&lt;=DueSoonDays,"Due soon","OK"))))</f>
        <v>OK</v>
      </c>
      <c r="M162" s="36">
        <f>IF(tblElements[[#This Row],[PPAP no.]]="","",IF(OR(DashCustomer="",tblElements[[#This Row],[Customer]]=DashCustomer),1,0))</f>
        <v>1</v>
      </c>
      <c r="N162"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62" s="41" t="s">
        <v>169</v>
      </c>
    </row>
    <row r="163" spans="2:15">
      <c r="B163" s="28" t="s">
        <v>210</v>
      </c>
      <c r="C163" s="28" t="s">
        <v>121</v>
      </c>
      <c r="D163" s="28" t="s">
        <v>110</v>
      </c>
      <c r="E163" s="29">
        <v>46297</v>
      </c>
      <c r="F163" s="28" t="s">
        <v>151</v>
      </c>
      <c r="G163" s="29">
        <v>46291</v>
      </c>
      <c r="H163" s="42" t="str">
        <f>IF(tblElements[[#This Row],[PPAP no.]]="","",IFERROR(INDEX(tblPPAPs[Part number],MATCH(tblElements[[#This Row],[PPAP no.]],tblPPAPs[PPAP no.],0)),""))</f>
        <v>HS-4410</v>
      </c>
      <c r="I163" s="42" t="str">
        <f>IF(tblElements[[#This Row],[PPAP no.]]="","",IFERROR(INDEX(tblPPAPs[Customer],MATCH(tblElements[[#This Row],[PPAP no.]],tblPPAPs[PPAP no.],0)),""))</f>
        <v>Northline Motors (example)</v>
      </c>
      <c r="J163" s="36">
        <f>IF(tblElements[[#This Row],[PPAP no.]]="","",IFERROR(INDEX(tblPPAPs[Open],MATCH(tblElements[[#This Row],[PPAP no.]],tblPPAPs[PPAP no.],0)),""))</f>
        <v>1</v>
      </c>
      <c r="K163" s="43">
        <f>IF(tblElements[[#This Row],[PPAP no.]]="","",IF(tblElements[[#This Row],[Status]]="Complete","",tblElements[[#This Row],[Due date]]-AsOf))</f>
        <v/>
      </c>
      <c r="L163" s="39" t="str">
        <f>IF(tblElements[[#This Row],[PPAP no.]]="","",IF(tblElements[[#This Row],[Status]]="Complete","Complete",IF(AsOf&gt;tblElements[[#This Row],[Due date]],"Overdue",IF(tblElements[[#This Row],[Due date]]-AsOf&lt;=DueSoonDays,"Due soon","OK"))))</f>
        <v>Complete</v>
      </c>
      <c r="M163" s="36">
        <f>IF(tblElements[[#This Row],[PPAP no.]]="","",IF(OR(DashCustomer="",tblElements[[#This Row],[Customer]]=DashCustomer),1,0))</f>
        <v>1</v>
      </c>
      <c r="N163"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63" s="41" t="s">
        <v>169</v>
      </c>
    </row>
    <row r="164" spans="2:15">
      <c r="B164" s="28" t="s">
        <v>210</v>
      </c>
      <c r="C164" s="28" t="s">
        <v>122</v>
      </c>
      <c r="D164" s="28" t="s">
        <v>110</v>
      </c>
      <c r="E164" s="29">
        <v>46307</v>
      </c>
      <c r="F164" s="28" t="s">
        <v>221</v>
      </c>
      <c r="G164" s="29"/>
      <c r="H164" s="42" t="str">
        <f>IF(tblElements[[#This Row],[PPAP no.]]="","",IFERROR(INDEX(tblPPAPs[Part number],MATCH(tblElements[[#This Row],[PPAP no.]],tblPPAPs[PPAP no.],0)),""))</f>
        <v>HS-4410</v>
      </c>
      <c r="I164" s="42" t="str">
        <f>IF(tblElements[[#This Row],[PPAP no.]]="","",IFERROR(INDEX(tblPPAPs[Customer],MATCH(tblElements[[#This Row],[PPAP no.]],tblPPAPs[PPAP no.],0)),""))</f>
        <v>Northline Motors (example)</v>
      </c>
      <c r="J164" s="36">
        <f>IF(tblElements[[#This Row],[PPAP no.]]="","",IFERROR(INDEX(tblPPAPs[Open],MATCH(tblElements[[#This Row],[PPAP no.]],tblPPAPs[PPAP no.],0)),""))</f>
        <v>1</v>
      </c>
      <c r="K164" s="43">
        <f>IF(tblElements[[#This Row],[PPAP no.]]="","",IF(tblElements[[#This Row],[Status]]="Complete","",tblElements[[#This Row],[Due date]]-AsOf))</f>
        <v>3</v>
      </c>
      <c r="L164" s="39" t="str">
        <f>IF(tblElements[[#This Row],[PPAP no.]]="","",IF(tblElements[[#This Row],[Status]]="Complete","Complete",IF(AsOf&gt;tblElements[[#This Row],[Due date]],"Overdue",IF(tblElements[[#This Row],[Due date]]-AsOf&lt;=DueSoonDays,"Due soon","OK"))))</f>
        <v>Due soon</v>
      </c>
      <c r="M164" s="36">
        <f>IF(tblElements[[#This Row],[PPAP no.]]="","",IF(OR(DashCustomer="",tblElements[[#This Row],[Customer]]=DashCustomer),1,0))</f>
        <v>1</v>
      </c>
      <c r="N164"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64" s="41" t="s">
        <v>169</v>
      </c>
    </row>
    <row r="165" spans="2:15">
      <c r="B165" s="28" t="s">
        <v>210</v>
      </c>
      <c r="C165" s="28" t="s">
        <v>126</v>
      </c>
      <c r="D165" s="28" t="s">
        <v>108</v>
      </c>
      <c r="E165" s="29">
        <v>46311</v>
      </c>
      <c r="F165" s="28" t="s">
        <v>221</v>
      </c>
      <c r="G165" s="29"/>
      <c r="H165" s="42" t="str">
        <f>IF(tblElements[[#This Row],[PPAP no.]]="","",IFERROR(INDEX(tblPPAPs[Part number],MATCH(tblElements[[#This Row],[PPAP no.]],tblPPAPs[PPAP no.],0)),""))</f>
        <v>HS-4410</v>
      </c>
      <c r="I165" s="42" t="str">
        <f>IF(tblElements[[#This Row],[PPAP no.]]="","",IFERROR(INDEX(tblPPAPs[Customer],MATCH(tblElements[[#This Row],[PPAP no.]],tblPPAPs[PPAP no.],0)),""))</f>
        <v>Northline Motors (example)</v>
      </c>
      <c r="J165" s="36">
        <f>IF(tblElements[[#This Row],[PPAP no.]]="","",IFERROR(INDEX(tblPPAPs[Open],MATCH(tblElements[[#This Row],[PPAP no.]],tblPPAPs[PPAP no.],0)),""))</f>
        <v>1</v>
      </c>
      <c r="K165" s="43">
        <f>IF(tblElements[[#This Row],[PPAP no.]]="","",IF(tblElements[[#This Row],[Status]]="Complete","",tblElements[[#This Row],[Due date]]-AsOf))</f>
        <v>7</v>
      </c>
      <c r="L165" s="39" t="str">
        <f>IF(tblElements[[#This Row],[PPAP no.]]="","",IF(tblElements[[#This Row],[Status]]="Complete","Complete",IF(AsOf&gt;tblElements[[#This Row],[Due date]],"Overdue",IF(tblElements[[#This Row],[Due date]]-AsOf&lt;=DueSoonDays,"Due soon","OK"))))</f>
        <v>Due soon</v>
      </c>
      <c r="M165" s="36">
        <f>IF(tblElements[[#This Row],[PPAP no.]]="","",IF(OR(DashCustomer="",tblElements[[#This Row],[Customer]]=DashCustomer),1,0))</f>
        <v>1</v>
      </c>
      <c r="N165"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65" s="41" t="s">
        <v>169</v>
      </c>
    </row>
    <row r="166" spans="2:15">
      <c r="B166" s="28" t="s">
        <v>210</v>
      </c>
      <c r="C166" s="28" t="s">
        <v>127</v>
      </c>
      <c r="D166" s="28" t="s">
        <v>108</v>
      </c>
      <c r="E166" s="29">
        <v>46325</v>
      </c>
      <c r="F166" s="28" t="s">
        <v>223</v>
      </c>
      <c r="G166" s="29"/>
      <c r="H166" s="42" t="str">
        <f>IF(tblElements[[#This Row],[PPAP no.]]="","",IFERROR(INDEX(tblPPAPs[Part number],MATCH(tblElements[[#This Row],[PPAP no.]],tblPPAPs[PPAP no.],0)),""))</f>
        <v>HS-4410</v>
      </c>
      <c r="I166" s="42" t="str">
        <f>IF(tblElements[[#This Row],[PPAP no.]]="","",IFERROR(INDEX(tblPPAPs[Customer],MATCH(tblElements[[#This Row],[PPAP no.]],tblPPAPs[PPAP no.],0)),""))</f>
        <v>Northline Motors (example)</v>
      </c>
      <c r="J166" s="36">
        <f>IF(tblElements[[#This Row],[PPAP no.]]="","",IFERROR(INDEX(tblPPAPs[Open],MATCH(tblElements[[#This Row],[PPAP no.]],tblPPAPs[PPAP no.],0)),""))</f>
        <v>1</v>
      </c>
      <c r="K166" s="43">
        <f>IF(tblElements[[#This Row],[PPAP no.]]="","",IF(tblElements[[#This Row],[Status]]="Complete","",tblElements[[#This Row],[Due date]]-AsOf))</f>
        <v>21</v>
      </c>
      <c r="L166" s="39" t="str">
        <f>IF(tblElements[[#This Row],[PPAP no.]]="","",IF(tblElements[[#This Row],[Status]]="Complete","Complete",IF(AsOf&gt;tblElements[[#This Row],[Due date]],"Overdue",IF(tblElements[[#This Row],[Due date]]-AsOf&lt;=DueSoonDays,"Due soon","OK"))))</f>
        <v>OK</v>
      </c>
      <c r="M166" s="36">
        <f>IF(tblElements[[#This Row],[PPAP no.]]="","",IF(OR(DashCustomer="",tblElements[[#This Row],[Customer]]=DashCustomer),1,0))</f>
        <v>1</v>
      </c>
      <c r="N16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66" s="41" t="s">
        <v>169</v>
      </c>
    </row>
    <row r="167" spans="2:15">
      <c r="B167" s="28" t="s">
        <v>210</v>
      </c>
      <c r="C167" s="28" t="s">
        <v>129</v>
      </c>
      <c r="D167" s="28" t="s">
        <v>112</v>
      </c>
      <c r="E167" s="29">
        <v>46339</v>
      </c>
      <c r="F167" s="28" t="s">
        <v>223</v>
      </c>
      <c r="G167" s="29"/>
      <c r="H167" s="42" t="str">
        <f>IF(tblElements[[#This Row],[PPAP no.]]="","",IFERROR(INDEX(tblPPAPs[Part number],MATCH(tblElements[[#This Row],[PPAP no.]],tblPPAPs[PPAP no.],0)),""))</f>
        <v>HS-4410</v>
      </c>
      <c r="I167" s="42" t="str">
        <f>IF(tblElements[[#This Row],[PPAP no.]]="","",IFERROR(INDEX(tblPPAPs[Customer],MATCH(tblElements[[#This Row],[PPAP no.]],tblPPAPs[PPAP no.],0)),""))</f>
        <v>Northline Motors (example)</v>
      </c>
      <c r="J167" s="36">
        <f>IF(tblElements[[#This Row],[PPAP no.]]="","",IFERROR(INDEX(tblPPAPs[Open],MATCH(tblElements[[#This Row],[PPAP no.]],tblPPAPs[PPAP no.],0)),""))</f>
        <v>1</v>
      </c>
      <c r="K167" s="43">
        <f>IF(tblElements[[#This Row],[PPAP no.]]="","",IF(tblElements[[#This Row],[Status]]="Complete","",tblElements[[#This Row],[Due date]]-AsOf))</f>
        <v>35</v>
      </c>
      <c r="L167" s="39" t="str">
        <f>IF(tblElements[[#This Row],[PPAP no.]]="","",IF(tblElements[[#This Row],[Status]]="Complete","Complete",IF(AsOf&gt;tblElements[[#This Row],[Due date]],"Overdue",IF(tblElements[[#This Row],[Due date]]-AsOf&lt;=DueSoonDays,"Due soon","OK"))))</f>
        <v>OK</v>
      </c>
      <c r="M167" s="36">
        <f>IF(tblElements[[#This Row],[PPAP no.]]="","",IF(OR(DashCustomer="",tblElements[[#This Row],[Customer]]=DashCustomer),1,0))</f>
        <v>1</v>
      </c>
      <c r="N16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67" s="41" t="s">
        <v>169</v>
      </c>
    </row>
    <row r="168" spans="2:15">
      <c r="B168" s="28" t="s">
        <v>210</v>
      </c>
      <c r="C168" s="28" t="s">
        <v>130</v>
      </c>
      <c r="D168" s="28" t="s">
        <v>118</v>
      </c>
      <c r="E168" s="29">
        <v>46339</v>
      </c>
      <c r="F168" s="28" t="s">
        <v>223</v>
      </c>
      <c r="G168" s="29"/>
      <c r="H168" s="42" t="str">
        <f>IF(tblElements[[#This Row],[PPAP no.]]="","",IFERROR(INDEX(tblPPAPs[Part number],MATCH(tblElements[[#This Row],[PPAP no.]],tblPPAPs[PPAP no.],0)),""))</f>
        <v>HS-4410</v>
      </c>
      <c r="I168" s="42" t="str">
        <f>IF(tblElements[[#This Row],[PPAP no.]]="","",IFERROR(INDEX(tblPPAPs[Customer],MATCH(tblElements[[#This Row],[PPAP no.]],tblPPAPs[PPAP no.],0)),""))</f>
        <v>Northline Motors (example)</v>
      </c>
      <c r="J168" s="36">
        <f>IF(tblElements[[#This Row],[PPAP no.]]="","",IFERROR(INDEX(tblPPAPs[Open],MATCH(tblElements[[#This Row],[PPAP no.]],tblPPAPs[PPAP no.],0)),""))</f>
        <v>1</v>
      </c>
      <c r="K168" s="43">
        <f>IF(tblElements[[#This Row],[PPAP no.]]="","",IF(tblElements[[#This Row],[Status]]="Complete","",tblElements[[#This Row],[Due date]]-AsOf))</f>
        <v>35</v>
      </c>
      <c r="L168" s="39" t="str">
        <f>IF(tblElements[[#This Row],[PPAP no.]]="","",IF(tblElements[[#This Row],[Status]]="Complete","Complete",IF(AsOf&gt;tblElements[[#This Row],[Due date]],"Overdue",IF(tblElements[[#This Row],[Due date]]-AsOf&lt;=DueSoonDays,"Due soon","OK"))))</f>
        <v>OK</v>
      </c>
      <c r="M168" s="36">
        <f>IF(tblElements[[#This Row],[PPAP no.]]="","",IF(OR(DashCustomer="",tblElements[[#This Row],[Customer]]=DashCustomer),1,0))</f>
        <v>1</v>
      </c>
      <c r="N16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68" s="41" t="s">
        <v>169</v>
      </c>
    </row>
    <row r="169" spans="2:15">
      <c r="B169" s="28" t="s">
        <v>210</v>
      </c>
      <c r="C169" s="28" t="s">
        <v>134</v>
      </c>
      <c r="D169" s="28" t="s">
        <v>114</v>
      </c>
      <c r="E169" s="29">
        <v>46353</v>
      </c>
      <c r="F169" s="28" t="s">
        <v>223</v>
      </c>
      <c r="G169" s="29"/>
      <c r="H169" s="42" t="str">
        <f>IF(tblElements[[#This Row],[PPAP no.]]="","",IFERROR(INDEX(tblPPAPs[Part number],MATCH(tblElements[[#This Row],[PPAP no.]],tblPPAPs[PPAP no.],0)),""))</f>
        <v>HS-4410</v>
      </c>
      <c r="I169" s="42" t="str">
        <f>IF(tblElements[[#This Row],[PPAP no.]]="","",IFERROR(INDEX(tblPPAPs[Customer],MATCH(tblElements[[#This Row],[PPAP no.]],tblPPAPs[PPAP no.],0)),""))</f>
        <v>Northline Motors (example)</v>
      </c>
      <c r="J169" s="36">
        <f>IF(tblElements[[#This Row],[PPAP no.]]="","",IFERROR(INDEX(tblPPAPs[Open],MATCH(tblElements[[#This Row],[PPAP no.]],tblPPAPs[PPAP no.],0)),""))</f>
        <v>1</v>
      </c>
      <c r="K169" s="43">
        <f>IF(tblElements[[#This Row],[PPAP no.]]="","",IF(tblElements[[#This Row],[Status]]="Complete","",tblElements[[#This Row],[Due date]]-AsOf))</f>
        <v>49</v>
      </c>
      <c r="L169" s="39" t="str">
        <f>IF(tblElements[[#This Row],[PPAP no.]]="","",IF(tblElements[[#This Row],[Status]]="Complete","Complete",IF(AsOf&gt;tblElements[[#This Row],[Due date]],"Overdue",IF(tblElements[[#This Row],[Due date]]-AsOf&lt;=DueSoonDays,"Due soon","OK"))))</f>
        <v>OK</v>
      </c>
      <c r="M169" s="36">
        <f>IF(tblElements[[#This Row],[PPAP no.]]="","",IF(OR(DashCustomer="",tblElements[[#This Row],[Customer]]=DashCustomer),1,0))</f>
        <v>1</v>
      </c>
      <c r="N16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69" s="41" t="s">
        <v>169</v>
      </c>
    </row>
    <row r="170" spans="2:15">
      <c r="B170" s="28" t="s">
        <v>210</v>
      </c>
      <c r="C170" s="28" t="s">
        <v>137</v>
      </c>
      <c r="D170" s="28" t="s">
        <v>108</v>
      </c>
      <c r="E170" s="29">
        <v>46357</v>
      </c>
      <c r="F170" s="28" t="s">
        <v>223</v>
      </c>
      <c r="G170" s="29"/>
      <c r="H170" s="42" t="str">
        <f>IF(tblElements[[#This Row],[PPAP no.]]="","",IFERROR(INDEX(tblPPAPs[Part number],MATCH(tblElements[[#This Row],[PPAP no.]],tblPPAPs[PPAP no.],0)),""))</f>
        <v>HS-4410</v>
      </c>
      <c r="I170" s="42" t="str">
        <f>IF(tblElements[[#This Row],[PPAP no.]]="","",IFERROR(INDEX(tblPPAPs[Customer],MATCH(tblElements[[#This Row],[PPAP no.]],tblPPAPs[PPAP no.],0)),""))</f>
        <v>Northline Motors (example)</v>
      </c>
      <c r="J170" s="36">
        <f>IF(tblElements[[#This Row],[PPAP no.]]="","",IFERROR(INDEX(tblPPAPs[Open],MATCH(tblElements[[#This Row],[PPAP no.]],tblPPAPs[PPAP no.],0)),""))</f>
        <v>1</v>
      </c>
      <c r="K170" s="43">
        <f>IF(tblElements[[#This Row],[PPAP no.]]="","",IF(tblElements[[#This Row],[Status]]="Complete","",tblElements[[#This Row],[Due date]]-AsOf))</f>
        <v>53</v>
      </c>
      <c r="L170" s="39" t="str">
        <f>IF(tblElements[[#This Row],[PPAP no.]]="","",IF(tblElements[[#This Row],[Status]]="Complete","Complete",IF(AsOf&gt;tblElements[[#This Row],[Due date]],"Overdue",IF(tblElements[[#This Row],[Due date]]-AsOf&lt;=DueSoonDays,"Due soon","OK"))))</f>
        <v>OK</v>
      </c>
      <c r="M170" s="36">
        <f>IF(tblElements[[#This Row],[PPAP no.]]="","",IF(OR(DashCustomer="",tblElements[[#This Row],[Customer]]=DashCustomer),1,0))</f>
        <v>1</v>
      </c>
      <c r="N17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70" s="41" t="s">
        <v>169</v>
      </c>
    </row>
    <row r="171" spans="2:15">
      <c r="B171" s="28" t="s">
        <v>210</v>
      </c>
      <c r="C171" s="28" t="s">
        <v>138</v>
      </c>
      <c r="D171" s="28" t="s">
        <v>108</v>
      </c>
      <c r="E171" s="29">
        <v>46364</v>
      </c>
      <c r="F171" s="28" t="s">
        <v>223</v>
      </c>
      <c r="G171" s="29"/>
      <c r="H171" s="42" t="str">
        <f>IF(tblElements[[#This Row],[PPAP no.]]="","",IFERROR(INDEX(tblPPAPs[Part number],MATCH(tblElements[[#This Row],[PPAP no.]],tblPPAPs[PPAP no.],0)),""))</f>
        <v>HS-4410</v>
      </c>
      <c r="I171" s="42" t="str">
        <f>IF(tblElements[[#This Row],[PPAP no.]]="","",IFERROR(INDEX(tblPPAPs[Customer],MATCH(tblElements[[#This Row],[PPAP no.]],tblPPAPs[PPAP no.],0)),""))</f>
        <v>Northline Motors (example)</v>
      </c>
      <c r="J171" s="36">
        <f>IF(tblElements[[#This Row],[PPAP no.]]="","",IFERROR(INDEX(tblPPAPs[Open],MATCH(tblElements[[#This Row],[PPAP no.]],tblPPAPs[PPAP no.],0)),""))</f>
        <v>1</v>
      </c>
      <c r="K171" s="43">
        <f>IF(tblElements[[#This Row],[PPAP no.]]="","",IF(tblElements[[#This Row],[Status]]="Complete","",tblElements[[#This Row],[Due date]]-AsOf))</f>
        <v>60</v>
      </c>
      <c r="L171" s="39" t="str">
        <f>IF(tblElements[[#This Row],[PPAP no.]]="","",IF(tblElements[[#This Row],[Status]]="Complete","Complete",IF(AsOf&gt;tblElements[[#This Row],[Due date]],"Overdue",IF(tblElements[[#This Row],[Due date]]-AsOf&lt;=DueSoonDays,"Due soon","OK"))))</f>
        <v>OK</v>
      </c>
      <c r="M171" s="36">
        <f>IF(tblElements[[#This Row],[PPAP no.]]="","",IF(OR(DashCustomer="",tblElements[[#This Row],[Customer]]=DashCustomer),1,0))</f>
        <v>1</v>
      </c>
      <c r="N171"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71" s="41" t="s">
        <v>169</v>
      </c>
    </row>
    <row r="172" spans="2:15">
      <c r="B172" s="28" t="s">
        <v>212</v>
      </c>
      <c r="C172" s="28" t="s">
        <v>121</v>
      </c>
      <c r="D172" s="28" t="s">
        <v>110</v>
      </c>
      <c r="E172" s="29">
        <v>46304</v>
      </c>
      <c r="F172" s="28" t="s">
        <v>223</v>
      </c>
      <c r="G172" s="29"/>
      <c r="H172" s="42" t="str">
        <f>IF(tblElements[[#This Row],[PPAP no.]]="","",IFERROR(INDEX(tblPPAPs[Part number],MATCH(tblElements[[#This Row],[PPAP no.]],tblPPAPs[PPAP no.],0)),""))</f>
        <v>CL-120</v>
      </c>
      <c r="I172" s="42" t="str">
        <f>IF(tblElements[[#This Row],[PPAP no.]]="","",IFERROR(INDEX(tblPPAPs[Customer],MATCH(tblElements[[#This Row],[PPAP no.]],tblPPAPs[PPAP no.],0)),""))</f>
        <v>Northline Motors (example)</v>
      </c>
      <c r="J172" s="36">
        <f>IF(tblElements[[#This Row],[PPAP no.]]="","",IFERROR(INDEX(tblPPAPs[Open],MATCH(tblElements[[#This Row],[PPAP no.]],tblPPAPs[PPAP no.],0)),""))</f>
        <v>1</v>
      </c>
      <c r="K172" s="43">
        <f>IF(tblElements[[#This Row],[PPAP no.]]="","",IF(tblElements[[#This Row],[Status]]="Complete","",tblElements[[#This Row],[Due date]]-AsOf))</f>
        <v>0</v>
      </c>
      <c r="L172" s="39" t="str">
        <f>IF(tblElements[[#This Row],[PPAP no.]]="","",IF(tblElements[[#This Row],[Status]]="Complete","Complete",IF(AsOf&gt;tblElements[[#This Row],[Due date]],"Overdue",IF(tblElements[[#This Row],[Due date]]-AsOf&lt;=DueSoonDays,"Due soon","OK"))))</f>
        <v>Due soon</v>
      </c>
      <c r="M172" s="36">
        <f>IF(tblElements[[#This Row],[PPAP no.]]="","",IF(OR(DashCustomer="",tblElements[[#This Row],[Customer]]=DashCustomer),1,0))</f>
        <v>1</v>
      </c>
      <c r="N172"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72" s="41" t="s">
        <v>169</v>
      </c>
    </row>
    <row r="173" spans="2:15">
      <c r="B173" s="28" t="s">
        <v>212</v>
      </c>
      <c r="C173" s="28" t="s">
        <v>122</v>
      </c>
      <c r="D173" s="28" t="s">
        <v>110</v>
      </c>
      <c r="E173" s="29">
        <v>46314</v>
      </c>
      <c r="F173" s="28" t="s">
        <v>223</v>
      </c>
      <c r="G173" s="29"/>
      <c r="H173" s="42" t="str">
        <f>IF(tblElements[[#This Row],[PPAP no.]]="","",IFERROR(INDEX(tblPPAPs[Part number],MATCH(tblElements[[#This Row],[PPAP no.]],tblPPAPs[PPAP no.],0)),""))</f>
        <v>CL-120</v>
      </c>
      <c r="I173" s="42" t="str">
        <f>IF(tblElements[[#This Row],[PPAP no.]]="","",IFERROR(INDEX(tblPPAPs[Customer],MATCH(tblElements[[#This Row],[PPAP no.]],tblPPAPs[PPAP no.],0)),""))</f>
        <v>Northline Motors (example)</v>
      </c>
      <c r="J173" s="36">
        <f>IF(tblElements[[#This Row],[PPAP no.]]="","",IFERROR(INDEX(tblPPAPs[Open],MATCH(tblElements[[#This Row],[PPAP no.]],tblPPAPs[PPAP no.],0)),""))</f>
        <v>1</v>
      </c>
      <c r="K173" s="43">
        <f>IF(tblElements[[#This Row],[PPAP no.]]="","",IF(tblElements[[#This Row],[Status]]="Complete","",tblElements[[#This Row],[Due date]]-AsOf))</f>
        <v>10</v>
      </c>
      <c r="L173" s="39" t="str">
        <f>IF(tblElements[[#This Row],[PPAP no.]]="","",IF(tblElements[[#This Row],[Status]]="Complete","Complete",IF(AsOf&gt;tblElements[[#This Row],[Due date]],"Overdue",IF(tblElements[[#This Row],[Due date]]-AsOf&lt;=DueSoonDays,"Due soon","OK"))))</f>
        <v>Due soon</v>
      </c>
      <c r="M173" s="36">
        <f>IF(tblElements[[#This Row],[PPAP no.]]="","",IF(OR(DashCustomer="",tblElements[[#This Row],[Customer]]=DashCustomer),1,0))</f>
        <v>1</v>
      </c>
      <c r="N173"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73" s="41" t="s">
        <v>169</v>
      </c>
    </row>
    <row r="174" spans="2:15">
      <c r="B174" s="28" t="s">
        <v>212</v>
      </c>
      <c r="C174" s="28" t="s">
        <v>126</v>
      </c>
      <c r="D174" s="28" t="s">
        <v>108</v>
      </c>
      <c r="E174" s="29">
        <v>46318</v>
      </c>
      <c r="F174" s="28" t="s">
        <v>223</v>
      </c>
      <c r="G174" s="29"/>
      <c r="H174" s="42" t="str">
        <f>IF(tblElements[[#This Row],[PPAP no.]]="","",IFERROR(INDEX(tblPPAPs[Part number],MATCH(tblElements[[#This Row],[PPAP no.]],tblPPAPs[PPAP no.],0)),""))</f>
        <v>CL-120</v>
      </c>
      <c r="I174" s="42" t="str">
        <f>IF(tblElements[[#This Row],[PPAP no.]]="","",IFERROR(INDEX(tblPPAPs[Customer],MATCH(tblElements[[#This Row],[PPAP no.]],tblPPAPs[PPAP no.],0)),""))</f>
        <v>Northline Motors (example)</v>
      </c>
      <c r="J174" s="36">
        <f>IF(tblElements[[#This Row],[PPAP no.]]="","",IFERROR(INDEX(tblPPAPs[Open],MATCH(tblElements[[#This Row],[PPAP no.]],tblPPAPs[PPAP no.],0)),""))</f>
        <v>1</v>
      </c>
      <c r="K174" s="43">
        <f>IF(tblElements[[#This Row],[PPAP no.]]="","",IF(tblElements[[#This Row],[Status]]="Complete","",tblElements[[#This Row],[Due date]]-AsOf))</f>
        <v>14</v>
      </c>
      <c r="L174" s="39" t="str">
        <f>IF(tblElements[[#This Row],[PPAP no.]]="","",IF(tblElements[[#This Row],[Status]]="Complete","Complete",IF(AsOf&gt;tblElements[[#This Row],[Due date]],"Overdue",IF(tblElements[[#This Row],[Due date]]-AsOf&lt;=DueSoonDays,"Due soon","OK"))))</f>
        <v>Due soon</v>
      </c>
      <c r="M174" s="36">
        <f>IF(tblElements[[#This Row],[PPAP no.]]="","",IF(OR(DashCustomer="",tblElements[[#This Row],[Customer]]=DashCustomer),1,0))</f>
        <v>1</v>
      </c>
      <c r="N174"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74" s="41" t="s">
        <v>169</v>
      </c>
    </row>
    <row r="175" spans="2:15">
      <c r="B175" s="28" t="s">
        <v>212</v>
      </c>
      <c r="C175" s="28" t="s">
        <v>127</v>
      </c>
      <c r="D175" s="28" t="s">
        <v>108</v>
      </c>
      <c r="E175" s="29">
        <v>46332</v>
      </c>
      <c r="F175" s="28" t="s">
        <v>223</v>
      </c>
      <c r="G175" s="29"/>
      <c r="H175" s="42" t="str">
        <f>IF(tblElements[[#This Row],[PPAP no.]]="","",IFERROR(INDEX(tblPPAPs[Part number],MATCH(tblElements[[#This Row],[PPAP no.]],tblPPAPs[PPAP no.],0)),""))</f>
        <v>CL-120</v>
      </c>
      <c r="I175" s="42" t="str">
        <f>IF(tblElements[[#This Row],[PPAP no.]]="","",IFERROR(INDEX(tblPPAPs[Customer],MATCH(tblElements[[#This Row],[PPAP no.]],tblPPAPs[PPAP no.],0)),""))</f>
        <v>Northline Motors (example)</v>
      </c>
      <c r="J175" s="36">
        <f>IF(tblElements[[#This Row],[PPAP no.]]="","",IFERROR(INDEX(tblPPAPs[Open],MATCH(tblElements[[#This Row],[PPAP no.]],tblPPAPs[PPAP no.],0)),""))</f>
        <v>1</v>
      </c>
      <c r="K175" s="43">
        <f>IF(tblElements[[#This Row],[PPAP no.]]="","",IF(tblElements[[#This Row],[Status]]="Complete","",tblElements[[#This Row],[Due date]]-AsOf))</f>
        <v>28</v>
      </c>
      <c r="L175" s="39" t="str">
        <f>IF(tblElements[[#This Row],[PPAP no.]]="","",IF(tblElements[[#This Row],[Status]]="Complete","Complete",IF(AsOf&gt;tblElements[[#This Row],[Due date]],"Overdue",IF(tblElements[[#This Row],[Due date]]-AsOf&lt;=DueSoonDays,"Due soon","OK"))))</f>
        <v>OK</v>
      </c>
      <c r="M175" s="36">
        <f>IF(tblElements[[#This Row],[PPAP no.]]="","",IF(OR(DashCustomer="",tblElements[[#This Row],[Customer]]=DashCustomer),1,0))</f>
        <v>1</v>
      </c>
      <c r="N175"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75" s="41" t="s">
        <v>169</v>
      </c>
    </row>
    <row r="176" spans="2:15">
      <c r="B176" s="28" t="s">
        <v>212</v>
      </c>
      <c r="C176" s="28" t="s">
        <v>129</v>
      </c>
      <c r="D176" s="28" t="s">
        <v>112</v>
      </c>
      <c r="E176" s="29">
        <v>46346</v>
      </c>
      <c r="F176" s="28" t="s">
        <v>223</v>
      </c>
      <c r="G176" s="29"/>
      <c r="H176" s="42" t="str">
        <f>IF(tblElements[[#This Row],[PPAP no.]]="","",IFERROR(INDEX(tblPPAPs[Part number],MATCH(tblElements[[#This Row],[PPAP no.]],tblPPAPs[PPAP no.],0)),""))</f>
        <v>CL-120</v>
      </c>
      <c r="I176" s="42" t="str">
        <f>IF(tblElements[[#This Row],[PPAP no.]]="","",IFERROR(INDEX(tblPPAPs[Customer],MATCH(tblElements[[#This Row],[PPAP no.]],tblPPAPs[PPAP no.],0)),""))</f>
        <v>Northline Motors (example)</v>
      </c>
      <c r="J176" s="36">
        <f>IF(tblElements[[#This Row],[PPAP no.]]="","",IFERROR(INDEX(tblPPAPs[Open],MATCH(tblElements[[#This Row],[PPAP no.]],tblPPAPs[PPAP no.],0)),""))</f>
        <v>1</v>
      </c>
      <c r="K176" s="43">
        <f>IF(tblElements[[#This Row],[PPAP no.]]="","",IF(tblElements[[#This Row],[Status]]="Complete","",tblElements[[#This Row],[Due date]]-AsOf))</f>
        <v>42</v>
      </c>
      <c r="L176" s="39" t="str">
        <f>IF(tblElements[[#This Row],[PPAP no.]]="","",IF(tblElements[[#This Row],[Status]]="Complete","Complete",IF(AsOf&gt;tblElements[[#This Row],[Due date]],"Overdue",IF(tblElements[[#This Row],[Due date]]-AsOf&lt;=DueSoonDays,"Due soon","OK"))))</f>
        <v>OK</v>
      </c>
      <c r="M176" s="36">
        <f>IF(tblElements[[#This Row],[PPAP no.]]="","",IF(OR(DashCustomer="",tblElements[[#This Row],[Customer]]=DashCustomer),1,0))</f>
        <v>1</v>
      </c>
      <c r="N176"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76" s="41" t="s">
        <v>169</v>
      </c>
    </row>
    <row r="177" spans="2:15">
      <c r="B177" s="28" t="s">
        <v>212</v>
      </c>
      <c r="C177" s="28" t="s">
        <v>130</v>
      </c>
      <c r="D177" s="28" t="s">
        <v>118</v>
      </c>
      <c r="E177" s="29">
        <v>46346</v>
      </c>
      <c r="F177" s="28" t="s">
        <v>223</v>
      </c>
      <c r="G177" s="29"/>
      <c r="H177" s="42" t="str">
        <f>IF(tblElements[[#This Row],[PPAP no.]]="","",IFERROR(INDEX(tblPPAPs[Part number],MATCH(tblElements[[#This Row],[PPAP no.]],tblPPAPs[PPAP no.],0)),""))</f>
        <v>CL-120</v>
      </c>
      <c r="I177" s="42" t="str">
        <f>IF(tblElements[[#This Row],[PPAP no.]]="","",IFERROR(INDEX(tblPPAPs[Customer],MATCH(tblElements[[#This Row],[PPAP no.]],tblPPAPs[PPAP no.],0)),""))</f>
        <v>Northline Motors (example)</v>
      </c>
      <c r="J177" s="36">
        <f>IF(tblElements[[#This Row],[PPAP no.]]="","",IFERROR(INDEX(tblPPAPs[Open],MATCH(tblElements[[#This Row],[PPAP no.]],tblPPAPs[PPAP no.],0)),""))</f>
        <v>1</v>
      </c>
      <c r="K177" s="43">
        <f>IF(tblElements[[#This Row],[PPAP no.]]="","",IF(tblElements[[#This Row],[Status]]="Complete","",tblElements[[#This Row],[Due date]]-AsOf))</f>
        <v>42</v>
      </c>
      <c r="L177" s="39" t="str">
        <f>IF(tblElements[[#This Row],[PPAP no.]]="","",IF(tblElements[[#This Row],[Status]]="Complete","Complete",IF(AsOf&gt;tblElements[[#This Row],[Due date]],"Overdue",IF(tblElements[[#This Row],[Due date]]-AsOf&lt;=DueSoonDays,"Due soon","OK"))))</f>
        <v>OK</v>
      </c>
      <c r="M177" s="36">
        <f>IF(tblElements[[#This Row],[PPAP no.]]="","",IF(OR(DashCustomer="",tblElements[[#This Row],[Customer]]=DashCustomer),1,0))</f>
        <v>1</v>
      </c>
      <c r="N177"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77" s="41" t="s">
        <v>169</v>
      </c>
    </row>
    <row r="178" spans="2:15">
      <c r="B178" s="28" t="s">
        <v>212</v>
      </c>
      <c r="C178" s="28" t="s">
        <v>134</v>
      </c>
      <c r="D178" s="28" t="s">
        <v>114</v>
      </c>
      <c r="E178" s="29">
        <v>46360</v>
      </c>
      <c r="F178" s="28" t="s">
        <v>223</v>
      </c>
      <c r="G178" s="29"/>
      <c r="H178" s="42" t="str">
        <f>IF(tblElements[[#This Row],[PPAP no.]]="","",IFERROR(INDEX(tblPPAPs[Part number],MATCH(tblElements[[#This Row],[PPAP no.]],tblPPAPs[PPAP no.],0)),""))</f>
        <v>CL-120</v>
      </c>
      <c r="I178" s="42" t="str">
        <f>IF(tblElements[[#This Row],[PPAP no.]]="","",IFERROR(INDEX(tblPPAPs[Customer],MATCH(tblElements[[#This Row],[PPAP no.]],tblPPAPs[PPAP no.],0)),""))</f>
        <v>Northline Motors (example)</v>
      </c>
      <c r="J178" s="36">
        <f>IF(tblElements[[#This Row],[PPAP no.]]="","",IFERROR(INDEX(tblPPAPs[Open],MATCH(tblElements[[#This Row],[PPAP no.]],tblPPAPs[PPAP no.],0)),""))</f>
        <v>1</v>
      </c>
      <c r="K178" s="43">
        <f>IF(tblElements[[#This Row],[PPAP no.]]="","",IF(tblElements[[#This Row],[Status]]="Complete","",tblElements[[#This Row],[Due date]]-AsOf))</f>
        <v>56</v>
      </c>
      <c r="L178" s="39" t="str">
        <f>IF(tblElements[[#This Row],[PPAP no.]]="","",IF(tblElements[[#This Row],[Status]]="Complete","Complete",IF(AsOf&gt;tblElements[[#This Row],[Due date]],"Overdue",IF(tblElements[[#This Row],[Due date]]-AsOf&lt;=DueSoonDays,"Due soon","OK"))))</f>
        <v>OK</v>
      </c>
      <c r="M178" s="36">
        <f>IF(tblElements[[#This Row],[PPAP no.]]="","",IF(OR(DashCustomer="",tblElements[[#This Row],[Customer]]=DashCustomer),1,0))</f>
        <v>1</v>
      </c>
      <c r="N178"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78" s="41" t="s">
        <v>169</v>
      </c>
    </row>
    <row r="179" spans="2:15">
      <c r="B179" s="28" t="s">
        <v>212</v>
      </c>
      <c r="C179" s="28" t="s">
        <v>137</v>
      </c>
      <c r="D179" s="28" t="s">
        <v>108</v>
      </c>
      <c r="E179" s="29">
        <v>46364</v>
      </c>
      <c r="F179" s="28" t="s">
        <v>223</v>
      </c>
      <c r="G179" s="29"/>
      <c r="H179" s="42" t="str">
        <f>IF(tblElements[[#This Row],[PPAP no.]]="","",IFERROR(INDEX(tblPPAPs[Part number],MATCH(tblElements[[#This Row],[PPAP no.]],tblPPAPs[PPAP no.],0)),""))</f>
        <v>CL-120</v>
      </c>
      <c r="I179" s="42" t="str">
        <f>IF(tblElements[[#This Row],[PPAP no.]]="","",IFERROR(INDEX(tblPPAPs[Customer],MATCH(tblElements[[#This Row],[PPAP no.]],tblPPAPs[PPAP no.],0)),""))</f>
        <v>Northline Motors (example)</v>
      </c>
      <c r="J179" s="36">
        <f>IF(tblElements[[#This Row],[PPAP no.]]="","",IFERROR(INDEX(tblPPAPs[Open],MATCH(tblElements[[#This Row],[PPAP no.]],tblPPAPs[PPAP no.],0)),""))</f>
        <v>1</v>
      </c>
      <c r="K179" s="43">
        <f>IF(tblElements[[#This Row],[PPAP no.]]="","",IF(tblElements[[#This Row],[Status]]="Complete","",tblElements[[#This Row],[Due date]]-AsOf))</f>
        <v>60</v>
      </c>
      <c r="L179" s="39" t="str">
        <f>IF(tblElements[[#This Row],[PPAP no.]]="","",IF(tblElements[[#This Row],[Status]]="Complete","Complete",IF(AsOf&gt;tblElements[[#This Row],[Due date]],"Overdue",IF(tblElements[[#This Row],[Due date]]-AsOf&lt;=DueSoonDays,"Due soon","OK"))))</f>
        <v>OK</v>
      </c>
      <c r="M179" s="36">
        <f>IF(tblElements[[#This Row],[PPAP no.]]="","",IF(OR(DashCustomer="",tblElements[[#This Row],[Customer]]=DashCustomer),1,0))</f>
        <v>1</v>
      </c>
      <c r="N179"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79" s="41" t="s">
        <v>169</v>
      </c>
    </row>
    <row r="180" spans="2:15">
      <c r="B180" s="28" t="s">
        <v>212</v>
      </c>
      <c r="C180" s="28" t="s">
        <v>138</v>
      </c>
      <c r="D180" s="28" t="s">
        <v>108</v>
      </c>
      <c r="E180" s="29">
        <v>46371</v>
      </c>
      <c r="F180" s="28" t="s">
        <v>223</v>
      </c>
      <c r="G180" s="29"/>
      <c r="H180" s="42" t="str">
        <f>IF(tblElements[[#This Row],[PPAP no.]]="","",IFERROR(INDEX(tblPPAPs[Part number],MATCH(tblElements[[#This Row],[PPAP no.]],tblPPAPs[PPAP no.],0)),""))</f>
        <v>CL-120</v>
      </c>
      <c r="I180" s="42" t="str">
        <f>IF(tblElements[[#This Row],[PPAP no.]]="","",IFERROR(INDEX(tblPPAPs[Customer],MATCH(tblElements[[#This Row],[PPAP no.]],tblPPAPs[PPAP no.],0)),""))</f>
        <v>Northline Motors (example)</v>
      </c>
      <c r="J180" s="36">
        <f>IF(tblElements[[#This Row],[PPAP no.]]="","",IFERROR(INDEX(tblPPAPs[Open],MATCH(tblElements[[#This Row],[PPAP no.]],tblPPAPs[PPAP no.],0)),""))</f>
        <v>1</v>
      </c>
      <c r="K180" s="43">
        <f>IF(tblElements[[#This Row],[PPAP no.]]="","",IF(tblElements[[#This Row],[Status]]="Complete","",tblElements[[#This Row],[Due date]]-AsOf))</f>
        <v>67</v>
      </c>
      <c r="L180" s="39" t="str">
        <f>IF(tblElements[[#This Row],[PPAP no.]]="","",IF(tblElements[[#This Row],[Status]]="Complete","Complete",IF(AsOf&gt;tblElements[[#This Row],[Due date]],"Overdue",IF(tblElements[[#This Row],[Due date]]-AsOf&lt;=DueSoonDays,"Due soon","OK"))))</f>
        <v>OK</v>
      </c>
      <c r="M180" s="36">
        <f>IF(tblElements[[#This Row],[PPAP no.]]="","",IF(OR(DashCustomer="",tblElements[[#This Row],[Customer]]=DashCustomer),1,0))</f>
        <v>1</v>
      </c>
      <c r="N180" s="40" t="str">
        <f>IF(tblElements[[#This Row],[PPAP no.]]="","",IF(tblElements[[#This Row],[Element]]="","Missing element",IF(tblElements[[#This Row],[Due date]]="","Missing due date",IF(tblElements[[#This Row],[Status]]="","Missing status",IF(tblElements[[#This Row],[Part number]]="","PPAP no. not on the log",IF(COUNTIF(tblElementList[Element],tblElements[[#This Row],[Element]])=0,"Element not on Setup list",IF(COUNTIFS(tblElements[PPAP no.],tblElements[[#This Row],[PPAP no.]],tblElements[Element],tblElements[[#This Row],[Element]])&gt;1,"Element listed twice",IF(AND(tblElements[[#This Row],[Status]]="Complete",NOT(ISNUMBER(tblElements[[#This Row],[Done date]]))),"Done date missing",IF(AND(tblElements[[#This Row],[Status]]&lt;&gt;"Complete",ISNUMBER(tblElements[[#This Row],[Done date]])),"Done date on an open element",IF(AND(ISNUMBER(tblElements[[#This Row],[Done date]]),tblElements[[#This Row],[Done date]]&gt;AsOf),"Done after the status date","OK"))))))))))</f>
        <v>OK</v>
      </c>
      <c r="O180" s="41" t="s">
        <v>169</v>
      </c>
    </row>
  </sheetData>
  <mergeCells count="3">
    <mergeCell ref="A1:O1"/>
    <mergeCell ref="B2:N2"/>
    <mergeCell ref="B4:O4"/>
  </mergeCells>
  <conditionalFormatting sqref="L6:L68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N6:N680">
    <cfRule type="expression" dxfId="3" priority="21">
      <formula>$N6="OK"</formula>
    </cfRule>
    <cfRule type="expression" dxfId="1" priority="22">
      <formula>AND($N6&lt;&gt;"",$N6&lt;&gt;"OK")</formula>
    </cfRule>
  </conditionalFormatting>
  <dataValidations count="7">
    <dataValidation type="list" allowBlank="1" showInputMessage="1" showErrorMessage="1" errorTitle="Check this entry" error="Pick from the list (edit the list on Setup: PPAPIDs)." promptTitle="PPAP no." prompt="Pick from the list (edit the list on Setup: PPAPIDs)." sqref="B6:B680">
      <formula1>PPAPIDs</formula1>
    </dataValidation>
    <dataValidation type="list" allowBlank="1" showInputMessage="1" showErrorMessage="1" errorTitle="Check this entry" error="Pick from the list (edit the list on Setup: ElementList)." promptTitle="Element" prompt="Pick from the list (edit the list on Setup: ElementList)." sqref="C6:C680">
      <formula1>ElementList</formula1>
    </dataValidation>
    <dataValidation type="list" allowBlank="1" showInputMessage="1" showErrorMessage="1" errorTitle="Check this entry" error="Pick from the list (edit the list on Setup: Functions)." promptTitle="Owner" prompt="Pick from the list (edit the list on Setup: Functions)." sqref="D6:D680">
      <formula1>Functions</formula1>
    </dataValidation>
    <dataValidation type="date" allowBlank="1" showInputMessage="1" showErrorMessage="1" errorTitle="Check this entry" error="Enter a date between 01 Jan 2000 and 31 Dec 2100." promptTitle="Due date" prompt="Enter a date between 01 Jan 2000 and 31 Dec 2100." sqref="E6:E680">
      <formula1>36526</formula1>
      <formula2>73415</formula2>
    </dataValidation>
    <dataValidation type="list" allowBlank="1" showInputMessage="1" showErrorMessage="1" errorTitle="Check this entry" error="Pick one of: Not started, In progress, Complete." promptTitle="Status" prompt="Pick one of: Not started, In progress, Complete." sqref="F6:F680">
      <formula1>"Not started,In progress,Complete"</formula1>
    </dataValidation>
    <dataValidation type="date" allowBlank="1" showInputMessage="1" showErrorMessage="1" errorTitle="Check this entry" error="Enter a date between 01 Jan 2000 and 31 Dec 2100." promptTitle="Done date" prompt="Date the element was finished and checked; blank until Complete. Enter a date between 01 Jan 2000 and 31 Dec 2100." sqref="G6:G680">
      <formula1>36526</formula1>
      <formula2>73415</formula2>
    </dataValidation>
    <dataValidation type="textLength" allowBlank="1" showInputMessage="1" showErrorMessage="1" errorTitle="Check this entry" error="Text up to 255 characters." promptTitle="Notes" prompt="Text up to 255 characters." sqref="O6:O680">
      <formula1>0</formula1>
      <formula2>255</formula2>
    </dataValidation>
  </dataValidations>
  <hyperlinks>
    <hyperlink ref="O2" r:id="rId1" tooltip="Free manufacturing calculators and templates"/>
  </hyperlinks>
  <pageMargins left="0.4" right="0.4" top="0.7" bottom="0.65" header="0.3" footer="0.3"/>
  <pageSetup fitToHeight="0" orientation="landscape"/>
  <headerFooter>
    <oddHeader>&amp;L&amp;8MFG Calcs - PPAP Submission Tracker&amp;R&amp;8&amp;A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sheetPr>
    <tabColor rgb="FF1BA37A"/>
    <pageSetUpPr fitToPage="1"/>
  </sheetPr>
  <dimension ref="A1:L91"/>
  <sheetViews>
    <sheetView showGridLines="0" zoomScale="90" zoomScaleNormal="90" workbookViewId="0"/>
  </sheetViews>
  <sheetFormatPr defaultRowHeight="15"/>
  <cols>
    <col min="1" max="1" width="2.7109375" customWidth="1"/>
    <col min="2" max="2" width="26.7109375" customWidth="1"/>
    <col min="3" max="12" width="10.140625" customWidth="1"/>
  </cols>
  <sheetData>
    <row r="1" spans="1:12" ht="30" customHeight="1">
      <c r="A1" s="1" t="s">
        <v>0</v>
      </c>
      <c r="B1" s="1"/>
      <c r="C1" s="1"/>
      <c r="D1" s="1"/>
      <c r="E1" s="1"/>
      <c r="F1" s="1"/>
      <c r="G1" s="1"/>
      <c r="H1" s="1"/>
      <c r="I1" s="1"/>
      <c r="J1" s="1"/>
      <c r="K1" s="1"/>
      <c r="L1" s="1"/>
    </row>
    <row r="2" spans="1:12" ht="21" customHeight="1">
      <c r="B2" s="2" t="s">
        <v>26</v>
      </c>
      <c r="C2" s="2"/>
      <c r="D2" s="2"/>
      <c r="E2" s="2"/>
      <c r="F2" s="2"/>
      <c r="G2" s="2"/>
      <c r="H2" s="2"/>
      <c r="I2" s="2"/>
      <c r="J2" s="2"/>
      <c r="K2" s="3" t="s">
        <v>2</v>
      </c>
      <c r="L2" s="3"/>
    </row>
    <row r="3" spans="1:12" ht="6" customHeight="1"/>
    <row r="4" spans="1:12">
      <c r="B4" s="27" t="s">
        <v>64</v>
      </c>
      <c r="C4" s="28"/>
      <c r="D4" s="28"/>
      <c r="E4" s="28"/>
    </row>
    <row r="5" spans="1:12">
      <c r="B5" s="44" t="str">
        <f>"Showing "&amp;COUNTIFS(tblPPAPs[In view],1)&amp;" packages and "&amp;COUNTIFS(tblElements[In view],1)&amp;" element rows (blank filter = all customers). Status date "&amp;TEXT(AsOf,"d mmm yyyy")&amp;"."</f>
        <v>Showing 14 packages and 175 element rows (blank filter = all customers). Status date 9 Oct 2026.</v>
      </c>
      <c r="C5" s="44"/>
      <c r="D5" s="44"/>
      <c r="E5" s="44"/>
      <c r="F5" s="44"/>
      <c r="G5" s="44"/>
      <c r="H5" s="44"/>
      <c r="I5" s="44"/>
      <c r="J5" s="44"/>
      <c r="K5" s="44"/>
      <c r="L5" s="44"/>
    </row>
    <row r="7" spans="1:12" ht="18" customHeight="1">
      <c r="B7" s="45" t="s">
        <v>224</v>
      </c>
      <c r="C7" s="45" t="s">
        <v>225</v>
      </c>
      <c r="D7" s="45"/>
      <c r="E7" s="45"/>
      <c r="F7" s="45"/>
      <c r="G7" s="45" t="s">
        <v>226</v>
      </c>
      <c r="H7" s="45"/>
      <c r="I7" s="45"/>
      <c r="J7" s="45" t="s">
        <v>227</v>
      </c>
      <c r="K7" s="45"/>
      <c r="L7" s="45"/>
    </row>
    <row r="8" spans="1:12" ht="21" customHeight="1">
      <c r="B8" s="46">
        <f>COUNTIFS(tblPPAPs[Open],1,tblPPAPs[In view],1)</f>
        <v>8</v>
      </c>
      <c r="C8" s="46">
        <f>COUNTIFS(tblPPAPs[Due status],"Overdue",tblPPAPs[In view],1)</f>
        <v>1</v>
      </c>
      <c r="D8" s="46"/>
      <c r="E8" s="46"/>
      <c r="F8" s="46"/>
      <c r="G8" s="47">
        <f>IF((COUNTIFS(tblElements[Open package],1,tblElements[In view],1))=0,"",(COUNTIFS(tblElements[Status],"Complete",tblElements[Open package],1,tblElements[In view],1))/(COUNTIFS(tblElements[Open package],1,tblElements[In view],1)))</f>
        <v>0.689320388349515</v>
      </c>
      <c r="H8" s="47"/>
      <c r="I8" s="47"/>
      <c r="J8" s="47">
        <f>IF((COUNTIFS(tblPPAPs[First-time approval],"Yes",tblPPAPs[In view],1)+COUNTIFS(tblPPAPs[First-time approval],"No",tblPPAPs[In view],1))=0,"",(COUNTIFS(tblPPAPs[First-time approval],"Yes",tblPPAPs[In view],1))/(COUNTIFS(tblPPAPs[First-time approval],"Yes",tblPPAPs[In view],1)+COUNTIFS(tblPPAPs[First-time approval],"No",tblPPAPs[In view],1)))</f>
        <v>0.625</v>
      </c>
      <c r="K8" s="47"/>
      <c r="L8" s="47"/>
    </row>
    <row r="9" spans="1:12" ht="21" customHeight="1">
      <c r="B9" s="46"/>
      <c r="C9" s="46"/>
      <c r="D9" s="46"/>
      <c r="E9" s="46"/>
      <c r="F9" s="46"/>
      <c r="G9" s="47"/>
      <c r="H9" s="47"/>
      <c r="I9" s="47"/>
      <c r="J9" s="47"/>
      <c r="K9" s="47"/>
      <c r="L9" s="47"/>
    </row>
    <row r="10" spans="1:12">
      <c r="B10" s="48" t="s">
        <v>228</v>
      </c>
      <c r="C10" s="49">
        <f>0</f>
        <v>0</v>
      </c>
      <c r="D10" s="49"/>
      <c r="E10" s="49"/>
      <c r="F10" s="49"/>
      <c r="G10" s="48" t="s">
        <v>229</v>
      </c>
      <c r="H10" s="48"/>
      <c r="I10" s="48"/>
      <c r="J10" s="50">
        <f>TargetFirst</f>
        <v>0.85</v>
      </c>
      <c r="K10" s="50"/>
      <c r="L10" s="50"/>
    </row>
    <row r="11" spans="1:12" ht="18" customHeight="1">
      <c r="B11" s="51"/>
      <c r="C11" s="51" t="str">
        <f>IF(NOT(ISNUMBER(KpiOverdue)),"No data",IF(KpiOverdue&lt;=(0),"On target",IF(KpiOverdue&lt;=(0)*(1+0.05),"Near target","Above target")))</f>
        <v>Above target</v>
      </c>
      <c r="D11" s="51"/>
      <c r="E11" s="51"/>
      <c r="F11" s="51"/>
      <c r="G11" s="51"/>
      <c r="H11" s="51"/>
      <c r="I11" s="51"/>
      <c r="J11" s="51" t="str">
        <f>IF(NOT(ISNUMBER(KpiFirst)),"No data",IF(KpiFirst&gt;=(TargetFirst),"On target",IF(KpiFirst&gt;=(TargetFirst)*(1-0.05),"Near target","Below target")))</f>
        <v>Below target</v>
      </c>
      <c r="K11" s="51"/>
      <c r="L11" s="51"/>
    </row>
    <row r="35" spans="2:12" ht="18" customHeight="1">
      <c r="B35" s="45" t="s">
        <v>230</v>
      </c>
      <c r="C35" s="45" t="s">
        <v>231</v>
      </c>
      <c r="D35" s="45"/>
      <c r="E35" s="45"/>
      <c r="F35" s="45"/>
      <c r="G35" s="45" t="s">
        <v>232</v>
      </c>
      <c r="H35" s="45"/>
      <c r="I35" s="45"/>
      <c r="J35" s="45" t="s">
        <v>233</v>
      </c>
      <c r="K35" s="45"/>
      <c r="L35" s="45"/>
    </row>
    <row r="36" spans="2:12" ht="21" customHeight="1">
      <c r="B36" s="46">
        <f>COUNTIFS(tblElements[Due status],"Overdue",tblElements[In view],1)</f>
        <v>6</v>
      </c>
      <c r="C36" s="52">
        <f>IF((COUNTIFS(tblPPAPs[Customer review (days)],"&gt;=0",tblPPAPs[In view],1))=0,"",(SUMIFS(tblPPAPs[Customer review (days)],tblPPAPs[In view],1))/(COUNTIFS(tblPPAPs[Customer review (days)],"&gt;=0",tblPPAPs[In view],1)))</f>
        <v>16.125</v>
      </c>
      <c r="D36" s="52"/>
      <c r="E36" s="52"/>
      <c r="F36" s="52"/>
      <c r="G36" s="46">
        <f>COUNTIFS(tblPPAPs[To submit],1,tblPPAPs[In view],1)</f>
        <v>6</v>
      </c>
      <c r="H36" s="46"/>
      <c r="I36" s="46"/>
      <c r="J36" s="52">
        <f>KpiToSubmit*HoursPerPackage*(1+ResubAllow)</f>
        <v>187.2</v>
      </c>
      <c r="K36" s="52"/>
      <c r="L36" s="52"/>
    </row>
    <row r="37" spans="2:12" ht="21" customHeight="1">
      <c r="B37" s="46"/>
      <c r="C37" s="52"/>
      <c r="D37" s="52"/>
      <c r="E37" s="52"/>
      <c r="F37" s="52"/>
      <c r="G37" s="46"/>
      <c r="H37" s="46"/>
      <c r="I37" s="46"/>
      <c r="J37" s="52"/>
      <c r="K37" s="52"/>
      <c r="L37" s="52"/>
    </row>
    <row r="38" spans="2:12">
      <c r="B38" s="49">
        <f>0</f>
        <v>0</v>
      </c>
      <c r="C38" s="48" t="s">
        <v>234</v>
      </c>
      <c r="D38" s="48"/>
      <c r="E38" s="48"/>
      <c r="F38" s="48"/>
      <c r="G38" s="48" t="s">
        <v>235</v>
      </c>
      <c r="H38" s="48"/>
      <c r="I38" s="48"/>
      <c r="J38" s="48" t="s">
        <v>236</v>
      </c>
      <c r="K38" s="48"/>
      <c r="L38" s="48"/>
    </row>
    <row r="39" spans="2:12" ht="18" customHeight="1">
      <c r="B39" s="51" t="str">
        <f>IF(NOT(ISNUMBER(KpiElOverdue)),"No data",IF(KpiElOverdue&lt;=(0),"On target",IF(KpiElOverdue&lt;=(0)*(1+0.05),"Near target","Above target")))</f>
        <v>Above target</v>
      </c>
      <c r="C39" s="51"/>
      <c r="D39" s="51"/>
      <c r="E39" s="51"/>
      <c r="F39" s="51"/>
      <c r="G39" s="51"/>
      <c r="H39" s="51"/>
      <c r="I39" s="51"/>
      <c r="J39" s="51"/>
      <c r="K39" s="51"/>
      <c r="L39" s="51"/>
    </row>
    <row r="41" spans="2:12">
      <c r="B41" s="33" t="s">
        <v>237</v>
      </c>
      <c r="C41" s="33"/>
      <c r="D41" s="33"/>
      <c r="E41" s="33"/>
      <c r="F41" s="33"/>
      <c r="G41" s="33"/>
      <c r="H41" s="33"/>
      <c r="I41" s="33"/>
      <c r="J41" s="33"/>
      <c r="K41" s="33"/>
      <c r="L41" s="33"/>
    </row>
    <row r="42" spans="2:12" ht="32" customHeight="1">
      <c r="B42" s="53" t="s">
        <v>139</v>
      </c>
      <c r="C42" s="34" t="s">
        <v>238</v>
      </c>
      <c r="D42" s="34"/>
      <c r="E42" s="34" t="s">
        <v>153</v>
      </c>
      <c r="F42" s="34" t="s">
        <v>146</v>
      </c>
      <c r="G42" s="34"/>
      <c r="H42" s="34" t="s">
        <v>151</v>
      </c>
      <c r="I42" s="34" t="s">
        <v>221</v>
      </c>
      <c r="J42" s="34" t="s">
        <v>223</v>
      </c>
      <c r="K42" s="34" t="s">
        <v>239</v>
      </c>
      <c r="L42" s="34" t="s">
        <v>154</v>
      </c>
    </row>
    <row r="43" spans="2:12">
      <c r="B43" s="54" t="str">
        <f>IFERROR(INDEX(tblPPAPs[PPAP no.],MATCH(1,tblPPAPs[Open rank],0)),"")</f>
        <v>P26-08</v>
      </c>
      <c r="C43" s="42" t="str">
        <f>IF($B$43="","",INDEX(tblPPAPs[Part number],MATCH($B$43,tblPPAPs[PPAP no.],0))&amp;" "&amp;INDEX(tblPPAPs[Part name],MATCH($B$43,tblPPAPs[PPAP no.],0)))</f>
        <v>BK-7710 Brake line bracket</v>
      </c>
      <c r="D43" s="42"/>
      <c r="E43" s="38">
        <f>IF($B$43="","",INDEX(tblPPAPs[Due by],MATCH($B$43,tblPPAPs[PPAP no.],0)))</f>
        <v>46290</v>
      </c>
      <c r="F43" s="42" t="str">
        <f>IF($B$43="","",INDEX(tblPPAPs[Disposition],MATCH($B$43,tblPPAPs[PPAP no.],0)))</f>
        <v>Submitted</v>
      </c>
      <c r="G43" s="42"/>
      <c r="H43" s="36">
        <f>IF($B$43="","",COUNTIFS(tblElements[PPAP no.],$B$43,tblElements[Status],"Complete"))</f>
        <v>15</v>
      </c>
      <c r="I43" s="36">
        <f>IF($B$43="","",COUNTIFS(tblElements[PPAP no.],$B$43,tblElements[Status],"In progress"))</f>
        <v>0</v>
      </c>
      <c r="J43" s="36">
        <f>IF($B$43="","",COUNTIFS(tblElements[PPAP no.],$B$43,tblElements[Status],"Not started"))</f>
        <v>0</v>
      </c>
      <c r="K43" s="36">
        <f>IF($B$43="","",COUNTIFS(tblElements[PPAP no.],$B$43,tblElements[Due status],"Overdue"))</f>
        <v>0</v>
      </c>
      <c r="L43" s="42" t="str">
        <f>IF($B$43="","",INDEX(tblPPAPs[Due status],MATCH($B$43,tblPPAPs[PPAP no.],0)))</f>
        <v>In progress</v>
      </c>
    </row>
    <row r="44" spans="2:12">
      <c r="B44" s="54" t="str">
        <f>IF($B$43="","",IFERROR(INDEX(tblPPAPs[PPAP no.],MATCH(INDEX(tblPPAPs[Open rank],MATCH($B$43,tblPPAPs[PPAP no.],0))+1,tblPPAPs[Open rank],0)),""))</f>
        <v>P26-09</v>
      </c>
      <c r="C44" s="42" t="str">
        <f>IF($B$44="","",INDEX(tblPPAPs[Part number],MATCH($B$44,tblPPAPs[PPAP no.],0))&amp;" "&amp;INDEX(tblPPAPs[Part name],MATCH($B$44,tblPPAPs[PPAP no.],0)))</f>
        <v>HS-4411 Heat shield RH</v>
      </c>
      <c r="D44" s="42"/>
      <c r="E44" s="38">
        <f>IF($B$44="","",INDEX(tblPPAPs[Due by],MATCH($B$44,tblPPAPs[PPAP no.],0)))</f>
        <v>46297</v>
      </c>
      <c r="F44" s="42" t="str">
        <f>IF($B$44="","",INDEX(tblPPAPs[Disposition],MATCH($B$44,tblPPAPs[PPAP no.],0)))</f>
        <v>Interim approval</v>
      </c>
      <c r="G44" s="42"/>
      <c r="H44" s="36">
        <f>IF($B$44="","",COUNTIFS(tblElements[PPAP no.],$B$44,tblElements[Status],"Complete"))</f>
        <v>15</v>
      </c>
      <c r="I44" s="36">
        <f>IF($B$44="","",COUNTIFS(tblElements[PPAP no.],$B$44,tblElements[Status],"In progress"))</f>
        <v>0</v>
      </c>
      <c r="J44" s="36">
        <f>IF($B$44="","",COUNTIFS(tblElements[PPAP no.],$B$44,tblElements[Status],"Not started"))</f>
        <v>0</v>
      </c>
      <c r="K44" s="36">
        <f>IF($B$44="","",COUNTIFS(tblElements[PPAP no.],$B$44,tblElements[Due status],"Overdue"))</f>
        <v>0</v>
      </c>
      <c r="L44" s="42" t="str">
        <f>IF($B$44="","",INDEX(tblPPAPs[Due status],MATCH($B$44,tblPPAPs[PPAP no.],0)))</f>
        <v>In progress</v>
      </c>
    </row>
    <row r="45" spans="2:12">
      <c r="B45" s="54" t="str">
        <f>IF($B$44="","",IFERROR(INDEX(tblPPAPs[PPAP no.],MATCH(INDEX(tblPPAPs[Open rank],MATCH($B$44,tblPPAPs[PPAP no.],0))+1,tblPPAPs[Open rank],0)),""))</f>
        <v>P26-11</v>
      </c>
      <c r="C45" s="42" t="str">
        <f>IF($B$45="","",INDEX(tblPPAPs[Part number],MATCH($B$45,tblPPAPs[PPAP no.],0))&amp;" "&amp;INDEX(tblPPAPs[Part name],MATCH($B$45,tblPPAPs[PPAP no.],0)))</f>
        <v>BR-2310 Seat rail bracket</v>
      </c>
      <c r="D45" s="42"/>
      <c r="E45" s="38">
        <f>IF($B$45="","",INDEX(tblPPAPs[Due by],MATCH($B$45,tblPPAPs[PPAP no.],0)))</f>
        <v>46300</v>
      </c>
      <c r="F45" s="42" t="str">
        <f>IF($B$45="","",INDEX(tblPPAPs[Disposition],MATCH($B$45,tblPPAPs[PPAP no.],0)))</f>
        <v>Open</v>
      </c>
      <c r="G45" s="42"/>
      <c r="H45" s="36">
        <f>IF($B$45="","",COUNTIFS(tblElements[PPAP no.],$B$45,tblElements[Status],"Complete"))</f>
        <v>13</v>
      </c>
      <c r="I45" s="36">
        <f>IF($B$45="","",COUNTIFS(tblElements[PPAP no.],$B$45,tblElements[Status],"In progress"))</f>
        <v>2</v>
      </c>
      <c r="J45" s="36">
        <f>IF($B$45="","",COUNTIFS(tblElements[PPAP no.],$B$45,tblElements[Status],"Not started"))</f>
        <v>0</v>
      </c>
      <c r="K45" s="36">
        <f>IF($B$45="","",COUNTIFS(tblElements[PPAP no.],$B$45,tblElements[Due status],"Overdue"))</f>
        <v>2</v>
      </c>
      <c r="L45" s="42" t="str">
        <f>IF($B$45="","",INDEX(tblPPAPs[Due status],MATCH($B$45,tblPPAPs[PPAP no.],0)))</f>
        <v>Overdue</v>
      </c>
    </row>
    <row r="46" spans="2:12">
      <c r="B46" s="54" t="str">
        <f>IF($B$45="","",IFERROR(INDEX(tblPPAPs[PPAP no.],MATCH(INDEX(tblPPAPs[Open rank],MATCH($B$45,tblPPAPs[PPAP no.],0))+1,tblPPAPs[Open rank],0)),""))</f>
        <v>P26-07</v>
      </c>
      <c r="C46" s="42" t="str">
        <f>IF($B$46="","",INDEX(tblPPAPs[Part number],MATCH($B$46,tblPPAPs[PPAP no.],0))&amp;" "&amp;INDEX(tblPPAPs[Part name],MATCH($B$46,tblPPAPs[PPAP no.],0)))</f>
        <v>MT-5502 Motor mount</v>
      </c>
      <c r="D46" s="42"/>
      <c r="E46" s="38">
        <f>IF($B$46="","",INDEX(tblPPAPs[Due by],MATCH($B$46,tblPPAPs[PPAP no.],0)))</f>
        <v>46311</v>
      </c>
      <c r="F46" s="42" t="str">
        <f>IF($B$46="","",INDEX(tblPPAPs[Disposition],MATCH($B$46,tblPPAPs[PPAP no.],0)))</f>
        <v>Rejected</v>
      </c>
      <c r="G46" s="42"/>
      <c r="H46" s="36">
        <f>IF($B$46="","",COUNTIFS(tblElements[PPAP no.],$B$46,tblElements[Status],"Complete"))</f>
        <v>11</v>
      </c>
      <c r="I46" s="36">
        <f>IF($B$46="","",COUNTIFS(tblElements[PPAP no.],$B$46,tblElements[Status],"In progress"))</f>
        <v>3</v>
      </c>
      <c r="J46" s="36">
        <f>IF($B$46="","",COUNTIFS(tblElements[PPAP no.],$B$46,tblElements[Status],"Not started"))</f>
        <v>1</v>
      </c>
      <c r="K46" s="36">
        <f>IF($B$46="","",COUNTIFS(tblElements[PPAP no.],$B$46,tblElements[Due status],"Overdue"))</f>
        <v>1</v>
      </c>
      <c r="L46" s="42" t="str">
        <f>IF($B$46="","",INDEX(tblPPAPs[Due status],MATCH($B$46,tblPPAPs[PPAP no.],0)))</f>
        <v>Due soon</v>
      </c>
    </row>
    <row r="47" spans="2:12">
      <c r="B47" s="54" t="str">
        <f>IF($B$46="","",IFERROR(INDEX(tblPPAPs[PPAP no.],MATCH(INDEX(tblPPAPs[Open rank],MATCH($B$46,tblPPAPs[PPAP no.],0))+1,tblPPAPs[Open rank],0)),""))</f>
        <v>P26-10</v>
      </c>
      <c r="C47" s="42" t="str">
        <f>IF($B$47="","",INDEX(tblPPAPs[Part number],MATCH($B$47,tblPPAPs[PPAP no.],0))&amp;" "&amp;INDEX(tblPPAPs[Part name],MATCH($B$47,tblPPAPs[PPAP no.],0)))</f>
        <v>CV-9001 Battery cover</v>
      </c>
      <c r="D47" s="42"/>
      <c r="E47" s="38">
        <f>IF($B$47="","",INDEX(tblPPAPs[Due by],MATCH($B$47,tblPPAPs[PPAP no.],0)))</f>
        <v>46311</v>
      </c>
      <c r="F47" s="42" t="str">
        <f>IF($B$47="","",INDEX(tblPPAPs[Disposition],MATCH($B$47,tblPPAPs[PPAP no.],0)))</f>
        <v>Open</v>
      </c>
      <c r="G47" s="42"/>
      <c r="H47" s="36">
        <f>IF($B$47="","",COUNTIFS(tblElements[PPAP no.],$B$47,tblElements[Status],"Complete"))</f>
        <v>12</v>
      </c>
      <c r="I47" s="36">
        <f>IF($B$47="","",COUNTIFS(tblElements[PPAP no.],$B$47,tblElements[Status],"In progress"))</f>
        <v>2</v>
      </c>
      <c r="J47" s="36">
        <f>IF($B$47="","",COUNTIFS(tblElements[PPAP no.],$B$47,tblElements[Status],"Not started"))</f>
        <v>2</v>
      </c>
      <c r="K47" s="36">
        <f>IF($B$47="","",COUNTIFS(tblElements[PPAP no.],$B$47,tblElements[Due status],"Overdue"))</f>
        <v>3</v>
      </c>
      <c r="L47" s="42" t="str">
        <f>IF($B$47="","",INDEX(tblPPAPs[Due status],MATCH($B$47,tblPPAPs[PPAP no.],0)))</f>
        <v>Due soon</v>
      </c>
    </row>
    <row r="48" spans="2:12">
      <c r="B48" s="54" t="str">
        <f>IF($B$47="","",IFERROR(INDEX(tblPPAPs[PPAP no.],MATCH(INDEX(tblPPAPs[Open rank],MATCH($B$47,tblPPAPs[PPAP no.],0))+1,tblPPAPs[Open rank],0)),""))</f>
        <v>P26-12</v>
      </c>
      <c r="C48" s="42" t="str">
        <f>IF($B$48="","",INDEX(tblPPAPs[Part number],MATCH($B$48,tblPPAPs[PPAP no.],0))&amp;" "&amp;INDEX(tblPPAPs[Part name],MATCH($B$48,tblPPAPs[PPAP no.],0)))</f>
        <v>AX-3022 Axle bracket rev C</v>
      </c>
      <c r="D48" s="42"/>
      <c r="E48" s="38">
        <f>IF($B$48="","",INDEX(tblPPAPs[Due by],MATCH($B$48,tblPPAPs[PPAP no.],0)))</f>
        <v>46346</v>
      </c>
      <c r="F48" s="42" t="str">
        <f>IF($B$48="","",INDEX(tblPPAPs[Disposition],MATCH($B$48,tblPPAPs[PPAP no.],0)))</f>
        <v>Open</v>
      </c>
      <c r="G48" s="42"/>
      <c r="H48" s="36">
        <f>IF($B$48="","",COUNTIFS(tblElements[PPAP no.],$B$48,tblElements[Status],"Complete"))</f>
        <v>4</v>
      </c>
      <c r="I48" s="36">
        <f>IF($B$48="","",COUNTIFS(tblElements[PPAP no.],$B$48,tblElements[Status],"In progress"))</f>
        <v>2</v>
      </c>
      <c r="J48" s="36">
        <f>IF($B$48="","",COUNTIFS(tblElements[PPAP no.],$B$48,tblElements[Status],"Not started"))</f>
        <v>3</v>
      </c>
      <c r="K48" s="36">
        <f>IF($B$48="","",COUNTIFS(tblElements[PPAP no.],$B$48,tblElements[Due status],"Overdue"))</f>
        <v>0</v>
      </c>
      <c r="L48" s="42" t="str">
        <f>IF($B$48="","",INDEX(tblPPAPs[Due status],MATCH($B$48,tblPPAPs[PPAP no.],0)))</f>
        <v>OK</v>
      </c>
    </row>
    <row r="49" spans="2:12">
      <c r="B49" s="54" t="str">
        <f>IF($B$48="","",IFERROR(INDEX(tblPPAPs[PPAP no.],MATCH(INDEX(tblPPAPs[Open rank],MATCH($B$48,tblPPAPs[PPAP no.],0))+1,tblPPAPs[Open rank],0)),""))</f>
        <v>P26-13</v>
      </c>
      <c r="C49" s="42" t="str">
        <f>IF($B$49="","",INDEX(tblPPAPs[Part number],MATCH($B$49,tblPPAPs[PPAP no.],0))&amp;" "&amp;INDEX(tblPPAPs[Part name],MATCH($B$49,tblPPAPs[PPAP no.],0)))</f>
        <v>HS-4410 Heat shield rev B</v>
      </c>
      <c r="D49" s="42"/>
      <c r="E49" s="38">
        <f>IF($B$49="","",INDEX(tblPPAPs[Due by],MATCH($B$49,tblPPAPs[PPAP no.],0)))</f>
        <v>46367</v>
      </c>
      <c r="F49" s="42" t="str">
        <f>IF($B$49="","",INDEX(tblPPAPs[Disposition],MATCH($B$49,tblPPAPs[PPAP no.],0)))</f>
        <v>Open</v>
      </c>
      <c r="G49" s="42"/>
      <c r="H49" s="36">
        <f>IF($B$49="","",COUNTIFS(tblElements[PPAP no.],$B$49,tblElements[Status],"Complete"))</f>
        <v>1</v>
      </c>
      <c r="I49" s="36">
        <f>IF($B$49="","",COUNTIFS(tblElements[PPAP no.],$B$49,tblElements[Status],"In progress"))</f>
        <v>2</v>
      </c>
      <c r="J49" s="36">
        <f>IF($B$49="","",COUNTIFS(tblElements[PPAP no.],$B$49,tblElements[Status],"Not started"))</f>
        <v>6</v>
      </c>
      <c r="K49" s="36">
        <f>IF($B$49="","",COUNTIFS(tblElements[PPAP no.],$B$49,tblElements[Due status],"Overdue"))</f>
        <v>0</v>
      </c>
      <c r="L49" s="42" t="str">
        <f>IF($B$49="","",INDEX(tblPPAPs[Due status],MATCH($B$49,tblPPAPs[PPAP no.],0)))</f>
        <v>OK</v>
      </c>
    </row>
    <row r="50" spans="2:12">
      <c r="B50" s="54" t="str">
        <f>IF($B$49="","",IFERROR(INDEX(tblPPAPs[PPAP no.],MATCH(INDEX(tblPPAPs[Open rank],MATCH($B$49,tblPPAPs[PPAP no.],0))+1,tblPPAPs[Open rank],0)),""))</f>
        <v>P26-14</v>
      </c>
      <c r="C50" s="42" t="str">
        <f>IF($B$50="","",INDEX(tblPPAPs[Part number],MATCH($B$50,tblPPAPs[PPAP no.],0))&amp;" "&amp;INDEX(tblPPAPs[Part name],MATCH($B$50,tblPPAPs[PPAP no.],0)))</f>
        <v>CL-120 Hose clip, long</v>
      </c>
      <c r="D50" s="42"/>
      <c r="E50" s="38">
        <f>IF($B$50="","",INDEX(tblPPAPs[Due by],MATCH($B$50,tblPPAPs[PPAP no.],0)))</f>
        <v>46374</v>
      </c>
      <c r="F50" s="42" t="str">
        <f>IF($B$50="","",INDEX(tblPPAPs[Disposition],MATCH($B$50,tblPPAPs[PPAP no.],0)))</f>
        <v>Open</v>
      </c>
      <c r="G50" s="42"/>
      <c r="H50" s="36">
        <f>IF($B$50="","",COUNTIFS(tblElements[PPAP no.],$B$50,tblElements[Status],"Complete"))</f>
        <v>0</v>
      </c>
      <c r="I50" s="36">
        <f>IF($B$50="","",COUNTIFS(tblElements[PPAP no.],$B$50,tblElements[Status],"In progress"))</f>
        <v>0</v>
      </c>
      <c r="J50" s="36">
        <f>IF($B$50="","",COUNTIFS(tblElements[PPAP no.],$B$50,tblElements[Status],"Not started"))</f>
        <v>9</v>
      </c>
      <c r="K50" s="36">
        <f>IF($B$50="","",COUNTIFS(tblElements[PPAP no.],$B$50,tblElements[Due status],"Overdue"))</f>
        <v>0</v>
      </c>
      <c r="L50" s="42" t="str">
        <f>IF($B$50="","",INDEX(tblPPAPs[Due status],MATCH($B$50,tblPPAPs[PPAP no.],0)))</f>
        <v>OK</v>
      </c>
    </row>
    <row r="52" spans="2:12" ht="21" customHeight="1">
      <c r="B52" s="8" t="s">
        <v>240</v>
      </c>
      <c r="C52" s="8"/>
      <c r="D52" s="8"/>
      <c r="E52" s="8"/>
      <c r="F52" s="8"/>
      <c r="G52" s="8"/>
      <c r="H52" s="8"/>
      <c r="I52" s="8"/>
      <c r="J52" s="8"/>
      <c r="K52" s="8"/>
      <c r="L52" s="8"/>
    </row>
    <row r="53" spans="2:12" ht="5" customHeight="1"/>
    <row r="54" spans="2:12">
      <c r="B54" s="27" t="s">
        <v>241</v>
      </c>
      <c r="C54" s="27"/>
      <c r="D54" s="27"/>
      <c r="E54" s="36">
        <f>KpiToSubmit</f>
        <v>6</v>
      </c>
      <c r="F54" s="7" t="s">
        <v>242</v>
      </c>
    </row>
    <row r="55" spans="2:12">
      <c r="B55" s="27" t="s">
        <v>243</v>
      </c>
      <c r="C55" s="27"/>
      <c r="D55" s="27"/>
      <c r="E55" s="55">
        <f>HoursPerPackage</f>
        <v>24</v>
      </c>
      <c r="F55" s="7" t="s">
        <v>83</v>
      </c>
    </row>
    <row r="56" spans="2:12">
      <c r="B56" s="17" t="s">
        <v>244</v>
      </c>
      <c r="C56" s="17"/>
      <c r="D56" s="17"/>
      <c r="E56" s="56">
        <f>KpiNeed</f>
        <v>187.2</v>
      </c>
      <c r="F56" s="7" t="s">
        <v>83</v>
      </c>
    </row>
    <row r="57" spans="2:12">
      <c r="B57" s="27" t="s">
        <v>245</v>
      </c>
      <c r="C57" s="27"/>
      <c r="D57" s="27"/>
      <c r="E57" s="55">
        <f>HoursAvailable</f>
        <v>180</v>
      </c>
      <c r="F57" s="7" t="s">
        <v>83</v>
      </c>
    </row>
    <row r="58" spans="2:12">
      <c r="B58" s="17" t="s">
        <v>246</v>
      </c>
      <c r="C58" s="17"/>
      <c r="D58" s="17"/>
      <c r="E58" s="57">
        <f>IF((HoursAvailable)=0,"",(KpiNeed)/(HoursAvailable))</f>
        <v>1.04</v>
      </c>
      <c r="F58" s="7" t="s">
        <v>247</v>
      </c>
    </row>
    <row r="59" spans="2:12">
      <c r="B59" s="27" t="s">
        <v>248</v>
      </c>
      <c r="C59" s="27"/>
      <c r="D59" s="27"/>
      <c r="E59" s="58">
        <f>HoursAvailable-KpiNeed</f>
        <v>-7.20000000000002</v>
      </c>
      <c r="F59" s="7" t="s">
        <v>83</v>
      </c>
    </row>
    <row r="60" spans="2:12">
      <c r="B60" s="27" t="s">
        <v>249</v>
      </c>
      <c r="C60" s="27"/>
      <c r="D60" s="27"/>
      <c r="E60" s="42" t="str">
        <f>IF(NOT(ISNUMBER(WlShare)),"",IF(WlShare&gt;1,"Over capacity",IF(WlShare&gt;0.9,"Near capacity","Under capacity")))</f>
        <v>Over capacity</v>
      </c>
      <c r="F60" s="7"/>
    </row>
    <row r="62" spans="2:12">
      <c r="B62" s="33" t="s">
        <v>250</v>
      </c>
      <c r="C62" s="33"/>
      <c r="D62" s="33"/>
      <c r="E62" s="33"/>
      <c r="F62" s="33"/>
      <c r="G62" s="33"/>
      <c r="H62" s="33"/>
    </row>
    <row r="63" spans="2:12" ht="32" customHeight="1">
      <c r="B63" s="53" t="s">
        <v>64</v>
      </c>
      <c r="C63" s="34" t="s">
        <v>251</v>
      </c>
      <c r="D63" s="34" t="s">
        <v>168</v>
      </c>
      <c r="E63" s="34" t="s">
        <v>158</v>
      </c>
      <c r="F63" s="34" t="s">
        <v>239</v>
      </c>
      <c r="G63" s="34" t="s">
        <v>157</v>
      </c>
      <c r="H63" s="34" t="s">
        <v>252</v>
      </c>
    </row>
    <row r="64" spans="2:12">
      <c r="B64" s="54" t="str">
        <f>IFERROR(INDEX(tblCustomers[Customer],1)&amp;"","")</f>
        <v>Northline Motors (example)</v>
      </c>
      <c r="C64" s="36">
        <f>IF($B$64="","",COUNTIFS(tblPPAPs[Customer],$B$64))</f>
        <v>7</v>
      </c>
      <c r="D64" s="36">
        <f>IF($B$64="","",COUNTIFS(tblPPAPs[Customer],$B$64,tblPPAPs[Disposition],"Approved"))</f>
        <v>2</v>
      </c>
      <c r="E64" s="36">
        <f>IF($B$64="","",COUNTIFS(tblPPAPs[Customer],$B$64,tblPPAPs[Open],1))</f>
        <v>5</v>
      </c>
      <c r="F64" s="36">
        <f>IF($B$64="","",COUNTIFS(tblPPAPs[Customer],$B$64,tblPPAPs[Due status],"Overdue"))</f>
        <v>0</v>
      </c>
      <c r="G64" s="59">
        <f>IF($B$64="","",IF((COUNTIFS(tblPPAPs[Customer],$B$64,tblPPAPs[First-time approval],"Yes")+COUNTIFS(tblPPAPs[Customer],$B$64,tblPPAPs[First-time approval],"No"))=0,"",(COUNTIFS(tblPPAPs[Customer],$B$64,tblPPAPs[First-time approval],"Yes"))/(COUNTIFS(tblPPAPs[Customer],$B$64,tblPPAPs[First-time approval],"Yes")+COUNTIFS(tblPPAPs[Customer],$B$64,tblPPAPs[First-time approval],"No"))))</f>
        <v>0.25</v>
      </c>
      <c r="H64" s="55">
        <f>IF($B$64="","",IF((COUNTIFS(tblPPAPs[Customer review (days)],"&gt;=0",tblPPAPs[Customer],$B$64))=0,"",(SUMIFS(tblPPAPs[Customer review (days)],tblPPAPs[Customer],$B$64))/(COUNTIFS(tblPPAPs[Customer review (days)],"&gt;=0",tblPPAPs[Customer],$B$64))))</f>
        <v>16</v>
      </c>
    </row>
    <row r="65" spans="2:8">
      <c r="B65" s="54" t="str">
        <f>IFERROR(INDEX(tblCustomers[Customer],2)&amp;"","")</f>
        <v>Vantis Seating (example)</v>
      </c>
      <c r="C65" s="36">
        <f>IF($B$65="","",COUNTIFS(tblPPAPs[Customer],$B$65))</f>
        <v>4</v>
      </c>
      <c r="D65" s="36">
        <f>IF($B$65="","",COUNTIFS(tblPPAPs[Customer],$B$65,tblPPAPs[Disposition],"Approved"))</f>
        <v>3</v>
      </c>
      <c r="E65" s="36">
        <f>IF($B$65="","",COUNTIFS(tblPPAPs[Customer],$B$65,tblPPAPs[Open],1))</f>
        <v>1</v>
      </c>
      <c r="F65" s="36">
        <f>IF($B$65="","",COUNTIFS(tblPPAPs[Customer],$B$65,tblPPAPs[Due status],"Overdue"))</f>
        <v>1</v>
      </c>
      <c r="G65" s="59">
        <f>IF($B$65="","",IF((COUNTIFS(tblPPAPs[Customer],$B$65,tblPPAPs[First-time approval],"Yes")+COUNTIFS(tblPPAPs[Customer],$B$65,tblPPAPs[First-time approval],"No"))=0,"",(COUNTIFS(tblPPAPs[Customer],$B$65,tblPPAPs[First-time approval],"Yes"))/(COUNTIFS(tblPPAPs[Customer],$B$65,tblPPAPs[First-time approval],"Yes")+COUNTIFS(tblPPAPs[Customer],$B$65,tblPPAPs[First-time approval],"No"))))</f>
        <v>1</v>
      </c>
      <c r="H65" s="55">
        <f>IF($B$65="","",IF((COUNTIFS(tblPPAPs[Customer review (days)],"&gt;=0",tblPPAPs[Customer],$B$65))=0,"",(SUMIFS(tblPPAPs[Customer review (days)],tblPPAPs[Customer],$B$65))/(COUNTIFS(tblPPAPs[Customer review (days)],"&gt;=0",tblPPAPs[Customer],$B$65))))</f>
        <v>16.3333333333333</v>
      </c>
    </row>
    <row r="66" spans="2:8">
      <c r="B66" s="54" t="str">
        <f>IFERROR(INDEX(tblCustomers[Customer],3)&amp;"","")</f>
        <v>Brightway Axles (example)</v>
      </c>
      <c r="C66" s="36">
        <f>IF($B$66="","",COUNTIFS(tblPPAPs[Customer],$B$66))</f>
        <v>3</v>
      </c>
      <c r="D66" s="36">
        <f>IF($B$66="","",COUNTIFS(tblPPAPs[Customer],$B$66,tblPPAPs[Disposition],"Approved"))</f>
        <v>1</v>
      </c>
      <c r="E66" s="36">
        <f>IF($B$66="","",COUNTIFS(tblPPAPs[Customer],$B$66,tblPPAPs[Open],1))</f>
        <v>2</v>
      </c>
      <c r="F66" s="36">
        <f>IF($B$66="","",COUNTIFS(tblPPAPs[Customer],$B$66,tblPPAPs[Due status],"Overdue"))</f>
        <v>0</v>
      </c>
      <c r="G66" s="59">
        <f>IF($B$66="","",IF((COUNTIFS(tblPPAPs[Customer],$B$66,tblPPAPs[First-time approval],"Yes")+COUNTIFS(tblPPAPs[Customer],$B$66,tblPPAPs[First-time approval],"No"))=0,"",(COUNTIFS(tblPPAPs[Customer],$B$66,tblPPAPs[First-time approval],"Yes"))/(COUNTIFS(tblPPAPs[Customer],$B$66,tblPPAPs[First-time approval],"Yes")+COUNTIFS(tblPPAPs[Customer],$B$66,tblPPAPs[First-time approval],"No"))))</f>
        <v>1</v>
      </c>
      <c r="H66" s="55">
        <f>IF($B$66="","",IF((COUNTIFS(tblPPAPs[Customer review (days)],"&gt;=0",tblPPAPs[Customer],$B$66))=0,"",(SUMIFS(tblPPAPs[Customer review (days)],tblPPAPs[Customer],$B$66))/(COUNTIFS(tblPPAPs[Customer review (days)],"&gt;=0",tblPPAPs[Customer],$B$66))))</f>
        <v>16</v>
      </c>
    </row>
    <row r="68" spans="2:8">
      <c r="B68" s="33" t="s">
        <v>253</v>
      </c>
      <c r="C68" s="33"/>
      <c r="D68" s="33"/>
      <c r="E68" s="33"/>
      <c r="F68" s="33"/>
      <c r="G68" s="33"/>
    </row>
    <row r="69" spans="2:8" ht="32" customHeight="1">
      <c r="B69" s="53" t="s">
        <v>68</v>
      </c>
      <c r="C69" s="34" t="s">
        <v>254</v>
      </c>
      <c r="D69" s="34" t="s">
        <v>151</v>
      </c>
      <c r="E69" s="34" t="s">
        <v>255</v>
      </c>
      <c r="F69" s="34" t="s">
        <v>256</v>
      </c>
      <c r="G69" s="34" t="s">
        <v>257</v>
      </c>
    </row>
    <row r="70" spans="2:8">
      <c r="B70" s="54" t="str">
        <f>IFERROR(INDEX(tblElementList[Element],1)&amp;"","")</f>
        <v>Design records</v>
      </c>
      <c r="C70" s="36">
        <f>IF($B$70="","",COUNTIFS(tblElements[Element],$B$70,tblElements[Open package],1,tblElements[In view],1))</f>
        <v>7</v>
      </c>
      <c r="D70" s="36">
        <f>IF($B$70="","",COUNTIFS(tblElements[Element],$B$70,tblElements[Open package],1,tblElements[Status],"Complete",tblElements[In view],1))</f>
        <v>6</v>
      </c>
      <c r="E70" s="36">
        <f>IF($B$70="","",COUNTIFS(tblElements[Element],$B$70,tblElements[Due status],"Overdue",tblElements[In view],1))</f>
        <v>0</v>
      </c>
      <c r="F70" s="36">
        <f>IF($B$70="","",COUNTIFS(tblElements[Element],$B$70,tblElements[Open package],1,tblElements[In view],1)-$D$70-$E$70)</f>
        <v>1</v>
      </c>
      <c r="G70" s="37">
        <f>IF($B$70="","",IF(($C$70)=0,"",($D$70)/($C$70)))</f>
        <v>0.857142857142857</v>
      </c>
    </row>
    <row r="71" spans="2:8">
      <c r="B71" s="54" t="str">
        <f>IFERROR(INDEX(tblElementList[Element],2)&amp;"","")</f>
        <v>Engineering change docs</v>
      </c>
      <c r="C71" s="36">
        <f>IF($B$71="","",COUNTIFS(tblElements[Element],$B$71,tblElements[Open package],1,tblElements[In view],1))</f>
        <v>2</v>
      </c>
      <c r="D71" s="36">
        <f>IF($B$71="","",COUNTIFS(tblElements[Element],$B$71,tblElements[Open package],1,tblElements[Status],"Complete",tblElements[In view],1))</f>
        <v>0</v>
      </c>
      <c r="E71" s="36">
        <f>IF($B$71="","",COUNTIFS(tblElements[Element],$B$71,tblElements[Due status],"Overdue",tblElements[In view],1))</f>
        <v>0</v>
      </c>
      <c r="F71" s="36">
        <f>IF($B$71="","",COUNTIFS(tblElements[Element],$B$71,tblElements[Open package],1,tblElements[In view],1)-$D$71-$E$71)</f>
        <v>2</v>
      </c>
      <c r="G71" s="37">
        <f>IF($B$71="","",IF(($C$71)=0,"",($D$71)/($C$71)))</f>
        <v>0</v>
      </c>
    </row>
    <row r="72" spans="2:8">
      <c r="B72" s="54" t="str">
        <f>IFERROR(INDEX(tblElementList[Element],3)&amp;"","")</f>
        <v>Customer eng. approval</v>
      </c>
      <c r="C72" s="36">
        <f>IF($B$72="","",COUNTIFS(tblElements[Element],$B$72,tblElements[Open package],1,tblElements[In view],1))</f>
        <v>0</v>
      </c>
      <c r="D72" s="36">
        <f>IF($B$72="","",COUNTIFS(tblElements[Element],$B$72,tblElements[Open package],1,tblElements[Status],"Complete",tblElements[In view],1))</f>
        <v>0</v>
      </c>
      <c r="E72" s="36">
        <f>IF($B$72="","",COUNTIFS(tblElements[Element],$B$72,tblElements[Due status],"Overdue",tblElements[In view],1))</f>
        <v>0</v>
      </c>
      <c r="F72" s="36">
        <f>IF($B$72="","",COUNTIFS(tblElements[Element],$B$72,tblElements[Open package],1,tblElements[In view],1)-$D$72-$E$72)</f>
        <v>0</v>
      </c>
      <c r="G72" s="37">
        <f>IF($B$72="","",IF(($C$72)=0,"",($D$72)/($C$72)))</f>
        <v/>
      </c>
    </row>
    <row r="73" spans="2:8">
      <c r="B73" s="54" t="str">
        <f>IFERROR(INDEX(tblElementList[Element],4)&amp;"","")</f>
        <v>Design FMEA</v>
      </c>
      <c r="C73" s="36">
        <f>IF($B$73="","",COUNTIFS(tblElements[Element],$B$73,tblElements[Open package],1,tblElements[In view],1))</f>
        <v>5</v>
      </c>
      <c r="D73" s="36">
        <f>IF($B$73="","",COUNTIFS(tblElements[Element],$B$73,tblElements[Open package],1,tblElements[Status],"Complete",tblElements[In view],1))</f>
        <v>5</v>
      </c>
      <c r="E73" s="36">
        <f>IF($B$73="","",COUNTIFS(tblElements[Element],$B$73,tblElements[Due status],"Overdue",tblElements[In view],1))</f>
        <v>0</v>
      </c>
      <c r="F73" s="36">
        <f>IF($B$73="","",COUNTIFS(tblElements[Element],$B$73,tblElements[Open package],1,tblElements[In view],1)-$D$73-$E$73)</f>
        <v>0</v>
      </c>
      <c r="G73" s="37">
        <f>IF($B$73="","",IF(($C$73)=0,"",($D$73)/($C$73)))</f>
        <v>1</v>
      </c>
    </row>
    <row r="74" spans="2:8">
      <c r="B74" s="54" t="str">
        <f>IFERROR(INDEX(tblElementList[Element],5)&amp;"","")</f>
        <v>Process flow diagram</v>
      </c>
      <c r="C74" s="36">
        <f>IF($B$74="","",COUNTIFS(tblElements[Element],$B$74,tblElements[Open package],1,tblElements[In view],1))</f>
        <v>6</v>
      </c>
      <c r="D74" s="36">
        <f>IF($B$74="","",COUNTIFS(tblElements[Element],$B$74,tblElements[Open package],1,tblElements[Status],"Complete",tblElements[In view],1))</f>
        <v>6</v>
      </c>
      <c r="E74" s="36">
        <f>IF($B$74="","",COUNTIFS(tblElements[Element],$B$74,tblElements[Due status],"Overdue",tblElements[In view],1))</f>
        <v>0</v>
      </c>
      <c r="F74" s="36">
        <f>IF($B$74="","",COUNTIFS(tblElements[Element],$B$74,tblElements[Open package],1,tblElements[In view],1)-$D$74-$E$74)</f>
        <v>0</v>
      </c>
      <c r="G74" s="37">
        <f>IF($B$74="","",IF(($C$74)=0,"",($D$74)/($C$74)))</f>
        <v>1</v>
      </c>
    </row>
    <row r="75" spans="2:8">
      <c r="B75" s="54" t="str">
        <f>IFERROR(INDEX(tblElementList[Element],6)&amp;"","")</f>
        <v>Process FMEA</v>
      </c>
      <c r="C75" s="36">
        <f>IF($B$75="","",COUNTIFS(tblElements[Element],$B$75,tblElements[Open package],1,tblElements[In view],1))</f>
        <v>8</v>
      </c>
      <c r="D75" s="36">
        <f>IF($B$75="","",COUNTIFS(tblElements[Element],$B$75,tblElements[Open package],1,tblElements[Status],"Complete",tblElements[In view],1))</f>
        <v>6</v>
      </c>
      <c r="E75" s="36">
        <f>IF($B$75="","",COUNTIFS(tblElements[Element],$B$75,tblElements[Due status],"Overdue",tblElements[In view],1))</f>
        <v>0</v>
      </c>
      <c r="F75" s="36">
        <f>IF($B$75="","",COUNTIFS(tblElements[Element],$B$75,tblElements[Open package],1,tblElements[In view],1)-$D$75-$E$75)</f>
        <v>2</v>
      </c>
      <c r="G75" s="37">
        <f>IF($B$75="","",IF(($C$75)=0,"",($D$75)/($C$75)))</f>
        <v>0.75</v>
      </c>
    </row>
    <row r="76" spans="2:8">
      <c r="B76" s="54" t="str">
        <f>IFERROR(INDEX(tblElementList[Element],7)&amp;"","")</f>
        <v>Control plan</v>
      </c>
      <c r="C76" s="36">
        <f>IF($B$76="","",COUNTIFS(tblElements[Element],$B$76,tblElements[Open package],1,tblElements[In view],1))</f>
        <v>8</v>
      </c>
      <c r="D76" s="36">
        <f>IF($B$76="","",COUNTIFS(tblElements[Element],$B$76,tblElements[Open package],1,tblElements[Status],"Complete",tblElements[In view],1))</f>
        <v>6</v>
      </c>
      <c r="E76" s="36">
        <f>IF($B$76="","",COUNTIFS(tblElements[Element],$B$76,tblElements[Due status],"Overdue",tblElements[In view],1))</f>
        <v>0</v>
      </c>
      <c r="F76" s="36">
        <f>IF($B$76="","",COUNTIFS(tblElements[Element],$B$76,tblElements[Open package],1,tblElements[In view],1)-$D$76-$E$76)</f>
        <v>2</v>
      </c>
      <c r="G76" s="37">
        <f>IF($B$76="","",IF(($C$76)=0,"",($D$76)/($C$76)))</f>
        <v>0.75</v>
      </c>
    </row>
    <row r="77" spans="2:8">
      <c r="B77" s="54" t="str">
        <f>IFERROR(INDEX(tblElementList[Element],8)&amp;"","")</f>
        <v>MSA studies</v>
      </c>
      <c r="C77" s="36">
        <f>IF($B$77="","",COUNTIFS(tblElements[Element],$B$77,tblElements[Open package],1,tblElements[In view],1))</f>
        <v>6</v>
      </c>
      <c r="D77" s="36">
        <f>IF($B$77="","",COUNTIFS(tblElements[Element],$B$77,tblElements[Open package],1,tblElements[Status],"Complete",tblElements[In view],1))</f>
        <v>6</v>
      </c>
      <c r="E77" s="36">
        <f>IF($B$77="","",COUNTIFS(tblElements[Element],$B$77,tblElements[Due status],"Overdue",tblElements[In view],1))</f>
        <v>0</v>
      </c>
      <c r="F77" s="36">
        <f>IF($B$77="","",COUNTIFS(tblElements[Element],$B$77,tblElements[Open package],1,tblElements[In view],1)-$D$77-$E$77)</f>
        <v>0</v>
      </c>
      <c r="G77" s="37">
        <f>IF($B$77="","",IF(($C$77)=0,"",($D$77)/($C$77)))</f>
        <v>1</v>
      </c>
    </row>
    <row r="78" spans="2:8">
      <c r="B78" s="54" t="str">
        <f>IFERROR(INDEX(tblElementList[Element],9)&amp;"","")</f>
        <v>Dimensional results</v>
      </c>
      <c r="C78" s="36">
        <f>IF($B$78="","",COUNTIFS(tblElements[Element],$B$78,tblElements[Open package],1,tblElements[In view],1))</f>
        <v>8</v>
      </c>
      <c r="D78" s="36">
        <f>IF($B$78="","",COUNTIFS(tblElements[Element],$B$78,tblElements[Open package],1,tblElements[Status],"Complete",tblElements[In view],1))</f>
        <v>4</v>
      </c>
      <c r="E78" s="36">
        <f>IF($B$78="","",COUNTIFS(tblElements[Element],$B$78,tblElements[Due status],"Overdue",tblElements[In view],1))</f>
        <v>0</v>
      </c>
      <c r="F78" s="36">
        <f>IF($B$78="","",COUNTIFS(tblElements[Element],$B$78,tblElements[Open package],1,tblElements[In view],1)-$D$78-$E$78)</f>
        <v>4</v>
      </c>
      <c r="G78" s="37">
        <f>IF($B$78="","",IF(($C$78)=0,"",($D$78)/($C$78)))</f>
        <v>0.5</v>
      </c>
    </row>
    <row r="79" spans="2:8">
      <c r="B79" s="54" t="str">
        <f>IFERROR(INDEX(tblElementList[Element],10)&amp;"","")</f>
        <v>Material and performance tests</v>
      </c>
      <c r="C79" s="36">
        <f>IF($B$79="","",COUNTIFS(tblElements[Element],$B$79,tblElements[Open package],1,tblElements[In view],1))</f>
        <v>7</v>
      </c>
      <c r="D79" s="36">
        <f>IF($B$79="","",COUNTIFS(tblElements[Element],$B$79,tblElements[Open package],1,tblElements[Status],"Complete",tblElements[In view],1))</f>
        <v>5</v>
      </c>
      <c r="E79" s="36">
        <f>IF($B$79="","",COUNTIFS(tblElements[Element],$B$79,tblElements[Due status],"Overdue",tblElements[In view],1))</f>
        <v>0</v>
      </c>
      <c r="F79" s="36">
        <f>IF($B$79="","",COUNTIFS(tblElements[Element],$B$79,tblElements[Open package],1,tblElements[In view],1)-$D$79-$E$79)</f>
        <v>2</v>
      </c>
      <c r="G79" s="37">
        <f>IF($B$79="","",IF(($C$79)=0,"",($D$79)/($C$79)))</f>
        <v>0.714285714285714</v>
      </c>
    </row>
    <row r="80" spans="2:8">
      <c r="B80" s="54" t="str">
        <f>IFERROR(INDEX(tblElementList[Element],11)&amp;"","")</f>
        <v>Initial process studies</v>
      </c>
      <c r="C80" s="36">
        <f>IF($B$80="","",COUNTIFS(tblElements[Element],$B$80,tblElements[Open package],1,tblElements[In view],1))</f>
        <v>6</v>
      </c>
      <c r="D80" s="36">
        <f>IF($B$80="","",COUNTIFS(tblElements[Element],$B$80,tblElements[Open package],1,tblElements[Status],"Complete",tblElements[In view],1))</f>
        <v>4</v>
      </c>
      <c r="E80" s="36">
        <f>IF($B$80="","",COUNTIFS(tblElements[Element],$B$80,tblElements[Due status],"Overdue",tblElements[In view],1))</f>
        <v>0</v>
      </c>
      <c r="F80" s="36">
        <f>IF($B$80="","",COUNTIFS(tblElements[Element],$B$80,tblElements[Open package],1,tblElements[In view],1)-$D$80-$E$80)</f>
        <v>2</v>
      </c>
      <c r="G80" s="37">
        <f>IF($B$80="","",IF(($C$80)=0,"",($D$80)/($C$80)))</f>
        <v>0.666666666666667</v>
      </c>
    </row>
    <row r="81" spans="2:12">
      <c r="B81" s="54" t="str">
        <f>IFERROR(INDEX(tblElementList[Element],12)&amp;"","")</f>
        <v>Qualified lab documentation</v>
      </c>
      <c r="C81" s="36">
        <f>IF($B$81="","",COUNTIFS(tblElements[Element],$B$81,tblElements[Open package],1,tblElements[In view],1))</f>
        <v>5</v>
      </c>
      <c r="D81" s="36">
        <f>IF($B$81="","",COUNTIFS(tblElements[Element],$B$81,tblElements[Open package],1,tblElements[Status],"Complete",tblElements[In view],1))</f>
        <v>5</v>
      </c>
      <c r="E81" s="36">
        <f>IF($B$81="","",COUNTIFS(tblElements[Element],$B$81,tblElements[Due status],"Overdue",tblElements[In view],1))</f>
        <v>0</v>
      </c>
      <c r="F81" s="36">
        <f>IF($B$81="","",COUNTIFS(tblElements[Element],$B$81,tblElements[Open package],1,tblElements[In view],1)-$D$81-$E$81)</f>
        <v>0</v>
      </c>
      <c r="G81" s="37">
        <f>IF($B$81="","",IF(($C$81)=0,"",($D$81)/($C$81)))</f>
        <v>1</v>
      </c>
    </row>
    <row r="82" spans="2:12">
      <c r="B82" s="54" t="str">
        <f>IFERROR(INDEX(tblElementList[Element],13)&amp;"","")</f>
        <v>Appearance approval report</v>
      </c>
      <c r="C82" s="36">
        <f>IF($B$82="","",COUNTIFS(tblElements[Element],$B$82,tblElements[Open package],1,tblElements[In view],1))</f>
        <v>1</v>
      </c>
      <c r="D82" s="36">
        <f>IF($B$82="","",COUNTIFS(tblElements[Element],$B$82,tblElements[Open package],1,tblElements[Status],"Complete",tblElements[In view],1))</f>
        <v>1</v>
      </c>
      <c r="E82" s="36">
        <f>IF($B$82="","",COUNTIFS(tblElements[Element],$B$82,tblElements[Due status],"Overdue",tblElements[In view],1))</f>
        <v>0</v>
      </c>
      <c r="F82" s="36">
        <f>IF($B$82="","",COUNTIFS(tblElements[Element],$B$82,tblElements[Open package],1,tblElements[In view],1)-$D$82-$E$82)</f>
        <v>0</v>
      </c>
      <c r="G82" s="37">
        <f>IF($B$82="","",IF(($C$82)=0,"",($D$82)/($C$82)))</f>
        <v>1</v>
      </c>
    </row>
    <row r="83" spans="2:12">
      <c r="B83" s="54" t="str">
        <f>IFERROR(INDEX(tblElementList[Element],14)&amp;"","")</f>
        <v>Sample production parts</v>
      </c>
      <c r="C83" s="36">
        <f>IF($B$83="","",COUNTIFS(tblElements[Element],$B$83,tblElements[Open package],1,tblElements[In view],1))</f>
        <v>8</v>
      </c>
      <c r="D83" s="36">
        <f>IF($B$83="","",COUNTIFS(tblElements[Element],$B$83,tblElements[Open package],1,tblElements[Status],"Complete",tblElements[In view],1))</f>
        <v>4</v>
      </c>
      <c r="E83" s="36">
        <f>IF($B$83="","",COUNTIFS(tblElements[Element],$B$83,tblElements[Due status],"Overdue",tblElements[In view],1))</f>
        <v>1</v>
      </c>
      <c r="F83" s="36">
        <f>IF($B$83="","",COUNTIFS(tblElements[Element],$B$83,tblElements[Open package],1,tblElements[In view],1)-$D$83-$E$83)</f>
        <v>3</v>
      </c>
      <c r="G83" s="37">
        <f>IF($B$83="","",IF(($C$83)=0,"",($D$83)/($C$83)))</f>
        <v>0.5</v>
      </c>
    </row>
    <row r="84" spans="2:12">
      <c r="B84" s="54" t="str">
        <f>IFERROR(INDEX(tblElementList[Element],15)&amp;"","")</f>
        <v>Master sample</v>
      </c>
      <c r="C84" s="36">
        <f>IF($B$84="","",COUNTIFS(tblElements[Element],$B$84,tblElements[Open package],1,tblElements[In view],1))</f>
        <v>5</v>
      </c>
      <c r="D84" s="36">
        <f>IF($B$84="","",COUNTIFS(tblElements[Element],$B$84,tblElements[Open package],1,tblElements[Status],"Complete",tblElements[In view],1))</f>
        <v>4</v>
      </c>
      <c r="E84" s="36">
        <f>IF($B$84="","",COUNTIFS(tblElements[Element],$B$84,tblElements[Due status],"Overdue",tblElements[In view],1))</f>
        <v>1</v>
      </c>
      <c r="F84" s="36">
        <f>IF($B$84="","",COUNTIFS(tblElements[Element],$B$84,tblElements[Open package],1,tblElements[In view],1)-$D$84-$E$84)</f>
        <v>0</v>
      </c>
      <c r="G84" s="37">
        <f>IF($B$84="","",IF(($C$84)=0,"",($D$84)/($C$84)))</f>
        <v>0.8</v>
      </c>
    </row>
    <row r="85" spans="2:12">
      <c r="B85" s="54" t="str">
        <f>IFERROR(INDEX(tblElementList[Element],16)&amp;"","")</f>
        <v>Checking aids</v>
      </c>
      <c r="C85" s="36">
        <f>IF($B$85="","",COUNTIFS(tblElements[Element],$B$85,tblElements[Open package],1,tblElements[In view],1))</f>
        <v>6</v>
      </c>
      <c r="D85" s="36">
        <f>IF($B$85="","",COUNTIFS(tblElements[Element],$B$85,tblElements[Open package],1,tblElements[Status],"Complete",tblElements[In view],1))</f>
        <v>5</v>
      </c>
      <c r="E85" s="36">
        <f>IF($B$85="","",COUNTIFS(tblElements[Element],$B$85,tblElements[Due status],"Overdue",tblElements[In view],1))</f>
        <v>0</v>
      </c>
      <c r="F85" s="36">
        <f>IF($B$85="","",COUNTIFS(tblElements[Element],$B$85,tblElements[Open package],1,tblElements[In view],1)-$D$85-$E$85)</f>
        <v>1</v>
      </c>
      <c r="G85" s="37">
        <f>IF($B$85="","",IF(($C$85)=0,"",($D$85)/($C$85)))</f>
        <v>0.833333333333333</v>
      </c>
    </row>
    <row r="86" spans="2:12">
      <c r="B86" s="54" t="str">
        <f>IFERROR(INDEX(tblElementList[Element],17)&amp;"","")</f>
        <v>Customer-specific requirements</v>
      </c>
      <c r="C86" s="36">
        <f>IF($B$86="","",COUNTIFS(tblElements[Element],$B$86,tblElements[Open package],1,tblElements[In view],1))</f>
        <v>7</v>
      </c>
      <c r="D86" s="36">
        <f>IF($B$86="","",COUNTIFS(tblElements[Element],$B$86,tblElements[Open package],1,tblElements[Status],"Complete",tblElements[In view],1))</f>
        <v>2</v>
      </c>
      <c r="E86" s="36">
        <f>IF($B$86="","",COUNTIFS(tblElements[Element],$B$86,tblElements[Due status],"Overdue",tblElements[In view],1))</f>
        <v>3</v>
      </c>
      <c r="F86" s="36">
        <f>IF($B$86="","",COUNTIFS(tblElements[Element],$B$86,tblElements[Open package],1,tblElements[In view],1)-$D$86-$E$86)</f>
        <v>2</v>
      </c>
      <c r="G86" s="37">
        <f>IF($B$86="","",IF(($C$86)=0,"",($D$86)/($C$86)))</f>
        <v>0.285714285714286</v>
      </c>
    </row>
    <row r="87" spans="2:12">
      <c r="B87" s="54" t="str">
        <f>IFERROR(INDEX(tblElementList[Element],18)&amp;"","")</f>
        <v>Part submission warrant</v>
      </c>
      <c r="C87" s="36">
        <f>IF($B$87="","",COUNTIFS(tblElements[Element],$B$87,tblElements[Open package],1,tblElements[In view],1))</f>
        <v>8</v>
      </c>
      <c r="D87" s="36">
        <f>IF($B$87="","",COUNTIFS(tblElements[Element],$B$87,tblElements[Open package],1,tblElements[Status],"Complete",tblElements[In view],1))</f>
        <v>2</v>
      </c>
      <c r="E87" s="36">
        <f>IF($B$87="","",COUNTIFS(tblElements[Element],$B$87,tblElements[Due status],"Overdue",tblElements[In view],1))</f>
        <v>1</v>
      </c>
      <c r="F87" s="36">
        <f>IF($B$87="","",COUNTIFS(tblElements[Element],$B$87,tblElements[Open package],1,tblElements[In view],1)-$D$87-$E$87)</f>
        <v>5</v>
      </c>
      <c r="G87" s="37">
        <f>IF($B$87="","",IF(($C$87)=0,"",($D$87)/($C$87)))</f>
        <v>0.25</v>
      </c>
    </row>
    <row r="89" spans="2:12" ht="8" customHeight="1"/>
    <row r="90" spans="2:12" ht="26.76" customHeight="1">
      <c r="B90" s="21" t="s">
        <v>258</v>
      </c>
      <c r="C90" s="21"/>
      <c r="D90" s="21"/>
      <c r="E90" s="21"/>
      <c r="F90" s="21"/>
      <c r="G90" s="21"/>
      <c r="H90" s="21"/>
      <c r="I90" s="21"/>
      <c r="J90" s="21"/>
      <c r="K90" s="21"/>
      <c r="L90" s="21"/>
    </row>
    <row r="91" spans="2:12">
      <c r="B91" s="60">
        <f>IF(OR(COUNTIFS(tblPPAPs[Open rank],"&gt;0")&gt;8,COUNTA(tblCustomers[Customer])&gt;3,COUNTA(tblElementList[Element])&gt;18),"More open packages or longer Setup lists than the Dashboard blocks: some are not shown here.","")</f>
        <v/>
      </c>
      <c r="C91" s="60"/>
      <c r="D91" s="60"/>
      <c r="E91" s="60"/>
      <c r="F91" s="60"/>
      <c r="G91" s="60"/>
      <c r="H91" s="60"/>
      <c r="I91" s="60"/>
      <c r="J91" s="60"/>
      <c r="K91" s="60"/>
      <c r="L91" s="60"/>
    </row>
  </sheetData>
  <sheetProtection sheet="1" formatColumns="0" formatRows="0"/>
  <mergeCells count="62">
    <mergeCell ref="A1:L1"/>
    <mergeCell ref="B2:J2"/>
    <mergeCell ref="K2:L2"/>
    <mergeCell ref="C4:E4"/>
    <mergeCell ref="B5:L5"/>
    <mergeCell ref="B8:B9"/>
    <mergeCell ref="C7:F7"/>
    <mergeCell ref="C8:F9"/>
    <mergeCell ref="C10:F10"/>
    <mergeCell ref="C11:F11"/>
    <mergeCell ref="G7:I7"/>
    <mergeCell ref="G8:I9"/>
    <mergeCell ref="G10:I10"/>
    <mergeCell ref="G11:I11"/>
    <mergeCell ref="J7:L7"/>
    <mergeCell ref="J8:L9"/>
    <mergeCell ref="J10:L10"/>
    <mergeCell ref="J11:L11"/>
    <mergeCell ref="B36:B37"/>
    <mergeCell ref="C35:F35"/>
    <mergeCell ref="C36:F37"/>
    <mergeCell ref="C38:F38"/>
    <mergeCell ref="C39:F39"/>
    <mergeCell ref="G35:I35"/>
    <mergeCell ref="G36:I37"/>
    <mergeCell ref="G38:I38"/>
    <mergeCell ref="G39:I39"/>
    <mergeCell ref="J35:L35"/>
    <mergeCell ref="J36:L37"/>
    <mergeCell ref="J38:L38"/>
    <mergeCell ref="J39:L39"/>
    <mergeCell ref="B41:L41"/>
    <mergeCell ref="C42:D42"/>
    <mergeCell ref="F42:G42"/>
    <mergeCell ref="C43:D43"/>
    <mergeCell ref="C44:D44"/>
    <mergeCell ref="C45:D45"/>
    <mergeCell ref="C46:D46"/>
    <mergeCell ref="C47:D47"/>
    <mergeCell ref="C48:D48"/>
    <mergeCell ref="C49:D49"/>
    <mergeCell ref="C50:D50"/>
    <mergeCell ref="F43:G43"/>
    <mergeCell ref="F44:G44"/>
    <mergeCell ref="F45:G45"/>
    <mergeCell ref="F46:G46"/>
    <mergeCell ref="F47:G47"/>
    <mergeCell ref="F48:G48"/>
    <mergeCell ref="F49:G49"/>
    <mergeCell ref="F50:G50"/>
    <mergeCell ref="B52:L52"/>
    <mergeCell ref="B54:D54"/>
    <mergeCell ref="B55:D55"/>
    <mergeCell ref="B56:D56"/>
    <mergeCell ref="B57:D57"/>
    <mergeCell ref="B58:D58"/>
    <mergeCell ref="B59:D59"/>
    <mergeCell ref="B60:D60"/>
    <mergeCell ref="B62:H62"/>
    <mergeCell ref="B68:G68"/>
    <mergeCell ref="B90:L90"/>
    <mergeCell ref="B91:L91"/>
  </mergeCells>
  <conditionalFormatting sqref="B39">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C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E60">
    <cfRule type="cellIs" dxfId="0" priority="84" operator="equal">
      <formula>"On target"</formula>
    </cfRule>
    <cfRule type="cellIs" dxfId="0" priority="85" operator="equal">
      <formula>"PASS"</formula>
    </cfRule>
    <cfRule type="cellIs" dxfId="0" priority="86" operator="equal">
      <formula>"OK"</formula>
    </cfRule>
    <cfRule type="cellIs" dxfId="0" priority="87" operator="equal">
      <formula>"Within limits"</formula>
    </cfRule>
    <cfRule type="cellIs" dxfId="0" priority="88" operator="equal">
      <formula>"Under capacity"</formula>
    </cfRule>
    <cfRule type="cellIs" dxfId="0" priority="89" operator="equal">
      <formula>"Complete"</formula>
    </cfRule>
    <cfRule type="cellIs" dxfId="0" priority="90" operator="equal">
      <formula>"Yes"</formula>
    </cfRule>
    <cfRule type="cellIs" dxfId="1" priority="91" operator="equal">
      <formula>"Near target"</formula>
    </cfRule>
    <cfRule type="cellIs" dxfId="1" priority="92" operator="equal">
      <formula>"Check"</formula>
    </cfRule>
    <cfRule type="cellIs" dxfId="1" priority="93" operator="equal">
      <formula>"Due soon"</formula>
    </cfRule>
    <cfRule type="cellIs" dxfId="1" priority="94" operator="equal">
      <formula>"Near capacity"</formula>
    </cfRule>
    <cfRule type="cellIs" dxfId="1" priority="95" operator="equal">
      <formula>"In progress"</formula>
    </cfRule>
    <cfRule type="cellIs" dxfId="1" priority="96" operator="equal">
      <formula>"Partial"</formula>
    </cfRule>
    <cfRule type="cellIs" dxfId="2" priority="97" operator="equal">
      <formula>"Below target"</formula>
    </cfRule>
    <cfRule type="cellIs" dxfId="2" priority="98" operator="equal">
      <formula>"Above target"</formula>
    </cfRule>
    <cfRule type="cellIs" dxfId="2" priority="99" operator="equal">
      <formula>"FAIL"</formula>
    </cfRule>
    <cfRule type="cellIs" dxfId="2" priority="100" operator="equal">
      <formula>"Over capacity"</formula>
    </cfRule>
    <cfRule type="cellIs" dxfId="2" priority="101" operator="equal">
      <formula>"Overdue"</formula>
    </cfRule>
    <cfRule type="cellIs" dxfId="2" priority="102" operator="equal">
      <formula>"Out of limits"</formula>
    </cfRule>
    <cfRule type="cellIs" dxfId="2" priority="103" operator="equal">
      <formula>"No"</formula>
    </cfRule>
  </conditionalFormatting>
  <conditionalFormatting sqref="G64:G66">
    <cfRule type="expression" dxfId="3" priority="81" stopIfTrue="1">
      <formula>AND(ISNUMBER(G64),G64&gt;=(TargetFirst))</formula>
    </cfRule>
    <cfRule type="expression" dxfId="4" priority="82" stopIfTrue="1">
      <formula>AND(ISNUMBER(G64),G64&gt;=(TargetFirst)*(1-0.05))</formula>
    </cfRule>
    <cfRule type="expression" dxfId="5" priority="83">
      <formula>ISNUMBER(G64)</formula>
    </cfRule>
  </conditionalFormatting>
  <conditionalFormatting sqref="J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L43:L50">
    <cfRule type="cellIs" dxfId="0" priority="61" operator="equal">
      <formula>"On target"</formula>
    </cfRule>
    <cfRule type="cellIs" dxfId="0" priority="62" operator="equal">
      <formula>"PASS"</formula>
    </cfRule>
    <cfRule type="cellIs" dxfId="0" priority="63" operator="equal">
      <formula>"OK"</formula>
    </cfRule>
    <cfRule type="cellIs" dxfId="0" priority="64" operator="equal">
      <formula>"Within limits"</formula>
    </cfRule>
    <cfRule type="cellIs" dxfId="0" priority="65" operator="equal">
      <formula>"Under capacity"</formula>
    </cfRule>
    <cfRule type="cellIs" dxfId="0" priority="66" operator="equal">
      <formula>"Complete"</formula>
    </cfRule>
    <cfRule type="cellIs" dxfId="0" priority="67" operator="equal">
      <formula>"Yes"</formula>
    </cfRule>
    <cfRule type="cellIs" dxfId="1" priority="68" operator="equal">
      <formula>"Near target"</formula>
    </cfRule>
    <cfRule type="cellIs" dxfId="1" priority="69" operator="equal">
      <formula>"Check"</formula>
    </cfRule>
    <cfRule type="cellIs" dxfId="1" priority="70" operator="equal">
      <formula>"Due soon"</formula>
    </cfRule>
    <cfRule type="cellIs" dxfId="1" priority="71" operator="equal">
      <formula>"Near capacity"</formula>
    </cfRule>
    <cfRule type="cellIs" dxfId="1" priority="72" operator="equal">
      <formula>"In progress"</formula>
    </cfRule>
    <cfRule type="cellIs" dxfId="1" priority="73" operator="equal">
      <formula>"Partial"</formula>
    </cfRule>
    <cfRule type="cellIs" dxfId="2" priority="74" operator="equal">
      <formula>"Below target"</formula>
    </cfRule>
    <cfRule type="cellIs" dxfId="2" priority="75" operator="equal">
      <formula>"Above target"</formula>
    </cfRule>
    <cfRule type="cellIs" dxfId="2" priority="76" operator="equal">
      <formula>"FAIL"</formula>
    </cfRule>
    <cfRule type="cellIs" dxfId="2" priority="77" operator="equal">
      <formula>"Over capacity"</formula>
    </cfRule>
    <cfRule type="cellIs" dxfId="2" priority="78" operator="equal">
      <formula>"Overdue"</formula>
    </cfRule>
    <cfRule type="cellIs" dxfId="2" priority="79" operator="equal">
      <formula>"Out of limits"</formula>
    </cfRule>
    <cfRule type="cellIs" dxfId="2" priority="80" operator="equal">
      <formula>"No"</formula>
    </cfRule>
  </conditionalFormatting>
  <dataValidations count="1">
    <dataValidation type="list" allowBlank="1" showInputMessage="1" showErrorMessage="1" errorTitle="Check this entry" error="Pick from the list (edit the list on Setup: Customers)." promptTitle="Customer" prompt="Leave blank for all customers. Pick from the list (edit the list on Setup: Customers)." sqref="C4">
      <formula1>Customers</formula1>
    </dataValidation>
  </dataValidations>
  <hyperlinks>
    <hyperlink ref="K2" r:id="rId1" tooltip="Free manufacturing calculators and templates"/>
  </hyperlinks>
  <pageMargins left="0.4" right="0.4" top="0.7" bottom="0.65" header="0.3" footer="0.3"/>
  <pageSetup fitToHeight="0" orientation="landscape"/>
  <headerFooter>
    <oddHeader>&amp;L&amp;8MFG Calcs - PPAP Submission Tracker&amp;R&amp;8&amp;A</oddHeader>
    <oddFooter>&amp;L&amp;8mfgcalcs.com - free manufacturing templates&amp;R&amp;8Page &amp;P of &amp;N</oddFooter>
  </headerFooter>
  <rowBreaks count="3" manualBreakCount="3">
    <brk id="12" max="16383" man="1"/>
    <brk id="40" max="16383" man="1"/>
    <brk id="67" max="16383" man="1"/>
  </rowBreaks>
  <drawing r:id="rId2"/>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6"/>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259</v>
      </c>
      <c r="C4" s="8"/>
      <c r="D4" s="8"/>
    </row>
    <row r="5" spans="1:4" ht="5" customHeight="1"/>
    <row r="6" spans="1:4" ht="55.8" customHeight="1">
      <c r="B6" s="10" t="s">
        <v>260</v>
      </c>
      <c r="C6" s="10"/>
      <c r="D6" s="10"/>
    </row>
    <row r="8" spans="1:4" ht="21" customHeight="1">
      <c r="B8" s="8" t="s">
        <v>261</v>
      </c>
      <c r="C8" s="8"/>
      <c r="D8" s="8"/>
    </row>
    <row r="9" spans="1:4" ht="5" customHeight="1"/>
    <row r="10" spans="1:4" ht="20" customHeight="1">
      <c r="B10" s="53" t="s">
        <v>262</v>
      </c>
      <c r="C10" s="53" t="s">
        <v>263</v>
      </c>
      <c r="D10" s="34" t="s">
        <v>264</v>
      </c>
    </row>
    <row r="11" spans="1:4" ht="17.2" customHeight="1">
      <c r="B11" s="61" t="s">
        <v>265</v>
      </c>
      <c r="C11" s="62" t="s">
        <v>266</v>
      </c>
      <c r="D11" s="63" t="s">
        <v>267</v>
      </c>
    </row>
    <row r="12" spans="1:4" ht="43.6" customHeight="1">
      <c r="B12" s="61" t="s">
        <v>268</v>
      </c>
      <c r="C12" s="62" t="s">
        <v>269</v>
      </c>
      <c r="D12" s="63" t="s">
        <v>270</v>
      </c>
    </row>
    <row r="13" spans="1:4" ht="17.2" customHeight="1">
      <c r="B13" s="61" t="s">
        <v>155</v>
      </c>
      <c r="C13" s="62" t="s">
        <v>271</v>
      </c>
      <c r="D13" s="63" t="s">
        <v>270</v>
      </c>
    </row>
    <row r="14" spans="1:4" ht="17.2" customHeight="1">
      <c r="B14" s="61" t="s">
        <v>272</v>
      </c>
      <c r="C14" s="62" t="s">
        <v>273</v>
      </c>
      <c r="D14" s="63" t="s">
        <v>76</v>
      </c>
    </row>
    <row r="15" spans="1:4" ht="43.6" customHeight="1">
      <c r="B15" s="61" t="s">
        <v>157</v>
      </c>
      <c r="C15" s="62" t="s">
        <v>274</v>
      </c>
      <c r="D15" s="63" t="s">
        <v>275</v>
      </c>
    </row>
    <row r="16" spans="1:4" ht="30.4" customHeight="1">
      <c r="B16" s="61" t="s">
        <v>276</v>
      </c>
      <c r="C16" s="62" t="s">
        <v>277</v>
      </c>
      <c r="D16" s="63" t="s">
        <v>270</v>
      </c>
    </row>
    <row r="17" spans="2:4" ht="30.4" customHeight="1">
      <c r="B17" s="61" t="s">
        <v>278</v>
      </c>
      <c r="C17" s="62" t="s">
        <v>279</v>
      </c>
      <c r="D17" s="63" t="s">
        <v>275</v>
      </c>
    </row>
    <row r="18" spans="2:4" ht="30.4" customHeight="1">
      <c r="B18" s="61" t="s">
        <v>161</v>
      </c>
      <c r="C18" s="62" t="s">
        <v>280</v>
      </c>
      <c r="D18" s="63" t="s">
        <v>270</v>
      </c>
    </row>
    <row r="19" spans="2:4" ht="30.4" customHeight="1">
      <c r="B19" s="61" t="s">
        <v>244</v>
      </c>
      <c r="C19" s="62" t="s">
        <v>281</v>
      </c>
      <c r="D19" s="63" t="s">
        <v>83</v>
      </c>
    </row>
    <row r="20" spans="2:4" ht="30.4" customHeight="1">
      <c r="B20" s="61" t="s">
        <v>246</v>
      </c>
      <c r="C20" s="62" t="s">
        <v>282</v>
      </c>
      <c r="D20" s="63" t="s">
        <v>275</v>
      </c>
    </row>
    <row r="22" spans="2:4" ht="21" customHeight="1">
      <c r="B22" s="8" t="s">
        <v>283</v>
      </c>
      <c r="C22" s="8"/>
      <c r="D22" s="8"/>
    </row>
    <row r="23" spans="2:4" ht="5" customHeight="1"/>
    <row r="24" spans="2:4" ht="29.4" customHeight="1">
      <c r="B24" s="26" t="s">
        <v>57</v>
      </c>
      <c r="C24" s="10" t="s">
        <v>284</v>
      </c>
      <c r="D24" s="10"/>
    </row>
    <row r="25" spans="2:4" ht="16.2" customHeight="1">
      <c r="B25" s="26" t="s">
        <v>57</v>
      </c>
      <c r="C25" s="10" t="s">
        <v>285</v>
      </c>
      <c r="D25" s="10"/>
    </row>
    <row r="26" spans="2:4" ht="29.4" customHeight="1">
      <c r="B26" s="26" t="s">
        <v>57</v>
      </c>
      <c r="C26" s="10" t="s">
        <v>286</v>
      </c>
      <c r="D26" s="10"/>
    </row>
    <row r="27" spans="2:4" ht="29.4" customHeight="1">
      <c r="B27" s="26" t="s">
        <v>57</v>
      </c>
      <c r="C27" s="10" t="s">
        <v>287</v>
      </c>
      <c r="D27" s="10"/>
    </row>
    <row r="29" spans="2:4" ht="21" customHeight="1">
      <c r="B29" s="8" t="s">
        <v>288</v>
      </c>
      <c r="C29" s="8"/>
      <c r="D29" s="8"/>
    </row>
    <row r="30" spans="2:4" ht="5" customHeight="1"/>
    <row r="31" spans="2:4" ht="29.4" customHeight="1">
      <c r="B31" s="26" t="s">
        <v>57</v>
      </c>
      <c r="C31" s="10" t="s">
        <v>289</v>
      </c>
      <c r="D31" s="10"/>
    </row>
    <row r="32" spans="2:4" ht="29.4" customHeight="1">
      <c r="B32" s="26" t="s">
        <v>57</v>
      </c>
      <c r="C32" s="10" t="s">
        <v>290</v>
      </c>
      <c r="D32" s="10"/>
    </row>
    <row r="33" spans="2:4" ht="29.4" customHeight="1">
      <c r="B33" s="26" t="s">
        <v>57</v>
      </c>
      <c r="C33" s="10" t="s">
        <v>291</v>
      </c>
      <c r="D33" s="10"/>
    </row>
    <row r="35" spans="2:4" ht="21" customHeight="1">
      <c r="B35" s="8" t="s">
        <v>292</v>
      </c>
      <c r="C35" s="8"/>
      <c r="D35" s="8"/>
    </row>
    <row r="36" spans="2:4" ht="5" customHeight="1"/>
    <row r="37" spans="2:4" ht="55.8" customHeight="1">
      <c r="B37" s="10" t="s">
        <v>293</v>
      </c>
      <c r="C37" s="10"/>
      <c r="D37" s="10"/>
    </row>
    <row r="38" spans="2:4">
      <c r="B38" s="24" t="s">
        <v>294</v>
      </c>
      <c r="C38" s="24"/>
      <c r="D38" s="24"/>
    </row>
    <row r="40" spans="2:4" ht="21" customHeight="1">
      <c r="B40" s="8" t="s">
        <v>44</v>
      </c>
      <c r="C40" s="8"/>
      <c r="D40" s="8"/>
    </row>
    <row r="41" spans="2:4" ht="5" customHeight="1"/>
    <row r="42" spans="2:4" ht="42.6" customHeight="1">
      <c r="B42" s="10" t="s">
        <v>295</v>
      </c>
      <c r="C42" s="10"/>
      <c r="D42" s="10"/>
    </row>
    <row r="44" spans="2:4" ht="21" customHeight="1">
      <c r="B44" s="8" t="s">
        <v>296</v>
      </c>
      <c r="C44" s="8"/>
      <c r="D44" s="8"/>
    </row>
    <row r="45" spans="2:4" ht="5" customHeight="1"/>
    <row r="46" spans="2:4" ht="29.4" customHeight="1">
      <c r="B46" s="26" t="s">
        <v>57</v>
      </c>
      <c r="C46" s="10" t="s">
        <v>297</v>
      </c>
      <c r="D46" s="10"/>
    </row>
    <row r="47" spans="2:4" ht="16.2" customHeight="1">
      <c r="B47" s="26" t="s">
        <v>57</v>
      </c>
      <c r="C47" s="10" t="s">
        <v>298</v>
      </c>
      <c r="D47" s="10"/>
    </row>
    <row r="48" spans="2:4" ht="16.2" customHeight="1">
      <c r="B48" s="26" t="s">
        <v>57</v>
      </c>
      <c r="C48" s="10" t="s">
        <v>299</v>
      </c>
      <c r="D48" s="10"/>
    </row>
    <row r="49" spans="2:4">
      <c r="B49" s="21" t="s">
        <v>300</v>
      </c>
      <c r="C49" s="21"/>
      <c r="D49" s="21"/>
    </row>
    <row r="51" spans="2:4" ht="21" customHeight="1">
      <c r="B51" s="8" t="s">
        <v>301</v>
      </c>
      <c r="C51" s="8"/>
      <c r="D51" s="8"/>
    </row>
    <row r="52" spans="2:4" ht="5" customHeight="1"/>
    <row r="53" spans="2:4">
      <c r="B53" s="53" t="s">
        <v>52</v>
      </c>
      <c r="C53" s="53" t="s">
        <v>302</v>
      </c>
      <c r="D53" s="34" t="s">
        <v>303</v>
      </c>
    </row>
    <row r="54" spans="2:4" ht="16.2" customHeight="1">
      <c r="B54" s="64" t="s">
        <v>304</v>
      </c>
      <c r="C54" s="65" t="s">
        <v>305</v>
      </c>
      <c r="D54" s="66" t="s">
        <v>306</v>
      </c>
    </row>
    <row r="56" spans="2:4">
      <c r="B56" s="21" t="s">
        <v>63</v>
      </c>
      <c r="C56" s="21"/>
      <c r="D56" s="21"/>
    </row>
  </sheetData>
  <sheetProtection sheet="1" formatColumns="0" formatRows="0"/>
  <mergeCells count="26">
    <mergeCell ref="A1:D1"/>
    <mergeCell ref="B2:C2"/>
    <mergeCell ref="B4:D4"/>
    <mergeCell ref="B6:D6"/>
    <mergeCell ref="B8:D8"/>
    <mergeCell ref="B22:D22"/>
    <mergeCell ref="C24:D24"/>
    <mergeCell ref="C25:D25"/>
    <mergeCell ref="C26:D26"/>
    <mergeCell ref="C27:D27"/>
    <mergeCell ref="B29:D29"/>
    <mergeCell ref="C31:D31"/>
    <mergeCell ref="C32:D32"/>
    <mergeCell ref="C33:D33"/>
    <mergeCell ref="B35:D35"/>
    <mergeCell ref="B37:D37"/>
    <mergeCell ref="B38:D38"/>
    <mergeCell ref="B40:D40"/>
    <mergeCell ref="B42:D42"/>
    <mergeCell ref="B44:D44"/>
    <mergeCell ref="C46:D46"/>
    <mergeCell ref="C47:D47"/>
    <mergeCell ref="C48:D48"/>
    <mergeCell ref="B49:D49"/>
    <mergeCell ref="B51:D51"/>
    <mergeCell ref="B56:D56"/>
  </mergeCells>
  <hyperlinks>
    <hyperlink ref="D2" r:id="rId1" tooltip="Free manufacturing calculators and templates"/>
    <hyperlink ref="B38" r:id="rId2"/>
  </hyperlinks>
  <printOptions horizontalCentered="1"/>
  <pageMargins left="0.4" right="0.4" top="0.7" bottom="0.65" header="0.3" footer="0.3"/>
  <pageSetup fitToHeight="0" orientation="portrait"/>
  <headerFooter>
    <oddHeader>&amp;L&amp;8MFG Calcs - PPAP Submission Tracker&amp;R&amp;8&amp;A</oddHeader>
    <oddFooter>&amp;L&amp;8mfgcalcs.com - free manufacturing templates&amp;R&amp;8Page &amp;P of &amp;N</oddFooter>
  </headerFooter>
  <rowBreaks count="1" manualBreakCount="1">
    <brk id="28"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AB83"/>
  <sheetViews>
    <sheetView showGridLines="0" workbookViewId="0"/>
  </sheetViews>
  <sheetFormatPr defaultRowHeight="15"/>
  <cols>
    <col min="1" max="1" width="2.7109375" customWidth="1"/>
    <col min="2" max="19" width="12.7109375" customWidth="1"/>
    <col min="20" max="20" width="9.7109375" customWidth="1"/>
    <col min="21" max="22" width="10.28515625" customWidth="1"/>
    <col min="23" max="23" width="6.7109375" customWidth="1"/>
    <col min="24" max="24" width="7.7109375" customWidth="1"/>
    <col min="25" max="26" width="7.28515625" customWidth="1"/>
    <col min="27" max="27" width="24.7109375" customWidth="1"/>
    <col min="28" max="28" width="40.7109375" customWidth="1"/>
  </cols>
  <sheetData>
    <row r="1" spans="1:28" ht="30" customHeight="1">
      <c r="A1" s="1" t="s">
        <v>0</v>
      </c>
      <c r="B1" s="1"/>
      <c r="C1" s="1"/>
      <c r="D1" s="1"/>
      <c r="E1" s="1"/>
      <c r="F1" s="1"/>
      <c r="G1" s="1"/>
      <c r="H1" s="1"/>
      <c r="I1" s="1"/>
      <c r="J1" s="1"/>
      <c r="K1" s="1"/>
      <c r="L1" s="1"/>
      <c r="M1" s="1"/>
      <c r="N1" s="1"/>
      <c r="O1" s="1"/>
      <c r="P1" s="1"/>
      <c r="Q1" s="1"/>
      <c r="R1" s="1"/>
      <c r="S1" s="1"/>
      <c r="T1" s="1"/>
      <c r="U1" s="1"/>
      <c r="V1" s="1"/>
      <c r="W1" s="1"/>
      <c r="X1" s="1"/>
      <c r="Y1" s="1"/>
      <c r="Z1" s="1"/>
      <c r="AA1" s="1"/>
      <c r="AB1" s="1"/>
    </row>
    <row r="2" spans="1:28" ht="21" customHeight="1">
      <c r="B2" s="2" t="s">
        <v>30</v>
      </c>
      <c r="C2" s="2"/>
      <c r="D2" s="2"/>
      <c r="E2" s="2"/>
      <c r="F2" s="2"/>
      <c r="G2" s="2"/>
      <c r="H2" s="2"/>
      <c r="I2" s="2"/>
      <c r="J2" s="2"/>
      <c r="K2" s="2"/>
      <c r="L2" s="2"/>
      <c r="M2" s="2"/>
      <c r="N2" s="2"/>
      <c r="O2" s="2"/>
      <c r="P2" s="2"/>
      <c r="Q2" s="2"/>
      <c r="R2" s="2"/>
      <c r="S2" s="2"/>
      <c r="T2" s="2"/>
      <c r="U2" s="2"/>
      <c r="V2" s="2"/>
      <c r="W2" s="2"/>
      <c r="X2" s="2"/>
      <c r="Y2" s="2"/>
      <c r="Z2" s="2"/>
      <c r="AA2" s="2"/>
      <c r="AB2" s="3" t="s">
        <v>2</v>
      </c>
    </row>
    <row r="3" spans="1:28" ht="6" customHeight="1"/>
    <row r="4" spans="1:28" ht="30" customHeight="1">
      <c r="B4" s="67" t="s">
        <v>307</v>
      </c>
      <c r="C4" s="67"/>
      <c r="D4" s="22" t="str">
        <f>IF(COUNTIF($K$11:$K$31,"PASS")=21,"PASS","FAIL")</f>
        <v>PASS</v>
      </c>
      <c r="E4" s="22"/>
      <c r="F4" s="23" t="str">
        <f>COUNTIF($K$11:$K$31,"PASS")&amp;" of 21 checks pass"</f>
        <v>21 of 21 checks pass</v>
      </c>
      <c r="G4" s="23"/>
      <c r="H4" s="23"/>
      <c r="I4" s="23"/>
      <c r="J4" s="23"/>
    </row>
    <row r="6" spans="1:28" ht="29.4" customHeight="1">
      <c r="B6" s="10" t="s">
        <v>308</v>
      </c>
      <c r="C6" s="10"/>
      <c r="D6" s="10"/>
      <c r="E6" s="10"/>
      <c r="F6" s="10"/>
      <c r="G6" s="10"/>
      <c r="H6" s="10"/>
      <c r="I6" s="10"/>
      <c r="J6" s="10"/>
      <c r="K6" s="10"/>
      <c r="L6" s="10"/>
    </row>
    <row r="8" spans="1:28" ht="21" customHeight="1">
      <c r="B8" s="8" t="s">
        <v>309</v>
      </c>
      <c r="C8" s="8"/>
      <c r="D8" s="8"/>
      <c r="E8" s="8"/>
      <c r="F8" s="8"/>
      <c r="G8" s="8"/>
      <c r="H8" s="8"/>
      <c r="I8" s="8"/>
      <c r="J8" s="8"/>
      <c r="K8" s="8"/>
      <c r="L8" s="8"/>
    </row>
    <row r="9" spans="1:28" ht="5" customHeight="1"/>
    <row r="10" spans="1:28" ht="30" customHeight="1">
      <c r="B10" s="34" t="s">
        <v>69</v>
      </c>
      <c r="C10" s="53" t="s">
        <v>162</v>
      </c>
      <c r="D10" s="53"/>
      <c r="E10" s="53"/>
      <c r="F10" s="53"/>
      <c r="G10" s="34" t="s">
        <v>310</v>
      </c>
      <c r="H10" s="34" t="s">
        <v>311</v>
      </c>
      <c r="I10" s="34" t="s">
        <v>312</v>
      </c>
      <c r="J10" s="34" t="s">
        <v>313</v>
      </c>
      <c r="K10" s="34" t="s">
        <v>314</v>
      </c>
    </row>
    <row r="11" spans="1:28" ht="16.2" customHeight="1">
      <c r="B11" s="68">
        <v>1</v>
      </c>
      <c r="C11" s="65" t="s">
        <v>315</v>
      </c>
      <c r="D11" s="65"/>
      <c r="E11" s="65"/>
      <c r="F11" s="65"/>
      <c r="G11" s="69">
        <v>1</v>
      </c>
      <c r="H11" s="37">
        <f>$Q$65</f>
        <v>1</v>
      </c>
      <c r="I11" s="70">
        <f>IF(AND(ISNUMBER($G$11),ISNUMBER($H$11)),ABS($H$11-$G$11),"")</f>
        <v>0</v>
      </c>
      <c r="J11" s="71">
        <v>1E-09</v>
      </c>
      <c r="K11" s="39" t="str">
        <f>IF(AND(ISNUMBER($G$11),ISNUMBER($H$11)),IF(ABS($H$11-$G$11)&lt;=$J$11,"PASS","FAIL"),"FAIL")</f>
        <v>PASS</v>
      </c>
    </row>
    <row r="12" spans="1:28" ht="16.2" customHeight="1">
      <c r="B12" s="68">
        <v>2</v>
      </c>
      <c r="C12" s="65" t="s">
        <v>316</v>
      </c>
      <c r="D12" s="65"/>
      <c r="E12" s="65"/>
      <c r="F12" s="65"/>
      <c r="G12" s="64" t="s">
        <v>151</v>
      </c>
      <c r="H12" s="42" t="str">
        <f>$S$65</f>
        <v>Complete</v>
      </c>
      <c r="I12" s="42"/>
      <c r="J12" s="66" t="s">
        <v>317</v>
      </c>
      <c r="K12" s="39" t="str">
        <f>IF($H$12&amp;""=$G$12&amp;"","PASS","FAIL")</f>
        <v>PASS</v>
      </c>
    </row>
    <row r="13" spans="1:28" ht="16.2" customHeight="1">
      <c r="B13" s="68">
        <v>3</v>
      </c>
      <c r="C13" s="65" t="s">
        <v>318</v>
      </c>
      <c r="D13" s="65"/>
      <c r="E13" s="65"/>
      <c r="F13" s="65"/>
      <c r="G13" s="64" t="s">
        <v>319</v>
      </c>
      <c r="H13" s="42" t="str">
        <f>$V$66</f>
        <v>No</v>
      </c>
      <c r="I13" s="42"/>
      <c r="J13" s="66" t="s">
        <v>317</v>
      </c>
      <c r="K13" s="39" t="str">
        <f>IF($H$13&amp;""=$G$13&amp;"","PASS","FAIL")</f>
        <v>PASS</v>
      </c>
    </row>
    <row r="14" spans="1:28" ht="16.2" customHeight="1">
      <c r="B14" s="68">
        <v>4</v>
      </c>
      <c r="C14" s="65" t="s">
        <v>320</v>
      </c>
      <c r="D14" s="65"/>
      <c r="E14" s="65"/>
      <c r="F14" s="65"/>
      <c r="G14" s="64" t="s">
        <v>319</v>
      </c>
      <c r="H14" s="42" t="str">
        <f>$T$66</f>
        <v>No</v>
      </c>
      <c r="I14" s="42"/>
      <c r="J14" s="66" t="s">
        <v>317</v>
      </c>
      <c r="K14" s="39" t="str">
        <f>IF($H$14&amp;""=$G$14&amp;"","PASS","FAIL")</f>
        <v>PASS</v>
      </c>
    </row>
    <row r="15" spans="1:28" ht="16.2" customHeight="1">
      <c r="B15" s="68">
        <v>5</v>
      </c>
      <c r="C15" s="65" t="s">
        <v>321</v>
      </c>
      <c r="D15" s="65"/>
      <c r="E15" s="65"/>
      <c r="F15" s="65"/>
      <c r="G15" s="72">
        <v>21</v>
      </c>
      <c r="H15" s="36">
        <f>$U$66</f>
        <v>21</v>
      </c>
      <c r="I15" s="70">
        <f>IF(AND(ISNUMBER($G$15),ISNUMBER($H$15)),ABS($H$15-$G$15),"")</f>
        <v>0</v>
      </c>
      <c r="J15" s="71">
        <v>1E-09</v>
      </c>
      <c r="K15" s="39" t="str">
        <f>IF(AND(ISNUMBER($G$15),ISNUMBER($H$15)),IF(ABS($H$15-$G$15)&lt;=$J$15,"PASS","FAIL"),"FAIL")</f>
        <v>PASS</v>
      </c>
    </row>
    <row r="16" spans="1:28" ht="16.2" customHeight="1">
      <c r="B16" s="68">
        <v>6</v>
      </c>
      <c r="C16" s="65" t="s">
        <v>322</v>
      </c>
      <c r="D16" s="65"/>
      <c r="E16" s="65"/>
      <c r="F16" s="65"/>
      <c r="G16" s="69">
        <v>0.3333333333333333</v>
      </c>
      <c r="H16" s="37">
        <f>$Q$67</f>
        <v>0.333333333333333</v>
      </c>
      <c r="I16" s="70">
        <f>IF(AND(ISNUMBER($G$16),ISNUMBER($H$16)),ABS($H$16-$G$16),"")</f>
        <v>0</v>
      </c>
      <c r="J16" s="71">
        <v>1E-09</v>
      </c>
      <c r="K16" s="39" t="str">
        <f>IF(AND(ISNUMBER($G$16),ISNUMBER($H$16)),IF(ABS($H$16-$G$16)&lt;=$J$16,"PASS","FAIL"),"FAIL")</f>
        <v>PASS</v>
      </c>
    </row>
    <row r="17" spans="2:11" ht="16.2" customHeight="1">
      <c r="B17" s="68">
        <v>7</v>
      </c>
      <c r="C17" s="65" t="s">
        <v>323</v>
      </c>
      <c r="D17" s="65"/>
      <c r="E17" s="65"/>
      <c r="F17" s="65"/>
      <c r="G17" s="64" t="s">
        <v>239</v>
      </c>
      <c r="H17" s="42" t="str">
        <f>$S$67</f>
        <v>Overdue</v>
      </c>
      <c r="I17" s="42"/>
      <c r="J17" s="66" t="s">
        <v>317</v>
      </c>
      <c r="K17" s="39" t="str">
        <f>IF($H$17&amp;""=$G$17&amp;"","PASS","FAIL")</f>
        <v>PASS</v>
      </c>
    </row>
    <row r="18" spans="2:11" ht="16.2" customHeight="1">
      <c r="B18" s="68">
        <v>8</v>
      </c>
      <c r="C18" s="65" t="s">
        <v>324</v>
      </c>
      <c r="D18" s="65"/>
      <c r="E18" s="65"/>
      <c r="F18" s="65"/>
      <c r="G18" s="64" t="s">
        <v>325</v>
      </c>
      <c r="H18" s="42" t="str">
        <f>$S$68</f>
        <v>Due soon</v>
      </c>
      <c r="I18" s="42"/>
      <c r="J18" s="66" t="s">
        <v>317</v>
      </c>
      <c r="K18" s="39" t="str">
        <f>IF($H$18&amp;""=$G$18&amp;"","PASS","FAIL")</f>
        <v>PASS</v>
      </c>
    </row>
    <row r="19" spans="2:11" ht="16.2" customHeight="1">
      <c r="B19" s="68">
        <v>9</v>
      </c>
      <c r="C19" s="65" t="s">
        <v>326</v>
      </c>
      <c r="D19" s="65"/>
      <c r="E19" s="65"/>
      <c r="F19" s="65"/>
      <c r="G19" s="64" t="s">
        <v>327</v>
      </c>
      <c r="H19" s="42" t="str">
        <f>$S$69</f>
        <v>OK</v>
      </c>
      <c r="I19" s="42"/>
      <c r="J19" s="66" t="s">
        <v>317</v>
      </c>
      <c r="K19" s="39" t="str">
        <f>IF($H$19&amp;""=$G$19&amp;"","PASS","FAIL")</f>
        <v>PASS</v>
      </c>
    </row>
    <row r="20" spans="2:11" ht="16.2" customHeight="1">
      <c r="B20" s="68">
        <v>10</v>
      </c>
      <c r="C20" s="65" t="s">
        <v>328</v>
      </c>
      <c r="D20" s="65"/>
      <c r="E20" s="65"/>
      <c r="F20" s="65"/>
      <c r="G20" s="64" t="s">
        <v>221</v>
      </c>
      <c r="H20" s="42" t="str">
        <f>$S$70</f>
        <v>In progress</v>
      </c>
      <c r="I20" s="42"/>
      <c r="J20" s="66" t="s">
        <v>317</v>
      </c>
      <c r="K20" s="39" t="str">
        <f>IF($H$20&amp;""=$G$20&amp;"","PASS","FAIL")</f>
        <v>PASS</v>
      </c>
    </row>
    <row r="21" spans="2:11" ht="16.2" customHeight="1">
      <c r="B21" s="68">
        <v>11</v>
      </c>
      <c r="C21" s="65" t="s">
        <v>329</v>
      </c>
      <c r="D21" s="65"/>
      <c r="E21" s="65"/>
      <c r="F21" s="65"/>
      <c r="G21" s="64" t="s">
        <v>330</v>
      </c>
      <c r="H21" s="42" t="str">
        <f>$AA$71</f>
        <v>Customer not on Setup list</v>
      </c>
      <c r="I21" s="42"/>
      <c r="J21" s="66" t="s">
        <v>317</v>
      </c>
      <c r="K21" s="39" t="str">
        <f>IF($H$21&amp;""=$G$21&amp;"","PASS","FAIL")</f>
        <v>PASS</v>
      </c>
    </row>
    <row r="22" spans="2:11" ht="16.2" customHeight="1">
      <c r="B22" s="68">
        <v>12</v>
      </c>
      <c r="C22" s="65" t="s">
        <v>331</v>
      </c>
      <c r="D22" s="65"/>
      <c r="E22" s="65"/>
      <c r="F22" s="65"/>
      <c r="G22" s="64" t="s">
        <v>239</v>
      </c>
      <c r="H22" s="42" t="str">
        <f>$L$78</f>
        <v>Overdue</v>
      </c>
      <c r="I22" s="42"/>
      <c r="J22" s="66" t="s">
        <v>317</v>
      </c>
      <c r="K22" s="39" t="str">
        <f>IF($H$22&amp;""=$G$22&amp;"","PASS","FAIL")</f>
        <v>PASS</v>
      </c>
    </row>
    <row r="23" spans="2:11" ht="16.2" customHeight="1">
      <c r="B23" s="68">
        <v>13</v>
      </c>
      <c r="C23" s="65" t="s">
        <v>332</v>
      </c>
      <c r="D23" s="65"/>
      <c r="E23" s="65"/>
      <c r="F23" s="65"/>
      <c r="G23" s="64" t="s">
        <v>325</v>
      </c>
      <c r="H23" s="42" t="str">
        <f>$L$79</f>
        <v>Due soon</v>
      </c>
      <c r="I23" s="42"/>
      <c r="J23" s="66" t="s">
        <v>317</v>
      </c>
      <c r="K23" s="39" t="str">
        <f>IF($H$23&amp;""=$G$23&amp;"","PASS","FAIL")</f>
        <v>PASS</v>
      </c>
    </row>
    <row r="24" spans="2:11" ht="16.2" customHeight="1">
      <c r="B24" s="68">
        <v>14</v>
      </c>
      <c r="C24" s="65" t="s">
        <v>333</v>
      </c>
      <c r="D24" s="65"/>
      <c r="E24" s="65"/>
      <c r="F24" s="65"/>
      <c r="G24" s="64" t="s">
        <v>334</v>
      </c>
      <c r="H24" s="42" t="str">
        <f>$N$83</f>
        <v>PPAP no. not on the log</v>
      </c>
      <c r="I24" s="42"/>
      <c r="J24" s="66" t="s">
        <v>317</v>
      </c>
      <c r="K24" s="39" t="str">
        <f>IF($H$24&amp;""=$G$24&amp;"","PASS","FAIL")</f>
        <v>PASS</v>
      </c>
    </row>
    <row r="25" spans="2:11" ht="16.2" customHeight="1">
      <c r="B25" s="68">
        <v>15</v>
      </c>
      <c r="C25" s="65" t="s">
        <v>335</v>
      </c>
      <c r="D25" s="65"/>
      <c r="E25" s="65"/>
      <c r="F25" s="65"/>
      <c r="G25" s="72">
        <v>4</v>
      </c>
      <c r="H25" s="36">
        <f>COUNTIFS(tblVerifyPPAPs[Open],1,tblVerifyPPAPs[In view],1)</f>
        <v>4</v>
      </c>
      <c r="I25" s="70">
        <f>IF(AND(ISNUMBER($G$25),ISNUMBER($H$25)),ABS($H$25-$G$25),"")</f>
        <v>0</v>
      </c>
      <c r="J25" s="71">
        <v>1E-09</v>
      </c>
      <c r="K25" s="39" t="str">
        <f>IF(AND(ISNUMBER($G$25),ISNUMBER($H$25)),IF(ABS($H$25-$G$25)&lt;=$J$25,"PASS","FAIL"),"FAIL")</f>
        <v>PASS</v>
      </c>
    </row>
    <row r="26" spans="2:11" ht="16.2" customHeight="1">
      <c r="B26" s="68">
        <v>16</v>
      </c>
      <c r="C26" s="65" t="s">
        <v>336</v>
      </c>
      <c r="D26" s="65"/>
      <c r="E26" s="65"/>
      <c r="F26" s="65"/>
      <c r="G26" s="72">
        <v>1</v>
      </c>
      <c r="H26" s="36">
        <f>COUNTIFS(tblVerifyPPAPs[Due status],"Overdue",tblVerifyPPAPs[In view],1)</f>
        <v>1</v>
      </c>
      <c r="I26" s="70">
        <f>IF(AND(ISNUMBER($G$26),ISNUMBER($H$26)),ABS($H$26-$G$26),"")</f>
        <v>0</v>
      </c>
      <c r="J26" s="71">
        <v>1E-09</v>
      </c>
      <c r="K26" s="39" t="str">
        <f>IF(AND(ISNUMBER($G$26),ISNUMBER($H$26)),IF(ABS($H$26-$G$26)&lt;=$J$26,"PASS","FAIL"),"FAIL")</f>
        <v>PASS</v>
      </c>
    </row>
    <row r="27" spans="2:11" ht="16.2" customHeight="1">
      <c r="B27" s="68">
        <v>17</v>
      </c>
      <c r="C27" s="65" t="s">
        <v>337</v>
      </c>
      <c r="D27" s="65"/>
      <c r="E27" s="65"/>
      <c r="F27" s="65"/>
      <c r="G27" s="72">
        <v>1</v>
      </c>
      <c r="H27" s="36">
        <f>COUNTIFS(tblVerifyElements[Due status],"Overdue",tblVerifyElements[In view],1)</f>
        <v>1</v>
      </c>
      <c r="I27" s="70">
        <f>IF(AND(ISNUMBER($G$27),ISNUMBER($H$27)),ABS($H$27-$G$27),"")</f>
        <v>0</v>
      </c>
      <c r="J27" s="71">
        <v>1E-09</v>
      </c>
      <c r="K27" s="39" t="str">
        <f>IF(AND(ISNUMBER($G$27),ISNUMBER($H$27)),IF(ABS($H$27-$G$27)&lt;=$J$27,"PASS","FAIL"),"FAIL")</f>
        <v>PASS</v>
      </c>
    </row>
    <row r="28" spans="2:11" ht="16.2" customHeight="1">
      <c r="B28" s="68">
        <v>18</v>
      </c>
      <c r="C28" s="65" t="s">
        <v>338</v>
      </c>
      <c r="D28" s="65"/>
      <c r="E28" s="65"/>
      <c r="F28" s="65"/>
      <c r="G28" s="73">
        <v>0.5</v>
      </c>
      <c r="H28" s="59">
        <f>IF((COUNTIFS(tblVerifyElements[Open package],1,tblVerifyElements[In view],1))=0,"",(COUNTIFS(tblVerifyElements[Status],"Complete",tblVerifyElements[Open package],1,tblVerifyElements[In view],1))/(COUNTIFS(tblVerifyElements[Open package],1,tblVerifyElements[In view],1)))</f>
        <v>0.5</v>
      </c>
      <c r="I28" s="70">
        <f>IF(AND(ISNUMBER($G$28),ISNUMBER($H$28)),ABS($H$28-$G$28),"")</f>
        <v>0</v>
      </c>
      <c r="J28" s="71">
        <v>1E-09</v>
      </c>
      <c r="K28" s="39" t="str">
        <f>IF(AND(ISNUMBER($G$28),ISNUMBER($H$28)),IF(ABS($H$28-$G$28)&lt;=$J$28,"PASS","FAIL"),"FAIL")</f>
        <v>PASS</v>
      </c>
    </row>
    <row r="29" spans="2:11" ht="16.2" customHeight="1">
      <c r="B29" s="68">
        <v>19</v>
      </c>
      <c r="C29" s="65" t="s">
        <v>339</v>
      </c>
      <c r="D29" s="65"/>
      <c r="E29" s="65"/>
      <c r="F29" s="65"/>
      <c r="G29" s="72">
        <v>3</v>
      </c>
      <c r="H29" s="36">
        <f>COUNTIFS(tblVerifyPPAPs[To submit],1,tblVerifyPPAPs[In view],1)</f>
        <v>3</v>
      </c>
      <c r="I29" s="70">
        <f>IF(AND(ISNUMBER($G$29),ISNUMBER($H$29)),ABS($H$29-$G$29),"")</f>
        <v>0</v>
      </c>
      <c r="J29" s="71">
        <v>1E-09</v>
      </c>
      <c r="K29" s="39" t="str">
        <f>IF(AND(ISNUMBER($G$29),ISNUMBER($H$29)),IF(ABS($H$29-$G$29)&lt;=$J$29,"PASS","FAIL"),"FAIL")</f>
        <v>PASS</v>
      </c>
    </row>
    <row r="30" spans="2:11" ht="29.4" customHeight="1">
      <c r="B30" s="68">
        <v>20</v>
      </c>
      <c r="C30" s="65" t="s">
        <v>340</v>
      </c>
      <c r="D30" s="65"/>
      <c r="E30" s="65"/>
      <c r="F30" s="65"/>
      <c r="G30" s="73">
        <v>0.5</v>
      </c>
      <c r="H30" s="59">
        <f>IF((COUNTIFS(tblVerifyPPAPs[First-time approval],"Yes",tblVerifyPPAPs[In view],1)+COUNTIFS(tblVerifyPPAPs[First-time approval],"No",tblVerifyPPAPs[In view],1))=0,"",(COUNTIFS(tblVerifyPPAPs[First-time approval],"Yes",tblVerifyPPAPs[In view],1))/(COUNTIFS(tblVerifyPPAPs[First-time approval],"Yes",tblVerifyPPAPs[In view],1)+COUNTIFS(tblVerifyPPAPs[First-time approval],"No",tblVerifyPPAPs[In view],1)))</f>
        <v>0.5</v>
      </c>
      <c r="I30" s="70">
        <f>IF(AND(ISNUMBER($G$30),ISNUMBER($H$30)),ABS($H$30-$G$30),"")</f>
        <v>0</v>
      </c>
      <c r="J30" s="71">
        <v>1E-09</v>
      </c>
      <c r="K30" s="39" t="str">
        <f>IF(AND(ISNUMBER($G$30),ISNUMBER($H$30)),IF(ABS($H$30-$G$30)&lt;=$J$30,"PASS","FAIL"),"FAIL")</f>
        <v>PASS</v>
      </c>
    </row>
    <row r="31" spans="2:11" ht="16.2" customHeight="1">
      <c r="B31" s="68">
        <v>21</v>
      </c>
      <c r="C31" s="65" t="s">
        <v>341</v>
      </c>
      <c r="D31" s="65"/>
      <c r="E31" s="65"/>
      <c r="F31" s="65"/>
      <c r="G31" s="74">
        <v>273</v>
      </c>
      <c r="H31" s="55">
        <f>35*$E$40*(1+$E$41)</f>
        <v>273</v>
      </c>
      <c r="I31" s="70">
        <f>IF(AND(ISNUMBER($G$31),ISNUMBER($H$31)),ABS($H$31-$G$31),"")</f>
        <v>0</v>
      </c>
      <c r="J31" s="71">
        <v>1E-09</v>
      </c>
      <c r="K31" s="39" t="str">
        <f>IF(AND(ISNUMBER($G$31),ISNUMBER($H$31)),IF(ABS($H$31-$G$31)&lt;=$J$31,"PASS","FAIL"),"FAIL")</f>
        <v>PASS</v>
      </c>
    </row>
    <row r="33" spans="2:12" ht="21" customHeight="1">
      <c r="B33" s="8" t="s">
        <v>342</v>
      </c>
      <c r="C33" s="8"/>
      <c r="D33" s="8"/>
      <c r="E33" s="8"/>
      <c r="F33" s="8"/>
      <c r="G33" s="8"/>
      <c r="H33" s="8"/>
      <c r="I33" s="8"/>
      <c r="J33" s="8"/>
      <c r="K33" s="8"/>
      <c r="L33" s="8"/>
    </row>
    <row r="34" spans="2:12" ht="5" customHeight="1"/>
    <row r="35" spans="2:12">
      <c r="B35" s="21" t="s">
        <v>343</v>
      </c>
      <c r="C35" s="21"/>
      <c r="D35" s="21"/>
      <c r="E35" s="21"/>
      <c r="F35" s="21"/>
      <c r="G35" s="21"/>
      <c r="H35" s="21"/>
      <c r="I35" s="21"/>
      <c r="J35" s="21"/>
      <c r="K35" s="21"/>
      <c r="L35" s="21"/>
    </row>
    <row r="36" spans="2:12">
      <c r="B36" s="33" t="s">
        <v>344</v>
      </c>
      <c r="C36" s="33"/>
      <c r="D36" s="33"/>
      <c r="E36" s="33"/>
      <c r="F36" s="33"/>
    </row>
    <row r="37" spans="2:12">
      <c r="B37" s="27" t="s">
        <v>345</v>
      </c>
      <c r="C37" s="27"/>
      <c r="D37" s="27"/>
      <c r="E37" s="75">
        <v>46203</v>
      </c>
      <c r="F37" s="7"/>
    </row>
    <row r="38" spans="2:12">
      <c r="B38" s="27" t="s">
        <v>346</v>
      </c>
      <c r="C38" s="27"/>
      <c r="D38" s="27"/>
      <c r="E38" s="72">
        <v>14</v>
      </c>
      <c r="F38" s="7"/>
    </row>
    <row r="39" spans="2:12">
      <c r="B39" s="27" t="s">
        <v>347</v>
      </c>
      <c r="C39" s="27"/>
      <c r="D39" s="27"/>
      <c r="E39" s="64" t="s">
        <v>169</v>
      </c>
      <c r="F39" s="64"/>
    </row>
    <row r="40" spans="2:12">
      <c r="B40" s="27" t="s">
        <v>348</v>
      </c>
      <c r="C40" s="27"/>
      <c r="D40" s="27"/>
      <c r="E40" s="74">
        <v>6</v>
      </c>
      <c r="F40" s="7"/>
    </row>
    <row r="41" spans="2:12">
      <c r="B41" s="27" t="s">
        <v>81</v>
      </c>
      <c r="C41" s="27"/>
      <c r="D41" s="27"/>
      <c r="E41" s="73">
        <v>0.3</v>
      </c>
      <c r="F41" s="7"/>
    </row>
    <row r="42" spans="2:12">
      <c r="B42" s="27" t="s">
        <v>349</v>
      </c>
      <c r="C42" s="27"/>
      <c r="D42" s="27"/>
      <c r="E42" s="74">
        <v>320</v>
      </c>
      <c r="F42" s="7"/>
    </row>
    <row r="44" spans="2:12">
      <c r="B44" s="33" t="s">
        <v>350</v>
      </c>
      <c r="C44" s="33"/>
      <c r="D44" s="33"/>
      <c r="E44" s="33"/>
      <c r="F44" s="33"/>
      <c r="G44" s="33"/>
      <c r="H44" s="33"/>
      <c r="I44" s="33"/>
      <c r="J44" s="33"/>
      <c r="K44" s="33"/>
      <c r="L44" s="33"/>
    </row>
    <row r="45" spans="2:12" ht="20" customHeight="1">
      <c r="B45" s="34" t="s">
        <v>64</v>
      </c>
      <c r="C45" s="34" t="s">
        <v>65</v>
      </c>
    </row>
    <row r="46" spans="2:12">
      <c r="B46" s="64" t="s">
        <v>351</v>
      </c>
      <c r="C46" s="64" t="s">
        <v>169</v>
      </c>
    </row>
    <row r="47" spans="2:12">
      <c r="B47" s="64" t="s">
        <v>352</v>
      </c>
      <c r="C47" s="64" t="s">
        <v>169</v>
      </c>
    </row>
    <row r="49" spans="2:28">
      <c r="B49" s="33" t="s">
        <v>353</v>
      </c>
      <c r="C49" s="33"/>
      <c r="D49" s="33"/>
      <c r="E49" s="33"/>
      <c r="F49" s="33"/>
      <c r="G49" s="33"/>
      <c r="H49" s="33"/>
      <c r="I49" s="33"/>
      <c r="J49" s="33"/>
      <c r="K49" s="33"/>
      <c r="L49" s="33"/>
    </row>
    <row r="50" spans="2:28" ht="20" customHeight="1">
      <c r="B50" s="34" t="s">
        <v>66</v>
      </c>
      <c r="C50" s="34" t="s">
        <v>65</v>
      </c>
    </row>
    <row r="51" spans="2:28">
      <c r="B51" s="64" t="s">
        <v>95</v>
      </c>
      <c r="C51" s="64" t="s">
        <v>169</v>
      </c>
    </row>
    <row r="52" spans="2:28">
      <c r="B52" s="64" t="s">
        <v>97</v>
      </c>
      <c r="C52" s="64" t="s">
        <v>169</v>
      </c>
    </row>
    <row r="54" spans="2:28">
      <c r="B54" s="33" t="s">
        <v>354</v>
      </c>
      <c r="C54" s="33"/>
      <c r="D54" s="33"/>
      <c r="E54" s="33"/>
      <c r="F54" s="33"/>
      <c r="G54" s="33"/>
      <c r="H54" s="33"/>
      <c r="I54" s="33"/>
      <c r="J54" s="33"/>
      <c r="K54" s="33"/>
      <c r="L54" s="33"/>
    </row>
    <row r="55" spans="2:28" ht="20" customHeight="1">
      <c r="B55" s="34" t="s">
        <v>68</v>
      </c>
      <c r="C55" s="34" t="s">
        <v>69</v>
      </c>
      <c r="D55" s="34" t="s">
        <v>70</v>
      </c>
    </row>
    <row r="56" spans="2:28">
      <c r="B56" s="64" t="s">
        <v>121</v>
      </c>
      <c r="C56" s="72">
        <v>1</v>
      </c>
      <c r="D56" s="64" t="s">
        <v>108</v>
      </c>
    </row>
    <row r="57" spans="2:28">
      <c r="B57" s="64" t="s">
        <v>122</v>
      </c>
      <c r="C57" s="72">
        <v>2</v>
      </c>
      <c r="D57" s="64" t="s">
        <v>108</v>
      </c>
    </row>
    <row r="58" spans="2:28">
      <c r="B58" s="64" t="s">
        <v>123</v>
      </c>
      <c r="C58" s="72">
        <v>3</v>
      </c>
      <c r="D58" s="64" t="s">
        <v>108</v>
      </c>
    </row>
    <row r="59" spans="2:28">
      <c r="B59" s="64" t="s">
        <v>124</v>
      </c>
      <c r="C59" s="72">
        <v>4</v>
      </c>
      <c r="D59" s="64" t="s">
        <v>108</v>
      </c>
    </row>
    <row r="60" spans="2:28">
      <c r="B60" s="64" t="s">
        <v>125</v>
      </c>
      <c r="C60" s="72">
        <v>5</v>
      </c>
      <c r="D60" s="64" t="s">
        <v>108</v>
      </c>
    </row>
    <row r="61" spans="2:28">
      <c r="B61" s="64" t="s">
        <v>126</v>
      </c>
      <c r="C61" s="72">
        <v>6</v>
      </c>
      <c r="D61" s="64" t="s">
        <v>108</v>
      </c>
    </row>
    <row r="63" spans="2:28">
      <c r="B63" s="33" t="s">
        <v>355</v>
      </c>
      <c r="C63" s="33"/>
      <c r="D63" s="33"/>
      <c r="E63" s="33"/>
      <c r="F63" s="33"/>
      <c r="G63" s="33"/>
      <c r="H63" s="33"/>
      <c r="I63" s="33"/>
      <c r="J63" s="33"/>
      <c r="K63" s="33"/>
      <c r="L63" s="33"/>
    </row>
    <row r="64" spans="2:28" ht="45.5" customHeight="1">
      <c r="B64" s="34" t="s">
        <v>139</v>
      </c>
      <c r="C64" s="34" t="s">
        <v>140</v>
      </c>
      <c r="D64" s="34" t="s">
        <v>141</v>
      </c>
      <c r="E64" s="34" t="s">
        <v>64</v>
      </c>
      <c r="F64" s="34" t="s">
        <v>66</v>
      </c>
      <c r="G64" s="34" t="s">
        <v>142</v>
      </c>
      <c r="H64" s="34" t="s">
        <v>143</v>
      </c>
      <c r="I64" s="34" t="s">
        <v>144</v>
      </c>
      <c r="J64" s="34" t="s">
        <v>145</v>
      </c>
      <c r="K64" s="34" t="s">
        <v>146</v>
      </c>
      <c r="L64" s="34" t="s">
        <v>147</v>
      </c>
      <c r="M64" s="34" t="s">
        <v>148</v>
      </c>
      <c r="N64" s="34" t="s">
        <v>149</v>
      </c>
      <c r="O64" s="34" t="s">
        <v>150</v>
      </c>
      <c r="P64" s="34" t="s">
        <v>151</v>
      </c>
      <c r="Q64" s="34" t="s">
        <v>152</v>
      </c>
      <c r="R64" s="34" t="s">
        <v>153</v>
      </c>
      <c r="S64" s="34" t="s">
        <v>154</v>
      </c>
      <c r="T64" s="34" t="s">
        <v>155</v>
      </c>
      <c r="U64" s="34" t="s">
        <v>156</v>
      </c>
      <c r="V64" s="34" t="s">
        <v>157</v>
      </c>
      <c r="W64" s="34" t="s">
        <v>158</v>
      </c>
      <c r="X64" s="34" t="s">
        <v>159</v>
      </c>
      <c r="Y64" s="34" t="s">
        <v>160</v>
      </c>
      <c r="Z64" s="34" t="s">
        <v>161</v>
      </c>
      <c r="AA64" s="34" t="s">
        <v>162</v>
      </c>
      <c r="AB64" s="34" t="s">
        <v>65</v>
      </c>
    </row>
    <row r="65" spans="2:28">
      <c r="B65" s="64" t="s">
        <v>356</v>
      </c>
      <c r="C65" s="64" t="s">
        <v>357</v>
      </c>
      <c r="D65" s="64" t="s">
        <v>238</v>
      </c>
      <c r="E65" s="64" t="s">
        <v>351</v>
      </c>
      <c r="F65" s="64" t="s">
        <v>95</v>
      </c>
      <c r="G65" s="72">
        <v>3</v>
      </c>
      <c r="H65" s="64" t="s">
        <v>358</v>
      </c>
      <c r="I65" s="75">
        <v>46143</v>
      </c>
      <c r="J65" s="75">
        <v>46140</v>
      </c>
      <c r="K65" s="64" t="s">
        <v>168</v>
      </c>
      <c r="L65" s="75">
        <v>46154</v>
      </c>
      <c r="M65" s="72">
        <v>0</v>
      </c>
      <c r="N65" s="75"/>
      <c r="O65" s="36">
        <f>IF(tblVerifyPPAPs[[#This Row],[PPAP no.]]="","",COUNTIFS(tblVerifyElements[PPAP no.],tblVerifyPPAPs[[#This Row],[PPAP no.]]))</f>
        <v>2</v>
      </c>
      <c r="P65" s="36">
        <f>IF(tblVerifyPPAPs[[#This Row],[PPAP no.]]="","",COUNTIFS(tblVerifyElements[PPAP no.],tblVerifyPPAPs[[#This Row],[PPAP no.]],tblVerifyElements[Status],"Complete"))</f>
        <v>2</v>
      </c>
      <c r="Q65" s="37">
        <f>IF(tblVerifyPPAPs[[#This Row],[PPAP no.]]="","",IF(tblVerifyPPAPs[[#This Row],[Elements]]&gt;0,tblVerifyPPAPs[[#This Row],[Complete]]/tblVerifyPPAPs[[#This Row],[Elements]],""))</f>
        <v>1</v>
      </c>
      <c r="R65" s="38">
        <f>IF(tblVerifyPPAPs[[#This Row],[PPAP no.]]="","",IF(AND(tblVerifyPPAPs[[#This Row],[Disposition]]="Rejected",ISNUMBER(tblVerifyPPAPs[[#This Row],[Resubmit by]])),tblVerifyPPAPs[[#This Row],[Resubmit by]],tblVerifyPPAPs[[#This Row],[Required date]]))</f>
        <v>46143</v>
      </c>
      <c r="S65" s="39" t="str">
        <f>IF(tblVerifyPPAPs[[#This Row],[PPAP no.]]="","",IF(tblVerifyPPAPs[[#This Row],[Disposition]]="Approved","Complete",IF(OR(tblVerifyPPAPs[[#This Row],[Disposition]]="Submitted",tblVerifyPPAPs[[#This Row],[Disposition]]="Interim approval"),"In progress",IF($E$37&gt;tblVerifyPPAPs[[#This Row],[Due by]],"Overdue",IF(tblVerifyPPAPs[[#This Row],[Due by]]-$E$37&lt;=$E$38,"Due soon","OK")))))</f>
        <v>Complete</v>
      </c>
      <c r="T65" s="39" t="str">
        <f>IF(tblVerifyPPAPs[[#This Row],[PPAP no.]]="","",IF(NOT(ISNUMBER(tblVerifyPPAPs[[#This Row],[Submitted]])),"",IF(tblVerifyPPAPs[[#This Row],[Submitted]]&lt;=tblVerifyPPAPs[[#This Row],[Required date]],"Yes","No")))</f>
        <v>Yes</v>
      </c>
      <c r="U65" s="36">
        <f>IF(tblVerifyPPAPs[[#This Row],[PPAP no.]]="","",IF(AND(ISNUMBER(tblVerifyPPAPs[[#This Row],[Submitted]]),ISNUMBER(tblVerifyPPAPs[[#This Row],[Decision date]])),tblVerifyPPAPs[[#This Row],[Decision date]]-tblVerifyPPAPs[[#This Row],[Submitted]],""))</f>
        <v>14</v>
      </c>
      <c r="V65" s="39" t="str">
        <f>IF(tblVerifyPPAPs[[#This Row],[PPAP no.]]="","",IF(AND(tblVerifyPPAPs[[#This Row],[Disposition]]="Approved",tblVerifyPPAPs[[#This Row],[Resubmissions]]=0),"Yes",IF(OR(tblVerifyPPAPs[[#This Row],[Disposition]]="Approved",tblVerifyPPAPs[[#This Row],[Disposition]]="Interim approval",tblVerifyPPAPs[[#This Row],[Disposition]]="Rejected"),"No","")))</f>
        <v>Yes</v>
      </c>
      <c r="W65" s="36">
        <f>IF(tblVerifyPPAPs[[#This Row],[PPAP no.]]="","",IF(tblVerifyPPAPs[[#This Row],[Disposition]]="Approved",0,1))</f>
        <v>0</v>
      </c>
      <c r="X65" s="36">
        <f>IF(tblVerifyPPAPs[[#This Row],[PPAP no.]]="","",IF(OR(tblVerifyPPAPs[[#This Row],[Disposition]]="Open",tblVerifyPPAPs[[#This Row],[Disposition]]="Rejected"),1,0))</f>
        <v>0</v>
      </c>
      <c r="Y65" s="36">
        <f>IF(tblVerifyPPAPs[[#This Row],[PPAP no.]]="","",IF(OR($E$39="",tblVerifyPPAPs[[#This Row],[Customer]]=$E$39),1,0))</f>
        <v>1</v>
      </c>
      <c r="Z65" s="36">
        <f>IF(tblVerifyPPAPs[[#This Row],[PPAP no.]]="","",IF(OR(tblVerifyPPAPs[[#This Row],[Open]]=0,tblVerifyPPAPs[[#This Row],[In view]]=0),"",COUNTIFS(tblVerifyPPAPs[Open],1,tblVerifyPPAPs[In view],1,tblVerifyPPAPs[Due by],"&lt;"&amp;tblVerifyPPAPs[[#This Row],[Due by]])+COUNTIFS(tblVerifyPPAPs[Open],1,tblVerifyPPAPs[In view],1,tblVerifyPPAPs[Due by],tblVerifyPPAPs[[#This Row],[Due by]],tblVerifyPPAPs[PPAP no.],"&lt;"&amp;tblVerifyPPAPs[[#This Row],[PPAP no.]])+1))</f>
        <v/>
      </c>
      <c r="AA65" s="40" t="str">
        <f>IF(tblVerifyPPAPs[[#This Row],[PPAP no.]]="","",IF(tblVerifyPPAPs[[#This Row],[Customer]]="","Missing customer",IF(tblVerifyPPAPs[[#This Row],[Required date]]="","Missing required date",IF(tblVerifyPPAPs[[#This Row],[Disposition]]="","Missing disposition",IF(COUNTIF(tblVerifyPPAPs[PPAP no.],tblVerifyPPAPs[[#This Row],[PPAP no.]])&gt;1,"Duplicate PPAP no.",IF(COUNTIF(tblVerifyCustomers[Customer],tblVerifyPPAPs[[#This Row],[Customer]])=0,"Customer not on Setup list",IF(AND(tblVerifyPPAPs[[#This Row],[Disposition]]&lt;&gt;"Open",NOT(ISNUMBER(tblVerifyPPAPs[[#This Row],[Submitted]]))),"Submitted date missing",IF(AND(OR(tblVerifyPPAPs[[#This Row],[Disposition]]="Approved",tblVerifyPPAPs[[#This Row],[Disposition]]="Rejected",tblVerifyPPAPs[[#This Row],[Disposition]]="Interim approval"),NOT(ISNUMBER(tblVerifyPPAPs[[#This Row],[Decision date]]))),"Decision date missing",IF(AND(ISNUMBER(tblVerifyPPAPs[[#This Row],[Decision date]]),ISNUMBER(tblVerifyPPAPs[[#This Row],[Submitted]]),tblVerifyPPAPs[[#This Row],[Decision date]]&lt;tblVerifyPPAPs[[#This Row],[Submitted]]),"Decision before submission",IF(OR(AND(ISNUMBER(tblVerifyPPAPs[[#This Row],[Submitted]]),tblVerifyPPAPs[[#This Row],[Submitted]]&gt;$E$37),AND(ISNUMBER(tblVerifyPPAPs[[#This Row],[Decision date]]),tblVerifyPPAPs[[#This Row],[Decision date]]&gt;$E$37)),"Date after the status date",IF(tblVerifyPPAPs[[#This Row],[Elements]]=0,"No elements on the tracker","OK")))))))))))</f>
        <v>OK</v>
      </c>
      <c r="AB65" s="64" t="s">
        <v>169</v>
      </c>
    </row>
    <row r="66" spans="2:28">
      <c r="B66" s="64" t="s">
        <v>359</v>
      </c>
      <c r="C66" s="64" t="s">
        <v>360</v>
      </c>
      <c r="D66" s="64" t="s">
        <v>238</v>
      </c>
      <c r="E66" s="64" t="s">
        <v>351</v>
      </c>
      <c r="F66" s="64" t="s">
        <v>95</v>
      </c>
      <c r="G66" s="72">
        <v>3</v>
      </c>
      <c r="H66" s="64" t="s">
        <v>358</v>
      </c>
      <c r="I66" s="75">
        <v>46157</v>
      </c>
      <c r="J66" s="75">
        <v>46162</v>
      </c>
      <c r="K66" s="64" t="s">
        <v>168</v>
      </c>
      <c r="L66" s="75">
        <v>46183</v>
      </c>
      <c r="M66" s="72">
        <v>1</v>
      </c>
      <c r="N66" s="75"/>
      <c r="O66" s="36">
        <f>IF(tblVerifyPPAPs[[#This Row],[PPAP no.]]="","",COUNTIFS(tblVerifyElements[PPAP no.],tblVerifyPPAPs[[#This Row],[PPAP no.]]))</f>
        <v>0</v>
      </c>
      <c r="P66" s="36">
        <f>IF(tblVerifyPPAPs[[#This Row],[PPAP no.]]="","",COUNTIFS(tblVerifyElements[PPAP no.],tblVerifyPPAPs[[#This Row],[PPAP no.]],tblVerifyElements[Status],"Complete"))</f>
        <v>0</v>
      </c>
      <c r="Q66" s="37">
        <f>IF(tblVerifyPPAPs[[#This Row],[PPAP no.]]="","",IF(tblVerifyPPAPs[[#This Row],[Elements]]&gt;0,tblVerifyPPAPs[[#This Row],[Complete]]/tblVerifyPPAPs[[#This Row],[Elements]],""))</f>
        <v/>
      </c>
      <c r="R66" s="38">
        <f>IF(tblVerifyPPAPs[[#This Row],[PPAP no.]]="","",IF(AND(tblVerifyPPAPs[[#This Row],[Disposition]]="Rejected",ISNUMBER(tblVerifyPPAPs[[#This Row],[Resubmit by]])),tblVerifyPPAPs[[#This Row],[Resubmit by]],tblVerifyPPAPs[[#This Row],[Required date]]))</f>
        <v>46157</v>
      </c>
      <c r="S66" s="39" t="str">
        <f>IF(tblVerifyPPAPs[[#This Row],[PPAP no.]]="","",IF(tblVerifyPPAPs[[#This Row],[Disposition]]="Approved","Complete",IF(OR(tblVerifyPPAPs[[#This Row],[Disposition]]="Submitted",tblVerifyPPAPs[[#This Row],[Disposition]]="Interim approval"),"In progress",IF($E$37&gt;tblVerifyPPAPs[[#This Row],[Due by]],"Overdue",IF(tblVerifyPPAPs[[#This Row],[Due by]]-$E$37&lt;=$E$38,"Due soon","OK")))))</f>
        <v>Complete</v>
      </c>
      <c r="T66" s="39" t="str">
        <f>IF(tblVerifyPPAPs[[#This Row],[PPAP no.]]="","",IF(NOT(ISNUMBER(tblVerifyPPAPs[[#This Row],[Submitted]])),"",IF(tblVerifyPPAPs[[#This Row],[Submitted]]&lt;=tblVerifyPPAPs[[#This Row],[Required date]],"Yes","No")))</f>
        <v>No</v>
      </c>
      <c r="U66" s="36">
        <f>IF(tblVerifyPPAPs[[#This Row],[PPAP no.]]="","",IF(AND(ISNUMBER(tblVerifyPPAPs[[#This Row],[Submitted]]),ISNUMBER(tblVerifyPPAPs[[#This Row],[Decision date]])),tblVerifyPPAPs[[#This Row],[Decision date]]-tblVerifyPPAPs[[#This Row],[Submitted]],""))</f>
        <v>21</v>
      </c>
      <c r="V66" s="39" t="str">
        <f>IF(tblVerifyPPAPs[[#This Row],[PPAP no.]]="","",IF(AND(tblVerifyPPAPs[[#This Row],[Disposition]]="Approved",tblVerifyPPAPs[[#This Row],[Resubmissions]]=0),"Yes",IF(OR(tblVerifyPPAPs[[#This Row],[Disposition]]="Approved",tblVerifyPPAPs[[#This Row],[Disposition]]="Interim approval",tblVerifyPPAPs[[#This Row],[Disposition]]="Rejected"),"No","")))</f>
        <v>No</v>
      </c>
      <c r="W66" s="36">
        <f>IF(tblVerifyPPAPs[[#This Row],[PPAP no.]]="","",IF(tblVerifyPPAPs[[#This Row],[Disposition]]="Approved",0,1))</f>
        <v>0</v>
      </c>
      <c r="X66" s="36">
        <f>IF(tblVerifyPPAPs[[#This Row],[PPAP no.]]="","",IF(OR(tblVerifyPPAPs[[#This Row],[Disposition]]="Open",tblVerifyPPAPs[[#This Row],[Disposition]]="Rejected"),1,0))</f>
        <v>0</v>
      </c>
      <c r="Y66" s="36">
        <f>IF(tblVerifyPPAPs[[#This Row],[PPAP no.]]="","",IF(OR($E$39="",tblVerifyPPAPs[[#This Row],[Customer]]=$E$39),1,0))</f>
        <v>1</v>
      </c>
      <c r="Z66" s="36">
        <f>IF(tblVerifyPPAPs[[#This Row],[PPAP no.]]="","",IF(OR(tblVerifyPPAPs[[#This Row],[Open]]=0,tblVerifyPPAPs[[#This Row],[In view]]=0),"",COUNTIFS(tblVerifyPPAPs[Open],1,tblVerifyPPAPs[In view],1,tblVerifyPPAPs[Due by],"&lt;"&amp;tblVerifyPPAPs[[#This Row],[Due by]])+COUNTIFS(tblVerifyPPAPs[Open],1,tblVerifyPPAPs[In view],1,tblVerifyPPAPs[Due by],tblVerifyPPAPs[[#This Row],[Due by]],tblVerifyPPAPs[PPAP no.],"&lt;"&amp;tblVerifyPPAPs[[#This Row],[PPAP no.]])+1))</f>
        <v/>
      </c>
      <c r="AA66" s="40" t="str">
        <f>IF(tblVerifyPPAPs[[#This Row],[PPAP no.]]="","",IF(tblVerifyPPAPs[[#This Row],[Customer]]="","Missing customer",IF(tblVerifyPPAPs[[#This Row],[Required date]]="","Missing required date",IF(tblVerifyPPAPs[[#This Row],[Disposition]]="","Missing disposition",IF(COUNTIF(tblVerifyPPAPs[PPAP no.],tblVerifyPPAPs[[#This Row],[PPAP no.]])&gt;1,"Duplicate PPAP no.",IF(COUNTIF(tblVerifyCustomers[Customer],tblVerifyPPAPs[[#This Row],[Customer]])=0,"Customer not on Setup list",IF(AND(tblVerifyPPAPs[[#This Row],[Disposition]]&lt;&gt;"Open",NOT(ISNUMBER(tblVerifyPPAPs[[#This Row],[Submitted]]))),"Submitted date missing",IF(AND(OR(tblVerifyPPAPs[[#This Row],[Disposition]]="Approved",tblVerifyPPAPs[[#This Row],[Disposition]]="Rejected",tblVerifyPPAPs[[#This Row],[Disposition]]="Interim approval"),NOT(ISNUMBER(tblVerifyPPAPs[[#This Row],[Decision date]]))),"Decision date missing",IF(AND(ISNUMBER(tblVerifyPPAPs[[#This Row],[Decision date]]),ISNUMBER(tblVerifyPPAPs[[#This Row],[Submitted]]),tblVerifyPPAPs[[#This Row],[Decision date]]&lt;tblVerifyPPAPs[[#This Row],[Submitted]]),"Decision before submission",IF(OR(AND(ISNUMBER(tblVerifyPPAPs[[#This Row],[Submitted]]),tblVerifyPPAPs[[#This Row],[Submitted]]&gt;$E$37),AND(ISNUMBER(tblVerifyPPAPs[[#This Row],[Decision date]]),tblVerifyPPAPs[[#This Row],[Decision date]]&gt;$E$37)),"Date after the status date",IF(tblVerifyPPAPs[[#This Row],[Elements]]=0,"No elements on the tracker","OK")))))))))))</f>
        <v>No elements on the tracker</v>
      </c>
      <c r="AB66" s="64" t="s">
        <v>169</v>
      </c>
    </row>
    <row r="67" spans="2:28">
      <c r="B67" s="64" t="s">
        <v>361</v>
      </c>
      <c r="C67" s="64" t="s">
        <v>362</v>
      </c>
      <c r="D67" s="64" t="s">
        <v>238</v>
      </c>
      <c r="E67" s="64" t="s">
        <v>352</v>
      </c>
      <c r="F67" s="64" t="s">
        <v>95</v>
      </c>
      <c r="G67" s="72">
        <v>3</v>
      </c>
      <c r="H67" s="64" t="s">
        <v>358</v>
      </c>
      <c r="I67" s="75">
        <v>46193</v>
      </c>
      <c r="J67" s="75"/>
      <c r="K67" s="64" t="s">
        <v>158</v>
      </c>
      <c r="L67" s="75"/>
      <c r="M67" s="72">
        <v>0</v>
      </c>
      <c r="N67" s="75"/>
      <c r="O67" s="36">
        <f>IF(tblVerifyPPAPs[[#This Row],[PPAP no.]]="","",COUNTIFS(tblVerifyElements[PPAP no.],tblVerifyPPAPs[[#This Row],[PPAP no.]]))</f>
        <v>3</v>
      </c>
      <c r="P67" s="36">
        <f>IF(tblVerifyPPAPs[[#This Row],[PPAP no.]]="","",COUNTIFS(tblVerifyElements[PPAP no.],tblVerifyPPAPs[[#This Row],[PPAP no.]],tblVerifyElements[Status],"Complete"))</f>
        <v>1</v>
      </c>
      <c r="Q67" s="37">
        <f>IF(tblVerifyPPAPs[[#This Row],[PPAP no.]]="","",IF(tblVerifyPPAPs[[#This Row],[Elements]]&gt;0,tblVerifyPPAPs[[#This Row],[Complete]]/tblVerifyPPAPs[[#This Row],[Elements]],""))</f>
        <v>0.333333333333333</v>
      </c>
      <c r="R67" s="38">
        <f>IF(tblVerifyPPAPs[[#This Row],[PPAP no.]]="","",IF(AND(tblVerifyPPAPs[[#This Row],[Disposition]]="Rejected",ISNUMBER(tblVerifyPPAPs[[#This Row],[Resubmit by]])),tblVerifyPPAPs[[#This Row],[Resubmit by]],tblVerifyPPAPs[[#This Row],[Required date]]))</f>
        <v>46193</v>
      </c>
      <c r="S67" s="39" t="str">
        <f>IF(tblVerifyPPAPs[[#This Row],[PPAP no.]]="","",IF(tblVerifyPPAPs[[#This Row],[Disposition]]="Approved","Complete",IF(OR(tblVerifyPPAPs[[#This Row],[Disposition]]="Submitted",tblVerifyPPAPs[[#This Row],[Disposition]]="Interim approval"),"In progress",IF($E$37&gt;tblVerifyPPAPs[[#This Row],[Due by]],"Overdue",IF(tblVerifyPPAPs[[#This Row],[Due by]]-$E$37&lt;=$E$38,"Due soon","OK")))))</f>
        <v>Overdue</v>
      </c>
      <c r="T67" s="39">
        <f>IF(tblVerifyPPAPs[[#This Row],[PPAP no.]]="","",IF(NOT(ISNUMBER(tblVerifyPPAPs[[#This Row],[Submitted]])),"",IF(tblVerifyPPAPs[[#This Row],[Submitted]]&lt;=tblVerifyPPAPs[[#This Row],[Required date]],"Yes","No")))</f>
        <v/>
      </c>
      <c r="U67" s="36">
        <f>IF(tblVerifyPPAPs[[#This Row],[PPAP no.]]="","",IF(AND(ISNUMBER(tblVerifyPPAPs[[#This Row],[Submitted]]),ISNUMBER(tblVerifyPPAPs[[#This Row],[Decision date]])),tblVerifyPPAPs[[#This Row],[Decision date]]-tblVerifyPPAPs[[#This Row],[Submitted]],""))</f>
        <v/>
      </c>
      <c r="V67" s="39">
        <f>IF(tblVerifyPPAPs[[#This Row],[PPAP no.]]="","",IF(AND(tblVerifyPPAPs[[#This Row],[Disposition]]="Approved",tblVerifyPPAPs[[#This Row],[Resubmissions]]=0),"Yes",IF(OR(tblVerifyPPAPs[[#This Row],[Disposition]]="Approved",tblVerifyPPAPs[[#This Row],[Disposition]]="Interim approval",tblVerifyPPAPs[[#This Row],[Disposition]]="Rejected"),"No","")))</f>
        <v/>
      </c>
      <c r="W67" s="36">
        <f>IF(tblVerifyPPAPs[[#This Row],[PPAP no.]]="","",IF(tblVerifyPPAPs[[#This Row],[Disposition]]="Approved",0,1))</f>
        <v>1</v>
      </c>
      <c r="X67" s="36">
        <f>IF(tblVerifyPPAPs[[#This Row],[PPAP no.]]="","",IF(OR(tblVerifyPPAPs[[#This Row],[Disposition]]="Open",tblVerifyPPAPs[[#This Row],[Disposition]]="Rejected"),1,0))</f>
        <v>1</v>
      </c>
      <c r="Y67" s="36">
        <f>IF(tblVerifyPPAPs[[#This Row],[PPAP no.]]="","",IF(OR($E$39="",tblVerifyPPAPs[[#This Row],[Customer]]=$E$39),1,0))</f>
        <v>1</v>
      </c>
      <c r="Z67" s="36">
        <f>IF(tblVerifyPPAPs[[#This Row],[PPAP no.]]="","",IF(OR(tblVerifyPPAPs[[#This Row],[Open]]=0,tblVerifyPPAPs[[#This Row],[In view]]=0),"",COUNTIFS(tblVerifyPPAPs[Open],1,tblVerifyPPAPs[In view],1,tblVerifyPPAPs[Due by],"&lt;"&amp;tblVerifyPPAPs[[#This Row],[Due by]])+COUNTIFS(tblVerifyPPAPs[Open],1,tblVerifyPPAPs[In view],1,tblVerifyPPAPs[Due by],tblVerifyPPAPs[[#This Row],[Due by]],tblVerifyPPAPs[PPAP no.],"&lt;"&amp;tblVerifyPPAPs[[#This Row],[PPAP no.]])+1))</f>
        <v>1</v>
      </c>
      <c r="AA67" s="40" t="str">
        <f>IF(tblVerifyPPAPs[[#This Row],[PPAP no.]]="","",IF(tblVerifyPPAPs[[#This Row],[Customer]]="","Missing customer",IF(tblVerifyPPAPs[[#This Row],[Required date]]="","Missing required date",IF(tblVerifyPPAPs[[#This Row],[Disposition]]="","Missing disposition",IF(COUNTIF(tblVerifyPPAPs[PPAP no.],tblVerifyPPAPs[[#This Row],[PPAP no.]])&gt;1,"Duplicate PPAP no.",IF(COUNTIF(tblVerifyCustomers[Customer],tblVerifyPPAPs[[#This Row],[Customer]])=0,"Customer not on Setup list",IF(AND(tblVerifyPPAPs[[#This Row],[Disposition]]&lt;&gt;"Open",NOT(ISNUMBER(tblVerifyPPAPs[[#This Row],[Submitted]]))),"Submitted date missing",IF(AND(OR(tblVerifyPPAPs[[#This Row],[Disposition]]="Approved",tblVerifyPPAPs[[#This Row],[Disposition]]="Rejected",tblVerifyPPAPs[[#This Row],[Disposition]]="Interim approval"),NOT(ISNUMBER(tblVerifyPPAPs[[#This Row],[Decision date]]))),"Decision date missing",IF(AND(ISNUMBER(tblVerifyPPAPs[[#This Row],[Decision date]]),ISNUMBER(tblVerifyPPAPs[[#This Row],[Submitted]]),tblVerifyPPAPs[[#This Row],[Decision date]]&lt;tblVerifyPPAPs[[#This Row],[Submitted]]),"Decision before submission",IF(OR(AND(ISNUMBER(tblVerifyPPAPs[[#This Row],[Submitted]]),tblVerifyPPAPs[[#This Row],[Submitted]]&gt;$E$37),AND(ISNUMBER(tblVerifyPPAPs[[#This Row],[Decision date]]),tblVerifyPPAPs[[#This Row],[Decision date]]&gt;$E$37)),"Date after the status date",IF(tblVerifyPPAPs[[#This Row],[Elements]]=0,"No elements on the tracker","OK")))))))))))</f>
        <v>OK</v>
      </c>
      <c r="AB67" s="64" t="s">
        <v>169</v>
      </c>
    </row>
    <row r="68" spans="2:28">
      <c r="B68" s="64" t="s">
        <v>363</v>
      </c>
      <c r="C68" s="64" t="s">
        <v>364</v>
      </c>
      <c r="D68" s="64" t="s">
        <v>238</v>
      </c>
      <c r="E68" s="64" t="s">
        <v>352</v>
      </c>
      <c r="F68" s="64" t="s">
        <v>95</v>
      </c>
      <c r="G68" s="72">
        <v>3</v>
      </c>
      <c r="H68" s="64" t="s">
        <v>358</v>
      </c>
      <c r="I68" s="75">
        <v>46213</v>
      </c>
      <c r="J68" s="75"/>
      <c r="K68" s="64" t="s">
        <v>158</v>
      </c>
      <c r="L68" s="75"/>
      <c r="M68" s="72">
        <v>0</v>
      </c>
      <c r="N68" s="75"/>
      <c r="O68" s="36">
        <f>IF(tblVerifyPPAPs[[#This Row],[PPAP no.]]="","",COUNTIFS(tblVerifyElements[PPAP no.],tblVerifyPPAPs[[#This Row],[PPAP no.]]))</f>
        <v>1</v>
      </c>
      <c r="P68" s="36">
        <f>IF(tblVerifyPPAPs[[#This Row],[PPAP no.]]="","",COUNTIFS(tblVerifyElements[PPAP no.],tblVerifyPPAPs[[#This Row],[PPAP no.]],tblVerifyElements[Status],"Complete"))</f>
        <v>0</v>
      </c>
      <c r="Q68" s="37">
        <f>IF(tblVerifyPPAPs[[#This Row],[PPAP no.]]="","",IF(tblVerifyPPAPs[[#This Row],[Elements]]&gt;0,tblVerifyPPAPs[[#This Row],[Complete]]/tblVerifyPPAPs[[#This Row],[Elements]],""))</f>
        <v>0</v>
      </c>
      <c r="R68" s="38">
        <f>IF(tblVerifyPPAPs[[#This Row],[PPAP no.]]="","",IF(AND(tblVerifyPPAPs[[#This Row],[Disposition]]="Rejected",ISNUMBER(tblVerifyPPAPs[[#This Row],[Resubmit by]])),tblVerifyPPAPs[[#This Row],[Resubmit by]],tblVerifyPPAPs[[#This Row],[Required date]]))</f>
        <v>46213</v>
      </c>
      <c r="S68" s="39" t="str">
        <f>IF(tblVerifyPPAPs[[#This Row],[PPAP no.]]="","",IF(tblVerifyPPAPs[[#This Row],[Disposition]]="Approved","Complete",IF(OR(tblVerifyPPAPs[[#This Row],[Disposition]]="Submitted",tblVerifyPPAPs[[#This Row],[Disposition]]="Interim approval"),"In progress",IF($E$37&gt;tblVerifyPPAPs[[#This Row],[Due by]],"Overdue",IF(tblVerifyPPAPs[[#This Row],[Due by]]-$E$37&lt;=$E$38,"Due soon","OK")))))</f>
        <v>Due soon</v>
      </c>
      <c r="T68" s="39">
        <f>IF(tblVerifyPPAPs[[#This Row],[PPAP no.]]="","",IF(NOT(ISNUMBER(tblVerifyPPAPs[[#This Row],[Submitted]])),"",IF(tblVerifyPPAPs[[#This Row],[Submitted]]&lt;=tblVerifyPPAPs[[#This Row],[Required date]],"Yes","No")))</f>
        <v/>
      </c>
      <c r="U68" s="36">
        <f>IF(tblVerifyPPAPs[[#This Row],[PPAP no.]]="","",IF(AND(ISNUMBER(tblVerifyPPAPs[[#This Row],[Submitted]]),ISNUMBER(tblVerifyPPAPs[[#This Row],[Decision date]])),tblVerifyPPAPs[[#This Row],[Decision date]]-tblVerifyPPAPs[[#This Row],[Submitted]],""))</f>
        <v/>
      </c>
      <c r="V68" s="39">
        <f>IF(tblVerifyPPAPs[[#This Row],[PPAP no.]]="","",IF(AND(tblVerifyPPAPs[[#This Row],[Disposition]]="Approved",tblVerifyPPAPs[[#This Row],[Resubmissions]]=0),"Yes",IF(OR(tblVerifyPPAPs[[#This Row],[Disposition]]="Approved",tblVerifyPPAPs[[#This Row],[Disposition]]="Interim approval",tblVerifyPPAPs[[#This Row],[Disposition]]="Rejected"),"No","")))</f>
        <v/>
      </c>
      <c r="W68" s="36">
        <f>IF(tblVerifyPPAPs[[#This Row],[PPAP no.]]="","",IF(tblVerifyPPAPs[[#This Row],[Disposition]]="Approved",0,1))</f>
        <v>1</v>
      </c>
      <c r="X68" s="36">
        <f>IF(tblVerifyPPAPs[[#This Row],[PPAP no.]]="","",IF(OR(tblVerifyPPAPs[[#This Row],[Disposition]]="Open",tblVerifyPPAPs[[#This Row],[Disposition]]="Rejected"),1,0))</f>
        <v>1</v>
      </c>
      <c r="Y68" s="36">
        <f>IF(tblVerifyPPAPs[[#This Row],[PPAP no.]]="","",IF(OR($E$39="",tblVerifyPPAPs[[#This Row],[Customer]]=$E$39),1,0))</f>
        <v>1</v>
      </c>
      <c r="Z68" s="36">
        <f>IF(tblVerifyPPAPs[[#This Row],[PPAP no.]]="","",IF(OR(tblVerifyPPAPs[[#This Row],[Open]]=0,tblVerifyPPAPs[[#This Row],[In view]]=0),"",COUNTIFS(tblVerifyPPAPs[Open],1,tblVerifyPPAPs[In view],1,tblVerifyPPAPs[Due by],"&lt;"&amp;tblVerifyPPAPs[[#This Row],[Due by]])+COUNTIFS(tblVerifyPPAPs[Open],1,tblVerifyPPAPs[In view],1,tblVerifyPPAPs[Due by],tblVerifyPPAPs[[#This Row],[Due by]],tblVerifyPPAPs[PPAP no.],"&lt;"&amp;tblVerifyPPAPs[[#This Row],[PPAP no.]])+1))</f>
        <v>3</v>
      </c>
      <c r="AA68" s="40" t="str">
        <f>IF(tblVerifyPPAPs[[#This Row],[PPAP no.]]="","",IF(tblVerifyPPAPs[[#This Row],[Customer]]="","Missing customer",IF(tblVerifyPPAPs[[#This Row],[Required date]]="","Missing required date",IF(tblVerifyPPAPs[[#This Row],[Disposition]]="","Missing disposition",IF(COUNTIF(tblVerifyPPAPs[PPAP no.],tblVerifyPPAPs[[#This Row],[PPAP no.]])&gt;1,"Duplicate PPAP no.",IF(COUNTIF(tblVerifyCustomers[Customer],tblVerifyPPAPs[[#This Row],[Customer]])=0,"Customer not on Setup list",IF(AND(tblVerifyPPAPs[[#This Row],[Disposition]]&lt;&gt;"Open",NOT(ISNUMBER(tblVerifyPPAPs[[#This Row],[Submitted]]))),"Submitted date missing",IF(AND(OR(tblVerifyPPAPs[[#This Row],[Disposition]]="Approved",tblVerifyPPAPs[[#This Row],[Disposition]]="Rejected",tblVerifyPPAPs[[#This Row],[Disposition]]="Interim approval"),NOT(ISNUMBER(tblVerifyPPAPs[[#This Row],[Decision date]]))),"Decision date missing",IF(AND(ISNUMBER(tblVerifyPPAPs[[#This Row],[Decision date]]),ISNUMBER(tblVerifyPPAPs[[#This Row],[Submitted]]),tblVerifyPPAPs[[#This Row],[Decision date]]&lt;tblVerifyPPAPs[[#This Row],[Submitted]]),"Decision before submission",IF(OR(AND(ISNUMBER(tblVerifyPPAPs[[#This Row],[Submitted]]),tblVerifyPPAPs[[#This Row],[Submitted]]&gt;$E$37),AND(ISNUMBER(tblVerifyPPAPs[[#This Row],[Decision date]]),tblVerifyPPAPs[[#This Row],[Decision date]]&gt;$E$37)),"Date after the status date",IF(tblVerifyPPAPs[[#This Row],[Elements]]=0,"No elements on the tracker","OK")))))))))))</f>
        <v>OK</v>
      </c>
      <c r="AB68" s="64" t="s">
        <v>169</v>
      </c>
    </row>
    <row r="69" spans="2:28">
      <c r="B69" s="64" t="s">
        <v>365</v>
      </c>
      <c r="C69" s="64" t="s">
        <v>366</v>
      </c>
      <c r="D69" s="64" t="s">
        <v>238</v>
      </c>
      <c r="E69" s="64" t="s">
        <v>351</v>
      </c>
      <c r="F69" s="64" t="s">
        <v>95</v>
      </c>
      <c r="G69" s="72">
        <v>3</v>
      </c>
      <c r="H69" s="64" t="s">
        <v>358</v>
      </c>
      <c r="I69" s="75">
        <v>46174</v>
      </c>
      <c r="J69" s="75">
        <v>46174</v>
      </c>
      <c r="K69" s="64" t="s">
        <v>190</v>
      </c>
      <c r="L69" s="75">
        <v>46188</v>
      </c>
      <c r="M69" s="72">
        <v>0</v>
      </c>
      <c r="N69" s="75">
        <v>46265</v>
      </c>
      <c r="O69" s="36">
        <f>IF(tblVerifyPPAPs[[#This Row],[PPAP no.]]="","",COUNTIFS(tblVerifyElements[PPAP no.],tblVerifyPPAPs[[#This Row],[PPAP no.]]))</f>
        <v>1</v>
      </c>
      <c r="P69" s="36">
        <f>IF(tblVerifyPPAPs[[#This Row],[PPAP no.]]="","",COUNTIFS(tblVerifyElements[PPAP no.],tblVerifyPPAPs[[#This Row],[PPAP no.]],tblVerifyElements[Status],"Complete"))</f>
        <v>1</v>
      </c>
      <c r="Q69" s="37">
        <f>IF(tblVerifyPPAPs[[#This Row],[PPAP no.]]="","",IF(tblVerifyPPAPs[[#This Row],[Elements]]&gt;0,tblVerifyPPAPs[[#This Row],[Complete]]/tblVerifyPPAPs[[#This Row],[Elements]],""))</f>
        <v>1</v>
      </c>
      <c r="R69" s="38">
        <f>IF(tblVerifyPPAPs[[#This Row],[PPAP no.]]="","",IF(AND(tblVerifyPPAPs[[#This Row],[Disposition]]="Rejected",ISNUMBER(tblVerifyPPAPs[[#This Row],[Resubmit by]])),tblVerifyPPAPs[[#This Row],[Resubmit by]],tblVerifyPPAPs[[#This Row],[Required date]]))</f>
        <v>46265</v>
      </c>
      <c r="S69" s="39" t="str">
        <f>IF(tblVerifyPPAPs[[#This Row],[PPAP no.]]="","",IF(tblVerifyPPAPs[[#This Row],[Disposition]]="Approved","Complete",IF(OR(tblVerifyPPAPs[[#This Row],[Disposition]]="Submitted",tblVerifyPPAPs[[#This Row],[Disposition]]="Interim approval"),"In progress",IF($E$37&gt;tblVerifyPPAPs[[#This Row],[Due by]],"Overdue",IF(tblVerifyPPAPs[[#This Row],[Due by]]-$E$37&lt;=$E$38,"Due soon","OK")))))</f>
        <v>OK</v>
      </c>
      <c r="T69" s="39" t="str">
        <f>IF(tblVerifyPPAPs[[#This Row],[PPAP no.]]="","",IF(NOT(ISNUMBER(tblVerifyPPAPs[[#This Row],[Submitted]])),"",IF(tblVerifyPPAPs[[#This Row],[Submitted]]&lt;=tblVerifyPPAPs[[#This Row],[Required date]],"Yes","No")))</f>
        <v>Yes</v>
      </c>
      <c r="U69" s="36">
        <f>IF(tblVerifyPPAPs[[#This Row],[PPAP no.]]="","",IF(AND(ISNUMBER(tblVerifyPPAPs[[#This Row],[Submitted]]),ISNUMBER(tblVerifyPPAPs[[#This Row],[Decision date]])),tblVerifyPPAPs[[#This Row],[Decision date]]-tblVerifyPPAPs[[#This Row],[Submitted]],""))</f>
        <v>14</v>
      </c>
      <c r="V69" s="39" t="str">
        <f>IF(tblVerifyPPAPs[[#This Row],[PPAP no.]]="","",IF(AND(tblVerifyPPAPs[[#This Row],[Disposition]]="Approved",tblVerifyPPAPs[[#This Row],[Resubmissions]]=0),"Yes",IF(OR(tblVerifyPPAPs[[#This Row],[Disposition]]="Approved",tblVerifyPPAPs[[#This Row],[Disposition]]="Interim approval",tblVerifyPPAPs[[#This Row],[Disposition]]="Rejected"),"No","")))</f>
        <v>No</v>
      </c>
      <c r="W69" s="36">
        <f>IF(tblVerifyPPAPs[[#This Row],[PPAP no.]]="","",IF(tblVerifyPPAPs[[#This Row],[Disposition]]="Approved",0,1))</f>
        <v>1</v>
      </c>
      <c r="X69" s="36">
        <f>IF(tblVerifyPPAPs[[#This Row],[PPAP no.]]="","",IF(OR(tblVerifyPPAPs[[#This Row],[Disposition]]="Open",tblVerifyPPAPs[[#This Row],[Disposition]]="Rejected"),1,0))</f>
        <v>1</v>
      </c>
      <c r="Y69" s="36">
        <f>IF(tblVerifyPPAPs[[#This Row],[PPAP no.]]="","",IF(OR($E$39="",tblVerifyPPAPs[[#This Row],[Customer]]=$E$39),1,0))</f>
        <v>1</v>
      </c>
      <c r="Z69" s="36">
        <f>IF(tblVerifyPPAPs[[#This Row],[PPAP no.]]="","",IF(OR(tblVerifyPPAPs[[#This Row],[Open]]=0,tblVerifyPPAPs[[#This Row],[In view]]=0),"",COUNTIFS(tblVerifyPPAPs[Open],1,tblVerifyPPAPs[In view],1,tblVerifyPPAPs[Due by],"&lt;"&amp;tblVerifyPPAPs[[#This Row],[Due by]])+COUNTIFS(tblVerifyPPAPs[Open],1,tblVerifyPPAPs[In view],1,tblVerifyPPAPs[Due by],tblVerifyPPAPs[[#This Row],[Due by]],tblVerifyPPAPs[PPAP no.],"&lt;"&amp;tblVerifyPPAPs[[#This Row],[PPAP no.]])+1))</f>
        <v>4</v>
      </c>
      <c r="AA69" s="40" t="str">
        <f>IF(tblVerifyPPAPs[[#This Row],[PPAP no.]]="","",IF(tblVerifyPPAPs[[#This Row],[Customer]]="","Missing customer",IF(tblVerifyPPAPs[[#This Row],[Required date]]="","Missing required date",IF(tblVerifyPPAPs[[#This Row],[Disposition]]="","Missing disposition",IF(COUNTIF(tblVerifyPPAPs[PPAP no.],tblVerifyPPAPs[[#This Row],[PPAP no.]])&gt;1,"Duplicate PPAP no.",IF(COUNTIF(tblVerifyCustomers[Customer],tblVerifyPPAPs[[#This Row],[Customer]])=0,"Customer not on Setup list",IF(AND(tblVerifyPPAPs[[#This Row],[Disposition]]&lt;&gt;"Open",NOT(ISNUMBER(tblVerifyPPAPs[[#This Row],[Submitted]]))),"Submitted date missing",IF(AND(OR(tblVerifyPPAPs[[#This Row],[Disposition]]="Approved",tblVerifyPPAPs[[#This Row],[Disposition]]="Rejected",tblVerifyPPAPs[[#This Row],[Disposition]]="Interim approval"),NOT(ISNUMBER(tblVerifyPPAPs[[#This Row],[Decision date]]))),"Decision date missing",IF(AND(ISNUMBER(tblVerifyPPAPs[[#This Row],[Decision date]]),ISNUMBER(tblVerifyPPAPs[[#This Row],[Submitted]]),tblVerifyPPAPs[[#This Row],[Decision date]]&lt;tblVerifyPPAPs[[#This Row],[Submitted]]),"Decision before submission",IF(OR(AND(ISNUMBER(tblVerifyPPAPs[[#This Row],[Submitted]]),tblVerifyPPAPs[[#This Row],[Submitted]]&gt;$E$37),AND(ISNUMBER(tblVerifyPPAPs[[#This Row],[Decision date]]),tblVerifyPPAPs[[#This Row],[Decision date]]&gt;$E$37)),"Date after the status date",IF(tblVerifyPPAPs[[#This Row],[Elements]]=0,"No elements on the tracker","OK")))))))))))</f>
        <v>OK</v>
      </c>
      <c r="AB69" s="64" t="s">
        <v>169</v>
      </c>
    </row>
    <row r="70" spans="2:28">
      <c r="B70" s="64" t="s">
        <v>367</v>
      </c>
      <c r="C70" s="64" t="s">
        <v>368</v>
      </c>
      <c r="D70" s="64" t="s">
        <v>238</v>
      </c>
      <c r="E70" s="64" t="s">
        <v>352</v>
      </c>
      <c r="F70" s="64" t="s">
        <v>95</v>
      </c>
      <c r="G70" s="72">
        <v>3</v>
      </c>
      <c r="H70" s="64" t="s">
        <v>358</v>
      </c>
      <c r="I70" s="75">
        <v>46198</v>
      </c>
      <c r="J70" s="75">
        <v>46197</v>
      </c>
      <c r="K70" s="64" t="s">
        <v>145</v>
      </c>
      <c r="L70" s="75"/>
      <c r="M70" s="72">
        <v>0</v>
      </c>
      <c r="N70" s="75"/>
      <c r="O70" s="36">
        <f>IF(tblVerifyPPAPs[[#This Row],[PPAP no.]]="","",COUNTIFS(tblVerifyElements[PPAP no.],tblVerifyPPAPs[[#This Row],[PPAP no.]]))</f>
        <v>1</v>
      </c>
      <c r="P70" s="36">
        <f>IF(tblVerifyPPAPs[[#This Row],[PPAP no.]]="","",COUNTIFS(tblVerifyElements[PPAP no.],tblVerifyPPAPs[[#This Row],[PPAP no.]],tblVerifyElements[Status],"Complete"))</f>
        <v>1</v>
      </c>
      <c r="Q70" s="37">
        <f>IF(tblVerifyPPAPs[[#This Row],[PPAP no.]]="","",IF(tblVerifyPPAPs[[#This Row],[Elements]]&gt;0,tblVerifyPPAPs[[#This Row],[Complete]]/tblVerifyPPAPs[[#This Row],[Elements]],""))</f>
        <v>1</v>
      </c>
      <c r="R70" s="38">
        <f>IF(tblVerifyPPAPs[[#This Row],[PPAP no.]]="","",IF(AND(tblVerifyPPAPs[[#This Row],[Disposition]]="Rejected",ISNUMBER(tblVerifyPPAPs[[#This Row],[Resubmit by]])),tblVerifyPPAPs[[#This Row],[Resubmit by]],tblVerifyPPAPs[[#This Row],[Required date]]))</f>
        <v>46198</v>
      </c>
      <c r="S70" s="39" t="str">
        <f>IF(tblVerifyPPAPs[[#This Row],[PPAP no.]]="","",IF(tblVerifyPPAPs[[#This Row],[Disposition]]="Approved","Complete",IF(OR(tblVerifyPPAPs[[#This Row],[Disposition]]="Submitted",tblVerifyPPAPs[[#This Row],[Disposition]]="Interim approval"),"In progress",IF($E$37&gt;tblVerifyPPAPs[[#This Row],[Due by]],"Overdue",IF(tblVerifyPPAPs[[#This Row],[Due by]]-$E$37&lt;=$E$38,"Due soon","OK")))))</f>
        <v>In progress</v>
      </c>
      <c r="T70" s="39" t="str">
        <f>IF(tblVerifyPPAPs[[#This Row],[PPAP no.]]="","",IF(NOT(ISNUMBER(tblVerifyPPAPs[[#This Row],[Submitted]])),"",IF(tblVerifyPPAPs[[#This Row],[Submitted]]&lt;=tblVerifyPPAPs[[#This Row],[Required date]],"Yes","No")))</f>
        <v>Yes</v>
      </c>
      <c r="U70" s="36">
        <f>IF(tblVerifyPPAPs[[#This Row],[PPAP no.]]="","",IF(AND(ISNUMBER(tblVerifyPPAPs[[#This Row],[Submitted]]),ISNUMBER(tblVerifyPPAPs[[#This Row],[Decision date]])),tblVerifyPPAPs[[#This Row],[Decision date]]-tblVerifyPPAPs[[#This Row],[Submitted]],""))</f>
        <v/>
      </c>
      <c r="V70" s="39">
        <f>IF(tblVerifyPPAPs[[#This Row],[PPAP no.]]="","",IF(AND(tblVerifyPPAPs[[#This Row],[Disposition]]="Approved",tblVerifyPPAPs[[#This Row],[Resubmissions]]=0),"Yes",IF(OR(tblVerifyPPAPs[[#This Row],[Disposition]]="Approved",tblVerifyPPAPs[[#This Row],[Disposition]]="Interim approval",tblVerifyPPAPs[[#This Row],[Disposition]]="Rejected"),"No","")))</f>
        <v/>
      </c>
      <c r="W70" s="36">
        <f>IF(tblVerifyPPAPs[[#This Row],[PPAP no.]]="","",IF(tblVerifyPPAPs[[#This Row],[Disposition]]="Approved",0,1))</f>
        <v>1</v>
      </c>
      <c r="X70" s="36">
        <f>IF(tblVerifyPPAPs[[#This Row],[PPAP no.]]="","",IF(OR(tblVerifyPPAPs[[#This Row],[Disposition]]="Open",tblVerifyPPAPs[[#This Row],[Disposition]]="Rejected"),1,0))</f>
        <v>0</v>
      </c>
      <c r="Y70" s="36">
        <f>IF(tblVerifyPPAPs[[#This Row],[PPAP no.]]="","",IF(OR($E$39="",tblVerifyPPAPs[[#This Row],[Customer]]=$E$39),1,0))</f>
        <v>1</v>
      </c>
      <c r="Z70" s="36">
        <f>IF(tblVerifyPPAPs[[#This Row],[PPAP no.]]="","",IF(OR(tblVerifyPPAPs[[#This Row],[Open]]=0,tblVerifyPPAPs[[#This Row],[In view]]=0),"",COUNTIFS(tblVerifyPPAPs[Open],1,tblVerifyPPAPs[In view],1,tblVerifyPPAPs[Due by],"&lt;"&amp;tblVerifyPPAPs[[#This Row],[Due by]])+COUNTIFS(tblVerifyPPAPs[Open],1,tblVerifyPPAPs[In view],1,tblVerifyPPAPs[Due by],tblVerifyPPAPs[[#This Row],[Due by]],tblVerifyPPAPs[PPAP no.],"&lt;"&amp;tblVerifyPPAPs[[#This Row],[PPAP no.]])+1))</f>
        <v>2</v>
      </c>
      <c r="AA70" s="40" t="str">
        <f>IF(tblVerifyPPAPs[[#This Row],[PPAP no.]]="","",IF(tblVerifyPPAPs[[#This Row],[Customer]]="","Missing customer",IF(tblVerifyPPAPs[[#This Row],[Required date]]="","Missing required date",IF(tblVerifyPPAPs[[#This Row],[Disposition]]="","Missing disposition",IF(COUNTIF(tblVerifyPPAPs[PPAP no.],tblVerifyPPAPs[[#This Row],[PPAP no.]])&gt;1,"Duplicate PPAP no.",IF(COUNTIF(tblVerifyCustomers[Customer],tblVerifyPPAPs[[#This Row],[Customer]])=0,"Customer not on Setup list",IF(AND(tblVerifyPPAPs[[#This Row],[Disposition]]&lt;&gt;"Open",NOT(ISNUMBER(tblVerifyPPAPs[[#This Row],[Submitted]]))),"Submitted date missing",IF(AND(OR(tblVerifyPPAPs[[#This Row],[Disposition]]="Approved",tblVerifyPPAPs[[#This Row],[Disposition]]="Rejected",tblVerifyPPAPs[[#This Row],[Disposition]]="Interim approval"),NOT(ISNUMBER(tblVerifyPPAPs[[#This Row],[Decision date]]))),"Decision date missing",IF(AND(ISNUMBER(tblVerifyPPAPs[[#This Row],[Decision date]]),ISNUMBER(tblVerifyPPAPs[[#This Row],[Submitted]]),tblVerifyPPAPs[[#This Row],[Decision date]]&lt;tblVerifyPPAPs[[#This Row],[Submitted]]),"Decision before submission",IF(OR(AND(ISNUMBER(tblVerifyPPAPs[[#This Row],[Submitted]]),tblVerifyPPAPs[[#This Row],[Submitted]]&gt;$E$37),AND(ISNUMBER(tblVerifyPPAPs[[#This Row],[Decision date]]),tblVerifyPPAPs[[#This Row],[Decision date]]&gt;$E$37)),"Date after the status date",IF(tblVerifyPPAPs[[#This Row],[Elements]]=0,"No elements on the tracker","OK")))))))))))</f>
        <v>OK</v>
      </c>
      <c r="AB70" s="64" t="s">
        <v>169</v>
      </c>
    </row>
    <row r="71" spans="2:28">
      <c r="B71" s="64" t="s">
        <v>369</v>
      </c>
      <c r="C71" s="64" t="s">
        <v>370</v>
      </c>
      <c r="D71" s="64" t="s">
        <v>238</v>
      </c>
      <c r="E71" s="64" t="s">
        <v>371</v>
      </c>
      <c r="F71" s="64" t="s">
        <v>95</v>
      </c>
      <c r="G71" s="72">
        <v>3</v>
      </c>
      <c r="H71" s="64" t="s">
        <v>358</v>
      </c>
      <c r="I71" s="75">
        <v>46198</v>
      </c>
      <c r="J71" s="75"/>
      <c r="K71" s="64" t="s">
        <v>168</v>
      </c>
      <c r="L71" s="75"/>
      <c r="M71" s="72">
        <v>0</v>
      </c>
      <c r="N71" s="75"/>
      <c r="O71" s="36">
        <f>IF(tblVerifyPPAPs[[#This Row],[PPAP no.]]="","",COUNTIFS(tblVerifyElements[PPAP no.],tblVerifyPPAPs[[#This Row],[PPAP no.]]))</f>
        <v>0</v>
      </c>
      <c r="P71" s="36">
        <f>IF(tblVerifyPPAPs[[#This Row],[PPAP no.]]="","",COUNTIFS(tblVerifyElements[PPAP no.],tblVerifyPPAPs[[#This Row],[PPAP no.]],tblVerifyElements[Status],"Complete"))</f>
        <v>0</v>
      </c>
      <c r="Q71" s="37">
        <f>IF(tblVerifyPPAPs[[#This Row],[PPAP no.]]="","",IF(tblVerifyPPAPs[[#This Row],[Elements]]&gt;0,tblVerifyPPAPs[[#This Row],[Complete]]/tblVerifyPPAPs[[#This Row],[Elements]],""))</f>
        <v/>
      </c>
      <c r="R71" s="38">
        <f>IF(tblVerifyPPAPs[[#This Row],[PPAP no.]]="","",IF(AND(tblVerifyPPAPs[[#This Row],[Disposition]]="Rejected",ISNUMBER(tblVerifyPPAPs[[#This Row],[Resubmit by]])),tblVerifyPPAPs[[#This Row],[Resubmit by]],tblVerifyPPAPs[[#This Row],[Required date]]))</f>
        <v>46198</v>
      </c>
      <c r="S71" s="39" t="str">
        <f>IF(tblVerifyPPAPs[[#This Row],[PPAP no.]]="","",IF(tblVerifyPPAPs[[#This Row],[Disposition]]="Approved","Complete",IF(OR(tblVerifyPPAPs[[#This Row],[Disposition]]="Submitted",tblVerifyPPAPs[[#This Row],[Disposition]]="Interim approval"),"In progress",IF($E$37&gt;tblVerifyPPAPs[[#This Row],[Due by]],"Overdue",IF(tblVerifyPPAPs[[#This Row],[Due by]]-$E$37&lt;=$E$38,"Due soon","OK")))))</f>
        <v>Complete</v>
      </c>
      <c r="T71" s="39">
        <f>IF(tblVerifyPPAPs[[#This Row],[PPAP no.]]="","",IF(NOT(ISNUMBER(tblVerifyPPAPs[[#This Row],[Submitted]])),"",IF(tblVerifyPPAPs[[#This Row],[Submitted]]&lt;=tblVerifyPPAPs[[#This Row],[Required date]],"Yes","No")))</f>
        <v/>
      </c>
      <c r="U71" s="36">
        <f>IF(tblVerifyPPAPs[[#This Row],[PPAP no.]]="","",IF(AND(ISNUMBER(tblVerifyPPAPs[[#This Row],[Submitted]]),ISNUMBER(tblVerifyPPAPs[[#This Row],[Decision date]])),tblVerifyPPAPs[[#This Row],[Decision date]]-tblVerifyPPAPs[[#This Row],[Submitted]],""))</f>
        <v/>
      </c>
      <c r="V71" s="39" t="str">
        <f>IF(tblVerifyPPAPs[[#This Row],[PPAP no.]]="","",IF(AND(tblVerifyPPAPs[[#This Row],[Disposition]]="Approved",tblVerifyPPAPs[[#This Row],[Resubmissions]]=0),"Yes",IF(OR(tblVerifyPPAPs[[#This Row],[Disposition]]="Approved",tblVerifyPPAPs[[#This Row],[Disposition]]="Interim approval",tblVerifyPPAPs[[#This Row],[Disposition]]="Rejected"),"No","")))</f>
        <v>Yes</v>
      </c>
      <c r="W71" s="36">
        <f>IF(tblVerifyPPAPs[[#This Row],[PPAP no.]]="","",IF(tblVerifyPPAPs[[#This Row],[Disposition]]="Approved",0,1))</f>
        <v>0</v>
      </c>
      <c r="X71" s="36">
        <f>IF(tblVerifyPPAPs[[#This Row],[PPAP no.]]="","",IF(OR(tblVerifyPPAPs[[#This Row],[Disposition]]="Open",tblVerifyPPAPs[[#This Row],[Disposition]]="Rejected"),1,0))</f>
        <v>0</v>
      </c>
      <c r="Y71" s="36">
        <f>IF(tblVerifyPPAPs[[#This Row],[PPAP no.]]="","",IF(OR($E$39="",tblVerifyPPAPs[[#This Row],[Customer]]=$E$39),1,0))</f>
        <v>1</v>
      </c>
      <c r="Z71" s="36">
        <f>IF(tblVerifyPPAPs[[#This Row],[PPAP no.]]="","",IF(OR(tblVerifyPPAPs[[#This Row],[Open]]=0,tblVerifyPPAPs[[#This Row],[In view]]=0),"",COUNTIFS(tblVerifyPPAPs[Open],1,tblVerifyPPAPs[In view],1,tblVerifyPPAPs[Due by],"&lt;"&amp;tblVerifyPPAPs[[#This Row],[Due by]])+COUNTIFS(tblVerifyPPAPs[Open],1,tblVerifyPPAPs[In view],1,tblVerifyPPAPs[Due by],tblVerifyPPAPs[[#This Row],[Due by]],tblVerifyPPAPs[PPAP no.],"&lt;"&amp;tblVerifyPPAPs[[#This Row],[PPAP no.]])+1))</f>
        <v/>
      </c>
      <c r="AA71" s="40" t="str">
        <f>IF(tblVerifyPPAPs[[#This Row],[PPAP no.]]="","",IF(tblVerifyPPAPs[[#This Row],[Customer]]="","Missing customer",IF(tblVerifyPPAPs[[#This Row],[Required date]]="","Missing required date",IF(tblVerifyPPAPs[[#This Row],[Disposition]]="","Missing disposition",IF(COUNTIF(tblVerifyPPAPs[PPAP no.],tblVerifyPPAPs[[#This Row],[PPAP no.]])&gt;1,"Duplicate PPAP no.",IF(COUNTIF(tblVerifyCustomers[Customer],tblVerifyPPAPs[[#This Row],[Customer]])=0,"Customer not on Setup list",IF(AND(tblVerifyPPAPs[[#This Row],[Disposition]]&lt;&gt;"Open",NOT(ISNUMBER(tblVerifyPPAPs[[#This Row],[Submitted]]))),"Submitted date missing",IF(AND(OR(tblVerifyPPAPs[[#This Row],[Disposition]]="Approved",tblVerifyPPAPs[[#This Row],[Disposition]]="Rejected",tblVerifyPPAPs[[#This Row],[Disposition]]="Interim approval"),NOT(ISNUMBER(tblVerifyPPAPs[[#This Row],[Decision date]]))),"Decision date missing",IF(AND(ISNUMBER(tblVerifyPPAPs[[#This Row],[Decision date]]),ISNUMBER(tblVerifyPPAPs[[#This Row],[Submitted]]),tblVerifyPPAPs[[#This Row],[Decision date]]&lt;tblVerifyPPAPs[[#This Row],[Submitted]]),"Decision before submission",IF(OR(AND(ISNUMBER(tblVerifyPPAPs[[#This Row],[Submitted]]),tblVerifyPPAPs[[#This Row],[Submitted]]&gt;$E$37),AND(ISNUMBER(tblVerifyPPAPs[[#This Row],[Decision date]]),tblVerifyPPAPs[[#This Row],[Decision date]]&gt;$E$37)),"Date after the status date",IF(tblVerifyPPAPs[[#This Row],[Elements]]=0,"No elements on the tracker","OK")))))))))))</f>
        <v>Customer not on Setup list</v>
      </c>
      <c r="AB71" s="64" t="s">
        <v>169</v>
      </c>
    </row>
    <row r="73" spans="2:28">
      <c r="B73" s="33" t="s">
        <v>372</v>
      </c>
      <c r="C73" s="33"/>
      <c r="D73" s="33"/>
      <c r="E73" s="33"/>
      <c r="F73" s="33"/>
      <c r="G73" s="33"/>
      <c r="H73" s="33"/>
      <c r="I73" s="33"/>
      <c r="J73" s="33"/>
      <c r="K73" s="33"/>
      <c r="L73" s="33"/>
    </row>
    <row r="74" spans="2:28" ht="32" customHeight="1">
      <c r="B74" s="34" t="s">
        <v>139</v>
      </c>
      <c r="C74" s="34" t="s">
        <v>68</v>
      </c>
      <c r="D74" s="34" t="s">
        <v>143</v>
      </c>
      <c r="E74" s="34" t="s">
        <v>215</v>
      </c>
      <c r="F74" s="34" t="s">
        <v>216</v>
      </c>
      <c r="G74" s="34" t="s">
        <v>217</v>
      </c>
      <c r="H74" s="34" t="s">
        <v>140</v>
      </c>
      <c r="I74" s="34" t="s">
        <v>64</v>
      </c>
      <c r="J74" s="34" t="s">
        <v>218</v>
      </c>
      <c r="K74" s="34" t="s">
        <v>219</v>
      </c>
      <c r="L74" s="34" t="s">
        <v>154</v>
      </c>
      <c r="M74" s="34" t="s">
        <v>160</v>
      </c>
      <c r="N74" s="34" t="s">
        <v>162</v>
      </c>
      <c r="O74" s="34" t="s">
        <v>65</v>
      </c>
    </row>
    <row r="75" spans="2:28">
      <c r="B75" s="64" t="s">
        <v>356</v>
      </c>
      <c r="C75" s="64" t="s">
        <v>121</v>
      </c>
      <c r="D75" s="64" t="s">
        <v>108</v>
      </c>
      <c r="E75" s="75">
        <v>46113</v>
      </c>
      <c r="F75" s="64" t="s">
        <v>151</v>
      </c>
      <c r="G75" s="75">
        <v>46111</v>
      </c>
      <c r="H75" s="64" t="s">
        <v>357</v>
      </c>
      <c r="I75" s="64" t="s">
        <v>351</v>
      </c>
      <c r="J75" s="72">
        <v>0</v>
      </c>
      <c r="K75" s="43">
        <f>IF(tblVerifyElements[[#This Row],[PPAP no.]]="","",IF(tblVerifyElements[[#This Row],[Status]]="Complete","",tblVerifyElements[[#This Row],[Due date]]-$E$37))</f>
        <v/>
      </c>
      <c r="L75" s="39" t="str">
        <f>IF(tblVerifyElements[[#This Row],[PPAP no.]]="","",IF(tblVerifyElements[[#This Row],[Status]]="Complete","Complete",IF($E$37&gt;tblVerifyElements[[#This Row],[Due date]],"Overdue",IF(tblVerifyElements[[#This Row],[Due date]]-$E$37&lt;=$E$38,"Due soon","OK"))))</f>
        <v>Complete</v>
      </c>
      <c r="M75" s="36">
        <f>IF(tblVerifyElements[[#This Row],[PPAP no.]]="","",IF(OR($E$39="",tblVerifyElements[[#This Row],[Customer]]=$E$39),1,0))</f>
        <v>1</v>
      </c>
      <c r="N75" s="40" t="str">
        <f>IF(tblVerifyElements[[#This Row],[PPAP no.]]="","",IF(tblVerifyElements[[#This Row],[Element]]="","Missing element",IF(tblVerifyElements[[#This Row],[Due date]]="","Missing due date",IF(tblVerifyElements[[#This Row],[Status]]="","Missing status",IF(tblVerifyElements[[#This Row],[Part number]]="","PPAP no. not on the log",IF(COUNTIF(tblVerifyElementList[Element],tblVerifyElements[[#This Row],[Element]])=0,"Element not on Setup list",IF(COUNTIFS(tblVerifyElements[PPAP no.],tblVerifyElements[[#This Row],[PPAP no.]],tblVerifyElements[Element],tblVerifyElements[[#This Row],[Element]])&gt;1,"Element listed twice",IF(AND(tblVerifyElements[[#This Row],[Status]]="Complete",NOT(ISNUMBER(tblVerifyElements[[#This Row],[Done date]]))),"Done date missing",IF(AND(tblVerifyElements[[#This Row],[Status]]&lt;&gt;"Complete",ISNUMBER(tblVerifyElements[[#This Row],[Done date]])),"Done date on an open element",IF(AND(ISNUMBER(tblVerifyElements[[#This Row],[Done date]]),tblVerifyElements[[#This Row],[Done date]]&gt;$E$37),"Done after the status date","OK"))))))))))</f>
        <v>OK</v>
      </c>
      <c r="O75" s="64" t="s">
        <v>169</v>
      </c>
    </row>
    <row r="76" spans="2:28">
      <c r="B76" s="64" t="s">
        <v>356</v>
      </c>
      <c r="C76" s="64" t="s">
        <v>126</v>
      </c>
      <c r="D76" s="64" t="s">
        <v>108</v>
      </c>
      <c r="E76" s="75">
        <v>46127</v>
      </c>
      <c r="F76" s="64" t="s">
        <v>151</v>
      </c>
      <c r="G76" s="75">
        <v>46126</v>
      </c>
      <c r="H76" s="64" t="s">
        <v>357</v>
      </c>
      <c r="I76" s="64" t="s">
        <v>351</v>
      </c>
      <c r="J76" s="72">
        <v>0</v>
      </c>
      <c r="K76" s="43">
        <f>IF(tblVerifyElements[[#This Row],[PPAP no.]]="","",IF(tblVerifyElements[[#This Row],[Status]]="Complete","",tblVerifyElements[[#This Row],[Due date]]-$E$37))</f>
        <v/>
      </c>
      <c r="L76" s="39" t="str">
        <f>IF(tblVerifyElements[[#This Row],[PPAP no.]]="","",IF(tblVerifyElements[[#This Row],[Status]]="Complete","Complete",IF($E$37&gt;tblVerifyElements[[#This Row],[Due date]],"Overdue",IF(tblVerifyElements[[#This Row],[Due date]]-$E$37&lt;=$E$38,"Due soon","OK"))))</f>
        <v>Complete</v>
      </c>
      <c r="M76" s="36">
        <f>IF(tblVerifyElements[[#This Row],[PPAP no.]]="","",IF(OR($E$39="",tblVerifyElements[[#This Row],[Customer]]=$E$39),1,0))</f>
        <v>1</v>
      </c>
      <c r="N76" s="40" t="str">
        <f>IF(tblVerifyElements[[#This Row],[PPAP no.]]="","",IF(tblVerifyElements[[#This Row],[Element]]="","Missing element",IF(tblVerifyElements[[#This Row],[Due date]]="","Missing due date",IF(tblVerifyElements[[#This Row],[Status]]="","Missing status",IF(tblVerifyElements[[#This Row],[Part number]]="","PPAP no. not on the log",IF(COUNTIF(tblVerifyElementList[Element],tblVerifyElements[[#This Row],[Element]])=0,"Element not on Setup list",IF(COUNTIFS(tblVerifyElements[PPAP no.],tblVerifyElements[[#This Row],[PPAP no.]],tblVerifyElements[Element],tblVerifyElements[[#This Row],[Element]])&gt;1,"Element listed twice",IF(AND(tblVerifyElements[[#This Row],[Status]]="Complete",NOT(ISNUMBER(tblVerifyElements[[#This Row],[Done date]]))),"Done date missing",IF(AND(tblVerifyElements[[#This Row],[Status]]&lt;&gt;"Complete",ISNUMBER(tblVerifyElements[[#This Row],[Done date]])),"Done date on an open element",IF(AND(ISNUMBER(tblVerifyElements[[#This Row],[Done date]]),tblVerifyElements[[#This Row],[Done date]]&gt;$E$37),"Done after the status date","OK"))))))))))</f>
        <v>OK</v>
      </c>
      <c r="O76" s="64" t="s">
        <v>169</v>
      </c>
    </row>
    <row r="77" spans="2:28">
      <c r="B77" s="64" t="s">
        <v>361</v>
      </c>
      <c r="C77" s="64" t="s">
        <v>121</v>
      </c>
      <c r="D77" s="64" t="s">
        <v>108</v>
      </c>
      <c r="E77" s="75">
        <v>46162</v>
      </c>
      <c r="F77" s="64" t="s">
        <v>151</v>
      </c>
      <c r="G77" s="75">
        <v>46161</v>
      </c>
      <c r="H77" s="64" t="s">
        <v>362</v>
      </c>
      <c r="I77" s="64" t="s">
        <v>352</v>
      </c>
      <c r="J77" s="72">
        <v>1</v>
      </c>
      <c r="K77" s="43">
        <f>IF(tblVerifyElements[[#This Row],[PPAP no.]]="","",IF(tblVerifyElements[[#This Row],[Status]]="Complete","",tblVerifyElements[[#This Row],[Due date]]-$E$37))</f>
        <v/>
      </c>
      <c r="L77" s="39" t="str">
        <f>IF(tblVerifyElements[[#This Row],[PPAP no.]]="","",IF(tblVerifyElements[[#This Row],[Status]]="Complete","Complete",IF($E$37&gt;tblVerifyElements[[#This Row],[Due date]],"Overdue",IF(tblVerifyElements[[#This Row],[Due date]]-$E$37&lt;=$E$38,"Due soon","OK"))))</f>
        <v>Complete</v>
      </c>
      <c r="M77" s="36">
        <f>IF(tblVerifyElements[[#This Row],[PPAP no.]]="","",IF(OR($E$39="",tblVerifyElements[[#This Row],[Customer]]=$E$39),1,0))</f>
        <v>1</v>
      </c>
      <c r="N77" s="40" t="str">
        <f>IF(tblVerifyElements[[#This Row],[PPAP no.]]="","",IF(tblVerifyElements[[#This Row],[Element]]="","Missing element",IF(tblVerifyElements[[#This Row],[Due date]]="","Missing due date",IF(tblVerifyElements[[#This Row],[Status]]="","Missing status",IF(tblVerifyElements[[#This Row],[Part number]]="","PPAP no. not on the log",IF(COUNTIF(tblVerifyElementList[Element],tblVerifyElements[[#This Row],[Element]])=0,"Element not on Setup list",IF(COUNTIFS(tblVerifyElements[PPAP no.],tblVerifyElements[[#This Row],[PPAP no.]],tblVerifyElements[Element],tblVerifyElements[[#This Row],[Element]])&gt;1,"Element listed twice",IF(AND(tblVerifyElements[[#This Row],[Status]]="Complete",NOT(ISNUMBER(tblVerifyElements[[#This Row],[Done date]]))),"Done date missing",IF(AND(tblVerifyElements[[#This Row],[Status]]&lt;&gt;"Complete",ISNUMBER(tblVerifyElements[[#This Row],[Done date]])),"Done date on an open element",IF(AND(ISNUMBER(tblVerifyElements[[#This Row],[Done date]]),tblVerifyElements[[#This Row],[Done date]]&gt;$E$37),"Done after the status date","OK"))))))))))</f>
        <v>OK</v>
      </c>
      <c r="O77" s="64" t="s">
        <v>169</v>
      </c>
    </row>
    <row r="78" spans="2:28">
      <c r="B78" s="64" t="s">
        <v>361</v>
      </c>
      <c r="C78" s="64" t="s">
        <v>125</v>
      </c>
      <c r="D78" s="64" t="s">
        <v>108</v>
      </c>
      <c r="E78" s="75">
        <v>46183</v>
      </c>
      <c r="F78" s="64" t="s">
        <v>221</v>
      </c>
      <c r="G78" s="75"/>
      <c r="H78" s="64" t="s">
        <v>362</v>
      </c>
      <c r="I78" s="64" t="s">
        <v>352</v>
      </c>
      <c r="J78" s="72">
        <v>1</v>
      </c>
      <c r="K78" s="43">
        <f>IF(tblVerifyElements[[#This Row],[PPAP no.]]="","",IF(tblVerifyElements[[#This Row],[Status]]="Complete","",tblVerifyElements[[#This Row],[Due date]]-$E$37))</f>
        <v>-20</v>
      </c>
      <c r="L78" s="39" t="str">
        <f>IF(tblVerifyElements[[#This Row],[PPAP no.]]="","",IF(tblVerifyElements[[#This Row],[Status]]="Complete","Complete",IF($E$37&gt;tblVerifyElements[[#This Row],[Due date]],"Overdue",IF(tblVerifyElements[[#This Row],[Due date]]-$E$37&lt;=$E$38,"Due soon","OK"))))</f>
        <v>Overdue</v>
      </c>
      <c r="M78" s="36">
        <f>IF(tblVerifyElements[[#This Row],[PPAP no.]]="","",IF(OR($E$39="",tblVerifyElements[[#This Row],[Customer]]=$E$39),1,0))</f>
        <v>1</v>
      </c>
      <c r="N78" s="40" t="str">
        <f>IF(tblVerifyElements[[#This Row],[PPAP no.]]="","",IF(tblVerifyElements[[#This Row],[Element]]="","Missing element",IF(tblVerifyElements[[#This Row],[Due date]]="","Missing due date",IF(tblVerifyElements[[#This Row],[Status]]="","Missing status",IF(tblVerifyElements[[#This Row],[Part number]]="","PPAP no. not on the log",IF(COUNTIF(tblVerifyElementList[Element],tblVerifyElements[[#This Row],[Element]])=0,"Element not on Setup list",IF(COUNTIFS(tblVerifyElements[PPAP no.],tblVerifyElements[[#This Row],[PPAP no.]],tblVerifyElements[Element],tblVerifyElements[[#This Row],[Element]])&gt;1,"Element listed twice",IF(AND(tblVerifyElements[[#This Row],[Status]]="Complete",NOT(ISNUMBER(tblVerifyElements[[#This Row],[Done date]]))),"Done date missing",IF(AND(tblVerifyElements[[#This Row],[Status]]&lt;&gt;"Complete",ISNUMBER(tblVerifyElements[[#This Row],[Done date]])),"Done date on an open element",IF(AND(ISNUMBER(tblVerifyElements[[#This Row],[Done date]]),tblVerifyElements[[#This Row],[Done date]]&gt;$E$37),"Done after the status date","OK"))))))))))</f>
        <v>OK</v>
      </c>
      <c r="O78" s="64" t="s">
        <v>169</v>
      </c>
    </row>
    <row r="79" spans="2:28">
      <c r="B79" s="64" t="s">
        <v>361</v>
      </c>
      <c r="C79" s="64" t="s">
        <v>126</v>
      </c>
      <c r="D79" s="64" t="s">
        <v>108</v>
      </c>
      <c r="E79" s="75">
        <v>46208</v>
      </c>
      <c r="F79" s="64" t="s">
        <v>223</v>
      </c>
      <c r="G79" s="75"/>
      <c r="H79" s="64" t="s">
        <v>362</v>
      </c>
      <c r="I79" s="64" t="s">
        <v>352</v>
      </c>
      <c r="J79" s="72">
        <v>1</v>
      </c>
      <c r="K79" s="43">
        <f>IF(tblVerifyElements[[#This Row],[PPAP no.]]="","",IF(tblVerifyElements[[#This Row],[Status]]="Complete","",tblVerifyElements[[#This Row],[Due date]]-$E$37))</f>
        <v>5</v>
      </c>
      <c r="L79" s="39" t="str">
        <f>IF(tblVerifyElements[[#This Row],[PPAP no.]]="","",IF(tblVerifyElements[[#This Row],[Status]]="Complete","Complete",IF($E$37&gt;tblVerifyElements[[#This Row],[Due date]],"Overdue",IF(tblVerifyElements[[#This Row],[Due date]]-$E$37&lt;=$E$38,"Due soon","OK"))))</f>
        <v>Due soon</v>
      </c>
      <c r="M79" s="36">
        <f>IF(tblVerifyElements[[#This Row],[PPAP no.]]="","",IF(OR($E$39="",tblVerifyElements[[#This Row],[Customer]]=$E$39),1,0))</f>
        <v>1</v>
      </c>
      <c r="N79" s="40" t="str">
        <f>IF(tblVerifyElements[[#This Row],[PPAP no.]]="","",IF(tblVerifyElements[[#This Row],[Element]]="","Missing element",IF(tblVerifyElements[[#This Row],[Due date]]="","Missing due date",IF(tblVerifyElements[[#This Row],[Status]]="","Missing status",IF(tblVerifyElements[[#This Row],[Part number]]="","PPAP no. not on the log",IF(COUNTIF(tblVerifyElementList[Element],tblVerifyElements[[#This Row],[Element]])=0,"Element not on Setup list",IF(COUNTIFS(tblVerifyElements[PPAP no.],tblVerifyElements[[#This Row],[PPAP no.]],tblVerifyElements[Element],tblVerifyElements[[#This Row],[Element]])&gt;1,"Element listed twice",IF(AND(tblVerifyElements[[#This Row],[Status]]="Complete",NOT(ISNUMBER(tblVerifyElements[[#This Row],[Done date]]))),"Done date missing",IF(AND(tblVerifyElements[[#This Row],[Status]]&lt;&gt;"Complete",ISNUMBER(tblVerifyElements[[#This Row],[Done date]])),"Done date on an open element",IF(AND(ISNUMBER(tblVerifyElements[[#This Row],[Done date]]),tblVerifyElements[[#This Row],[Done date]]&gt;$E$37),"Done after the status date","OK"))))))))))</f>
        <v>OK</v>
      </c>
      <c r="O79" s="64" t="s">
        <v>169</v>
      </c>
    </row>
    <row r="80" spans="2:28">
      <c r="B80" s="64" t="s">
        <v>363</v>
      </c>
      <c r="C80" s="64" t="s">
        <v>121</v>
      </c>
      <c r="D80" s="64" t="s">
        <v>108</v>
      </c>
      <c r="E80" s="75">
        <v>46235</v>
      </c>
      <c r="F80" s="64" t="s">
        <v>223</v>
      </c>
      <c r="G80" s="75"/>
      <c r="H80" s="64" t="s">
        <v>364</v>
      </c>
      <c r="I80" s="64" t="s">
        <v>352</v>
      </c>
      <c r="J80" s="72">
        <v>1</v>
      </c>
      <c r="K80" s="43">
        <f>IF(tblVerifyElements[[#This Row],[PPAP no.]]="","",IF(tblVerifyElements[[#This Row],[Status]]="Complete","",tblVerifyElements[[#This Row],[Due date]]-$E$37))</f>
        <v>32</v>
      </c>
      <c r="L80" s="39" t="str">
        <f>IF(tblVerifyElements[[#This Row],[PPAP no.]]="","",IF(tblVerifyElements[[#This Row],[Status]]="Complete","Complete",IF($E$37&gt;tblVerifyElements[[#This Row],[Due date]],"Overdue",IF(tblVerifyElements[[#This Row],[Due date]]-$E$37&lt;=$E$38,"Due soon","OK"))))</f>
        <v>OK</v>
      </c>
      <c r="M80" s="36">
        <f>IF(tblVerifyElements[[#This Row],[PPAP no.]]="","",IF(OR($E$39="",tblVerifyElements[[#This Row],[Customer]]=$E$39),1,0))</f>
        <v>1</v>
      </c>
      <c r="N80" s="40" t="str">
        <f>IF(tblVerifyElements[[#This Row],[PPAP no.]]="","",IF(tblVerifyElements[[#This Row],[Element]]="","Missing element",IF(tblVerifyElements[[#This Row],[Due date]]="","Missing due date",IF(tblVerifyElements[[#This Row],[Status]]="","Missing status",IF(tblVerifyElements[[#This Row],[Part number]]="","PPAP no. not on the log",IF(COUNTIF(tblVerifyElementList[Element],tblVerifyElements[[#This Row],[Element]])=0,"Element not on Setup list",IF(COUNTIFS(tblVerifyElements[PPAP no.],tblVerifyElements[[#This Row],[PPAP no.]],tblVerifyElements[Element],tblVerifyElements[[#This Row],[Element]])&gt;1,"Element listed twice",IF(AND(tblVerifyElements[[#This Row],[Status]]="Complete",NOT(ISNUMBER(tblVerifyElements[[#This Row],[Done date]]))),"Done date missing",IF(AND(tblVerifyElements[[#This Row],[Status]]&lt;&gt;"Complete",ISNUMBER(tblVerifyElements[[#This Row],[Done date]])),"Done date on an open element",IF(AND(ISNUMBER(tblVerifyElements[[#This Row],[Done date]]),tblVerifyElements[[#This Row],[Done date]]&gt;$E$37),"Done after the status date","OK"))))))))))</f>
        <v>OK</v>
      </c>
      <c r="O80" s="64" t="s">
        <v>169</v>
      </c>
    </row>
    <row r="81" spans="2:15">
      <c r="B81" s="64" t="s">
        <v>365</v>
      </c>
      <c r="C81" s="64" t="s">
        <v>121</v>
      </c>
      <c r="D81" s="64" t="s">
        <v>108</v>
      </c>
      <c r="E81" s="75">
        <v>46143</v>
      </c>
      <c r="F81" s="64" t="s">
        <v>151</v>
      </c>
      <c r="G81" s="75">
        <v>46144</v>
      </c>
      <c r="H81" s="64" t="s">
        <v>366</v>
      </c>
      <c r="I81" s="64" t="s">
        <v>351</v>
      </c>
      <c r="J81" s="72">
        <v>1</v>
      </c>
      <c r="K81" s="43">
        <f>IF(tblVerifyElements[[#This Row],[PPAP no.]]="","",IF(tblVerifyElements[[#This Row],[Status]]="Complete","",tblVerifyElements[[#This Row],[Due date]]-$E$37))</f>
        <v/>
      </c>
      <c r="L81" s="39" t="str">
        <f>IF(tblVerifyElements[[#This Row],[PPAP no.]]="","",IF(tblVerifyElements[[#This Row],[Status]]="Complete","Complete",IF($E$37&gt;tblVerifyElements[[#This Row],[Due date]],"Overdue",IF(tblVerifyElements[[#This Row],[Due date]]-$E$37&lt;=$E$38,"Due soon","OK"))))</f>
        <v>Complete</v>
      </c>
      <c r="M81" s="36">
        <f>IF(tblVerifyElements[[#This Row],[PPAP no.]]="","",IF(OR($E$39="",tblVerifyElements[[#This Row],[Customer]]=$E$39),1,0))</f>
        <v>1</v>
      </c>
      <c r="N81" s="40" t="str">
        <f>IF(tblVerifyElements[[#This Row],[PPAP no.]]="","",IF(tblVerifyElements[[#This Row],[Element]]="","Missing element",IF(tblVerifyElements[[#This Row],[Due date]]="","Missing due date",IF(tblVerifyElements[[#This Row],[Status]]="","Missing status",IF(tblVerifyElements[[#This Row],[Part number]]="","PPAP no. not on the log",IF(COUNTIF(tblVerifyElementList[Element],tblVerifyElements[[#This Row],[Element]])=0,"Element not on Setup list",IF(COUNTIFS(tblVerifyElements[PPAP no.],tblVerifyElements[[#This Row],[PPAP no.]],tblVerifyElements[Element],tblVerifyElements[[#This Row],[Element]])&gt;1,"Element listed twice",IF(AND(tblVerifyElements[[#This Row],[Status]]="Complete",NOT(ISNUMBER(tblVerifyElements[[#This Row],[Done date]]))),"Done date missing",IF(AND(tblVerifyElements[[#This Row],[Status]]&lt;&gt;"Complete",ISNUMBER(tblVerifyElements[[#This Row],[Done date]])),"Done date on an open element",IF(AND(ISNUMBER(tblVerifyElements[[#This Row],[Done date]]),tblVerifyElements[[#This Row],[Done date]]&gt;$E$37),"Done after the status date","OK"))))))))))</f>
        <v>OK</v>
      </c>
      <c r="O81" s="64" t="s">
        <v>169</v>
      </c>
    </row>
    <row r="82" spans="2:15">
      <c r="B82" s="64" t="s">
        <v>367</v>
      </c>
      <c r="C82" s="64" t="s">
        <v>121</v>
      </c>
      <c r="D82" s="64" t="s">
        <v>108</v>
      </c>
      <c r="E82" s="75">
        <v>46174</v>
      </c>
      <c r="F82" s="64" t="s">
        <v>151</v>
      </c>
      <c r="G82" s="75">
        <v>46174</v>
      </c>
      <c r="H82" s="64" t="s">
        <v>368</v>
      </c>
      <c r="I82" s="64" t="s">
        <v>352</v>
      </c>
      <c r="J82" s="72">
        <v>1</v>
      </c>
      <c r="K82" s="43">
        <f>IF(tblVerifyElements[[#This Row],[PPAP no.]]="","",IF(tblVerifyElements[[#This Row],[Status]]="Complete","",tblVerifyElements[[#This Row],[Due date]]-$E$37))</f>
        <v/>
      </c>
      <c r="L82" s="39" t="str">
        <f>IF(tblVerifyElements[[#This Row],[PPAP no.]]="","",IF(tblVerifyElements[[#This Row],[Status]]="Complete","Complete",IF($E$37&gt;tblVerifyElements[[#This Row],[Due date]],"Overdue",IF(tblVerifyElements[[#This Row],[Due date]]-$E$37&lt;=$E$38,"Due soon","OK"))))</f>
        <v>Complete</v>
      </c>
      <c r="M82" s="36">
        <f>IF(tblVerifyElements[[#This Row],[PPAP no.]]="","",IF(OR($E$39="",tblVerifyElements[[#This Row],[Customer]]=$E$39),1,0))</f>
        <v>1</v>
      </c>
      <c r="N82" s="40" t="str">
        <f>IF(tblVerifyElements[[#This Row],[PPAP no.]]="","",IF(tblVerifyElements[[#This Row],[Element]]="","Missing element",IF(tblVerifyElements[[#This Row],[Due date]]="","Missing due date",IF(tblVerifyElements[[#This Row],[Status]]="","Missing status",IF(tblVerifyElements[[#This Row],[Part number]]="","PPAP no. not on the log",IF(COUNTIF(tblVerifyElementList[Element],tblVerifyElements[[#This Row],[Element]])=0,"Element not on Setup list",IF(COUNTIFS(tblVerifyElements[PPAP no.],tblVerifyElements[[#This Row],[PPAP no.]],tblVerifyElements[Element],tblVerifyElements[[#This Row],[Element]])&gt;1,"Element listed twice",IF(AND(tblVerifyElements[[#This Row],[Status]]="Complete",NOT(ISNUMBER(tblVerifyElements[[#This Row],[Done date]]))),"Done date missing",IF(AND(tblVerifyElements[[#This Row],[Status]]&lt;&gt;"Complete",ISNUMBER(tblVerifyElements[[#This Row],[Done date]])),"Done date on an open element",IF(AND(ISNUMBER(tblVerifyElements[[#This Row],[Done date]]),tblVerifyElements[[#This Row],[Done date]]&gt;$E$37),"Done after the status date","OK"))))))))))</f>
        <v>OK</v>
      </c>
      <c r="O82" s="64" t="s">
        <v>169</v>
      </c>
    </row>
    <row r="83" spans="2:15">
      <c r="B83" s="64" t="s">
        <v>373</v>
      </c>
      <c r="C83" s="64" t="s">
        <v>122</v>
      </c>
      <c r="D83" s="64" t="s">
        <v>108</v>
      </c>
      <c r="E83" s="75">
        <v>46174</v>
      </c>
      <c r="F83" s="64" t="s">
        <v>151</v>
      </c>
      <c r="G83" s="75"/>
      <c r="H83" s="64" t="s">
        <v>169</v>
      </c>
      <c r="I83" s="64" t="s">
        <v>169</v>
      </c>
      <c r="J83" s="72" t="s">
        <v>169</v>
      </c>
      <c r="K83" s="43">
        <f>IF(tblVerifyElements[[#This Row],[PPAP no.]]="","",IF(tblVerifyElements[[#This Row],[Status]]="Complete","",tblVerifyElements[[#This Row],[Due date]]-$E$37))</f>
        <v/>
      </c>
      <c r="L83" s="39" t="str">
        <f>IF(tblVerifyElements[[#This Row],[PPAP no.]]="","",IF(tblVerifyElements[[#This Row],[Status]]="Complete","Complete",IF($E$37&gt;tblVerifyElements[[#This Row],[Due date]],"Overdue",IF(tblVerifyElements[[#This Row],[Due date]]-$E$37&lt;=$E$38,"Due soon","OK"))))</f>
        <v>Complete</v>
      </c>
      <c r="M83" s="36">
        <f>IF(tblVerifyElements[[#This Row],[PPAP no.]]="","",IF(OR($E$39="",tblVerifyElements[[#This Row],[Customer]]=$E$39),1,0))</f>
        <v>1</v>
      </c>
      <c r="N83" s="40" t="str">
        <f>IF(tblVerifyElements[[#This Row],[PPAP no.]]="","",IF(tblVerifyElements[[#This Row],[Element]]="","Missing element",IF(tblVerifyElements[[#This Row],[Due date]]="","Missing due date",IF(tblVerifyElements[[#This Row],[Status]]="","Missing status",IF(tblVerifyElements[[#This Row],[Part number]]="","PPAP no. not on the log",IF(COUNTIF(tblVerifyElementList[Element],tblVerifyElements[[#This Row],[Element]])=0,"Element not on Setup list",IF(COUNTIFS(tblVerifyElements[PPAP no.],tblVerifyElements[[#This Row],[PPAP no.]],tblVerifyElements[Element],tblVerifyElements[[#This Row],[Element]])&gt;1,"Element listed twice",IF(AND(tblVerifyElements[[#This Row],[Status]]="Complete",NOT(ISNUMBER(tblVerifyElements[[#This Row],[Done date]]))),"Done date missing",IF(AND(tblVerifyElements[[#This Row],[Status]]&lt;&gt;"Complete",ISNUMBER(tblVerifyElements[[#This Row],[Done date]])),"Done date on an open element",IF(AND(ISNUMBER(tblVerifyElements[[#This Row],[Done date]]),tblVerifyElements[[#This Row],[Done date]]&gt;$E$37),"Done after the status date","OK"))))))))))</f>
        <v>PPAP no. not on the log</v>
      </c>
      <c r="O83" s="64" t="s">
        <v>169</v>
      </c>
    </row>
  </sheetData>
  <sheetProtection sheet="1" formatColumns="0" formatRows="0"/>
  <mergeCells count="44">
    <mergeCell ref="A1:AB1"/>
    <mergeCell ref="B2:AA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B33:L33"/>
    <mergeCell ref="B35:L35"/>
    <mergeCell ref="B36:F36"/>
    <mergeCell ref="B37:D37"/>
    <mergeCell ref="B38:D38"/>
    <mergeCell ref="B39:D39"/>
    <mergeCell ref="E39:F39"/>
    <mergeCell ref="B40:D40"/>
    <mergeCell ref="B41:D41"/>
    <mergeCell ref="B42:D42"/>
    <mergeCell ref="B44:L44"/>
    <mergeCell ref="B49:L49"/>
    <mergeCell ref="B54:L54"/>
    <mergeCell ref="B63:L63"/>
    <mergeCell ref="B73:L73"/>
  </mergeCells>
  <conditionalFormatting sqref="AA65:AA71">
    <cfRule type="expression" dxfId="3" priority="41">
      <formula>$AA65="OK"</formula>
    </cfRule>
    <cfRule type="expression" dxfId="1" priority="42">
      <formula>AND($AA65&lt;&gt;"",$AA65&lt;&gt;"OK")</formula>
    </cfRule>
  </conditionalFormatting>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N75:N83">
    <cfRule type="expression" dxfId="3" priority="43">
      <formula>$N75="OK"</formula>
    </cfRule>
    <cfRule type="expression" dxfId="1" priority="44">
      <formula>AND($N75&lt;&gt;"",$N75&lt;&gt;"OK")</formula>
    </cfRule>
  </conditionalFormatting>
  <hyperlinks>
    <hyperlink ref="AB2" r:id="rId1" tooltip="Free manufacturing calculators and templates"/>
  </hyperlinks>
  <printOptions horizontalCentered="1"/>
  <pageMargins left="0.4" right="0.4" top="0.7" bottom="0.65" header="0.3" footer="0.3"/>
  <pageSetup fitToHeight="0" orientation="landscape"/>
  <headerFooter>
    <oddHeader>&amp;L&amp;8MFG Calcs - PPAP Submission Tracker&amp;R&amp;8&amp;A</oddHeader>
    <oddFooter>&amp;L&amp;8mfgcalcs.com - free manufacturing templates&amp;R&amp;8Page &amp;P of &amp;N</oddFooter>
  </headerFooter>
  <rowBreaks count="1" manualBreakCount="1">
    <brk id="71" max="16383" man="1"/>
  </rowBreaks>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35</vt:i4>
      </vt:variant>
    </vt:vector>
  </HeadingPairs>
  <TitlesOfParts>
    <vt:vector size="42" baseType="lpstr">
      <vt:lpstr>Start Here</vt:lpstr>
      <vt:lpstr>Setup</vt:lpstr>
      <vt:lpstr>PPAP Log</vt:lpstr>
      <vt:lpstr>Element Tracker</vt:lpstr>
      <vt:lpstr>Dashboard</vt:lpstr>
      <vt:lpstr>Method</vt:lpstr>
      <vt:lpstr>Verify</vt:lpstr>
      <vt:lpstr>AsOf</vt:lpstr>
      <vt:lpstr>DashCustomer</vt:lpstr>
      <vt:lpstr>DueSoonDays</vt:lpstr>
      <vt:lpstr>HoursAvailable</vt:lpstr>
      <vt:lpstr>HoursPerPackage</vt:lpstr>
      <vt:lpstr>KpiElOverdue</vt:lpstr>
      <vt:lpstr>KpiFirst</vt:lpstr>
      <vt:lpstr>KpiNeed</vt:lpstr>
      <vt:lpstr>KpiOpen</vt:lpstr>
      <vt:lpstr>KpiOverdue</vt:lpstr>
      <vt:lpstr>KpiReady</vt:lpstr>
      <vt:lpstr>KpiReview</vt:lpstr>
      <vt:lpstr>KpiToSubmit</vt:lpstr>
      <vt:lpstr>PlantName</vt:lpstr>
      <vt:lpstr>Dashboard!Print_Area</vt:lpstr>
      <vt:lpstr>'Element Tracker'!Print_Area</vt:lpstr>
      <vt:lpstr>Method!Print_Area</vt:lpstr>
      <vt:lpstr>'PPAP Log'!Print_Area</vt:lpstr>
      <vt:lpstr>Setup!Print_Area</vt:lpstr>
      <vt:lpstr>'Start Here'!Print_Area</vt:lpstr>
      <vt:lpstr>Verify!Print_Area</vt:lpstr>
      <vt:lpstr>'Element Tracker'!Print_Titles</vt:lpstr>
      <vt:lpstr>Method!Print_Titles</vt:lpstr>
      <vt:lpstr>'PPAP Log'!Print_Titles</vt:lpstr>
      <vt:lpstr>ResubAllow</vt:lpstr>
      <vt:lpstr>SelfCheck</vt:lpstr>
      <vt:lpstr>SelfCheckSummary</vt:lpstr>
      <vt:lpstr>TargetFirst</vt:lpstr>
      <vt:lpstr>WlAvail</vt:lpstr>
      <vt:lpstr>WlHours</vt:lpstr>
      <vt:lpstr>WlLeft</vt:lpstr>
      <vt:lpstr>WlNeed</vt:lpstr>
      <vt:lpstr>WlPkgs</vt:lpstr>
      <vt:lpstr>WlShare</vt:lpstr>
      <vt:lpstr>WlStatus</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PPAP Submission Tracker - free Excel template from MFG Calcs</dc:title>
  <dc:subject>Track every PPAP package and the elements it needs, and see what is overdue, how ready each open package is and how often customers approve first time.</dc:subject>
  <dc:creator>MFG Calcs</dc:creator>
  <cp:keywords>PPAP, production part approval process, PSW, part submission warrant, supplier quality, APQP, automotive, IATF 16949</cp:keywords>
  <dc:description>https://www.mfgcalcs.com/templates/ppap-tracker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ppap-tracker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https://www.mfgcalcs.com/templates/ppap-tracker</vt:lpwstr>
  </property>
  <property fmtid="{D5CDD505-2E9C-101B-9397-08002B2CF9AE}" pid="7" name="Template sheet roles">
    <vt:lpwstr>Start Here=start;Setup=setup;PPAP Log=work;Element Tracker=work;Dashboard=dashboard;Method=method;Verify=verify</vt:lpwstr>
  </property>
</Properties>
</file>