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easurements" sheetId="3" r:id="rId3"/>
    <sheet name="Dashboard" sheetId="4" r:id="rId4"/>
    <sheet name="Method" sheetId="5" r:id="rId5"/>
    <sheet name="Verify" sheetId="6" r:id="rId6"/>
  </sheets>
  <definedNames>
    <definedName name="BinW">Dashboard!$E$50</definedName>
    <definedName name="CharName">Setup!$C$7</definedName>
    <definedName name="Constants">tblConstants[n]</definedName>
    <definedName name="ConstD2">Setup!$C$14</definedName>
    <definedName name="CP">Dashboard!$E$40</definedName>
    <definedName name="CPK">Dashboard!$E$43</definedName>
    <definedName name="CPL">Dashboard!$E$42</definedName>
    <definedName name="CPU">Dashboard!$E$41</definedName>
    <definedName name="ExpPpm">Dashboard!$E$49</definedName>
    <definedName name="KpiCp">Dashboard!$G$7</definedName>
    <definedName name="KpiCpk">Dashboard!$B$7</definedName>
    <definedName name="KpiMean">Dashboard!$B$30</definedName>
    <definedName name="KpiPp">Dashboard!$J$7</definedName>
    <definedName name="KpiPpk">Dashboard!$D$7</definedName>
    <definedName name="KpiPpm">Dashboard!$J$30</definedName>
    <definedName name="KpiSdO">Dashboard!$G$30</definedName>
    <definedName name="KpiSdW">Dashboard!$D$30</definedName>
    <definedName name="LSL">Setup!$C$9</definedName>
    <definedName name="NAll">Dashboard!$E$35</definedName>
    <definedName name="ObsPpm">Dashboard!$E$48</definedName>
    <definedName name="PlantName">Setup!$C$6</definedName>
    <definedName name="PP">Dashboard!$E$44</definedName>
    <definedName name="PPK">Dashboard!$E$47</definedName>
    <definedName name="PPL">Dashboard!$E$46</definedName>
    <definedName name="PPU">Dashboard!$E$45</definedName>
    <definedName name="_xlnm.Print_Area" localSheetId="3">Dashboard!$A$1:$L$75</definedName>
    <definedName name="_xlnm.Print_Area" localSheetId="2">Measurements!$A$1:$M$31</definedName>
    <definedName name="_xlnm.Print_Area" localSheetId="4">Method!$A$1:$D$59</definedName>
    <definedName name="_xlnm.Print_Area" localSheetId="1">Setup!$A$1:$E$25</definedName>
    <definedName name="_xlnm.Print_Area" localSheetId="0">'Start Here'!$A$1:$F$55</definedName>
    <definedName name="_xlnm.Print_Area" localSheetId="5">Verify!$A$1:$M$59</definedName>
    <definedName name="_xlnm.Print_Titles" localSheetId="2">Measurements!$1:$6</definedName>
    <definedName name="_xlnm.Print_Titles" localSheetId="4">Method!$1:$2</definedName>
    <definedName name="RBar">Dashboard!$E$37</definedName>
    <definedName name="ReqCpk">Setup!$C$12</definedName>
    <definedName name="ReqPpk">Setup!$C$13</definedName>
    <definedName name="SdO">Dashboard!$E$39</definedName>
    <definedName name="SdW">Dashboard!$E$38</definedName>
    <definedName name="SelfCheck">Verify!$D$4</definedName>
    <definedName name="SelfCheckSummary">Verify!$F$4</definedName>
    <definedName name="SpecCheck">Setup!$C$15</definedName>
    <definedName name="SubN">Setup!$C$11</definedName>
    <definedName name="UnitLabel">Setup!$C$8</definedName>
    <definedName name="USL">Setup!$C$10</definedName>
    <definedName name="XBar">Dashboard!$E$36</definedName>
  </definedNames>
  <calcPr calcId="124519" fullCalcOnLoad="1"/>
</workbook>
</file>

<file path=xl/sharedStrings.xml><?xml version="1.0" encoding="utf-8"?>
<sst xmlns="http://schemas.openxmlformats.org/spreadsheetml/2006/main" count="374" uniqueCount="213">
  <si>
    <t>Process Capability Cp Cpk Pp Ppk</t>
  </si>
  <si>
    <t>Read this first: what the workbook does and how to use it.</t>
  </si>
  <si>
    <t>mfgcalcs.com</t>
  </si>
  <si>
    <t>Enter a subgrouped capability study and get Cp, Cpk, Pp, Ppk, a histogram against the specification and observed and expected ppm out of spec.</t>
  </si>
  <si>
    <t>For: Quality engineers, supplier quality engineers, process engineers and machine shop owners preparing PPAP or customer capability evidence.</t>
  </si>
  <si>
    <t>Version 1.0.0  ·  updated 15 October 2026</t>
  </si>
  <si>
    <t>Quick start</t>
  </si>
  <si>
    <t>1.</t>
  </si>
  <si>
    <t>On Setup, name the characteristic and unit, type the lower and upper specification limits, the subgroup size and your customer's required Cpk and Ppk.</t>
  </si>
  <si>
    <t>2.</t>
  </si>
  <si>
    <t>On Measurements, add one row per subgroup with its readings in production order (25 subgroups of 5 is the usual study).</t>
  </si>
  <si>
    <t>3.</t>
  </si>
  <si>
    <t>Fix anything the Check column names, and confirm on an SPC chart that the process is stable before you quote the indices.</t>
  </si>
  <si>
    <t>4.</t>
  </si>
  <si>
    <t>Open the Dashboard: the tiles give Cp, Cpk, Pp and Ppk against the requirement; the histogram shows where the parts fall in the tolerance.</t>
  </si>
  <si>
    <t>What is in this workbook</t>
  </si>
  <si>
    <t>Start Here</t>
  </si>
  <si>
    <t>Setup</t>
  </si>
  <si>
    <t>The characteristic, its specification limits, the subgroup size and your customer's requirements.</t>
  </si>
  <si>
    <t>Measurements</t>
  </si>
  <si>
    <t>One row per subgroup of consecutive parts, in production order.</t>
  </si>
  <si>
    <t>Dashboard</t>
  </si>
  <si>
    <t>Cp, Cpk, Pp and Ppk against your requirement, the histogram against the specification, and ppm out of spec.</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</si>
  <si>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</si>
  <si>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</si>
  <si>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</si>
  <si>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</si>
  <si>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</si>
  <si>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</si>
  <si>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</si>
  <si>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</si>
  <si>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</si>
  <si>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</si>
  <si>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</si>
  <si>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</si>
  <si>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</si>
  <si>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</si>
  <si>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</si>
  <si>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</si>
  <si>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</si>
  <si>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</si>
  <si>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</si>
  <si>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</si>
  <si>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Process Capability Cpk Calculator on mfgcalcs.com</t>
  </si>
  <si>
    <t>Latest version</t>
  </si>
  <si>
    <t>mfgcalcs.com/templates/process-capability-cpk</t>
  </si>
  <si>
    <t>More free templates</t>
  </si>
  <si>
    <t>mfgcalcs.com/templates</t>
  </si>
  <si>
    <t>Version</t>
  </si>
  <si>
    <t>1.0.0 (updated 15 October 2026)</t>
  </si>
  <si>
    <t>About the example data</t>
  </si>
  <si>
    <t>Every number already in this workbook is example data for Kestrel Precision, a fictional business invented for this template, so the dashboard and charts show something meaningful on day one. It covers 25 subgroups of five ground-shaft diameter readings (12.000 +/- 0.020 mm) from 5 to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</si>
  <si>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</si>
  <si>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</si>
  <si>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</si>
  <si>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</si>
  <si>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</si>
  <si>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</si>
  <si>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</si>
  <si>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</si>
  <si>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n</t>
  </si>
  <si>
    <t>d2</t>
  </si>
  <si>
    <t>Characteristic and specification</t>
  </si>
  <si>
    <t>Plant or supplier</t>
  </si>
  <si>
    <t>Kestrel Precision (example)</t>
  </si>
  <si>
    <t>Characteristic</t>
  </si>
  <si>
    <t>Shaft OD, grind OP40 (example)</t>
  </si>
  <si>
    <t>Measurement unit</t>
  </si>
  <si>
    <t>mm</t>
  </si>
  <si>
    <t>Lower specification limit (LSL)</t>
  </si>
  <si>
    <t>Upper specification limit (USL)</t>
  </si>
  <si>
    <t>Subgroup size n</t>
  </si>
  <si>
    <t>readings</t>
  </si>
  <si>
    <t>Required Cpk (and Cp)</t>
  </si>
  <si>
    <t>index</t>
  </si>
  <si>
    <t>Required Ppk (and Pp)</t>
  </si>
  <si>
    <t>d2 for this subgroup size</t>
  </si>
  <si>
    <t>-</t>
  </si>
  <si>
    <t>Specification check</t>
  </si>
  <si>
    <t>Requirements are your customer's. Many automotive customers follow the AIAG PPAP manual, which asks for 1.67 on initial process studies and 1.33 on ongoing production; check your customer-specific requirements.</t>
  </si>
  <si>
    <t>d2 constant (public, n = 2 to 5)</t>
  </si>
  <si>
    <t>Public statistical constant d2 (mean range of n normal values in SD units), as tabulated in SPC texts. Do not edit.</t>
  </si>
  <si>
    <t>Subgroup no.</t>
  </si>
  <si>
    <t>Date</t>
  </si>
  <si>
    <t>Reading 1</t>
  </si>
  <si>
    <t>Reading 2</t>
  </si>
  <si>
    <t>Reading 3</t>
  </si>
  <si>
    <t>Reading 4</t>
  </si>
  <si>
    <t>Reading 5</t>
  </si>
  <si>
    <t>Mean</t>
  </si>
  <si>
    <t>Range</t>
  </si>
  <si>
    <t>Out of spec (readings)</t>
  </si>
  <si>
    <t>Check</t>
  </si>
  <si>
    <t>Notes</t>
  </si>
  <si>
    <t>Example data for Kestrel Precision (fictional). To clear: select the example rows, right-click, Delete &gt; Table Rows. Yellow = you type; blue = calculated; Check names any problem.</t>
  </si>
  <si>
    <t>Study start; wheel dressed</t>
  </si>
  <si>
    <t/>
  </si>
  <si>
    <t>Wheel dressed</t>
  </si>
  <si>
    <t>Study end</t>
  </si>
  <si>
    <t>CPK (WITHIN)</t>
  </si>
  <si>
    <t>PPK (OVERALL)</t>
  </si>
  <si>
    <t>CP (WITHIN, IF CENTRED)</t>
  </si>
  <si>
    <t>PP (OVERALL, IF CENTRED)</t>
  </si>
  <si>
    <t>OUT OF SPEC (PPM)</t>
  </si>
  <si>
    <t>R-bar / d2</t>
  </si>
  <si>
    <t>Sample SD of every reading</t>
  </si>
  <si>
    <t>Readings in the study</t>
  </si>
  <si>
    <t>Indices against the requirement</t>
  </si>
  <si>
    <t>Overall mean</t>
  </si>
  <si>
    <t>Index</t>
  </si>
  <si>
    <t>Required</t>
  </si>
  <si>
    <t>Status</t>
  </si>
  <si>
    <t>Average subgroup range (R-bar)</t>
  </si>
  <si>
    <t>Cp</t>
  </si>
  <si>
    <t>Within sigma (R-bar / d2)</t>
  </si>
  <si>
    <t>Cpk</t>
  </si>
  <si>
    <t>Overall sigma (sample SD)</t>
  </si>
  <si>
    <t>Pp</t>
  </si>
  <si>
    <t>Ppk</t>
  </si>
  <si>
    <t>Cpk upper side (CPU)</t>
  </si>
  <si>
    <t>Cpk lower side (CPL)</t>
  </si>
  <si>
    <t>Ppk upper side (PPU)</t>
  </si>
  <si>
    <t>Ppk lower side (PPL)</t>
  </si>
  <si>
    <t>Observed out of spec</t>
  </si>
  <si>
    <t>ppm</t>
  </si>
  <si>
    <t>Expected out of spec (normal, overall sigma, est.)</t>
  </si>
  <si>
    <t>Histogram bin width (tolerance / 20)</t>
  </si>
  <si>
    <t>Histogram bins: 1 = below the LSL, 2 to 21 = twentieths of the tolerance, 22 = above the USL</t>
  </si>
  <si>
    <t>Bin</t>
  </si>
  <si>
    <t>From</t>
  </si>
  <si>
    <t>To</t>
  </si>
  <si>
    <t>Chart label</t>
  </si>
  <si>
    <t>Readings</t>
  </si>
  <si>
    <t>In spec</t>
  </si>
  <si>
    <t>Out of spec</t>
  </si>
  <si>
    <t>Normal fit (est.)</t>
  </si>
  <si>
    <t>What this workbook calculates</t>
  </si>
  <si>
    <t>Capability compares the spread of a process with the width of its specification. This workbook reports two families from the same study: capability indices (Cp, Cpk) use the within-subgroup sigma, the short-term variation the process shows when nothing changes between consecutive parts; performance indices (Pp, Ppk) use the overall sigma of every reading, which also contains the drift between subgroups. A large gap between Cpk and Ppk says the process moves between subgroups; a gap between Cp and Cpk says it is off-centre.</t>
  </si>
  <si>
    <t>Calculations</t>
  </si>
  <si>
    <t>Quantity</t>
  </si>
  <si>
    <t>How it is calculated</t>
  </si>
  <si>
    <t>Units</t>
  </si>
  <si>
    <t>Mean and range (per subgroup)</t>
  </si>
  <si>
    <t>Average and largest minus smallest of the readings; blank unless exactly n readings.</t>
  </si>
  <si>
    <t>unit</t>
  </si>
  <si>
    <t>Out of spec (per subgroup)</t>
  </si>
  <si>
    <t>Readings below the LSL or above the USL.</t>
  </si>
  <si>
    <t>Average of every reading in the table.</t>
  </si>
  <si>
    <t>Within sigma</t>
  </si>
  <si>
    <t>R-bar / d2: average subgroup range over d2 for the subgroup size (2.326 for n = 5).</t>
  </si>
  <si>
    <t>Overall sigma</t>
  </si>
  <si>
    <t>Sample standard deviation of every reading (n - 1 in the denominator, STDEV.S).</t>
  </si>
  <si>
    <t>Cp and Pp</t>
  </si>
  <si>
    <t>(USL - LSL) / (6 x sigma), with the within sigma for Cp and the overall sigma for Pp.</t>
  </si>
  <si>
    <t>Cpk and Ppk</t>
  </si>
  <si>
    <t>Smaller of (USL - mean) / (3 sigma) and (mean - LSL) / (3 sigma), each side shown separately (CPU, CPL, PPU, PPL).</t>
  </si>
  <si>
    <t>Observed ppm</t>
  </si>
  <si>
    <t>Readings outside the specification / readings x 1,000,000.</t>
  </si>
  <si>
    <t>Expected ppm (est.)</t>
  </si>
  <si>
    <t>Normal model with the overall mean and sigma: (P(x &lt; LSL) + P(x &gt; USL)) x 1,000,000, using NORM.DIST.</t>
  </si>
  <si>
    <t>Histogram</t>
  </si>
  <si>
    <t>Twenty bins of (USL - LSL) / 20 across the tolerance (the last includes the USL), plus one bin for every reading below the LSL and one above the USL. Counts by COUNTIF(S); the normal fit is readings x the normal probability of each bin.</t>
  </si>
  <si>
    <t>On target at or above the requirement, Near target within 5% below it, otherwise Below target.</t>
  </si>
  <si>
    <t>words</t>
  </si>
  <si>
    <t>Assumptions</t>
  </si>
  <si>
    <t>The process is stable (in statistical control) over the study. Check it on an X-bar and R chart first; indices of an unstable process predict nothing.</t>
  </si>
  <si>
    <t>Readings are roughly normal. The indices and the expected ppm lean on that; the observed ppm does not.</t>
  </si>
  <si>
    <t>Subgroups are consecutive parts, so the range measures short-term variation only.</t>
  </si>
  <si>
    <t>Two-sided specification. For a one-sided limit, read the matching side (CPU or CPL, PPU or PPL) only.</t>
  </si>
  <si>
    <t>Limitations</t>
  </si>
  <si>
    <t>No normality test, no transformation and no non-normal capability; skewed characteristics (flatness, runout, roughness) need those.</t>
  </si>
  <si>
    <t>No confidence intervals: with 125 readings an observed Cpk of 1.33 has a 95% lower bound near 1.15.</t>
  </si>
  <si>
    <t>Measurement error is part of every sigma here; a poor gage lowers the indices (run a gage R&amp;R study first).</t>
  </si>
  <si>
    <t>Fixed histogram bins across the tolerance; a process much narrower than the tolerance fills only a few of them.</t>
  </si>
  <si>
    <t>Agreement with the live calculator</t>
  </si>
  <si>
    <t>The live Process Capability Cpk, Process Performance Ppk and Process Capability Cp calculators take a mean, one sigma and the specification. Enter this workbook's overall mean with its within sigma for Cpk or its overall sigma for Ppk and the results agree exactly (checked against the calculators' engine on every build). The calculators work from summary numbers; this workbook estimates them from the readings and adds the histogram and the ppm figures.</t>
  </si>
  <si>
    <t>Open the Process Capability Cpk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</si>
  <si>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</si>
  <si>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</si>
  <si>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Statistical Process Control (SPC) reference manual, 2nd edition, 2005 (Cp, Cpk, Pp, Ppk definitions; d2).</t>
  </si>
  <si>
    <t>AIAG, Production Part Approval Process (PPAP), 4th edition, 2006 (index requirements for initial studies).</t>
  </si>
  <si>
    <t>ISO 22514-2, Statistical methods in process management - Capability and performance - Part 2 (process performance and capability indices).</t>
  </si>
  <si>
    <t>NIST/SEMATECH e-Handbook of Statistical Methods, section 6.1.6 (process capability).</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</si>
  <si>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</si>
  <si>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</si>
  <si>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</si>
  <si>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</si>
  <si>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</si>
  <si>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</si>
  <si>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</si>
  <si>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</si>
  <si>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</si>
  <si>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</si>
  <si>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</si>
  <si>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</si>
  <si>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</si>
  <si>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</si>
  <si>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</si>
  <si>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Subgroup 1: mean</t>
  </si>
  <si>
    <t>Subgroup 3: range</t>
  </si>
  <si>
    <t>Subgroup 5: out of spec readings</t>
  </si>
  <si>
    <t>Subgroup 5: Check reports the reading outside spec</t>
  </si>
  <si>
    <t>Reading outside spec</t>
  </si>
  <si>
    <t>exact</t>
  </si>
  <si>
    <t>Expected ppm (normal model)</t>
  </si>
  <si>
    <t>Fixed test inputs</t>
  </si>
  <si>
    <t>White cells are fixed test inputs; blue cells are the workbook's formulas evaluated on them.</t>
  </si>
  <si>
    <t>Parameters</t>
  </si>
  <si>
    <t>d2 for n = 5</t>
  </si>
  <si>
    <t>LSL</t>
  </si>
  <si>
    <t>USL</t>
  </si>
  <si>
    <t>Test table: Meas</t>
  </si>
  <si>
    <t>Test inputs and formulas</t>
  </si>
</sst>
</file>

<file path=xl/styles.xml><?xml version="1.0" encoding="utf-8"?>
<styleSheet xmlns="http://schemas.openxmlformats.org/spreadsheetml/2006/main">
  <numFmts count="8">
    <numFmt numFmtId="164" formatCode="#,##0.000"/>
    <numFmt numFmtId="165" formatCode="#,##0"/>
    <numFmt numFmtId="166" formatCode="#,##0.00"/>
    <numFmt numFmtId="167" formatCode="d mmm yyyy"/>
    <numFmt numFmtId="168" formatCode="0.0000"/>
    <numFmt numFmtId="169" formatCode="&quot;Target &quot;#,##0.00"/>
    <numFmt numFmtId="170" formatCode="#,##0.0"/>
    <numFmt numFmtId="171"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0" fontId="10" fillId="4" borderId="3" xfId="0" applyFont="1" applyFill="1" applyBorder="1" applyAlignment="1">
      <alignment vertical="center"/>
    </xf>
    <xf numFmtId="0" fontId="17" fillId="0" borderId="0" xfId="0" applyFont="1" applyAlignment="1">
      <alignment vertical="center"/>
    </xf>
    <xf numFmtId="0" fontId="18" fillId="7" borderId="2" xfId="0" applyFont="1" applyFill="1" applyBorder="1" applyAlignment="1">
      <alignment vertical="center" wrapText="1"/>
    </xf>
    <xf numFmtId="0" fontId="19" fillId="2" borderId="5" xfId="0" applyFont="1" applyFill="1" applyBorder="1" applyAlignment="1">
      <alignment horizontal="center" vertical="center" wrapText="1"/>
    </xf>
    <xf numFmtId="0" fontId="20" fillId="0" borderId="0" xfId="0" applyFont="1" applyAlignment="1">
      <alignment horizontal="center" vertical="center"/>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21" fillId="4" borderId="3" xfId="0" applyFont="1" applyFill="1" applyBorder="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8"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6" fontId="10" fillId="4" borderId="3" xfId="0" applyNumberFormat="1" applyFont="1" applyFill="1" applyBorder="1" applyAlignment="1">
      <alignment vertical="center"/>
    </xf>
    <xf numFmtId="166" fontId="10" fillId="0" borderId="9" xfId="0" applyNumberFormat="1" applyFont="1" applyBorder="1" applyAlignment="1">
      <alignment vertical="center"/>
    </xf>
    <xf numFmtId="166" fontId="9" fillId="4" borderId="3" xfId="0" applyNumberFormat="1" applyFont="1" applyFill="1" applyBorder="1" applyAlignment="1">
      <alignment vertical="center"/>
    </xf>
    <xf numFmtId="165" fontId="9" fillId="0" borderId="9" xfId="0" applyNumberFormat="1" applyFont="1" applyBorder="1" applyAlignment="1">
      <alignment vertical="center"/>
    </xf>
    <xf numFmtId="170" fontId="10" fillId="4" borderId="3" xfId="0" applyNumberFormat="1" applyFont="1" applyFill="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0" fontId="10" fillId="4" borderId="3" xfId="0" applyFont="1" applyFill="1" applyBorder="1" applyAlignment="1">
      <alignment horizontal="center" vertical="center"/>
    </xf>
    <xf numFmtId="165" fontId="10" fillId="0" borderId="9" xfId="0" applyNumberFormat="1" applyFont="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Histogram against the specification</a:t>
            </a:r>
          </a:p>
        </c:rich>
      </c:tx>
      <c:layout/>
    </c:title>
    <c:plotArea>
      <c:layout/>
      <c:barChart>
        <c:barDir val="col"/>
        <c:grouping val="clustered"/>
        <c:ser>
          <c:idx val="0"/>
          <c:order val="0"/>
          <c:tx>
            <c:v>In spec</c:v>
          </c:tx>
          <c:spPr>
            <a:solidFill>
              <a:srgbClr val="3B64D8"/>
            </a:solidFill>
            <a:ln w="9525">
              <a:solidFill>
                <a:srgbClr val="FFFFFF"/>
              </a:solidFill>
            </a:ln>
          </c:spPr>
          <c:cat>
            <c:strRef>
              <c:f>Dashboard!$E$54:$E$75</c:f>
              <c:strCache>
                <c:ptCount val="22"/>
                <c:pt idx="0">
                  <c:v>&lt; 11.980</c:v>
                </c:pt>
                <c:pt idx="1">
                  <c:v>11.981</c:v>
                </c:pt>
                <c:pt idx="2">
                  <c:v>11.983</c:v>
                </c:pt>
                <c:pt idx="3">
                  <c:v>11.985</c:v>
                </c:pt>
                <c:pt idx="4">
                  <c:v>11.987</c:v>
                </c:pt>
                <c:pt idx="5">
                  <c:v>11.989</c:v>
                </c:pt>
                <c:pt idx="6">
                  <c:v>11.991</c:v>
                </c:pt>
                <c:pt idx="7">
                  <c:v>11.993</c:v>
                </c:pt>
                <c:pt idx="8">
                  <c:v>11.995</c:v>
                </c:pt>
                <c:pt idx="9">
                  <c:v>11.997</c:v>
                </c:pt>
                <c:pt idx="10">
                  <c:v>11.999</c:v>
                </c:pt>
                <c:pt idx="11">
                  <c:v>12.001</c:v>
                </c:pt>
                <c:pt idx="12">
                  <c:v>12.003</c:v>
                </c:pt>
                <c:pt idx="13">
                  <c:v>12.005</c:v>
                </c:pt>
                <c:pt idx="14">
                  <c:v>12.007</c:v>
                </c:pt>
                <c:pt idx="15">
                  <c:v>12.009</c:v>
                </c:pt>
                <c:pt idx="16">
                  <c:v>12.011</c:v>
                </c:pt>
                <c:pt idx="17">
                  <c:v>12.013</c:v>
                </c:pt>
                <c:pt idx="18">
                  <c:v>12.015</c:v>
                </c:pt>
                <c:pt idx="19">
                  <c:v>12.017</c:v>
                </c:pt>
                <c:pt idx="20">
                  <c:v>12.019</c:v>
                </c:pt>
                <c:pt idx="21">
                  <c:v>&gt; 12.020</c:v>
                </c:pt>
              </c:strCache>
            </c:strRef>
          </c:cat>
          <c:val>
            <c:numRef>
              <c:f>Dashboard!$G$54:$G$75</c:f>
              <c:numCache>
                <c:formatCode>General</c:formatCode>
                <c:ptCount val="22"/>
                <c:pt idx="0">
                  <c:v>0</c:v>
                </c:pt>
                <c:pt idx="1">
                  <c:v>0</c:v>
                </c:pt>
                <c:pt idx="2">
                  <c:v>0</c:v>
                </c:pt>
                <c:pt idx="3">
                  <c:v>0</c:v>
                </c:pt>
                <c:pt idx="4">
                  <c:v>0</c:v>
                </c:pt>
                <c:pt idx="5">
                  <c:v>0</c:v>
                </c:pt>
                <c:pt idx="6">
                  <c:v>0</c:v>
                </c:pt>
                <c:pt idx="7">
                  <c:v>0</c:v>
                </c:pt>
                <c:pt idx="8">
                  <c:v>1</c:v>
                </c:pt>
                <c:pt idx="9">
                  <c:v>1</c:v>
                </c:pt>
                <c:pt idx="10">
                  <c:v>8</c:v>
                </c:pt>
                <c:pt idx="11">
                  <c:v>8</c:v>
                </c:pt>
                <c:pt idx="12">
                  <c:v>21</c:v>
                </c:pt>
                <c:pt idx="13">
                  <c:v>25</c:v>
                </c:pt>
                <c:pt idx="14">
                  <c:v>26</c:v>
                </c:pt>
                <c:pt idx="15">
                  <c:v>26</c:v>
                </c:pt>
                <c:pt idx="16">
                  <c:v>8</c:v>
                </c:pt>
                <c:pt idx="17">
                  <c:v>0</c:v>
                </c:pt>
                <c:pt idx="18">
                  <c:v>1</c:v>
                </c:pt>
                <c:pt idx="19">
                  <c:v>0</c:v>
                </c:pt>
                <c:pt idx="20">
                  <c:v>0</c:v>
                </c:pt>
                <c:pt idx="21">
                  <c:v>0</c:v>
                </c:pt>
              </c:numCache>
            </c:numRef>
          </c:val>
        </c:ser>
        <c:ser>
          <c:idx val="1"/>
          <c:order val="1"/>
          <c:tx>
            <c:v>Out of spec</c:v>
          </c:tx>
          <c:spPr>
            <a:solidFill>
              <a:srgbClr val="E8702A"/>
            </a:solidFill>
            <a:ln w="9525">
              <a:solidFill>
                <a:srgbClr val="FFFFFF"/>
              </a:solidFill>
            </a:ln>
          </c:spPr>
          <c:cat>
            <c:strRef>
              <c:f>Dashboard!$E$54:$E$75</c:f>
              <c:strCache>
                <c:ptCount val="22"/>
                <c:pt idx="0">
                  <c:v>&lt; 11.980</c:v>
                </c:pt>
                <c:pt idx="1">
                  <c:v>11.981</c:v>
                </c:pt>
                <c:pt idx="2">
                  <c:v>11.983</c:v>
                </c:pt>
                <c:pt idx="3">
                  <c:v>11.985</c:v>
                </c:pt>
                <c:pt idx="4">
                  <c:v>11.987</c:v>
                </c:pt>
                <c:pt idx="5">
                  <c:v>11.989</c:v>
                </c:pt>
                <c:pt idx="6">
                  <c:v>11.991</c:v>
                </c:pt>
                <c:pt idx="7">
                  <c:v>11.993</c:v>
                </c:pt>
                <c:pt idx="8">
                  <c:v>11.995</c:v>
                </c:pt>
                <c:pt idx="9">
                  <c:v>11.997</c:v>
                </c:pt>
                <c:pt idx="10">
                  <c:v>11.999</c:v>
                </c:pt>
                <c:pt idx="11">
                  <c:v>12.001</c:v>
                </c:pt>
                <c:pt idx="12">
                  <c:v>12.003</c:v>
                </c:pt>
                <c:pt idx="13">
                  <c:v>12.005</c:v>
                </c:pt>
                <c:pt idx="14">
                  <c:v>12.007</c:v>
                </c:pt>
                <c:pt idx="15">
                  <c:v>12.009</c:v>
                </c:pt>
                <c:pt idx="16">
                  <c:v>12.011</c:v>
                </c:pt>
                <c:pt idx="17">
                  <c:v>12.013</c:v>
                </c:pt>
                <c:pt idx="18">
                  <c:v>12.015</c:v>
                </c:pt>
                <c:pt idx="19">
                  <c:v>12.017</c:v>
                </c:pt>
                <c:pt idx="20">
                  <c:v>12.019</c:v>
                </c:pt>
                <c:pt idx="21">
                  <c:v>&gt; 12.020</c:v>
                </c:pt>
              </c:strCache>
            </c:strRef>
          </c:cat>
          <c:val>
            <c:numRef>
              <c:f>Dashboard!$H$54:$H$75</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er>
        <c:gapWidth val="8"/>
        <c:overlap val="100"/>
        <c:axId val="50010001"/>
        <c:axId val="50010002"/>
      </c:barChart>
      <c:lineChart>
        <c:grouping val="standard"/>
        <c:ser>
          <c:idx val="2"/>
          <c:order val="2"/>
          <c:tx>
            <c:v>Normal fit (overall sigma)</c:v>
          </c:tx>
          <c:spPr>
            <a:ln w="28575">
              <a:solidFill>
                <a:srgbClr val="1BA37A"/>
              </a:solidFill>
            </a:ln>
          </c:spPr>
          <c:marker>
            <c:symbol val="circle"/>
            <c:size val="5"/>
            <c:spPr>
              <a:solidFill>
                <a:srgbClr val="1BA37A"/>
              </a:solidFill>
              <a:ln>
                <a:solidFill>
                  <a:srgbClr val="1BA37A"/>
                </a:solidFill>
              </a:ln>
            </c:spPr>
          </c:marker>
          <c:cat>
            <c:strRef>
              <c:f>Dashboard!$E$54:$E$75</c:f>
              <c:strCache>
                <c:ptCount val="22"/>
                <c:pt idx="0">
                  <c:v>&lt; 11.980</c:v>
                </c:pt>
                <c:pt idx="1">
                  <c:v>11.981</c:v>
                </c:pt>
                <c:pt idx="2">
                  <c:v>11.983</c:v>
                </c:pt>
                <c:pt idx="3">
                  <c:v>11.985</c:v>
                </c:pt>
                <c:pt idx="4">
                  <c:v>11.987</c:v>
                </c:pt>
                <c:pt idx="5">
                  <c:v>11.989</c:v>
                </c:pt>
                <c:pt idx="6">
                  <c:v>11.991</c:v>
                </c:pt>
                <c:pt idx="7">
                  <c:v>11.993</c:v>
                </c:pt>
                <c:pt idx="8">
                  <c:v>11.995</c:v>
                </c:pt>
                <c:pt idx="9">
                  <c:v>11.997</c:v>
                </c:pt>
                <c:pt idx="10">
                  <c:v>11.999</c:v>
                </c:pt>
                <c:pt idx="11">
                  <c:v>12.001</c:v>
                </c:pt>
                <c:pt idx="12">
                  <c:v>12.003</c:v>
                </c:pt>
                <c:pt idx="13">
                  <c:v>12.005</c:v>
                </c:pt>
                <c:pt idx="14">
                  <c:v>12.007</c:v>
                </c:pt>
                <c:pt idx="15">
                  <c:v>12.009</c:v>
                </c:pt>
                <c:pt idx="16">
                  <c:v>12.011</c:v>
                </c:pt>
                <c:pt idx="17">
                  <c:v>12.013</c:v>
                </c:pt>
                <c:pt idx="18">
                  <c:v>12.015</c:v>
                </c:pt>
                <c:pt idx="19">
                  <c:v>12.017</c:v>
                </c:pt>
                <c:pt idx="20">
                  <c:v>12.019</c:v>
                </c:pt>
                <c:pt idx="21">
                  <c:v>&gt; 12.020</c:v>
                </c:pt>
              </c:strCache>
            </c:strRef>
          </c:cat>
          <c:val>
            <c:numRef>
              <c:f>Dashboard!$I$54:$I$75</c:f>
              <c:numCache>
                <c:formatCode>General</c:formatCode>
                <c:ptCount val="22"/>
                <c:pt idx="0">
                  <c:v>7.34395319940903e-11</c:v>
                </c:pt>
                <c:pt idx="1">
                  <c:v>3.75348974667165e-09</c:v>
                </c:pt>
                <c:pt idx="2">
                  <c:v>1.41638697110632e-07</c:v>
                </c:pt>
                <c:pt idx="3">
                  <c:v>3.89248319587046e-06</c:v>
                </c:pt>
                <c:pt idx="4">
                  <c:v>7.7938257850686e-05</c:v>
                </c:pt>
                <c:pt idx="5">
                  <c:v>0.00113746959036144</c:v>
                </c:pt>
                <c:pt idx="6">
                  <c:v>0.0121054702522939</c:v>
                </c:pt>
                <c:pt idx="7">
                  <c:v>0.0939855787735157</c:v>
                </c:pt>
                <c:pt idx="8">
                  <c:v>0.532544193852935</c:v>
                </c:pt>
                <c:pt idx="9">
                  <c:v>2.20307288490244</c:v>
                </c:pt>
                <c:pt idx="10">
                  <c:v>6.65618891946039</c:v>
                </c:pt>
                <c:pt idx="11">
                  <c:v>14.6914944306766</c:v>
                </c:pt>
                <c:pt idx="12">
                  <c:v>23.6940876453066</c:v>
                </c:pt>
                <c:pt idx="13">
                  <c:v>27.925687917778</c:v>
                </c:pt>
                <c:pt idx="14">
                  <c:v>24.0534449024068</c:v>
                </c:pt>
                <c:pt idx="15">
                  <c:v>15.14057449452</c:v>
                </c:pt>
                <c:pt idx="16">
                  <c:v>6.96377298214534</c:v>
                </c:pt>
                <c:pt idx="17">
                  <c:v>2.3398901058726</c:v>
                </c:pt>
                <c:pt idx="18">
                  <c:v>0.574217270609259</c:v>
                </c:pt>
                <c:pt idx="19">
                  <c:v>0.102882912542512</c:v>
                </c:pt>
                <c:pt idx="20">
                  <c:v>0.0134534399796327</c:v>
                </c:pt>
                <c:pt idx="21">
                  <c:v>0.00137740512407003</c:v>
                </c:pt>
              </c:numCache>
            </c:numRef>
          </c:val>
          <c:smooth val="1"/>
        </c:ser>
        <c:marker val="1"/>
        <c:axId val="50010001"/>
        <c:axId val="50010002"/>
      </c:lineChart>
      <c:catAx>
        <c:axId val="5001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Bin centre; the end bins hold every reading outside the specification</a:t>
                </a:r>
              </a:p>
            </c:rich>
          </c:tx>
          <c:layout/>
        </c:title>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Indices against the requirement</a:t>
            </a:r>
          </a:p>
        </c:rich>
      </c:tx>
      <c:layout/>
    </c:title>
    <c:plotArea>
      <c:layout/>
      <c:barChart>
        <c:barDir val="col"/>
        <c:grouping val="clustered"/>
        <c:ser>
          <c:idx val="0"/>
          <c:order val="0"/>
          <c:tx>
            <c:v>Index</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strRef>
              <c:f>Dashboard!$H$37:$H$40</c:f>
              <c:strCache>
                <c:ptCount val="4"/>
                <c:pt idx="0">
                  <c:v>Cp</c:v>
                </c:pt>
                <c:pt idx="1">
                  <c:v>Cpk</c:v>
                </c:pt>
                <c:pt idx="2">
                  <c:v>Pp</c:v>
                </c:pt>
                <c:pt idx="3">
                  <c:v>Ppk</c:v>
                </c:pt>
              </c:strCache>
            </c:strRef>
          </c:cat>
          <c:val>
            <c:numRef>
              <c:f>Dashboard!$I$37:$I$40</c:f>
              <c:numCache>
                <c:formatCode>General</c:formatCode>
                <c:ptCount val="4"/>
                <c:pt idx="0">
                  <c:v>2.20265151515158</c:v>
                </c:pt>
                <c:pt idx="1">
                  <c:v>1.64670227272727</c:v>
                </c:pt>
                <c:pt idx="2">
                  <c:v>1.89190722728446</c:v>
                </c:pt>
                <c:pt idx="3">
                  <c:v>1.41438984311781</c:v>
                </c:pt>
              </c:numCache>
            </c:numRef>
          </c:val>
        </c:ser>
        <c:gapWidth val="60"/>
        <c:overlap val="-10"/>
        <c:axId val="50020001"/>
        <c:axId val="50020002"/>
      </c:barChart>
      <c:lineChart>
        <c:grouping val="standard"/>
        <c:ser>
          <c:idx val="1"/>
          <c:order val="1"/>
          <c:tx>
            <c:v>Required</c:v>
          </c:tx>
          <c:spPr>
            <a:ln w="19050">
              <a:solidFill>
                <a:srgbClr val="4A5361"/>
              </a:solidFill>
              <a:prstDash val="dash"/>
            </a:ln>
          </c:spPr>
          <c:marker>
            <c:symbol val="none"/>
          </c:marker>
          <c:cat>
            <c:strRef>
              <c:f>Dashboard!$H$37:$H$40</c:f>
              <c:strCache>
                <c:ptCount val="4"/>
                <c:pt idx="0">
                  <c:v>Cp</c:v>
                </c:pt>
                <c:pt idx="1">
                  <c:v>Cpk</c:v>
                </c:pt>
                <c:pt idx="2">
                  <c:v>Pp</c:v>
                </c:pt>
                <c:pt idx="3">
                  <c:v>Ppk</c:v>
                </c:pt>
              </c:strCache>
            </c:strRef>
          </c:cat>
          <c:val>
            <c:numRef>
              <c:f>Dashboard!$J$37:$J$40</c:f>
              <c:numCache>
                <c:formatCode>General</c:formatCode>
                <c:ptCount val="4"/>
                <c:pt idx="0">
                  <c:v>1.33</c:v>
                </c:pt>
                <c:pt idx="1">
                  <c:v>1.33</c:v>
                </c:pt>
                <c:pt idx="2">
                  <c:v>1.67</c:v>
                </c:pt>
                <c:pt idx="3">
                  <c:v>1.67</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7</xdr:col>
      <xdr:colOff>676275</xdr:colOff>
      <xdr:row>26</xdr:row>
      <xdr:rowOff>152400</xdr:rowOff>
    </xdr:to>
    <xdr:graphicFrame macro="">
      <xdr:nvGraphicFramePr>
        <xdr:cNvPr id="2" name="Chart 1" descr="Histogram of every reading: twenty bins across the tolerance in blue, readings below the LSL and above the USL as orange end bins, with the fitted normal curve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11</xdr:row>
      <xdr:rowOff>38100</xdr:rowOff>
    </xdr:from>
    <xdr:to>
      <xdr:col>11</xdr:col>
      <xdr:colOff>676275</xdr:colOff>
      <xdr:row>26</xdr:row>
      <xdr:rowOff>152400</xdr:rowOff>
    </xdr:to>
    <xdr:graphicFrame macro="">
      <xdr:nvGraphicFramePr>
        <xdr:cNvPr id="3" name="Chart 2" descr="Column chart of Cp, Cpk, Pp and Ppk with the required index for each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onstants" displayName="tblConstants" ref="B21:C25" totalsRowShown="0">
  <autoFilter ref="B21:C25"/>
  <tableColumns count="2">
    <tableColumn id="1" name="n"/>
    <tableColumn id="2" name="d2"/>
  </tableColumns>
  <tableStyleInfo name="TableStyleLight1" showFirstColumn="0" showLastColumn="0" showRowStripes="0" showColumnStripes="0"/>
</table>
</file>

<file path=xl/tables/table2.xml><?xml version="1.0" encoding="utf-8"?>
<table xmlns="http://schemas.openxmlformats.org/spreadsheetml/2006/main" id="2" name="tblMeas" displayName="tblMeas" ref="B6:M31" totalsRowShown="0">
  <autoFilter ref="B6:M31"/>
  <tableColumns count="12">
    <tableColumn id="1" name="Subgroup no."/>
    <tableColumn id="2" name="Date"/>
    <tableColumn id="3" name="Reading 1"/>
    <tableColumn id="4" name="Reading 2"/>
    <tableColumn id="5" name="Reading 3"/>
    <tableColumn id="6" name="Reading 4"/>
    <tableColumn id="7" name="Reading 5"/>
    <tableColumn id="8" name="Mean">
      <calculatedColumnFormula>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calculatedColumnFormula>
    </tableColumn>
    <tableColumn id="9" name="Range">
      <calculatedColumnFormula>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calculatedColumnFormula>
    </tableColumn>
    <tableColumn id="10" name="Out of spec (readings)">
      <calculatedColumnFormula>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calculatedColumnFormula>
    </tableColumn>
    <tableColumn id="11" name="Check">
      <calculatedColumnFormula>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calculatedColumnFormula>
    </tableColumn>
    <tableColumn id="12" name="Notes"/>
  </tableColumns>
  <tableStyleInfo name="TableStyleLight1" showFirstColumn="0" showLastColumn="0" showRowStripes="0" showColumnStripes="0"/>
</table>
</file>

<file path=xl/tables/table3.xml><?xml version="1.0" encoding="utf-8"?>
<table xmlns="http://schemas.openxmlformats.org/spreadsheetml/2006/main" id="3" name="tblVerifyMeas" displayName="tblVerifyMeas" ref="B36:M41" totalsRowShown="0">
  <tableColumns count="12">
    <tableColumn id="1" name="Subgroup no."/>
    <tableColumn id="2" name="Date"/>
    <tableColumn id="3" name="Reading 1"/>
    <tableColumn id="4" name="Reading 2"/>
    <tableColumn id="5" name="Reading 3"/>
    <tableColumn id="6" name="Reading 4"/>
    <tableColumn id="7" name="Reading 5"/>
    <tableColumn id="8" name="Mean">
      <calculatedColumnFormula>IF(tblVerifyMeas[[#This Row],[Subgroup no.]]="","",IF(COUNT(tblVerifyMeas[[#This Row],[Reading 1]],tblVerifyMeas[[#This Row],[Reading 2]],tblVerifyMeas[[#This Row],[Reading 3]],tblVerifyMeas[[#This Row],[Reading 4]],tblVerifyMeas[[#This Row],[Reading 5]])&lt;&gt;$E$29,"",AVERAGE(tblVerifyMeas[[#This Row],[Reading 1]],tblVerifyMeas[[#This Row],[Reading 2]],tblVerifyMeas[[#This Row],[Reading 3]],tblVerifyMeas[[#This Row],[Reading 4]],tblVerifyMeas[[#This Row],[Reading 5]])))</calculatedColumnFormula>
    </tableColumn>
    <tableColumn id="9" name="Range">
      <calculatedColumnFormula>IF(tblVerifyMeas[[#This Row],[Subgroup no.]]="","",IF(COUNT(tblVerifyMeas[[#This Row],[Reading 1]],tblVerifyMeas[[#This Row],[Reading 2]],tblVerifyMeas[[#This Row],[Reading 3]],tblVerifyMeas[[#This Row],[Reading 4]],tblVerifyMeas[[#This Row],[Reading 5]])&lt;&gt;$E$29,"",MAX(tblVerifyMeas[[#This Row],[Reading 1]],tblVerifyMeas[[#This Row],[Reading 2]],tblVerifyMeas[[#This Row],[Reading 3]],tblVerifyMeas[[#This Row],[Reading 4]],tblVerifyMeas[[#This Row],[Reading 5]])-MIN(tblVerifyMeas[[#This Row],[Reading 1]],tblVerifyMeas[[#This Row],[Reading 2]],tblVerifyMeas[[#This Row],[Reading 3]],tblVerifyMeas[[#This Row],[Reading 4]],tblVerifyMeas[[#This Row],[Reading 5]])))</calculatedColumnFormula>
    </tableColumn>
    <tableColumn id="10" name="Out of spec (readings)">
      <calculatedColumnFormula>IF(tblVerifyMeas[[#This Row],[Subgroup no.]]="","",ISNUMBER(tblVerifyMeas[[#This Row],[Reading 1]])*((tblVerifyMeas[[#This Row],[Reading 1]]&lt;$E$31)+(tblVerifyMeas[[#This Row],[Reading 1]]&gt;$E$32))+ISNUMBER(tblVerifyMeas[[#This Row],[Reading 2]])*((tblVerifyMeas[[#This Row],[Reading 2]]&lt;$E$31)+(tblVerifyMeas[[#This Row],[Reading 2]]&gt;$E$32))+ISNUMBER(tblVerifyMeas[[#This Row],[Reading 3]])*((tblVerifyMeas[[#This Row],[Reading 3]]&lt;$E$31)+(tblVerifyMeas[[#This Row],[Reading 3]]&gt;$E$32))+ISNUMBER(tblVerifyMeas[[#This Row],[Reading 4]])*((tblVerifyMeas[[#This Row],[Reading 4]]&lt;$E$31)+(tblVerifyMeas[[#This Row],[Reading 4]]&gt;$E$32))+ISNUMBER(tblVerifyMeas[[#This Row],[Reading 5]])*((tblVerifyMeas[[#This Row],[Reading 5]]&lt;$E$31)+(tblVerifyMeas[[#This Row],[Reading 5]]&gt;$E$32)))</calculatedColumnFormula>
    </tableColumn>
    <tableColumn id="11" name="Check">
      <calculatedColumnFormula>IF(tblVerifyMeas[[#This Row],[Subgroup no.]]="","",IF(COUNT(tblVerifyMeas[[#This Row],[Reading 1]],tblVerifyMeas[[#This Row],[Reading 2]],tblVerifyMeas[[#This Row],[Reading 3]],tblVerifyMeas[[#This Row],[Reading 4]],tblVerifyMeas[[#This Row],[Reading 5]])&lt;&gt;$E$29,"Reading count is not n",IF(COUNTIFS(tblVerifyMeas[Subgroup no.],tblVerifyMeas[[#This Row],[Subgroup no.]])&gt;1,"Duplicate subgroup no.",IF(tblVerifyMeas[[#This Row],[Out of spec (readings)]]&gt;0,"Reading outside spec","OK"))))</calculatedColumnFormula>
    </tableColumn>
    <tableColumn id="12"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cess-capability-cpk" TargetMode="External"/><Relationship Id="rId2" Type="http://schemas.openxmlformats.org/officeDocument/2006/relationships/hyperlink" Target="https://www.mfgcalcs.com/calculators/quality-inspection-metrology/process-capability-cpk?utm_source=mfgcalcs-template&amp;utm_medium=xlsx&amp;utm_campaign=process-capability-cpk" TargetMode="External"/><Relationship Id="rId3" Type="http://schemas.openxmlformats.org/officeDocument/2006/relationships/hyperlink" Target="https://www.mfgcalcs.com/templates/process-capability-cpk?utm_source=mfgcalcs-template&amp;utm_medium=xlsx&amp;utm_campaign=process-capability-cpk" TargetMode="External"/><Relationship Id="rId4" Type="http://schemas.openxmlformats.org/officeDocument/2006/relationships/hyperlink" Target="https://www.mfgcalcs.com/templates?utm_source=mfgcalcs-template&amp;utm_medium=xlsx&amp;utm_campaign=process-capability-cpk"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cess-capability-cpk"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cess-capability-cpk"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cess-capability-cpk"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cess-capability-cpk" TargetMode="External"/><Relationship Id="rId2" Type="http://schemas.openxmlformats.org/officeDocument/2006/relationships/hyperlink" Target="https://www.mfgcalcs.com/calculators/quality-inspection-metrology/process-capability-cpk?utm_source=mfgcalcs-template&amp;utm_medium=xlsx&amp;utm_campaign=process-capability-cpk"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rocess-capability-cpk"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13 of 13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Measurements!A1" tooltip="Go to Measurements" display="Measurement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Process Capability Cp Cpk Pp Ppk&amp;R&amp;8&amp;A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5"/>
  <sheetViews>
    <sheetView showGridLines="0" workbookViewId="0"/>
  </sheetViews>
  <sheetFormatPr defaultRowHeight="15"/>
  <cols>
    <col min="1" max="1" width="2.7109375" customWidth="1"/>
    <col min="2" max="2" width="34.7109375" customWidth="1"/>
    <col min="3" max="3" width="16.7109375" customWidth="1"/>
    <col min="4" max="4" width="14.7109375" customWidth="1"/>
    <col min="5" max="5" width="24.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62</v>
      </c>
      <c r="C4" s="8"/>
      <c r="D4" s="8"/>
      <c r="E4" s="8"/>
    </row>
    <row r="5" spans="1:5" ht="5" customHeight="1"/>
    <row r="6" spans="1:5">
      <c r="B6" s="27" t="s">
        <v>63</v>
      </c>
      <c r="C6" s="28" t="s">
        <v>64</v>
      </c>
      <c r="D6" s="28"/>
    </row>
    <row r="7" spans="1:5">
      <c r="B7" s="27" t="s">
        <v>65</v>
      </c>
      <c r="C7" s="28" t="s">
        <v>66</v>
      </c>
      <c r="D7" s="28"/>
    </row>
    <row r="8" spans="1:5">
      <c r="B8" s="27" t="s">
        <v>67</v>
      </c>
      <c r="C8" s="28" t="s">
        <v>68</v>
      </c>
      <c r="D8" s="28"/>
    </row>
    <row r="9" spans="1:5">
      <c r="B9" s="27" t="s">
        <v>69</v>
      </c>
      <c r="C9" s="29">
        <v>11.98</v>
      </c>
      <c r="D9" s="7" t="str">
        <f>UnitLabel</f>
        <v>mm</v>
      </c>
    </row>
    <row r="10" spans="1:5">
      <c r="B10" s="27" t="s">
        <v>70</v>
      </c>
      <c r="C10" s="29">
        <v>12.02</v>
      </c>
      <c r="D10" s="7" t="str">
        <f>UnitLabel</f>
        <v>mm</v>
      </c>
    </row>
    <row r="11" spans="1:5">
      <c r="B11" s="27" t="s">
        <v>71</v>
      </c>
      <c r="C11" s="30">
        <v>5</v>
      </c>
      <c r="D11" s="7" t="s">
        <v>72</v>
      </c>
    </row>
    <row r="12" spans="1:5">
      <c r="B12" s="27" t="s">
        <v>73</v>
      </c>
      <c r="C12" s="31">
        <v>1.33</v>
      </c>
      <c r="D12" s="7" t="s">
        <v>74</v>
      </c>
    </row>
    <row r="13" spans="1:5">
      <c r="B13" s="27" t="s">
        <v>75</v>
      </c>
      <c r="C13" s="31">
        <v>1.67</v>
      </c>
      <c r="D13" s="7" t="s">
        <v>74</v>
      </c>
    </row>
    <row r="14" spans="1:5">
      <c r="B14" s="27" t="s">
        <v>76</v>
      </c>
      <c r="C14" s="32">
        <f>INDEX(tblConstants[d2],MATCH(SubN,tblConstants[n],0))</f>
        <v>2.326</v>
      </c>
      <c r="D14" s="7" t="s">
        <v>77</v>
      </c>
    </row>
    <row r="15" spans="1:5">
      <c r="B15" s="27" t="s">
        <v>78</v>
      </c>
      <c r="C15" s="33" t="str">
        <f>IF(USL&lt;=LSL,"USL must be above LSL","OK")</f>
        <v>OK</v>
      </c>
      <c r="D15" s="7"/>
    </row>
    <row r="17" spans="2:5" ht="35.4" customHeight="1">
      <c r="B17" s="25" t="s">
        <v>79</v>
      </c>
      <c r="C17" s="25"/>
      <c r="D17" s="25"/>
      <c r="E17" s="25"/>
    </row>
    <row r="19" spans="2:5">
      <c r="B19" s="34" t="s">
        <v>80</v>
      </c>
      <c r="C19" s="34"/>
    </row>
    <row r="20" spans="2:5" ht="29.76" customHeight="1">
      <c r="B20" s="35" t="s">
        <v>81</v>
      </c>
      <c r="C20" s="35"/>
    </row>
    <row r="21" spans="2:5" ht="20" customHeight="1">
      <c r="B21" s="36" t="s">
        <v>60</v>
      </c>
      <c r="C21" s="36" t="s">
        <v>61</v>
      </c>
    </row>
    <row r="22" spans="2:5">
      <c r="B22" s="30">
        <v>2</v>
      </c>
      <c r="C22" s="29">
        <v>1.128</v>
      </c>
    </row>
    <row r="23" spans="2:5">
      <c r="B23" s="30">
        <v>3</v>
      </c>
      <c r="C23" s="29">
        <v>1.693</v>
      </c>
    </row>
    <row r="24" spans="2:5">
      <c r="B24" s="30">
        <v>4</v>
      </c>
      <c r="C24" s="29">
        <v>2.059</v>
      </c>
    </row>
    <row r="25" spans="2:5">
      <c r="B25" s="30">
        <v>5</v>
      </c>
      <c r="C25" s="29">
        <v>2.326</v>
      </c>
    </row>
  </sheetData>
  <mergeCells count="9">
    <mergeCell ref="A1:E1"/>
    <mergeCell ref="B2:D2"/>
    <mergeCell ref="B4:E4"/>
    <mergeCell ref="C6:D6"/>
    <mergeCell ref="C7:D7"/>
    <mergeCell ref="C8:D8"/>
    <mergeCell ref="B17:E17"/>
    <mergeCell ref="B19:C19"/>
    <mergeCell ref="B20:C20"/>
  </mergeCells>
  <dataValidations count="10">
    <dataValidation type="textLength" allowBlank="1" showInputMessage="1" showErrorMessage="1" errorTitle="Check this entry" error="Text up to 80 characters." promptTitle="Plant or supplier" prompt="Shown on the Dashboard. Text up to 80 characters." sqref="C6">
      <formula1>0</formula1>
      <formula2>80</formula2>
    </dataValidation>
    <dataValidation type="textLength" allowBlank="1" showInputMessage="1" showErrorMessage="1" errorTitle="Check this entry" error="Text up to 80 characters." promptTitle="Characteristic" prompt="Part, feature and operation, as on the drawing or control plan. Text up to 80 characters." sqref="C7">
      <formula1>0</formula1>
      <formula2>80</formula2>
    </dataValidation>
    <dataValidation type="textLength" allowBlank="1" showInputMessage="1" showErrorMessage="1" errorTitle="Check this entry" error="Text up to 12 characters." promptTitle="Measurement unit" prompt="Text shown with readings and limits, e.g. mm, in, um. No conversion is applied. Text up to 12 characters." sqref="C8">
      <formula1>0</formula1>
      <formula2>12</formula2>
    </dataValidation>
    <dataValidation type="decimal" allowBlank="1" showInputMessage="1" showErrorMessage="1" errorTitle="Check this entry" error="Enter a number of at least -1,000,000,000." promptTitle="Lower specification limit (LSL)" prompt="From the drawing. Two-sided specifications only. Enter a number of at least -1,000,000,000." sqref="C9">
      <formula1>-1000000000.0</formula1>
      <formula2>1000000000.0</formula2>
    </dataValidation>
    <dataValidation type="decimal" allowBlank="1" showInputMessage="1" showErrorMessage="1" errorTitle="Check this entry" error="Enter a number of at least -1,000,000,000." promptTitle="Upper specification limit (USL)" prompt="From the drawing. Must be above the LSL. Enter a number of at least -1,000,000,000." sqref="C10">
      <formula1>-1000000000.0</formula1>
      <formula2>1000000000.0</formula2>
    </dataValidation>
    <dataValidation type="whole" allowBlank="1" showInputMessage="1" showErrorMessage="1" errorTitle="Check this entry" error="Enter a whole number from 2 to 5." promptTitle="Subgroup size n" prompt="Consecutive parts per subgroup, 2 to 5. Sets d2 for the within sigma. Enter a whole number from 2 to 5." sqref="C11">
      <formula1>2</formula1>
      <formula2>5</formula2>
    </dataValidation>
    <dataValidation type="decimal" allowBlank="1" showInputMessage="1" showErrorMessage="1" errorTitle="Check this entry" error="Enter a number from 0 to 10." promptTitle="Required Cpk (and Cp)" prompt="Your customer's requirement for the capability indices. Enter a number from 0 to 10." sqref="C12">
      <formula1>0</formula1>
      <formula2>10</formula2>
    </dataValidation>
    <dataValidation type="decimal" allowBlank="1" showInputMessage="1" showErrorMessage="1" errorTitle="Check this entry" error="Enter a number from 0 to 10." promptTitle="Required Ppk (and Pp)" prompt="Your customer's requirement for the performance indices. Enter a number from 0 to 10." sqref="C13">
      <formula1>0</formula1>
      <formula2>10</formula2>
    </dataValidation>
    <dataValidation type="whole" allowBlank="1" showInputMessage="1" showErrorMessage="1" errorTitle="Check this entry" error="Enter a whole number from 2 to 25." promptTitle="n" prompt="Enter a whole number from 2 to 25." sqref="B22:B125">
      <formula1>2</formula1>
      <formula2>25</formula2>
    </dataValidation>
    <dataValidation type="decimal" allowBlank="1" showInputMessage="1" showErrorMessage="1" errorTitle="Check this entry" error="Enter a number from 0.1 to 10." promptTitle="d2" prompt="Enter a number from 0.1 to 10." sqref="C22:C125">
      <formula1>0.1</formula1>
      <formula2>10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Process Capability Cp Cpk Pp Ppk&amp;R&amp;8&amp;A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M31"/>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0.7109375" customWidth="1"/>
    <col min="3" max="3" width="12.28515625" customWidth="1"/>
    <col min="4" max="8" width="10.28515625" customWidth="1"/>
    <col min="9" max="9" width="10.7109375" customWidth="1"/>
    <col min="10" max="10" width="10.28515625" customWidth="1"/>
    <col min="11" max="11" width="11.7109375" customWidth="1"/>
    <col min="12" max="12" width="20.7109375" customWidth="1"/>
    <col min="13" max="13" width="28.7109375" customWidth="1"/>
  </cols>
  <sheetData>
    <row r="1" spans="1:13" ht="30" customHeight="1">
      <c r="A1" s="1" t="s">
        <v>0</v>
      </c>
      <c r="B1" s="1"/>
      <c r="C1" s="1"/>
      <c r="D1" s="1"/>
      <c r="E1" s="1"/>
      <c r="F1" s="1"/>
      <c r="G1" s="1"/>
      <c r="H1" s="1"/>
      <c r="I1" s="1"/>
      <c r="J1" s="1"/>
      <c r="K1" s="1"/>
      <c r="L1" s="1"/>
      <c r="M1" s="1"/>
    </row>
    <row r="2" spans="1:13" ht="21" customHeight="1">
      <c r="B2" s="2" t="s">
        <v>20</v>
      </c>
      <c r="C2" s="2"/>
      <c r="D2" s="2"/>
      <c r="E2" s="2"/>
      <c r="F2" s="2"/>
      <c r="G2" s="2"/>
      <c r="H2" s="2"/>
      <c r="I2" s="2"/>
      <c r="J2" s="2"/>
      <c r="K2" s="2"/>
      <c r="L2" s="2"/>
      <c r="M2" s="3" t="s">
        <v>2</v>
      </c>
    </row>
    <row r="3" spans="1:13" ht="6" customHeight="1"/>
    <row r="4" spans="1:13" ht="29.76" customHeight="1">
      <c r="B4" s="35" t="s">
        <v>94</v>
      </c>
      <c r="C4" s="35"/>
      <c r="D4" s="35"/>
      <c r="E4" s="35"/>
      <c r="F4" s="35"/>
      <c r="G4" s="35"/>
      <c r="H4" s="35"/>
      <c r="I4" s="35"/>
      <c r="J4" s="35"/>
      <c r="K4" s="35"/>
      <c r="L4" s="35"/>
      <c r="M4" s="35"/>
    </row>
    <row r="5" spans="1:13" ht="14" customHeight="1">
      <c r="B5" s="37"/>
      <c r="C5" s="37"/>
      <c r="D5" s="37" t="str">
        <f>UnitLabel</f>
        <v>mm</v>
      </c>
      <c r="E5" s="37" t="str">
        <f>UnitLabel</f>
        <v>mm</v>
      </c>
      <c r="F5" s="37" t="str">
        <f>UnitLabel</f>
        <v>mm</v>
      </c>
      <c r="G5" s="37" t="str">
        <f>UnitLabel</f>
        <v>mm</v>
      </c>
      <c r="H5" s="37" t="str">
        <f>UnitLabel</f>
        <v>mm</v>
      </c>
      <c r="I5" s="37" t="str">
        <f>UnitLabel</f>
        <v>mm</v>
      </c>
      <c r="J5" s="37" t="str">
        <f>UnitLabel</f>
        <v>mm</v>
      </c>
      <c r="K5" s="37" t="s">
        <v>72</v>
      </c>
      <c r="L5" s="37"/>
      <c r="M5" s="37"/>
    </row>
    <row r="6" spans="1:13" ht="32" customHeight="1">
      <c r="B6" s="36" t="s">
        <v>82</v>
      </c>
      <c r="C6" s="36" t="s">
        <v>83</v>
      </c>
      <c r="D6" s="36" t="s">
        <v>84</v>
      </c>
      <c r="E6" s="36" t="s">
        <v>85</v>
      </c>
      <c r="F6" s="36" t="s">
        <v>86</v>
      </c>
      <c r="G6" s="36" t="s">
        <v>87</v>
      </c>
      <c r="H6" s="36" t="s">
        <v>88</v>
      </c>
      <c r="I6" s="36" t="s">
        <v>89</v>
      </c>
      <c r="J6" s="36" t="s">
        <v>90</v>
      </c>
      <c r="K6" s="36" t="s">
        <v>91</v>
      </c>
      <c r="L6" s="36" t="s">
        <v>92</v>
      </c>
      <c r="M6" s="36" t="s">
        <v>93</v>
      </c>
    </row>
    <row r="7" spans="1:13">
      <c r="B7" s="30">
        <v>1</v>
      </c>
      <c r="C7" s="38">
        <v>46300</v>
      </c>
      <c r="D7" s="29">
        <v>11.998</v>
      </c>
      <c r="E7" s="29">
        <v>12.004</v>
      </c>
      <c r="F7" s="29">
        <v>12.001</v>
      </c>
      <c r="G7" s="29">
        <v>12.007</v>
      </c>
      <c r="H7" s="29">
        <v>12.005</v>
      </c>
      <c r="I7"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12.003</v>
      </c>
      <c r="J7"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0.00900000000000034</v>
      </c>
      <c r="K7"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7"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7" s="28" t="s">
        <v>95</v>
      </c>
    </row>
    <row r="8" spans="1:13">
      <c r="B8" s="30">
        <v>2</v>
      </c>
      <c r="C8" s="38">
        <v>46300</v>
      </c>
      <c r="D8" s="29">
        <v>11.999</v>
      </c>
      <c r="E8" s="29">
        <v>12.001</v>
      </c>
      <c r="F8" s="29">
        <v>11.998</v>
      </c>
      <c r="G8" s="29">
        <v>11.995</v>
      </c>
      <c r="H8" s="29">
        <v>12.002</v>
      </c>
      <c r="I8"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11.999</v>
      </c>
      <c r="J8"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0.00700000000000145</v>
      </c>
      <c r="K8"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8"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8" s="28" t="s">
        <v>96</v>
      </c>
    </row>
    <row r="9" spans="1:13">
      <c r="B9" s="30">
        <v>3</v>
      </c>
      <c r="C9" s="38">
        <v>46300</v>
      </c>
      <c r="D9" s="29">
        <v>12</v>
      </c>
      <c r="E9" s="29">
        <v>11.998</v>
      </c>
      <c r="F9" s="29">
        <v>12.009</v>
      </c>
      <c r="G9" s="29">
        <v>11.999</v>
      </c>
      <c r="H9" s="29">
        <v>12.002</v>
      </c>
      <c r="I9"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12.0016</v>
      </c>
      <c r="J9"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0.011000000000001</v>
      </c>
      <c r="K9"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9"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9" s="28" t="s">
        <v>96</v>
      </c>
    </row>
    <row r="10" spans="1:13">
      <c r="B10" s="30">
        <v>4</v>
      </c>
      <c r="C10" s="38">
        <v>46300</v>
      </c>
      <c r="D10" s="29">
        <v>11.999</v>
      </c>
      <c r="E10" s="29">
        <v>12.009</v>
      </c>
      <c r="F10" s="29">
        <v>12.006</v>
      </c>
      <c r="G10" s="29">
        <v>12.002</v>
      </c>
      <c r="H10" s="29">
        <v>12.007</v>
      </c>
      <c r="I10"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12.0046</v>
      </c>
      <c r="J10"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0.00999999999999979</v>
      </c>
      <c r="K10"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0"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0" s="28" t="s">
        <v>96</v>
      </c>
    </row>
    <row r="11" spans="1:13">
      <c r="B11" s="30">
        <v>5</v>
      </c>
      <c r="C11" s="38">
        <v>46300</v>
      </c>
      <c r="D11" s="29">
        <v>12.01</v>
      </c>
      <c r="E11" s="29">
        <v>12.005</v>
      </c>
      <c r="F11" s="29">
        <v>12.011</v>
      </c>
      <c r="G11" s="29">
        <v>12.003</v>
      </c>
      <c r="H11" s="29">
        <v>12.009</v>
      </c>
      <c r="I11"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12.0076</v>
      </c>
      <c r="J11"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0.00799999999999912</v>
      </c>
      <c r="K11"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1"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1" s="28" t="s">
        <v>96</v>
      </c>
    </row>
    <row r="12" spans="1:13">
      <c r="B12" s="30">
        <v>6</v>
      </c>
      <c r="C12" s="38">
        <v>46301</v>
      </c>
      <c r="D12" s="29">
        <v>12.006</v>
      </c>
      <c r="E12" s="29">
        <v>12.003</v>
      </c>
      <c r="F12" s="29">
        <v>12.005</v>
      </c>
      <c r="G12" s="29">
        <v>12.005</v>
      </c>
      <c r="H12" s="29">
        <v>12.008</v>
      </c>
      <c r="I12"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12.0054</v>
      </c>
      <c r="J12"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0.00499999999999901</v>
      </c>
      <c r="K12"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2"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2" s="28" t="s">
        <v>96</v>
      </c>
    </row>
    <row r="13" spans="1:13">
      <c r="B13" s="30">
        <v>7</v>
      </c>
      <c r="C13" s="38">
        <v>46301</v>
      </c>
      <c r="D13" s="29">
        <v>12.001</v>
      </c>
      <c r="E13" s="29">
        <v>12.006</v>
      </c>
      <c r="F13" s="29">
        <v>12.002</v>
      </c>
      <c r="G13" s="29">
        <v>12.008</v>
      </c>
      <c r="H13" s="29">
        <v>12.006</v>
      </c>
      <c r="I13"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12.0046</v>
      </c>
      <c r="J13"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0.00699999999999967</v>
      </c>
      <c r="K13"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3"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3" s="28" t="s">
        <v>96</v>
      </c>
    </row>
    <row r="14" spans="1:13">
      <c r="B14" s="30">
        <v>8</v>
      </c>
      <c r="C14" s="38">
        <v>46301</v>
      </c>
      <c r="D14" s="29">
        <v>12.007</v>
      </c>
      <c r="E14" s="29">
        <v>12.009</v>
      </c>
      <c r="F14" s="29">
        <v>12.005</v>
      </c>
      <c r="G14" s="29">
        <v>12.002</v>
      </c>
      <c r="H14" s="29">
        <v>11.999</v>
      </c>
      <c r="I14"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12.0044</v>
      </c>
      <c r="J14"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0.00999999999999979</v>
      </c>
      <c r="K14"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4"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4" s="28" t="s">
        <v>96</v>
      </c>
    </row>
    <row r="15" spans="1:13">
      <c r="B15" s="30">
        <v>9</v>
      </c>
      <c r="C15" s="38">
        <v>46301</v>
      </c>
      <c r="D15" s="29">
        <v>12.004</v>
      </c>
      <c r="E15" s="29">
        <v>12.002</v>
      </c>
      <c r="F15" s="29">
        <v>12.005</v>
      </c>
      <c r="G15" s="29">
        <v>12.002</v>
      </c>
      <c r="H15" s="29">
        <v>12.004</v>
      </c>
      <c r="I15"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12.0034</v>
      </c>
      <c r="J15"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0.00300000000000011</v>
      </c>
      <c r="K15"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5"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5" s="28" t="s">
        <v>96</v>
      </c>
    </row>
    <row r="16" spans="1:13">
      <c r="B16" s="30">
        <v>10</v>
      </c>
      <c r="C16" s="38">
        <v>46301</v>
      </c>
      <c r="D16" s="29">
        <v>12.009</v>
      </c>
      <c r="E16" s="29">
        <v>12.006</v>
      </c>
      <c r="F16" s="29">
        <v>12.008</v>
      </c>
      <c r="G16" s="29">
        <v>12.008</v>
      </c>
      <c r="H16" s="29">
        <v>12.005</v>
      </c>
      <c r="I16"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12.0072</v>
      </c>
      <c r="J16"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0.00399999999999956</v>
      </c>
      <c r="K16"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6"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6" s="28" t="s">
        <v>96</v>
      </c>
    </row>
    <row r="17" spans="2:13">
      <c r="B17" s="30">
        <v>11</v>
      </c>
      <c r="C17" s="38">
        <v>46302</v>
      </c>
      <c r="D17" s="29">
        <v>12.007</v>
      </c>
      <c r="E17" s="29">
        <v>12.004</v>
      </c>
      <c r="F17" s="29">
        <v>12.006</v>
      </c>
      <c r="G17" s="29">
        <v>12.008</v>
      </c>
      <c r="H17" s="29">
        <v>12.003</v>
      </c>
      <c r="I17"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12.0056</v>
      </c>
      <c r="J17"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0.00499999999999901</v>
      </c>
      <c r="K17"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7"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7" s="28" t="s">
        <v>96</v>
      </c>
    </row>
    <row r="18" spans="2:13">
      <c r="B18" s="30">
        <v>12</v>
      </c>
      <c r="C18" s="38">
        <v>46302</v>
      </c>
      <c r="D18" s="29">
        <v>12.004</v>
      </c>
      <c r="E18" s="29">
        <v>12.007</v>
      </c>
      <c r="F18" s="29">
        <v>12.008</v>
      </c>
      <c r="G18" s="29">
        <v>12.005</v>
      </c>
      <c r="H18" s="29">
        <v>12.008</v>
      </c>
      <c r="I18"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12.0064</v>
      </c>
      <c r="J18"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0.00399999999999956</v>
      </c>
      <c r="K18"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8"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8" s="28" t="s">
        <v>96</v>
      </c>
    </row>
    <row r="19" spans="2:13">
      <c r="B19" s="30">
        <v>13</v>
      </c>
      <c r="C19" s="38">
        <v>46302</v>
      </c>
      <c r="D19" s="29">
        <v>12.006</v>
      </c>
      <c r="E19" s="29">
        <v>12.007</v>
      </c>
      <c r="F19" s="29">
        <v>12.004</v>
      </c>
      <c r="G19" s="29">
        <v>12.005</v>
      </c>
      <c r="H19" s="29">
        <v>12.011</v>
      </c>
      <c r="I19"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12.0066</v>
      </c>
      <c r="J19"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0.00699999999999967</v>
      </c>
      <c r="K19"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19"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19" s="28" t="s">
        <v>97</v>
      </c>
    </row>
    <row r="20" spans="2:13">
      <c r="B20" s="30">
        <v>14</v>
      </c>
      <c r="C20" s="38">
        <v>46302</v>
      </c>
      <c r="D20" s="29">
        <v>12.008</v>
      </c>
      <c r="E20" s="29">
        <v>12.003</v>
      </c>
      <c r="F20" s="29">
        <v>12.001</v>
      </c>
      <c r="G20" s="29">
        <v>12</v>
      </c>
      <c r="H20" s="29">
        <v>12.005</v>
      </c>
      <c r="I20"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12.0034</v>
      </c>
      <c r="J20"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0.00799999999999912</v>
      </c>
      <c r="K20"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0"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0" s="28" t="s">
        <v>96</v>
      </c>
    </row>
    <row r="21" spans="2:13">
      <c r="B21" s="30">
        <v>15</v>
      </c>
      <c r="C21" s="38">
        <v>46302</v>
      </c>
      <c r="D21" s="29">
        <v>12.011</v>
      </c>
      <c r="E21" s="29">
        <v>12.005</v>
      </c>
      <c r="F21" s="29">
        <v>12.006</v>
      </c>
      <c r="G21" s="29">
        <v>12.009</v>
      </c>
      <c r="H21" s="29">
        <v>12.004</v>
      </c>
      <c r="I21"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12.007</v>
      </c>
      <c r="J21"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0.00699999999999967</v>
      </c>
      <c r="K21"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1"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1" s="28" t="s">
        <v>96</v>
      </c>
    </row>
    <row r="22" spans="2:13">
      <c r="B22" s="30">
        <v>16</v>
      </c>
      <c r="C22" s="38">
        <v>46303</v>
      </c>
      <c r="D22" s="29">
        <v>12</v>
      </c>
      <c r="E22" s="29">
        <v>12.006</v>
      </c>
      <c r="F22" s="29">
        <v>12.008</v>
      </c>
      <c r="G22" s="29">
        <v>12.004</v>
      </c>
      <c r="H22" s="29">
        <v>11.998</v>
      </c>
      <c r="I22"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12.0032</v>
      </c>
      <c r="J22"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0.00999999999999979</v>
      </c>
      <c r="K22"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2"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2" s="28" t="s">
        <v>96</v>
      </c>
    </row>
    <row r="23" spans="2:13">
      <c r="B23" s="30">
        <v>17</v>
      </c>
      <c r="C23" s="38">
        <v>46303</v>
      </c>
      <c r="D23" s="29">
        <v>12.008</v>
      </c>
      <c r="E23" s="29">
        <v>11.997</v>
      </c>
      <c r="F23" s="29">
        <v>12</v>
      </c>
      <c r="G23" s="29">
        <v>12.006</v>
      </c>
      <c r="H23" s="29">
        <v>12.008</v>
      </c>
      <c r="I23"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12.0038</v>
      </c>
      <c r="J23"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0.0109999999999992</v>
      </c>
      <c r="K23"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3"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3" s="28" t="s">
        <v>96</v>
      </c>
    </row>
    <row r="24" spans="2:13">
      <c r="B24" s="30">
        <v>18</v>
      </c>
      <c r="C24" s="38">
        <v>46303</v>
      </c>
      <c r="D24" s="29">
        <v>12.008</v>
      </c>
      <c r="E24" s="29">
        <v>12.008</v>
      </c>
      <c r="F24" s="29">
        <v>12.004</v>
      </c>
      <c r="G24" s="29">
        <v>12.006</v>
      </c>
      <c r="H24" s="29">
        <v>12.006</v>
      </c>
      <c r="I24"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12.0064</v>
      </c>
      <c r="J24"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0.00399999999999956</v>
      </c>
      <c r="K24"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4"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4" s="28" t="s">
        <v>96</v>
      </c>
    </row>
    <row r="25" spans="2:13">
      <c r="B25" s="30">
        <v>19</v>
      </c>
      <c r="C25" s="38">
        <v>46303</v>
      </c>
      <c r="D25" s="29">
        <v>12.007</v>
      </c>
      <c r="E25" s="29">
        <v>12.002</v>
      </c>
      <c r="F25" s="29">
        <v>12.008</v>
      </c>
      <c r="G25" s="29">
        <v>12.002</v>
      </c>
      <c r="H25" s="29">
        <v>12.005</v>
      </c>
      <c r="I25"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12.0048</v>
      </c>
      <c r="J25"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0.00599999999999845</v>
      </c>
      <c r="K25"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5"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5" s="28" t="s">
        <v>96</v>
      </c>
    </row>
    <row r="26" spans="2:13">
      <c r="B26" s="30">
        <v>20</v>
      </c>
      <c r="C26" s="38">
        <v>46303</v>
      </c>
      <c r="D26" s="29">
        <v>12.004</v>
      </c>
      <c r="E26" s="29">
        <v>12.003</v>
      </c>
      <c r="F26" s="29">
        <v>12.008</v>
      </c>
      <c r="G26" s="29">
        <v>12.011</v>
      </c>
      <c r="H26" s="29">
        <v>12.01</v>
      </c>
      <c r="I26"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12.0072</v>
      </c>
      <c r="J26"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0.00799999999999912</v>
      </c>
      <c r="K26"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6"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6" s="28" t="s">
        <v>96</v>
      </c>
    </row>
    <row r="27" spans="2:13">
      <c r="B27" s="30">
        <v>21</v>
      </c>
      <c r="C27" s="38">
        <v>46304</v>
      </c>
      <c r="D27" s="29">
        <v>12.01</v>
      </c>
      <c r="E27" s="29">
        <v>12.015</v>
      </c>
      <c r="F27" s="29">
        <v>12.008</v>
      </c>
      <c r="G27" s="29">
        <v>12.007</v>
      </c>
      <c r="H27" s="29">
        <v>12.009</v>
      </c>
      <c r="I27"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12.0098</v>
      </c>
      <c r="J27"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0.0080000000000009</v>
      </c>
      <c r="K27"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7"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7" s="28" t="s">
        <v>96</v>
      </c>
    </row>
    <row r="28" spans="2:13">
      <c r="B28" s="30">
        <v>22</v>
      </c>
      <c r="C28" s="38">
        <v>46304</v>
      </c>
      <c r="D28" s="29">
        <v>12.006</v>
      </c>
      <c r="E28" s="29">
        <v>12.003</v>
      </c>
      <c r="F28" s="29">
        <v>12.007</v>
      </c>
      <c r="G28" s="29">
        <v>12.007</v>
      </c>
      <c r="H28" s="29">
        <v>12.005</v>
      </c>
      <c r="I28"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12.0056</v>
      </c>
      <c r="J28"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0.00399999999999956</v>
      </c>
      <c r="K28"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8"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8" s="28" t="s">
        <v>96</v>
      </c>
    </row>
    <row r="29" spans="2:13">
      <c r="B29" s="30">
        <v>23</v>
      </c>
      <c r="C29" s="38">
        <v>46304</v>
      </c>
      <c r="D29" s="29">
        <v>12.003</v>
      </c>
      <c r="E29" s="29">
        <v>12.004</v>
      </c>
      <c r="F29" s="29">
        <v>12.011</v>
      </c>
      <c r="G29" s="29">
        <v>12.003</v>
      </c>
      <c r="H29" s="29">
        <v>12.002</v>
      </c>
      <c r="I29"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12.0046</v>
      </c>
      <c r="J29"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0.00899999999999857</v>
      </c>
      <c r="K29"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29"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29" s="28" t="s">
        <v>96</v>
      </c>
    </row>
    <row r="30" spans="2:13">
      <c r="B30" s="30">
        <v>24</v>
      </c>
      <c r="C30" s="38">
        <v>46304</v>
      </c>
      <c r="D30" s="29">
        <v>12.006</v>
      </c>
      <c r="E30" s="29">
        <v>12.002</v>
      </c>
      <c r="F30" s="29">
        <v>12.008</v>
      </c>
      <c r="G30" s="29">
        <v>12.002</v>
      </c>
      <c r="H30" s="29">
        <v>12.002</v>
      </c>
      <c r="I30"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12.004</v>
      </c>
      <c r="J30"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0.00599999999999845</v>
      </c>
      <c r="K30"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30"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30" s="28" t="s">
        <v>96</v>
      </c>
    </row>
    <row r="31" spans="2:13">
      <c r="B31" s="30">
        <v>25</v>
      </c>
      <c r="C31" s="38">
        <v>46304</v>
      </c>
      <c r="D31" s="29">
        <v>12.009</v>
      </c>
      <c r="E31" s="29">
        <v>12.009</v>
      </c>
      <c r="F31" s="29">
        <v>12.004</v>
      </c>
      <c r="G31" s="29">
        <v>12.006</v>
      </c>
      <c r="H31" s="29">
        <v>12.007</v>
      </c>
      <c r="I31" s="39">
        <f>IF(tblMeas[[#This Row],[Subgroup no.]]="","",IF(COUNT(tblMeas[[#This Row],[Reading 1]],tblMeas[[#This Row],[Reading 2]],tblMeas[[#This Row],[Reading 3]],tblMeas[[#This Row],[Reading 4]],tblMeas[[#This Row],[Reading 5]])&lt;&gt;SubN,"",AVERAGE(tblMeas[[#This Row],[Reading 1]],tblMeas[[#This Row],[Reading 2]],tblMeas[[#This Row],[Reading 3]],tblMeas[[#This Row],[Reading 4]],tblMeas[[#This Row],[Reading 5]])))</f>
        <v>12.007</v>
      </c>
      <c r="J31" s="39">
        <f>IF(tblMeas[[#This Row],[Subgroup no.]]="","",IF(COUNT(tblMeas[[#This Row],[Reading 1]],tblMeas[[#This Row],[Reading 2]],tblMeas[[#This Row],[Reading 3]],tblMeas[[#This Row],[Reading 4]],tblMeas[[#This Row],[Reading 5]])&lt;&gt;SubN,"",MAX(tblMeas[[#This Row],[Reading 1]],tblMeas[[#This Row],[Reading 2]],tblMeas[[#This Row],[Reading 3]],tblMeas[[#This Row],[Reading 4]],tblMeas[[#This Row],[Reading 5]])-MIN(tblMeas[[#This Row],[Reading 1]],tblMeas[[#This Row],[Reading 2]],tblMeas[[#This Row],[Reading 3]],tblMeas[[#This Row],[Reading 4]],tblMeas[[#This Row],[Reading 5]])))</f>
        <v>0.00500000000000078</v>
      </c>
      <c r="K31" s="40">
        <f>IF(tblMeas[[#This Row],[Subgroup no.]]="","",ISNUMBER(tblMeas[[#This Row],[Reading 1]])*((tblMeas[[#This Row],[Reading 1]]&lt;LSL)+(tblMeas[[#This Row],[Reading 1]]&gt;USL))+ISNUMBER(tblMeas[[#This Row],[Reading 2]])*((tblMeas[[#This Row],[Reading 2]]&lt;LSL)+(tblMeas[[#This Row],[Reading 2]]&gt;USL))+ISNUMBER(tblMeas[[#This Row],[Reading 3]])*((tblMeas[[#This Row],[Reading 3]]&lt;LSL)+(tblMeas[[#This Row],[Reading 3]]&gt;USL))+ISNUMBER(tblMeas[[#This Row],[Reading 4]])*((tblMeas[[#This Row],[Reading 4]]&lt;LSL)+(tblMeas[[#This Row],[Reading 4]]&gt;USL))+ISNUMBER(tblMeas[[#This Row],[Reading 5]])*((tblMeas[[#This Row],[Reading 5]]&lt;LSL)+(tblMeas[[#This Row],[Reading 5]]&gt;USL)))</f>
        <v>0</v>
      </c>
      <c r="L31" s="41" t="str">
        <f>IF(tblMeas[[#This Row],[Subgroup no.]]="","",IF(COUNT(tblMeas[[#This Row],[Reading 1]],tblMeas[[#This Row],[Reading 2]],tblMeas[[#This Row],[Reading 3]],tblMeas[[#This Row],[Reading 4]],tblMeas[[#This Row],[Reading 5]])&lt;&gt;SubN,"Reading count is not n",IF(COUNTIFS(tblMeas[Subgroup no.],tblMeas[[#This Row],[Subgroup no.]])&gt;1,"Duplicate subgroup no.",IF(tblMeas[[#This Row],[Out of spec (readings)]]&gt;0,"Reading outside spec","OK"))))</f>
        <v>OK</v>
      </c>
      <c r="M31" s="28" t="s">
        <v>98</v>
      </c>
    </row>
  </sheetData>
  <mergeCells count="3">
    <mergeCell ref="A1:M1"/>
    <mergeCell ref="B2:L2"/>
    <mergeCell ref="B4:M4"/>
  </mergeCells>
  <conditionalFormatting sqref="L7:L531">
    <cfRule type="expression" dxfId="3" priority="1">
      <formula>$L7="OK"</formula>
    </cfRule>
    <cfRule type="expression" dxfId="1" priority="2">
      <formula>AND($L7&lt;&gt;"",$L7&lt;&gt;"OK")</formula>
    </cfRule>
  </conditionalFormatting>
  <dataValidations count="8">
    <dataValidation type="whole" allowBlank="1" showInputMessage="1" showErrorMessage="1" errorTitle="Check this entry" error="Enter a whole number from 1 to 1,000,000." promptTitle="Subgroup no." prompt="Subgroups numbered in production order. Enter a whole number from 1 to 1,000,000." sqref="B7:B531">
      <formula1>1</formula1>
      <formula2>1000000</formula2>
    </dataValidation>
    <dataValidation type="date" allowBlank="1" showInputMessage="1" showErrorMessage="1" errorTitle="Check this entry" error="Enter a date between 01 Jan 2000 and 31 Dec 2100." promptTitle="Date" prompt="Enter a date between 01 Jan 2000 and 31 Dec 2100." sqref="C7:C531">
      <formula1>36526</formula1>
      <formula2>73415</formula2>
    </dataValidation>
    <dataValidation type="decimal" allowBlank="1" showInputMessage="1" showErrorMessage="1" errorTitle="Check this entry" error="Enter a number of at least -1,000,000,000." promptTitle="Reading 1" prompt="One reading in the unit on Setup. Fill Reading 1 to n; leave the rest blank. Enter a number of at least -1,000,000,000." sqref="D7:D531">
      <formula1>-1000000000.0</formula1>
      <formula2>1000000000.0</formula2>
    </dataValidation>
    <dataValidation type="decimal" allowBlank="1" showInputMessage="1" showErrorMessage="1" errorTitle="Check this entry" error="Enter a number of at least -1,000,000,000." promptTitle="Reading 2" prompt="One reading in the unit on Setup. Fill Reading 1 to n; leave the rest blank. Enter a number of at least -1,000,000,000." sqref="E7:E531">
      <formula1>-1000000000.0</formula1>
      <formula2>1000000000.0</formula2>
    </dataValidation>
    <dataValidation type="decimal" allowBlank="1" showInputMessage="1" showErrorMessage="1" errorTitle="Check this entry" error="Enter a number of at least -1,000,000,000." promptTitle="Reading 3" prompt="One reading in the unit on Setup. Fill Reading 1 to n; leave the rest blank. Enter a number of at least -1,000,000,000." sqref="F7:F531">
      <formula1>-1000000000.0</formula1>
      <formula2>1000000000.0</formula2>
    </dataValidation>
    <dataValidation type="decimal" allowBlank="1" showInputMessage="1" showErrorMessage="1" errorTitle="Check this entry" error="Enter a number of at least -1,000,000,000." promptTitle="Reading 4" prompt="One reading in the unit on Setup. Fill Reading 1 to n; leave the rest blank. Enter a number of at least -1,000,000,000." sqref="G7:G531">
      <formula1>-1000000000.0</formula1>
      <formula2>1000000000.0</formula2>
    </dataValidation>
    <dataValidation type="decimal" allowBlank="1" showInputMessage="1" showErrorMessage="1" errorTitle="Check this entry" error="Enter a number of at least -1,000,000,000." promptTitle="Reading 5" prompt="One reading in the unit on Setup. Fill Reading 1 to n; leave the rest blank. Enter a number of at least -1,000,000,000." sqref="H7:H531">
      <formula1>-1000000000.0</formula1>
      <formula2>1000000000.0</formula2>
    </dataValidation>
    <dataValidation type="textLength" allowBlank="1" showInputMessage="1" showErrorMessage="1" errorTitle="Check this entry" error="Text up to 255 characters." promptTitle="Notes" prompt="Anything that explains the data: tool change, dressing, material lot, operator. Text up to 255 characters." sqref="M7:M531">
      <formula1>0</formula1>
      <formula2>255</formula2>
    </dataValidation>
  </dataValidations>
  <hyperlinks>
    <hyperlink ref="M2" r:id="rId1" tooltip="Free manufacturing calculators and templates"/>
  </hyperlinks>
  <pageMargins left="0.4" right="0.4" top="0.7" bottom="0.65" header="0.3" footer="0.3"/>
  <pageSetup fitToHeight="0" orientation="landscape"/>
  <headerFooter>
    <oddHeader>&amp;L&amp;8MFG Calcs - Process Capability Cp Cpk Pp Ppk&amp;R&amp;8&amp;A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17" t="str">
        <f>CharName&amp;"  |  "&amp;PlantName&amp;"  |  spec "&amp;FIXED(LSL,3,TRUE)&amp;" to "&amp;FIXED(USL,3,TRUE)&amp;" "&amp;UnitLabel&amp;"  |  "&amp;NAll&amp;" readings"</f>
        <v>Shaft OD, grind OP40 (example)  |  Kestrel Precision (example)  |  spec 11.980 to 12.020 mm  |  125 readings</v>
      </c>
      <c r="C4" s="17"/>
      <c r="D4" s="17"/>
      <c r="E4" s="17"/>
      <c r="F4" s="17"/>
      <c r="G4" s="17"/>
      <c r="H4" s="17"/>
      <c r="I4" s="17"/>
      <c r="J4" s="17"/>
      <c r="K4" s="17"/>
      <c r="L4" s="17"/>
    </row>
    <row r="6" spans="1:12" ht="18" customHeight="1">
      <c r="B6" s="42" t="s">
        <v>99</v>
      </c>
      <c r="C6" s="42"/>
      <c r="D6" s="42" t="s">
        <v>100</v>
      </c>
      <c r="E6" s="42"/>
      <c r="F6" s="42"/>
      <c r="G6" s="42" t="s">
        <v>101</v>
      </c>
      <c r="H6" s="42"/>
      <c r="I6" s="42"/>
      <c r="J6" s="42" t="s">
        <v>102</v>
      </c>
      <c r="K6" s="42"/>
      <c r="L6" s="42"/>
    </row>
    <row r="7" spans="1:12" ht="21" customHeight="1">
      <c r="B7" s="43">
        <f>CPK</f>
        <v>1.64670227272727</v>
      </c>
      <c r="C7" s="43"/>
      <c r="D7" s="43">
        <f>PPK</f>
        <v>1.41438984311781</v>
      </c>
      <c r="E7" s="43"/>
      <c r="F7" s="43"/>
      <c r="G7" s="43">
        <f>CP</f>
        <v>2.20265151515158</v>
      </c>
      <c r="H7" s="43"/>
      <c r="I7" s="43"/>
      <c r="J7" s="43">
        <f>PP</f>
        <v>1.89190722728446</v>
      </c>
      <c r="K7" s="43"/>
      <c r="L7" s="43"/>
    </row>
    <row r="8" spans="1:12" ht="21" customHeight="1">
      <c r="B8" s="43"/>
      <c r="C8" s="43"/>
      <c r="D8" s="43"/>
      <c r="E8" s="43"/>
      <c r="F8" s="43"/>
      <c r="G8" s="43"/>
      <c r="H8" s="43"/>
      <c r="I8" s="43"/>
      <c r="J8" s="43"/>
      <c r="K8" s="43"/>
      <c r="L8" s="43"/>
    </row>
    <row r="9" spans="1:12">
      <c r="B9" s="44">
        <f>ReqCpk</f>
        <v>1.33</v>
      </c>
      <c r="C9" s="44"/>
      <c r="D9" s="44">
        <f>ReqPpk</f>
        <v>1.67</v>
      </c>
      <c r="E9" s="44"/>
      <c r="F9" s="44"/>
      <c r="G9" s="44">
        <f>ReqCpk</f>
        <v>1.33</v>
      </c>
      <c r="H9" s="44"/>
      <c r="I9" s="44"/>
      <c r="J9" s="44">
        <f>ReqPpk</f>
        <v>1.67</v>
      </c>
      <c r="K9" s="44"/>
      <c r="L9" s="44"/>
    </row>
    <row r="10" spans="1:12" ht="18" customHeight="1">
      <c r="B10" s="45" t="str">
        <f>IF(NOT(ISNUMBER(KpiCpk)),"No data",IF(KpiCpk&gt;=(ReqCpk),"On target",IF(KpiCpk&gt;=(ReqCpk)*(1-0.05),"Near target","Below target")))</f>
        <v>On target</v>
      </c>
      <c r="C10" s="45"/>
      <c r="D10" s="45" t="str">
        <f>IF(NOT(ISNUMBER(KpiPpk)),"No data",IF(KpiPpk&gt;=(ReqPpk),"On target",IF(KpiPpk&gt;=(ReqPpk)*(1-0.05),"Near target","Below target")))</f>
        <v>Below target</v>
      </c>
      <c r="E10" s="45"/>
      <c r="F10" s="45"/>
      <c r="G10" s="45" t="str">
        <f>IF(NOT(ISNUMBER(KpiCp)),"No data",IF(KpiCp&gt;=(ReqCpk),"On target",IF(KpiCp&gt;=(ReqCpk)*(1-0.05),"Near target","Below target")))</f>
        <v>On target</v>
      </c>
      <c r="H10" s="45"/>
      <c r="I10" s="45"/>
      <c r="J10" s="45" t="str">
        <f>IF(NOT(ISNUMBER(KpiPp)),"No data",IF(KpiPp&gt;=(ReqPpk),"On target",IF(KpiPp&gt;=(ReqPpk)*(1-0.05),"Near target","Below target")))</f>
        <v>On target</v>
      </c>
      <c r="K10" s="45"/>
      <c r="L10" s="45"/>
    </row>
    <row r="29" spans="2:12" ht="18" customHeight="1">
      <c r="B29" s="42" t="str">
        <f>"OVERALL MEAN ("&amp;UnitLabel&amp;")"</f>
        <v>OVERALL MEAN (mm)</v>
      </c>
      <c r="C29" s="42"/>
      <c r="D29" s="42" t="str">
        <f>"WITHIN SIGMA ("&amp;UnitLabel&amp;")"</f>
        <v>WITHIN SIGMA (mm)</v>
      </c>
      <c r="E29" s="42"/>
      <c r="F29" s="42"/>
      <c r="G29" s="42" t="str">
        <f>"OVERALL SIGMA ("&amp;UnitLabel&amp;")"</f>
        <v>OVERALL SIGMA (mm)</v>
      </c>
      <c r="H29" s="42"/>
      <c r="I29" s="42"/>
      <c r="J29" s="42" t="s">
        <v>103</v>
      </c>
      <c r="K29" s="42"/>
      <c r="L29" s="42"/>
    </row>
    <row r="30" spans="2:12" ht="21" customHeight="1">
      <c r="B30" s="46">
        <f>XBar</f>
        <v>12.005048</v>
      </c>
      <c r="C30" s="46"/>
      <c r="D30" s="46">
        <f>SdW</f>
        <v>0.00302665520206348</v>
      </c>
      <c r="E30" s="46"/>
      <c r="F30" s="46"/>
      <c r="G30" s="46">
        <f>SdO</f>
        <v>0.00352378096056829</v>
      </c>
      <c r="H30" s="46"/>
      <c r="I30" s="46"/>
      <c r="J30" s="47">
        <f>ObsPpm</f>
        <v>0</v>
      </c>
      <c r="K30" s="47"/>
      <c r="L30" s="47"/>
    </row>
    <row r="31" spans="2:12" ht="21" customHeight="1">
      <c r="B31" s="46"/>
      <c r="C31" s="46"/>
      <c r="D31" s="46"/>
      <c r="E31" s="46"/>
      <c r="F31" s="46"/>
      <c r="G31" s="46"/>
      <c r="H31" s="46"/>
      <c r="I31" s="46"/>
      <c r="J31" s="47"/>
      <c r="K31" s="47"/>
      <c r="L31" s="47"/>
    </row>
    <row r="32" spans="2:12">
      <c r="B32" s="48" t="str">
        <f>"Mid-tolerance "&amp;FIXED((LSL+USL)/2,4,TRUE)</f>
        <v>Mid-tolerance 12.0000</v>
      </c>
      <c r="C32" s="48"/>
      <c r="D32" s="48" t="s">
        <v>104</v>
      </c>
      <c r="E32" s="48"/>
      <c r="F32" s="48"/>
      <c r="G32" s="48" t="s">
        <v>105</v>
      </c>
      <c r="H32" s="48"/>
      <c r="I32" s="48"/>
      <c r="J32" s="48" t="str">
        <f>"Expected (normal model, est.): "&amp;FIXED(ExpPpm,0,TRUE)&amp;" ppm"</f>
        <v>Expected (normal model, est.): 11 ppm</v>
      </c>
      <c r="K32" s="48"/>
      <c r="L32" s="48"/>
    </row>
    <row r="33" spans="2:12" ht="18" customHeight="1">
      <c r="B33" s="45"/>
      <c r="C33" s="45"/>
      <c r="D33" s="45"/>
      <c r="E33" s="45"/>
      <c r="F33" s="45"/>
      <c r="G33" s="45"/>
      <c r="H33" s="45"/>
      <c r="I33" s="45"/>
      <c r="J33" s="45"/>
      <c r="K33" s="45"/>
      <c r="L33" s="45"/>
    </row>
    <row r="35" spans="2:12">
      <c r="B35" s="27" t="s">
        <v>106</v>
      </c>
      <c r="C35" s="27"/>
      <c r="D35" s="27"/>
      <c r="E35" s="40">
        <f>COUNT(tblMeas[Reading 1],tblMeas[Reading 2],tblMeas[Reading 3],tblMeas[Reading 4],tblMeas[Reading 5])</f>
        <v>125</v>
      </c>
      <c r="F35" s="7" t="s">
        <v>72</v>
      </c>
      <c r="H35" s="34" t="s">
        <v>107</v>
      </c>
      <c r="I35" s="34"/>
      <c r="J35" s="34"/>
      <c r="K35" s="34"/>
      <c r="L35" s="34"/>
    </row>
    <row r="36" spans="2:12" ht="20" customHeight="1">
      <c r="B36" s="27" t="s">
        <v>108</v>
      </c>
      <c r="C36" s="27"/>
      <c r="D36" s="27"/>
      <c r="E36" s="39">
        <f>IF(NAll=0,"",AVERAGE(tblMeas[Reading 1],tblMeas[Reading 2],tblMeas[Reading 3],tblMeas[Reading 4],tblMeas[Reading 5]))</f>
        <v>12.005048</v>
      </c>
      <c r="F36" s="7" t="str">
        <f>UnitLabel</f>
        <v>mm</v>
      </c>
      <c r="H36" s="49" t="s">
        <v>109</v>
      </c>
      <c r="I36" s="36" t="s">
        <v>109</v>
      </c>
      <c r="J36" s="36" t="s">
        <v>110</v>
      </c>
      <c r="K36" s="36" t="s">
        <v>111</v>
      </c>
      <c r="L36" s="36"/>
    </row>
    <row r="37" spans="2:12">
      <c r="B37" s="27" t="s">
        <v>112</v>
      </c>
      <c r="C37" s="27"/>
      <c r="D37" s="27"/>
      <c r="E37" s="39">
        <f>IF(COUNT(tblMeas[Range])=0,"",AVERAGE(tblMeas[Range]))</f>
        <v>0.00703999999999965</v>
      </c>
      <c r="F37" s="7" t="str">
        <f>UnitLabel</f>
        <v>mm</v>
      </c>
      <c r="H37" s="50" t="s">
        <v>113</v>
      </c>
      <c r="I37" s="51">
        <f>IF(1=1,CP,IF(1=2,CPK,IF(1=3,PP,PPK)))</f>
        <v>2.20265151515158</v>
      </c>
      <c r="J37" s="52">
        <f>IF(1&lt;=2,ReqCpk,ReqPpk)</f>
        <v>1.33</v>
      </c>
      <c r="K37" s="33" t="str">
        <f>IF(NOT(ISNUMBER($I$37)),"",IF($I$37&gt;=$J$37,"On target",IF($I$37&gt;=$J$37*0.95,"Near target","Below target")))</f>
        <v>On target</v>
      </c>
      <c r="L37" s="33"/>
    </row>
    <row r="38" spans="2:12">
      <c r="B38" s="27" t="s">
        <v>114</v>
      </c>
      <c r="C38" s="27"/>
      <c r="D38" s="27"/>
      <c r="E38" s="39">
        <f>IF(COUNT(tblMeas[Range])=0,"",RBar/ConstD2)</f>
        <v>0.00302665520206348</v>
      </c>
      <c r="F38" s="7" t="str">
        <f>UnitLabel</f>
        <v>mm</v>
      </c>
      <c r="H38" s="50" t="s">
        <v>115</v>
      </c>
      <c r="I38" s="51">
        <f>IF(2=1,CP,IF(2=2,CPK,IF(2=3,PP,PPK)))</f>
        <v>1.64670227272727</v>
      </c>
      <c r="J38" s="52">
        <f>IF(2&lt;=2,ReqCpk,ReqPpk)</f>
        <v>1.33</v>
      </c>
      <c r="K38" s="33" t="str">
        <f>IF(NOT(ISNUMBER($I$38)),"",IF($I$38&gt;=$J$38,"On target",IF($I$38&gt;=$J$38*0.95,"Near target","Below target")))</f>
        <v>On target</v>
      </c>
      <c r="L38" s="33"/>
    </row>
    <row r="39" spans="2:12">
      <c r="B39" s="27" t="s">
        <v>116</v>
      </c>
      <c r="C39" s="27"/>
      <c r="D39" s="27"/>
      <c r="E39" s="39">
        <f>IF(NAll&lt;2,"",_xlfn.STDEV.S(tblMeas[Reading 1],tblMeas[Reading 2],tblMeas[Reading 3],tblMeas[Reading 4],tblMeas[Reading 5]))</f>
        <v>0.00352378096056829</v>
      </c>
      <c r="F39" s="7" t="str">
        <f>UnitLabel</f>
        <v>mm</v>
      </c>
      <c r="H39" s="50" t="s">
        <v>117</v>
      </c>
      <c r="I39" s="51">
        <f>IF(3=1,CP,IF(3=2,CPK,IF(3=3,PP,PPK)))</f>
        <v>1.89190722728446</v>
      </c>
      <c r="J39" s="52">
        <f>IF(3&lt;=2,ReqCpk,ReqPpk)</f>
        <v>1.67</v>
      </c>
      <c r="K39" s="33" t="str">
        <f>IF(NOT(ISNUMBER($I$39)),"",IF($I$39&gt;=$J$39,"On target",IF($I$39&gt;=$J$39*0.95,"Near target","Below target")))</f>
        <v>On target</v>
      </c>
      <c r="L39" s="33"/>
    </row>
    <row r="40" spans="2:12">
      <c r="B40" s="17" t="s">
        <v>113</v>
      </c>
      <c r="C40" s="17"/>
      <c r="D40" s="17"/>
      <c r="E40" s="53">
        <f>IF(N(SdW)=0,"",(USL-LSL)/(6*SdW))</f>
        <v>2.20265151515158</v>
      </c>
      <c r="F40" s="7" t="s">
        <v>74</v>
      </c>
      <c r="H40" s="50" t="s">
        <v>118</v>
      </c>
      <c r="I40" s="51">
        <f>IF(4=1,CP,IF(4=2,CPK,IF(4=3,PP,PPK)))</f>
        <v>1.41438984311781</v>
      </c>
      <c r="J40" s="52">
        <f>IF(4&lt;=2,ReqCpk,ReqPpk)</f>
        <v>1.67</v>
      </c>
      <c r="K40" s="33" t="str">
        <f>IF(NOT(ISNUMBER($I$40)),"",IF($I$40&gt;=$J$40,"On target",IF($I$40&gt;=$J$40*0.95,"Near target","Below target")))</f>
        <v>Below target</v>
      </c>
      <c r="L40" s="33"/>
    </row>
    <row r="41" spans="2:12">
      <c r="B41" s="27" t="s">
        <v>119</v>
      </c>
      <c r="C41" s="27"/>
      <c r="D41" s="27"/>
      <c r="E41" s="51">
        <f>IF(N(SdW)=0,"",(USL-XBar)/(3*SdW))</f>
        <v>1.64670227272727</v>
      </c>
      <c r="F41" s="7" t="s">
        <v>74</v>
      </c>
    </row>
    <row r="42" spans="2:12">
      <c r="B42" s="27" t="s">
        <v>120</v>
      </c>
      <c r="C42" s="27"/>
      <c r="D42" s="27"/>
      <c r="E42" s="51">
        <f>IF(N(SdW)=0,"",(XBar-LSL)/(3*SdW))</f>
        <v>2.75860075757589</v>
      </c>
      <c r="F42" s="7" t="s">
        <v>74</v>
      </c>
    </row>
    <row r="43" spans="2:12">
      <c r="B43" s="17" t="s">
        <v>115</v>
      </c>
      <c r="C43" s="17"/>
      <c r="D43" s="17"/>
      <c r="E43" s="53">
        <f>IF(N(SdW)=0,"",MIN(CPU,CPL))</f>
        <v>1.64670227272727</v>
      </c>
      <c r="F43" s="7" t="s">
        <v>74</v>
      </c>
    </row>
    <row r="44" spans="2:12">
      <c r="B44" s="17" t="s">
        <v>117</v>
      </c>
      <c r="C44" s="17"/>
      <c r="D44" s="17"/>
      <c r="E44" s="53">
        <f>IF(N(SdO)=0,"",(USL-LSL)/(6*SdO))</f>
        <v>1.89190722728446</v>
      </c>
      <c r="F44" s="7" t="s">
        <v>74</v>
      </c>
    </row>
    <row r="45" spans="2:12">
      <c r="B45" s="27" t="s">
        <v>121</v>
      </c>
      <c r="C45" s="27"/>
      <c r="D45" s="27"/>
      <c r="E45" s="51">
        <f>IF(N(SdO)=0,"",(USL-XBar)/(3*SdO))</f>
        <v>1.41438984311781</v>
      </c>
      <c r="F45" s="7" t="s">
        <v>74</v>
      </c>
    </row>
    <row r="46" spans="2:12">
      <c r="B46" s="27" t="s">
        <v>122</v>
      </c>
      <c r="C46" s="27"/>
      <c r="D46" s="27"/>
      <c r="E46" s="51">
        <f>IF(N(SdO)=0,"",(XBar-LSL)/(3*SdO))</f>
        <v>2.3694246114511</v>
      </c>
      <c r="F46" s="7" t="s">
        <v>74</v>
      </c>
    </row>
    <row r="47" spans="2:12">
      <c r="B47" s="17" t="s">
        <v>118</v>
      </c>
      <c r="C47" s="17"/>
      <c r="D47" s="17"/>
      <c r="E47" s="53">
        <f>IF(N(SdO)=0,"",MIN(PPU,PPL))</f>
        <v>1.41438984311781</v>
      </c>
      <c r="F47" s="7" t="s">
        <v>74</v>
      </c>
    </row>
    <row r="48" spans="2:12">
      <c r="B48" s="27" t="s">
        <v>123</v>
      </c>
      <c r="C48" s="27"/>
      <c r="D48" s="27"/>
      <c r="E48" s="40">
        <f>IF(NAll=0,"",SUM(tblMeas[Out of spec (readings)])/NAll*1000000)</f>
        <v>0</v>
      </c>
      <c r="F48" s="7" t="s">
        <v>124</v>
      </c>
    </row>
    <row r="49" spans="2:9">
      <c r="B49" s="27" t="s">
        <v>125</v>
      </c>
      <c r="C49" s="27"/>
      <c r="D49" s="27"/>
      <c r="E49" s="40">
        <f>IF(N(SdO)=0,"",(_xlfn.NORM.DIST(LSL,XBar,SdO,TRUE)+1-_xlfn.NORM.DIST(USL,XBar,SdO,TRUE))*1000000)</f>
        <v>11.0192415800903</v>
      </c>
      <c r="F49" s="7" t="s">
        <v>124</v>
      </c>
    </row>
    <row r="50" spans="2:9">
      <c r="B50" s="27" t="s">
        <v>126</v>
      </c>
      <c r="C50" s="27"/>
      <c r="D50" s="27"/>
      <c r="E50" s="39">
        <f>(USL-LSL)/20</f>
        <v>0.00199999999999996</v>
      </c>
      <c r="F50" s="7" t="str">
        <f>UnitLabel</f>
        <v>mm</v>
      </c>
    </row>
    <row r="52" spans="2:9">
      <c r="B52" s="34" t="s">
        <v>127</v>
      </c>
      <c r="C52" s="34"/>
      <c r="D52" s="34"/>
      <c r="E52" s="34"/>
      <c r="F52" s="34"/>
      <c r="G52" s="34"/>
      <c r="H52" s="34"/>
      <c r="I52" s="34"/>
    </row>
    <row r="53" spans="2:9" ht="32" customHeight="1">
      <c r="B53" s="49" t="s">
        <v>128</v>
      </c>
      <c r="C53" s="36" t="s">
        <v>129</v>
      </c>
      <c r="D53" s="36" t="s">
        <v>130</v>
      </c>
      <c r="E53" s="36" t="s">
        <v>131</v>
      </c>
      <c r="F53" s="36" t="s">
        <v>132</v>
      </c>
      <c r="G53" s="36" t="s">
        <v>133</v>
      </c>
      <c r="H53" s="36" t="s">
        <v>134</v>
      </c>
      <c r="I53" s="36" t="s">
        <v>135</v>
      </c>
    </row>
    <row r="54" spans="2:9">
      <c r="B54" s="54">
        <v>1</v>
      </c>
      <c r="C54" s="39">
        <f>ROUND(LSL+($B$54-2)*BinW,10)</f>
        <v>11.978</v>
      </c>
      <c r="D54" s="39">
        <f>ROUND($C$54+BinW,10)</f>
        <v>11.98</v>
      </c>
      <c r="E54" s="33" t="str">
        <f>IF($B$54=1,"&lt; "&amp;FIXED(LSL,3,TRUE),IF($B$54=22,"&gt; "&amp;FIXED(USL,3,TRUE),FIXED(($C$54+$D$54)/2,3,TRUE)))</f>
        <v>&lt; 11.980</v>
      </c>
      <c r="F54" s="40">
        <f>IF($B$54=1,COUNTIF(tblMeas[Reading 1],"&lt;"&amp;LSL)+COUNTIF(tblMeas[Reading 2],"&lt;"&amp;LSL)+COUNTIF(tblMeas[Reading 3],"&lt;"&amp;LSL)+COUNTIF(tblMeas[Reading 4],"&lt;"&amp;LSL)+COUNTIF(tblMeas[Reading 5],"&lt;"&amp;LSL),IF($B$54=22,COUNTIF(tblMeas[Reading 1],"&gt;"&amp;USL)+COUNTIF(tblMeas[Reading 2],"&gt;"&amp;USL)+COUNTIF(tblMeas[Reading 3],"&gt;"&amp;USL)+COUNTIF(tblMeas[Reading 4],"&gt;"&amp;USL)+COUNTIF(tblMeas[Reading 5],"&gt;"&amp;USL),COUNTIFS(tblMeas[Reading 1],"&gt;="&amp;$C$54,tblMeas[Reading 1],IF($B$54=21,"&lt;=","&lt;")&amp;$D$54)+COUNTIFS(tblMeas[Reading 2],"&gt;="&amp;$C$54,tblMeas[Reading 2],IF($B$54=21,"&lt;=","&lt;")&amp;$D$54)+COUNTIFS(tblMeas[Reading 3],"&gt;="&amp;$C$54,tblMeas[Reading 3],IF($B$54=21,"&lt;=","&lt;")&amp;$D$54)+COUNTIFS(tblMeas[Reading 4],"&gt;="&amp;$C$54,tblMeas[Reading 4],IF($B$54=21,"&lt;=","&lt;")&amp;$D$54)+COUNTIFS(tblMeas[Reading 5],"&gt;="&amp;$C$54,tblMeas[Reading 5],IF($B$54=21,"&lt;=","&lt;")&amp;$D$54)))</f>
        <v>0</v>
      </c>
      <c r="G54" s="40">
        <f>IF(OR($B$54=1,$B$54=22),0,$F$54)</f>
        <v>0</v>
      </c>
      <c r="H54" s="40">
        <f>$F$54-$G$54</f>
        <v>0</v>
      </c>
      <c r="I54" s="55">
        <f>IF(N(SdO)=0,0,NAll*IF($B$54=1,_xlfn.NORM.DIST(LSL,XBar,SdO,TRUE),IF($B$54=22,1-_xlfn.NORM.DIST(USL,XBar,SdO,TRUE),_xlfn.NORM.DIST($D$54,XBar,SdO,TRUE)-_xlfn.NORM.DIST($C$54,XBar,SdO,TRUE))))</f>
        <v>7.34395319940903e-11</v>
      </c>
    </row>
    <row r="55" spans="2:9">
      <c r="B55" s="54">
        <f>$B$54+1</f>
        <v>2</v>
      </c>
      <c r="C55" s="39">
        <f>ROUND(LSL+($B$55-2)*BinW,10)</f>
        <v>11.98</v>
      </c>
      <c r="D55" s="39">
        <f>ROUND($C$55+BinW,10)</f>
        <v>11.982</v>
      </c>
      <c r="E55" s="33" t="str">
        <f>IF($B$55=1,"&lt; "&amp;FIXED(LSL,3,TRUE),IF($B$55=22,"&gt; "&amp;FIXED(USL,3,TRUE),FIXED(($C$55+$D$55)/2,3,TRUE)))</f>
        <v>11.981</v>
      </c>
      <c r="F55" s="40">
        <f>IF($B$55=1,COUNTIF(tblMeas[Reading 1],"&lt;"&amp;LSL)+COUNTIF(tblMeas[Reading 2],"&lt;"&amp;LSL)+COUNTIF(tblMeas[Reading 3],"&lt;"&amp;LSL)+COUNTIF(tblMeas[Reading 4],"&lt;"&amp;LSL)+COUNTIF(tblMeas[Reading 5],"&lt;"&amp;LSL),IF($B$55=22,COUNTIF(tblMeas[Reading 1],"&gt;"&amp;USL)+COUNTIF(tblMeas[Reading 2],"&gt;"&amp;USL)+COUNTIF(tblMeas[Reading 3],"&gt;"&amp;USL)+COUNTIF(tblMeas[Reading 4],"&gt;"&amp;USL)+COUNTIF(tblMeas[Reading 5],"&gt;"&amp;USL),COUNTIFS(tblMeas[Reading 1],"&gt;="&amp;$C$55,tblMeas[Reading 1],IF($B$55=21,"&lt;=","&lt;")&amp;$D$55)+COUNTIFS(tblMeas[Reading 2],"&gt;="&amp;$C$55,tblMeas[Reading 2],IF($B$55=21,"&lt;=","&lt;")&amp;$D$55)+COUNTIFS(tblMeas[Reading 3],"&gt;="&amp;$C$55,tblMeas[Reading 3],IF($B$55=21,"&lt;=","&lt;")&amp;$D$55)+COUNTIFS(tblMeas[Reading 4],"&gt;="&amp;$C$55,tblMeas[Reading 4],IF($B$55=21,"&lt;=","&lt;")&amp;$D$55)+COUNTIFS(tblMeas[Reading 5],"&gt;="&amp;$C$55,tblMeas[Reading 5],IF($B$55=21,"&lt;=","&lt;")&amp;$D$55)))</f>
        <v>0</v>
      </c>
      <c r="G55" s="40">
        <f>IF(OR($B$55=1,$B$55=22),0,$F$55)</f>
        <v>0</v>
      </c>
      <c r="H55" s="40">
        <f>$F$55-$G$55</f>
        <v>0</v>
      </c>
      <c r="I55" s="55">
        <f>IF(N(SdO)=0,0,NAll*IF($B$55=1,_xlfn.NORM.DIST(LSL,XBar,SdO,TRUE),IF($B$55=22,1-_xlfn.NORM.DIST(USL,XBar,SdO,TRUE),_xlfn.NORM.DIST($D$55,XBar,SdO,TRUE)-_xlfn.NORM.DIST($C$55,XBar,SdO,TRUE))))</f>
        <v>3.75348974667165e-09</v>
      </c>
    </row>
    <row r="56" spans="2:9">
      <c r="B56" s="54">
        <f>$B$55+1</f>
        <v>3</v>
      </c>
      <c r="C56" s="39">
        <f>ROUND(LSL+($B$56-2)*BinW,10)</f>
        <v>11.982</v>
      </c>
      <c r="D56" s="39">
        <f>ROUND($C$56+BinW,10)</f>
        <v>11.984</v>
      </c>
      <c r="E56" s="33" t="str">
        <f>IF($B$56=1,"&lt; "&amp;FIXED(LSL,3,TRUE),IF($B$56=22,"&gt; "&amp;FIXED(USL,3,TRUE),FIXED(($C$56+$D$56)/2,3,TRUE)))</f>
        <v>11.983</v>
      </c>
      <c r="F56" s="40">
        <f>IF($B$56=1,COUNTIF(tblMeas[Reading 1],"&lt;"&amp;LSL)+COUNTIF(tblMeas[Reading 2],"&lt;"&amp;LSL)+COUNTIF(tblMeas[Reading 3],"&lt;"&amp;LSL)+COUNTIF(tblMeas[Reading 4],"&lt;"&amp;LSL)+COUNTIF(tblMeas[Reading 5],"&lt;"&amp;LSL),IF($B$56=22,COUNTIF(tblMeas[Reading 1],"&gt;"&amp;USL)+COUNTIF(tblMeas[Reading 2],"&gt;"&amp;USL)+COUNTIF(tblMeas[Reading 3],"&gt;"&amp;USL)+COUNTIF(tblMeas[Reading 4],"&gt;"&amp;USL)+COUNTIF(tblMeas[Reading 5],"&gt;"&amp;USL),COUNTIFS(tblMeas[Reading 1],"&gt;="&amp;$C$56,tblMeas[Reading 1],IF($B$56=21,"&lt;=","&lt;")&amp;$D$56)+COUNTIFS(tblMeas[Reading 2],"&gt;="&amp;$C$56,tblMeas[Reading 2],IF($B$56=21,"&lt;=","&lt;")&amp;$D$56)+COUNTIFS(tblMeas[Reading 3],"&gt;="&amp;$C$56,tblMeas[Reading 3],IF($B$56=21,"&lt;=","&lt;")&amp;$D$56)+COUNTIFS(tblMeas[Reading 4],"&gt;="&amp;$C$56,tblMeas[Reading 4],IF($B$56=21,"&lt;=","&lt;")&amp;$D$56)+COUNTIFS(tblMeas[Reading 5],"&gt;="&amp;$C$56,tblMeas[Reading 5],IF($B$56=21,"&lt;=","&lt;")&amp;$D$56)))</f>
        <v>0</v>
      </c>
      <c r="G56" s="40">
        <f>IF(OR($B$56=1,$B$56=22),0,$F$56)</f>
        <v>0</v>
      </c>
      <c r="H56" s="40">
        <f>$F$56-$G$56</f>
        <v>0</v>
      </c>
      <c r="I56" s="55">
        <f>IF(N(SdO)=0,0,NAll*IF($B$56=1,_xlfn.NORM.DIST(LSL,XBar,SdO,TRUE),IF($B$56=22,1-_xlfn.NORM.DIST(USL,XBar,SdO,TRUE),_xlfn.NORM.DIST($D$56,XBar,SdO,TRUE)-_xlfn.NORM.DIST($C$56,XBar,SdO,TRUE))))</f>
        <v>1.41638697110632e-07</v>
      </c>
    </row>
    <row r="57" spans="2:9">
      <c r="B57" s="54">
        <f>$B$56+1</f>
        <v>4</v>
      </c>
      <c r="C57" s="39">
        <f>ROUND(LSL+($B$57-2)*BinW,10)</f>
        <v>11.984</v>
      </c>
      <c r="D57" s="39">
        <f>ROUND($C$57+BinW,10)</f>
        <v>11.986</v>
      </c>
      <c r="E57" s="33" t="str">
        <f>IF($B$57=1,"&lt; "&amp;FIXED(LSL,3,TRUE),IF($B$57=22,"&gt; "&amp;FIXED(USL,3,TRUE),FIXED(($C$57+$D$57)/2,3,TRUE)))</f>
        <v>11.985</v>
      </c>
      <c r="F57" s="40">
        <f>IF($B$57=1,COUNTIF(tblMeas[Reading 1],"&lt;"&amp;LSL)+COUNTIF(tblMeas[Reading 2],"&lt;"&amp;LSL)+COUNTIF(tblMeas[Reading 3],"&lt;"&amp;LSL)+COUNTIF(tblMeas[Reading 4],"&lt;"&amp;LSL)+COUNTIF(tblMeas[Reading 5],"&lt;"&amp;LSL),IF($B$57=22,COUNTIF(tblMeas[Reading 1],"&gt;"&amp;USL)+COUNTIF(tblMeas[Reading 2],"&gt;"&amp;USL)+COUNTIF(tblMeas[Reading 3],"&gt;"&amp;USL)+COUNTIF(tblMeas[Reading 4],"&gt;"&amp;USL)+COUNTIF(tblMeas[Reading 5],"&gt;"&amp;USL),COUNTIFS(tblMeas[Reading 1],"&gt;="&amp;$C$57,tblMeas[Reading 1],IF($B$57=21,"&lt;=","&lt;")&amp;$D$57)+COUNTIFS(tblMeas[Reading 2],"&gt;="&amp;$C$57,tblMeas[Reading 2],IF($B$57=21,"&lt;=","&lt;")&amp;$D$57)+COUNTIFS(tblMeas[Reading 3],"&gt;="&amp;$C$57,tblMeas[Reading 3],IF($B$57=21,"&lt;=","&lt;")&amp;$D$57)+COUNTIFS(tblMeas[Reading 4],"&gt;="&amp;$C$57,tblMeas[Reading 4],IF($B$57=21,"&lt;=","&lt;")&amp;$D$57)+COUNTIFS(tblMeas[Reading 5],"&gt;="&amp;$C$57,tblMeas[Reading 5],IF($B$57=21,"&lt;=","&lt;")&amp;$D$57)))</f>
        <v>0</v>
      </c>
      <c r="G57" s="40">
        <f>IF(OR($B$57=1,$B$57=22),0,$F$57)</f>
        <v>0</v>
      </c>
      <c r="H57" s="40">
        <f>$F$57-$G$57</f>
        <v>0</v>
      </c>
      <c r="I57" s="55">
        <f>IF(N(SdO)=0,0,NAll*IF($B$57=1,_xlfn.NORM.DIST(LSL,XBar,SdO,TRUE),IF($B$57=22,1-_xlfn.NORM.DIST(USL,XBar,SdO,TRUE),_xlfn.NORM.DIST($D$57,XBar,SdO,TRUE)-_xlfn.NORM.DIST($C$57,XBar,SdO,TRUE))))</f>
        <v>3.89248319587046e-06</v>
      </c>
    </row>
    <row r="58" spans="2:9">
      <c r="B58" s="54">
        <f>$B$57+1</f>
        <v>5</v>
      </c>
      <c r="C58" s="39">
        <f>ROUND(LSL+($B$58-2)*BinW,10)</f>
        <v>11.986</v>
      </c>
      <c r="D58" s="39">
        <f>ROUND($C$58+BinW,10)</f>
        <v>11.988</v>
      </c>
      <c r="E58" s="33" t="str">
        <f>IF($B$58=1,"&lt; "&amp;FIXED(LSL,3,TRUE),IF($B$58=22,"&gt; "&amp;FIXED(USL,3,TRUE),FIXED(($C$58+$D$58)/2,3,TRUE)))</f>
        <v>11.987</v>
      </c>
      <c r="F58" s="40">
        <f>IF($B$58=1,COUNTIF(tblMeas[Reading 1],"&lt;"&amp;LSL)+COUNTIF(tblMeas[Reading 2],"&lt;"&amp;LSL)+COUNTIF(tblMeas[Reading 3],"&lt;"&amp;LSL)+COUNTIF(tblMeas[Reading 4],"&lt;"&amp;LSL)+COUNTIF(tblMeas[Reading 5],"&lt;"&amp;LSL),IF($B$58=22,COUNTIF(tblMeas[Reading 1],"&gt;"&amp;USL)+COUNTIF(tblMeas[Reading 2],"&gt;"&amp;USL)+COUNTIF(tblMeas[Reading 3],"&gt;"&amp;USL)+COUNTIF(tblMeas[Reading 4],"&gt;"&amp;USL)+COUNTIF(tblMeas[Reading 5],"&gt;"&amp;USL),COUNTIFS(tblMeas[Reading 1],"&gt;="&amp;$C$58,tblMeas[Reading 1],IF($B$58=21,"&lt;=","&lt;")&amp;$D$58)+COUNTIFS(tblMeas[Reading 2],"&gt;="&amp;$C$58,tblMeas[Reading 2],IF($B$58=21,"&lt;=","&lt;")&amp;$D$58)+COUNTIFS(tblMeas[Reading 3],"&gt;="&amp;$C$58,tblMeas[Reading 3],IF($B$58=21,"&lt;=","&lt;")&amp;$D$58)+COUNTIFS(tblMeas[Reading 4],"&gt;="&amp;$C$58,tblMeas[Reading 4],IF($B$58=21,"&lt;=","&lt;")&amp;$D$58)+COUNTIFS(tblMeas[Reading 5],"&gt;="&amp;$C$58,tblMeas[Reading 5],IF($B$58=21,"&lt;=","&lt;")&amp;$D$58)))</f>
        <v>0</v>
      </c>
      <c r="G58" s="40">
        <f>IF(OR($B$58=1,$B$58=22),0,$F$58)</f>
        <v>0</v>
      </c>
      <c r="H58" s="40">
        <f>$F$58-$G$58</f>
        <v>0</v>
      </c>
      <c r="I58" s="55">
        <f>IF(N(SdO)=0,0,NAll*IF($B$58=1,_xlfn.NORM.DIST(LSL,XBar,SdO,TRUE),IF($B$58=22,1-_xlfn.NORM.DIST(USL,XBar,SdO,TRUE),_xlfn.NORM.DIST($D$58,XBar,SdO,TRUE)-_xlfn.NORM.DIST($C$58,XBar,SdO,TRUE))))</f>
        <v>7.7938257850686e-05</v>
      </c>
    </row>
    <row r="59" spans="2:9">
      <c r="B59" s="54">
        <f>$B$58+1</f>
        <v>6</v>
      </c>
      <c r="C59" s="39">
        <f>ROUND(LSL+($B$59-2)*BinW,10)</f>
        <v>11.988</v>
      </c>
      <c r="D59" s="39">
        <f>ROUND($C$59+BinW,10)</f>
        <v>11.99</v>
      </c>
      <c r="E59" s="33" t="str">
        <f>IF($B$59=1,"&lt; "&amp;FIXED(LSL,3,TRUE),IF($B$59=22,"&gt; "&amp;FIXED(USL,3,TRUE),FIXED(($C$59+$D$59)/2,3,TRUE)))</f>
        <v>11.989</v>
      </c>
      <c r="F59" s="40">
        <f>IF($B$59=1,COUNTIF(tblMeas[Reading 1],"&lt;"&amp;LSL)+COUNTIF(tblMeas[Reading 2],"&lt;"&amp;LSL)+COUNTIF(tblMeas[Reading 3],"&lt;"&amp;LSL)+COUNTIF(tblMeas[Reading 4],"&lt;"&amp;LSL)+COUNTIF(tblMeas[Reading 5],"&lt;"&amp;LSL),IF($B$59=22,COUNTIF(tblMeas[Reading 1],"&gt;"&amp;USL)+COUNTIF(tblMeas[Reading 2],"&gt;"&amp;USL)+COUNTIF(tblMeas[Reading 3],"&gt;"&amp;USL)+COUNTIF(tblMeas[Reading 4],"&gt;"&amp;USL)+COUNTIF(tblMeas[Reading 5],"&gt;"&amp;USL),COUNTIFS(tblMeas[Reading 1],"&gt;="&amp;$C$59,tblMeas[Reading 1],IF($B$59=21,"&lt;=","&lt;")&amp;$D$59)+COUNTIFS(tblMeas[Reading 2],"&gt;="&amp;$C$59,tblMeas[Reading 2],IF($B$59=21,"&lt;=","&lt;")&amp;$D$59)+COUNTIFS(tblMeas[Reading 3],"&gt;="&amp;$C$59,tblMeas[Reading 3],IF($B$59=21,"&lt;=","&lt;")&amp;$D$59)+COUNTIFS(tblMeas[Reading 4],"&gt;="&amp;$C$59,tblMeas[Reading 4],IF($B$59=21,"&lt;=","&lt;")&amp;$D$59)+COUNTIFS(tblMeas[Reading 5],"&gt;="&amp;$C$59,tblMeas[Reading 5],IF($B$59=21,"&lt;=","&lt;")&amp;$D$59)))</f>
        <v>0</v>
      </c>
      <c r="G59" s="40">
        <f>IF(OR($B$59=1,$B$59=22),0,$F$59)</f>
        <v>0</v>
      </c>
      <c r="H59" s="40">
        <f>$F$59-$G$59</f>
        <v>0</v>
      </c>
      <c r="I59" s="55">
        <f>IF(N(SdO)=0,0,NAll*IF($B$59=1,_xlfn.NORM.DIST(LSL,XBar,SdO,TRUE),IF($B$59=22,1-_xlfn.NORM.DIST(USL,XBar,SdO,TRUE),_xlfn.NORM.DIST($D$59,XBar,SdO,TRUE)-_xlfn.NORM.DIST($C$59,XBar,SdO,TRUE))))</f>
        <v>0.00113746959036144</v>
      </c>
    </row>
    <row r="60" spans="2:9">
      <c r="B60" s="54">
        <f>$B$59+1</f>
        <v>7</v>
      </c>
      <c r="C60" s="39">
        <f>ROUND(LSL+($B$60-2)*BinW,10)</f>
        <v>11.99</v>
      </c>
      <c r="D60" s="39">
        <f>ROUND($C$60+BinW,10)</f>
        <v>11.992</v>
      </c>
      <c r="E60" s="33" t="str">
        <f>IF($B$60=1,"&lt; "&amp;FIXED(LSL,3,TRUE),IF($B$60=22,"&gt; "&amp;FIXED(USL,3,TRUE),FIXED(($C$60+$D$60)/2,3,TRUE)))</f>
        <v>11.991</v>
      </c>
      <c r="F60" s="40">
        <f>IF($B$60=1,COUNTIF(tblMeas[Reading 1],"&lt;"&amp;LSL)+COUNTIF(tblMeas[Reading 2],"&lt;"&amp;LSL)+COUNTIF(tblMeas[Reading 3],"&lt;"&amp;LSL)+COUNTIF(tblMeas[Reading 4],"&lt;"&amp;LSL)+COUNTIF(tblMeas[Reading 5],"&lt;"&amp;LSL),IF($B$60=22,COUNTIF(tblMeas[Reading 1],"&gt;"&amp;USL)+COUNTIF(tblMeas[Reading 2],"&gt;"&amp;USL)+COUNTIF(tblMeas[Reading 3],"&gt;"&amp;USL)+COUNTIF(tblMeas[Reading 4],"&gt;"&amp;USL)+COUNTIF(tblMeas[Reading 5],"&gt;"&amp;USL),COUNTIFS(tblMeas[Reading 1],"&gt;="&amp;$C$60,tblMeas[Reading 1],IF($B$60=21,"&lt;=","&lt;")&amp;$D$60)+COUNTIFS(tblMeas[Reading 2],"&gt;="&amp;$C$60,tblMeas[Reading 2],IF($B$60=21,"&lt;=","&lt;")&amp;$D$60)+COUNTIFS(tblMeas[Reading 3],"&gt;="&amp;$C$60,tblMeas[Reading 3],IF($B$60=21,"&lt;=","&lt;")&amp;$D$60)+COUNTIFS(tblMeas[Reading 4],"&gt;="&amp;$C$60,tblMeas[Reading 4],IF($B$60=21,"&lt;=","&lt;")&amp;$D$60)+COUNTIFS(tblMeas[Reading 5],"&gt;="&amp;$C$60,tblMeas[Reading 5],IF($B$60=21,"&lt;=","&lt;")&amp;$D$60)))</f>
        <v>0</v>
      </c>
      <c r="G60" s="40">
        <f>IF(OR($B$60=1,$B$60=22),0,$F$60)</f>
        <v>0</v>
      </c>
      <c r="H60" s="40">
        <f>$F$60-$G$60</f>
        <v>0</v>
      </c>
      <c r="I60" s="55">
        <f>IF(N(SdO)=0,0,NAll*IF($B$60=1,_xlfn.NORM.DIST(LSL,XBar,SdO,TRUE),IF($B$60=22,1-_xlfn.NORM.DIST(USL,XBar,SdO,TRUE),_xlfn.NORM.DIST($D$60,XBar,SdO,TRUE)-_xlfn.NORM.DIST($C$60,XBar,SdO,TRUE))))</f>
        <v>0.0121054702522939</v>
      </c>
    </row>
    <row r="61" spans="2:9">
      <c r="B61" s="54">
        <f>$B$60+1</f>
        <v>8</v>
      </c>
      <c r="C61" s="39">
        <f>ROUND(LSL+($B$61-2)*BinW,10)</f>
        <v>11.992</v>
      </c>
      <c r="D61" s="39">
        <f>ROUND($C$61+BinW,10)</f>
        <v>11.994</v>
      </c>
      <c r="E61" s="33" t="str">
        <f>IF($B$61=1,"&lt; "&amp;FIXED(LSL,3,TRUE),IF($B$61=22,"&gt; "&amp;FIXED(USL,3,TRUE),FIXED(($C$61+$D$61)/2,3,TRUE)))</f>
        <v>11.993</v>
      </c>
      <c r="F61" s="40">
        <f>IF($B$61=1,COUNTIF(tblMeas[Reading 1],"&lt;"&amp;LSL)+COUNTIF(tblMeas[Reading 2],"&lt;"&amp;LSL)+COUNTIF(tblMeas[Reading 3],"&lt;"&amp;LSL)+COUNTIF(tblMeas[Reading 4],"&lt;"&amp;LSL)+COUNTIF(tblMeas[Reading 5],"&lt;"&amp;LSL),IF($B$61=22,COUNTIF(tblMeas[Reading 1],"&gt;"&amp;USL)+COUNTIF(tblMeas[Reading 2],"&gt;"&amp;USL)+COUNTIF(tblMeas[Reading 3],"&gt;"&amp;USL)+COUNTIF(tblMeas[Reading 4],"&gt;"&amp;USL)+COUNTIF(tblMeas[Reading 5],"&gt;"&amp;USL),COUNTIFS(tblMeas[Reading 1],"&gt;="&amp;$C$61,tblMeas[Reading 1],IF($B$61=21,"&lt;=","&lt;")&amp;$D$61)+COUNTIFS(tblMeas[Reading 2],"&gt;="&amp;$C$61,tblMeas[Reading 2],IF($B$61=21,"&lt;=","&lt;")&amp;$D$61)+COUNTIFS(tblMeas[Reading 3],"&gt;="&amp;$C$61,tblMeas[Reading 3],IF($B$61=21,"&lt;=","&lt;")&amp;$D$61)+COUNTIFS(tblMeas[Reading 4],"&gt;="&amp;$C$61,tblMeas[Reading 4],IF($B$61=21,"&lt;=","&lt;")&amp;$D$61)+COUNTIFS(tblMeas[Reading 5],"&gt;="&amp;$C$61,tblMeas[Reading 5],IF($B$61=21,"&lt;=","&lt;")&amp;$D$61)))</f>
        <v>0</v>
      </c>
      <c r="G61" s="40">
        <f>IF(OR($B$61=1,$B$61=22),0,$F$61)</f>
        <v>0</v>
      </c>
      <c r="H61" s="40">
        <f>$F$61-$G$61</f>
        <v>0</v>
      </c>
      <c r="I61" s="55">
        <f>IF(N(SdO)=0,0,NAll*IF($B$61=1,_xlfn.NORM.DIST(LSL,XBar,SdO,TRUE),IF($B$61=22,1-_xlfn.NORM.DIST(USL,XBar,SdO,TRUE),_xlfn.NORM.DIST($D$61,XBar,SdO,TRUE)-_xlfn.NORM.DIST($C$61,XBar,SdO,TRUE))))</f>
        <v>0.0939855787735157</v>
      </c>
    </row>
    <row r="62" spans="2:9">
      <c r="B62" s="54">
        <f>$B$61+1</f>
        <v>9</v>
      </c>
      <c r="C62" s="39">
        <f>ROUND(LSL+($B$62-2)*BinW,10)</f>
        <v>11.994</v>
      </c>
      <c r="D62" s="39">
        <f>ROUND($C$62+BinW,10)</f>
        <v>11.996</v>
      </c>
      <c r="E62" s="33" t="str">
        <f>IF($B$62=1,"&lt; "&amp;FIXED(LSL,3,TRUE),IF($B$62=22,"&gt; "&amp;FIXED(USL,3,TRUE),FIXED(($C$62+$D$62)/2,3,TRUE)))</f>
        <v>11.995</v>
      </c>
      <c r="F62" s="40">
        <f>IF($B$62=1,COUNTIF(tblMeas[Reading 1],"&lt;"&amp;LSL)+COUNTIF(tblMeas[Reading 2],"&lt;"&amp;LSL)+COUNTIF(tblMeas[Reading 3],"&lt;"&amp;LSL)+COUNTIF(tblMeas[Reading 4],"&lt;"&amp;LSL)+COUNTIF(tblMeas[Reading 5],"&lt;"&amp;LSL),IF($B$62=22,COUNTIF(tblMeas[Reading 1],"&gt;"&amp;USL)+COUNTIF(tblMeas[Reading 2],"&gt;"&amp;USL)+COUNTIF(tblMeas[Reading 3],"&gt;"&amp;USL)+COUNTIF(tblMeas[Reading 4],"&gt;"&amp;USL)+COUNTIF(tblMeas[Reading 5],"&gt;"&amp;USL),COUNTIFS(tblMeas[Reading 1],"&gt;="&amp;$C$62,tblMeas[Reading 1],IF($B$62=21,"&lt;=","&lt;")&amp;$D$62)+COUNTIFS(tblMeas[Reading 2],"&gt;="&amp;$C$62,tblMeas[Reading 2],IF($B$62=21,"&lt;=","&lt;")&amp;$D$62)+COUNTIFS(tblMeas[Reading 3],"&gt;="&amp;$C$62,tblMeas[Reading 3],IF($B$62=21,"&lt;=","&lt;")&amp;$D$62)+COUNTIFS(tblMeas[Reading 4],"&gt;="&amp;$C$62,tblMeas[Reading 4],IF($B$62=21,"&lt;=","&lt;")&amp;$D$62)+COUNTIFS(tblMeas[Reading 5],"&gt;="&amp;$C$62,tblMeas[Reading 5],IF($B$62=21,"&lt;=","&lt;")&amp;$D$62)))</f>
        <v>1</v>
      </c>
      <c r="G62" s="40">
        <f>IF(OR($B$62=1,$B$62=22),0,$F$62)</f>
        <v>1</v>
      </c>
      <c r="H62" s="40">
        <f>$F$62-$G$62</f>
        <v>0</v>
      </c>
      <c r="I62" s="55">
        <f>IF(N(SdO)=0,0,NAll*IF($B$62=1,_xlfn.NORM.DIST(LSL,XBar,SdO,TRUE),IF($B$62=22,1-_xlfn.NORM.DIST(USL,XBar,SdO,TRUE),_xlfn.NORM.DIST($D$62,XBar,SdO,TRUE)-_xlfn.NORM.DIST($C$62,XBar,SdO,TRUE))))</f>
        <v>0.532544193852935</v>
      </c>
    </row>
    <row r="63" spans="2:9">
      <c r="B63" s="54">
        <f>$B$62+1</f>
        <v>10</v>
      </c>
      <c r="C63" s="39">
        <f>ROUND(LSL+($B$63-2)*BinW,10)</f>
        <v>11.996</v>
      </c>
      <c r="D63" s="39">
        <f>ROUND($C$63+BinW,10)</f>
        <v>11.998</v>
      </c>
      <c r="E63" s="33" t="str">
        <f>IF($B$63=1,"&lt; "&amp;FIXED(LSL,3,TRUE),IF($B$63=22,"&gt; "&amp;FIXED(USL,3,TRUE),FIXED(($C$63+$D$63)/2,3,TRUE)))</f>
        <v>11.997</v>
      </c>
      <c r="F63" s="40">
        <f>IF($B$63=1,COUNTIF(tblMeas[Reading 1],"&lt;"&amp;LSL)+COUNTIF(tblMeas[Reading 2],"&lt;"&amp;LSL)+COUNTIF(tblMeas[Reading 3],"&lt;"&amp;LSL)+COUNTIF(tblMeas[Reading 4],"&lt;"&amp;LSL)+COUNTIF(tblMeas[Reading 5],"&lt;"&amp;LSL),IF($B$63=22,COUNTIF(tblMeas[Reading 1],"&gt;"&amp;USL)+COUNTIF(tblMeas[Reading 2],"&gt;"&amp;USL)+COUNTIF(tblMeas[Reading 3],"&gt;"&amp;USL)+COUNTIF(tblMeas[Reading 4],"&gt;"&amp;USL)+COUNTIF(tblMeas[Reading 5],"&gt;"&amp;USL),COUNTIFS(tblMeas[Reading 1],"&gt;="&amp;$C$63,tblMeas[Reading 1],IF($B$63=21,"&lt;=","&lt;")&amp;$D$63)+COUNTIFS(tblMeas[Reading 2],"&gt;="&amp;$C$63,tblMeas[Reading 2],IF($B$63=21,"&lt;=","&lt;")&amp;$D$63)+COUNTIFS(tblMeas[Reading 3],"&gt;="&amp;$C$63,tblMeas[Reading 3],IF($B$63=21,"&lt;=","&lt;")&amp;$D$63)+COUNTIFS(tblMeas[Reading 4],"&gt;="&amp;$C$63,tblMeas[Reading 4],IF($B$63=21,"&lt;=","&lt;")&amp;$D$63)+COUNTIFS(tblMeas[Reading 5],"&gt;="&amp;$C$63,tblMeas[Reading 5],IF($B$63=21,"&lt;=","&lt;")&amp;$D$63)))</f>
        <v>1</v>
      </c>
      <c r="G63" s="40">
        <f>IF(OR($B$63=1,$B$63=22),0,$F$63)</f>
        <v>1</v>
      </c>
      <c r="H63" s="40">
        <f>$F$63-$G$63</f>
        <v>0</v>
      </c>
      <c r="I63" s="55">
        <f>IF(N(SdO)=0,0,NAll*IF($B$63=1,_xlfn.NORM.DIST(LSL,XBar,SdO,TRUE),IF($B$63=22,1-_xlfn.NORM.DIST(USL,XBar,SdO,TRUE),_xlfn.NORM.DIST($D$63,XBar,SdO,TRUE)-_xlfn.NORM.DIST($C$63,XBar,SdO,TRUE))))</f>
        <v>2.20307288490244</v>
      </c>
    </row>
    <row r="64" spans="2:9">
      <c r="B64" s="54">
        <f>$B$63+1</f>
        <v>11</v>
      </c>
      <c r="C64" s="39">
        <f>ROUND(LSL+($B$64-2)*BinW,10)</f>
        <v>11.998</v>
      </c>
      <c r="D64" s="39">
        <f>ROUND($C$64+BinW,10)</f>
        <v>12</v>
      </c>
      <c r="E64" s="33" t="str">
        <f>IF($B$64=1,"&lt; "&amp;FIXED(LSL,3,TRUE),IF($B$64=22,"&gt; "&amp;FIXED(USL,3,TRUE),FIXED(($C$64+$D$64)/2,3,TRUE)))</f>
        <v>11.999</v>
      </c>
      <c r="F64" s="40">
        <f>IF($B$64=1,COUNTIF(tblMeas[Reading 1],"&lt;"&amp;LSL)+COUNTIF(tblMeas[Reading 2],"&lt;"&amp;LSL)+COUNTIF(tblMeas[Reading 3],"&lt;"&amp;LSL)+COUNTIF(tblMeas[Reading 4],"&lt;"&amp;LSL)+COUNTIF(tblMeas[Reading 5],"&lt;"&amp;LSL),IF($B$64=22,COUNTIF(tblMeas[Reading 1],"&gt;"&amp;USL)+COUNTIF(tblMeas[Reading 2],"&gt;"&amp;USL)+COUNTIF(tblMeas[Reading 3],"&gt;"&amp;USL)+COUNTIF(tblMeas[Reading 4],"&gt;"&amp;USL)+COUNTIF(tblMeas[Reading 5],"&gt;"&amp;USL),COUNTIFS(tblMeas[Reading 1],"&gt;="&amp;$C$64,tblMeas[Reading 1],IF($B$64=21,"&lt;=","&lt;")&amp;$D$64)+COUNTIFS(tblMeas[Reading 2],"&gt;="&amp;$C$64,tblMeas[Reading 2],IF($B$64=21,"&lt;=","&lt;")&amp;$D$64)+COUNTIFS(tblMeas[Reading 3],"&gt;="&amp;$C$64,tblMeas[Reading 3],IF($B$64=21,"&lt;=","&lt;")&amp;$D$64)+COUNTIFS(tblMeas[Reading 4],"&gt;="&amp;$C$64,tblMeas[Reading 4],IF($B$64=21,"&lt;=","&lt;")&amp;$D$64)+COUNTIFS(tblMeas[Reading 5],"&gt;="&amp;$C$64,tblMeas[Reading 5],IF($B$64=21,"&lt;=","&lt;")&amp;$D$64)))</f>
        <v>8</v>
      </c>
      <c r="G64" s="40">
        <f>IF(OR($B$64=1,$B$64=22),0,$F$64)</f>
        <v>8</v>
      </c>
      <c r="H64" s="40">
        <f>$F$64-$G$64</f>
        <v>0</v>
      </c>
      <c r="I64" s="55">
        <f>IF(N(SdO)=0,0,NAll*IF($B$64=1,_xlfn.NORM.DIST(LSL,XBar,SdO,TRUE),IF($B$64=22,1-_xlfn.NORM.DIST(USL,XBar,SdO,TRUE),_xlfn.NORM.DIST($D$64,XBar,SdO,TRUE)-_xlfn.NORM.DIST($C$64,XBar,SdO,TRUE))))</f>
        <v>6.65618891946039</v>
      </c>
    </row>
    <row r="65" spans="2:9">
      <c r="B65" s="54">
        <f>$B$64+1</f>
        <v>12</v>
      </c>
      <c r="C65" s="39">
        <f>ROUND(LSL+($B$65-2)*BinW,10)</f>
        <v>12</v>
      </c>
      <c r="D65" s="39">
        <f>ROUND($C$65+BinW,10)</f>
        <v>12.002</v>
      </c>
      <c r="E65" s="33" t="str">
        <f>IF($B$65=1,"&lt; "&amp;FIXED(LSL,3,TRUE),IF($B$65=22,"&gt; "&amp;FIXED(USL,3,TRUE),FIXED(($C$65+$D$65)/2,3,TRUE)))</f>
        <v>12.001</v>
      </c>
      <c r="F65" s="40">
        <f>IF($B$65=1,COUNTIF(tblMeas[Reading 1],"&lt;"&amp;LSL)+COUNTIF(tblMeas[Reading 2],"&lt;"&amp;LSL)+COUNTIF(tblMeas[Reading 3],"&lt;"&amp;LSL)+COUNTIF(tblMeas[Reading 4],"&lt;"&amp;LSL)+COUNTIF(tblMeas[Reading 5],"&lt;"&amp;LSL),IF($B$65=22,COUNTIF(tblMeas[Reading 1],"&gt;"&amp;USL)+COUNTIF(tblMeas[Reading 2],"&gt;"&amp;USL)+COUNTIF(tblMeas[Reading 3],"&gt;"&amp;USL)+COUNTIF(tblMeas[Reading 4],"&gt;"&amp;USL)+COUNTIF(tblMeas[Reading 5],"&gt;"&amp;USL),COUNTIFS(tblMeas[Reading 1],"&gt;="&amp;$C$65,tblMeas[Reading 1],IF($B$65=21,"&lt;=","&lt;")&amp;$D$65)+COUNTIFS(tblMeas[Reading 2],"&gt;="&amp;$C$65,tblMeas[Reading 2],IF($B$65=21,"&lt;=","&lt;")&amp;$D$65)+COUNTIFS(tblMeas[Reading 3],"&gt;="&amp;$C$65,tblMeas[Reading 3],IF($B$65=21,"&lt;=","&lt;")&amp;$D$65)+COUNTIFS(tblMeas[Reading 4],"&gt;="&amp;$C$65,tblMeas[Reading 4],IF($B$65=21,"&lt;=","&lt;")&amp;$D$65)+COUNTIFS(tblMeas[Reading 5],"&gt;="&amp;$C$65,tblMeas[Reading 5],IF($B$65=21,"&lt;=","&lt;")&amp;$D$65)))</f>
        <v>8</v>
      </c>
      <c r="G65" s="40">
        <f>IF(OR($B$65=1,$B$65=22),0,$F$65)</f>
        <v>8</v>
      </c>
      <c r="H65" s="40">
        <f>$F$65-$G$65</f>
        <v>0</v>
      </c>
      <c r="I65" s="55">
        <f>IF(N(SdO)=0,0,NAll*IF($B$65=1,_xlfn.NORM.DIST(LSL,XBar,SdO,TRUE),IF($B$65=22,1-_xlfn.NORM.DIST(USL,XBar,SdO,TRUE),_xlfn.NORM.DIST($D$65,XBar,SdO,TRUE)-_xlfn.NORM.DIST($C$65,XBar,SdO,TRUE))))</f>
        <v>14.6914944306766</v>
      </c>
    </row>
    <row r="66" spans="2:9">
      <c r="B66" s="54">
        <f>$B$65+1</f>
        <v>13</v>
      </c>
      <c r="C66" s="39">
        <f>ROUND(LSL+($B$66-2)*BinW,10)</f>
        <v>12.002</v>
      </c>
      <c r="D66" s="39">
        <f>ROUND($C$66+BinW,10)</f>
        <v>12.004</v>
      </c>
      <c r="E66" s="33" t="str">
        <f>IF($B$66=1,"&lt; "&amp;FIXED(LSL,3,TRUE),IF($B$66=22,"&gt; "&amp;FIXED(USL,3,TRUE),FIXED(($C$66+$D$66)/2,3,TRUE)))</f>
        <v>12.003</v>
      </c>
      <c r="F66" s="40">
        <f>IF($B$66=1,COUNTIF(tblMeas[Reading 1],"&lt;"&amp;LSL)+COUNTIF(tblMeas[Reading 2],"&lt;"&amp;LSL)+COUNTIF(tblMeas[Reading 3],"&lt;"&amp;LSL)+COUNTIF(tblMeas[Reading 4],"&lt;"&amp;LSL)+COUNTIF(tblMeas[Reading 5],"&lt;"&amp;LSL),IF($B$66=22,COUNTIF(tblMeas[Reading 1],"&gt;"&amp;USL)+COUNTIF(tblMeas[Reading 2],"&gt;"&amp;USL)+COUNTIF(tblMeas[Reading 3],"&gt;"&amp;USL)+COUNTIF(tblMeas[Reading 4],"&gt;"&amp;USL)+COUNTIF(tblMeas[Reading 5],"&gt;"&amp;USL),COUNTIFS(tblMeas[Reading 1],"&gt;="&amp;$C$66,tblMeas[Reading 1],IF($B$66=21,"&lt;=","&lt;")&amp;$D$66)+COUNTIFS(tblMeas[Reading 2],"&gt;="&amp;$C$66,tblMeas[Reading 2],IF($B$66=21,"&lt;=","&lt;")&amp;$D$66)+COUNTIFS(tblMeas[Reading 3],"&gt;="&amp;$C$66,tblMeas[Reading 3],IF($B$66=21,"&lt;=","&lt;")&amp;$D$66)+COUNTIFS(tblMeas[Reading 4],"&gt;="&amp;$C$66,tblMeas[Reading 4],IF($B$66=21,"&lt;=","&lt;")&amp;$D$66)+COUNTIFS(tblMeas[Reading 5],"&gt;="&amp;$C$66,tblMeas[Reading 5],IF($B$66=21,"&lt;=","&lt;")&amp;$D$66)))</f>
        <v>21</v>
      </c>
      <c r="G66" s="40">
        <f>IF(OR($B$66=1,$B$66=22),0,$F$66)</f>
        <v>21</v>
      </c>
      <c r="H66" s="40">
        <f>$F$66-$G$66</f>
        <v>0</v>
      </c>
      <c r="I66" s="55">
        <f>IF(N(SdO)=0,0,NAll*IF($B$66=1,_xlfn.NORM.DIST(LSL,XBar,SdO,TRUE),IF($B$66=22,1-_xlfn.NORM.DIST(USL,XBar,SdO,TRUE),_xlfn.NORM.DIST($D$66,XBar,SdO,TRUE)-_xlfn.NORM.DIST($C$66,XBar,SdO,TRUE))))</f>
        <v>23.6940876453066</v>
      </c>
    </row>
    <row r="67" spans="2:9">
      <c r="B67" s="54">
        <f>$B$66+1</f>
        <v>14</v>
      </c>
      <c r="C67" s="39">
        <f>ROUND(LSL+($B$67-2)*BinW,10)</f>
        <v>12.004</v>
      </c>
      <c r="D67" s="39">
        <f>ROUND($C$67+BinW,10)</f>
        <v>12.006</v>
      </c>
      <c r="E67" s="33" t="str">
        <f>IF($B$67=1,"&lt; "&amp;FIXED(LSL,3,TRUE),IF($B$67=22,"&gt; "&amp;FIXED(USL,3,TRUE),FIXED(($C$67+$D$67)/2,3,TRUE)))</f>
        <v>12.005</v>
      </c>
      <c r="F67" s="40">
        <f>IF($B$67=1,COUNTIF(tblMeas[Reading 1],"&lt;"&amp;LSL)+COUNTIF(tblMeas[Reading 2],"&lt;"&amp;LSL)+COUNTIF(tblMeas[Reading 3],"&lt;"&amp;LSL)+COUNTIF(tblMeas[Reading 4],"&lt;"&amp;LSL)+COUNTIF(tblMeas[Reading 5],"&lt;"&amp;LSL),IF($B$67=22,COUNTIF(tblMeas[Reading 1],"&gt;"&amp;USL)+COUNTIF(tblMeas[Reading 2],"&gt;"&amp;USL)+COUNTIF(tblMeas[Reading 3],"&gt;"&amp;USL)+COUNTIF(tblMeas[Reading 4],"&gt;"&amp;USL)+COUNTIF(tblMeas[Reading 5],"&gt;"&amp;USL),COUNTIFS(tblMeas[Reading 1],"&gt;="&amp;$C$67,tblMeas[Reading 1],IF($B$67=21,"&lt;=","&lt;")&amp;$D$67)+COUNTIFS(tblMeas[Reading 2],"&gt;="&amp;$C$67,tblMeas[Reading 2],IF($B$67=21,"&lt;=","&lt;")&amp;$D$67)+COUNTIFS(tblMeas[Reading 3],"&gt;="&amp;$C$67,tblMeas[Reading 3],IF($B$67=21,"&lt;=","&lt;")&amp;$D$67)+COUNTIFS(tblMeas[Reading 4],"&gt;="&amp;$C$67,tblMeas[Reading 4],IF($B$67=21,"&lt;=","&lt;")&amp;$D$67)+COUNTIFS(tblMeas[Reading 5],"&gt;="&amp;$C$67,tblMeas[Reading 5],IF($B$67=21,"&lt;=","&lt;")&amp;$D$67)))</f>
        <v>25</v>
      </c>
      <c r="G67" s="40">
        <f>IF(OR($B$67=1,$B$67=22),0,$F$67)</f>
        <v>25</v>
      </c>
      <c r="H67" s="40">
        <f>$F$67-$G$67</f>
        <v>0</v>
      </c>
      <c r="I67" s="55">
        <f>IF(N(SdO)=0,0,NAll*IF($B$67=1,_xlfn.NORM.DIST(LSL,XBar,SdO,TRUE),IF($B$67=22,1-_xlfn.NORM.DIST(USL,XBar,SdO,TRUE),_xlfn.NORM.DIST($D$67,XBar,SdO,TRUE)-_xlfn.NORM.DIST($C$67,XBar,SdO,TRUE))))</f>
        <v>27.925687917778</v>
      </c>
    </row>
    <row r="68" spans="2:9">
      <c r="B68" s="54">
        <f>$B$67+1</f>
        <v>15</v>
      </c>
      <c r="C68" s="39">
        <f>ROUND(LSL+($B$68-2)*BinW,10)</f>
        <v>12.006</v>
      </c>
      <c r="D68" s="39">
        <f>ROUND($C$68+BinW,10)</f>
        <v>12.008</v>
      </c>
      <c r="E68" s="33" t="str">
        <f>IF($B$68=1,"&lt; "&amp;FIXED(LSL,3,TRUE),IF($B$68=22,"&gt; "&amp;FIXED(USL,3,TRUE),FIXED(($C$68+$D$68)/2,3,TRUE)))</f>
        <v>12.007</v>
      </c>
      <c r="F68" s="40">
        <f>IF($B$68=1,COUNTIF(tblMeas[Reading 1],"&lt;"&amp;LSL)+COUNTIF(tblMeas[Reading 2],"&lt;"&amp;LSL)+COUNTIF(tblMeas[Reading 3],"&lt;"&amp;LSL)+COUNTIF(tblMeas[Reading 4],"&lt;"&amp;LSL)+COUNTIF(tblMeas[Reading 5],"&lt;"&amp;LSL),IF($B$68=22,COUNTIF(tblMeas[Reading 1],"&gt;"&amp;USL)+COUNTIF(tblMeas[Reading 2],"&gt;"&amp;USL)+COUNTIF(tblMeas[Reading 3],"&gt;"&amp;USL)+COUNTIF(tblMeas[Reading 4],"&gt;"&amp;USL)+COUNTIF(tblMeas[Reading 5],"&gt;"&amp;USL),COUNTIFS(tblMeas[Reading 1],"&gt;="&amp;$C$68,tblMeas[Reading 1],IF($B$68=21,"&lt;=","&lt;")&amp;$D$68)+COUNTIFS(tblMeas[Reading 2],"&gt;="&amp;$C$68,tblMeas[Reading 2],IF($B$68=21,"&lt;=","&lt;")&amp;$D$68)+COUNTIFS(tblMeas[Reading 3],"&gt;="&amp;$C$68,tblMeas[Reading 3],IF($B$68=21,"&lt;=","&lt;")&amp;$D$68)+COUNTIFS(tblMeas[Reading 4],"&gt;="&amp;$C$68,tblMeas[Reading 4],IF($B$68=21,"&lt;=","&lt;")&amp;$D$68)+COUNTIFS(tblMeas[Reading 5],"&gt;="&amp;$C$68,tblMeas[Reading 5],IF($B$68=21,"&lt;=","&lt;")&amp;$D$68)))</f>
        <v>26</v>
      </c>
      <c r="G68" s="40">
        <f>IF(OR($B$68=1,$B$68=22),0,$F$68)</f>
        <v>26</v>
      </c>
      <c r="H68" s="40">
        <f>$F$68-$G$68</f>
        <v>0</v>
      </c>
      <c r="I68" s="55">
        <f>IF(N(SdO)=0,0,NAll*IF($B$68=1,_xlfn.NORM.DIST(LSL,XBar,SdO,TRUE),IF($B$68=22,1-_xlfn.NORM.DIST(USL,XBar,SdO,TRUE),_xlfn.NORM.DIST($D$68,XBar,SdO,TRUE)-_xlfn.NORM.DIST($C$68,XBar,SdO,TRUE))))</f>
        <v>24.0534449024068</v>
      </c>
    </row>
    <row r="69" spans="2:9">
      <c r="B69" s="54">
        <f>$B$68+1</f>
        <v>16</v>
      </c>
      <c r="C69" s="39">
        <f>ROUND(LSL+($B$69-2)*BinW,10)</f>
        <v>12.008</v>
      </c>
      <c r="D69" s="39">
        <f>ROUND($C$69+BinW,10)</f>
        <v>12.01</v>
      </c>
      <c r="E69" s="33" t="str">
        <f>IF($B$69=1,"&lt; "&amp;FIXED(LSL,3,TRUE),IF($B$69=22,"&gt; "&amp;FIXED(USL,3,TRUE),FIXED(($C$69+$D$69)/2,3,TRUE)))</f>
        <v>12.009</v>
      </c>
      <c r="F69" s="40">
        <f>IF($B$69=1,COUNTIF(tblMeas[Reading 1],"&lt;"&amp;LSL)+COUNTIF(tblMeas[Reading 2],"&lt;"&amp;LSL)+COUNTIF(tblMeas[Reading 3],"&lt;"&amp;LSL)+COUNTIF(tblMeas[Reading 4],"&lt;"&amp;LSL)+COUNTIF(tblMeas[Reading 5],"&lt;"&amp;LSL),IF($B$69=22,COUNTIF(tblMeas[Reading 1],"&gt;"&amp;USL)+COUNTIF(tblMeas[Reading 2],"&gt;"&amp;USL)+COUNTIF(tblMeas[Reading 3],"&gt;"&amp;USL)+COUNTIF(tblMeas[Reading 4],"&gt;"&amp;USL)+COUNTIF(tblMeas[Reading 5],"&gt;"&amp;USL),COUNTIFS(tblMeas[Reading 1],"&gt;="&amp;$C$69,tblMeas[Reading 1],IF($B$69=21,"&lt;=","&lt;")&amp;$D$69)+COUNTIFS(tblMeas[Reading 2],"&gt;="&amp;$C$69,tblMeas[Reading 2],IF($B$69=21,"&lt;=","&lt;")&amp;$D$69)+COUNTIFS(tblMeas[Reading 3],"&gt;="&amp;$C$69,tblMeas[Reading 3],IF($B$69=21,"&lt;=","&lt;")&amp;$D$69)+COUNTIFS(tblMeas[Reading 4],"&gt;="&amp;$C$69,tblMeas[Reading 4],IF($B$69=21,"&lt;=","&lt;")&amp;$D$69)+COUNTIFS(tblMeas[Reading 5],"&gt;="&amp;$C$69,tblMeas[Reading 5],IF($B$69=21,"&lt;=","&lt;")&amp;$D$69)))</f>
        <v>26</v>
      </c>
      <c r="G69" s="40">
        <f>IF(OR($B$69=1,$B$69=22),0,$F$69)</f>
        <v>26</v>
      </c>
      <c r="H69" s="40">
        <f>$F$69-$G$69</f>
        <v>0</v>
      </c>
      <c r="I69" s="55">
        <f>IF(N(SdO)=0,0,NAll*IF($B$69=1,_xlfn.NORM.DIST(LSL,XBar,SdO,TRUE),IF($B$69=22,1-_xlfn.NORM.DIST(USL,XBar,SdO,TRUE),_xlfn.NORM.DIST($D$69,XBar,SdO,TRUE)-_xlfn.NORM.DIST($C$69,XBar,SdO,TRUE))))</f>
        <v>15.14057449452</v>
      </c>
    </row>
    <row r="70" spans="2:9">
      <c r="B70" s="54">
        <f>$B$69+1</f>
        <v>17</v>
      </c>
      <c r="C70" s="39">
        <f>ROUND(LSL+($B$70-2)*BinW,10)</f>
        <v>12.01</v>
      </c>
      <c r="D70" s="39">
        <f>ROUND($C$70+BinW,10)</f>
        <v>12.012</v>
      </c>
      <c r="E70" s="33" t="str">
        <f>IF($B$70=1,"&lt; "&amp;FIXED(LSL,3,TRUE),IF($B$70=22,"&gt; "&amp;FIXED(USL,3,TRUE),FIXED(($C$70+$D$70)/2,3,TRUE)))</f>
        <v>12.011</v>
      </c>
      <c r="F70" s="40">
        <f>IF($B$70=1,COUNTIF(tblMeas[Reading 1],"&lt;"&amp;LSL)+COUNTIF(tblMeas[Reading 2],"&lt;"&amp;LSL)+COUNTIF(tblMeas[Reading 3],"&lt;"&amp;LSL)+COUNTIF(tblMeas[Reading 4],"&lt;"&amp;LSL)+COUNTIF(tblMeas[Reading 5],"&lt;"&amp;LSL),IF($B$70=22,COUNTIF(tblMeas[Reading 1],"&gt;"&amp;USL)+COUNTIF(tblMeas[Reading 2],"&gt;"&amp;USL)+COUNTIF(tblMeas[Reading 3],"&gt;"&amp;USL)+COUNTIF(tblMeas[Reading 4],"&gt;"&amp;USL)+COUNTIF(tblMeas[Reading 5],"&gt;"&amp;USL),COUNTIFS(tblMeas[Reading 1],"&gt;="&amp;$C$70,tblMeas[Reading 1],IF($B$70=21,"&lt;=","&lt;")&amp;$D$70)+COUNTIFS(tblMeas[Reading 2],"&gt;="&amp;$C$70,tblMeas[Reading 2],IF($B$70=21,"&lt;=","&lt;")&amp;$D$70)+COUNTIFS(tblMeas[Reading 3],"&gt;="&amp;$C$70,tblMeas[Reading 3],IF($B$70=21,"&lt;=","&lt;")&amp;$D$70)+COUNTIFS(tblMeas[Reading 4],"&gt;="&amp;$C$70,tblMeas[Reading 4],IF($B$70=21,"&lt;=","&lt;")&amp;$D$70)+COUNTIFS(tblMeas[Reading 5],"&gt;="&amp;$C$70,tblMeas[Reading 5],IF($B$70=21,"&lt;=","&lt;")&amp;$D$70)))</f>
        <v>8</v>
      </c>
      <c r="G70" s="40">
        <f>IF(OR($B$70=1,$B$70=22),0,$F$70)</f>
        <v>8</v>
      </c>
      <c r="H70" s="40">
        <f>$F$70-$G$70</f>
        <v>0</v>
      </c>
      <c r="I70" s="55">
        <f>IF(N(SdO)=0,0,NAll*IF($B$70=1,_xlfn.NORM.DIST(LSL,XBar,SdO,TRUE),IF($B$70=22,1-_xlfn.NORM.DIST(USL,XBar,SdO,TRUE),_xlfn.NORM.DIST($D$70,XBar,SdO,TRUE)-_xlfn.NORM.DIST($C$70,XBar,SdO,TRUE))))</f>
        <v>6.96377298214534</v>
      </c>
    </row>
    <row r="71" spans="2:9">
      <c r="B71" s="54">
        <f>$B$70+1</f>
        <v>18</v>
      </c>
      <c r="C71" s="39">
        <f>ROUND(LSL+($B$71-2)*BinW,10)</f>
        <v>12.012</v>
      </c>
      <c r="D71" s="39">
        <f>ROUND($C$71+BinW,10)</f>
        <v>12.014</v>
      </c>
      <c r="E71" s="33" t="str">
        <f>IF($B$71=1,"&lt; "&amp;FIXED(LSL,3,TRUE),IF($B$71=22,"&gt; "&amp;FIXED(USL,3,TRUE),FIXED(($C$71+$D$71)/2,3,TRUE)))</f>
        <v>12.013</v>
      </c>
      <c r="F71" s="40">
        <f>IF($B$71=1,COUNTIF(tblMeas[Reading 1],"&lt;"&amp;LSL)+COUNTIF(tblMeas[Reading 2],"&lt;"&amp;LSL)+COUNTIF(tblMeas[Reading 3],"&lt;"&amp;LSL)+COUNTIF(tblMeas[Reading 4],"&lt;"&amp;LSL)+COUNTIF(tblMeas[Reading 5],"&lt;"&amp;LSL),IF($B$71=22,COUNTIF(tblMeas[Reading 1],"&gt;"&amp;USL)+COUNTIF(tblMeas[Reading 2],"&gt;"&amp;USL)+COUNTIF(tblMeas[Reading 3],"&gt;"&amp;USL)+COUNTIF(tblMeas[Reading 4],"&gt;"&amp;USL)+COUNTIF(tblMeas[Reading 5],"&gt;"&amp;USL),COUNTIFS(tblMeas[Reading 1],"&gt;="&amp;$C$71,tblMeas[Reading 1],IF($B$71=21,"&lt;=","&lt;")&amp;$D$71)+COUNTIFS(tblMeas[Reading 2],"&gt;="&amp;$C$71,tblMeas[Reading 2],IF($B$71=21,"&lt;=","&lt;")&amp;$D$71)+COUNTIFS(tblMeas[Reading 3],"&gt;="&amp;$C$71,tblMeas[Reading 3],IF($B$71=21,"&lt;=","&lt;")&amp;$D$71)+COUNTIFS(tblMeas[Reading 4],"&gt;="&amp;$C$71,tblMeas[Reading 4],IF($B$71=21,"&lt;=","&lt;")&amp;$D$71)+COUNTIFS(tblMeas[Reading 5],"&gt;="&amp;$C$71,tblMeas[Reading 5],IF($B$71=21,"&lt;=","&lt;")&amp;$D$71)))</f>
        <v>0</v>
      </c>
      <c r="G71" s="40">
        <f>IF(OR($B$71=1,$B$71=22),0,$F$71)</f>
        <v>0</v>
      </c>
      <c r="H71" s="40">
        <f>$F$71-$G$71</f>
        <v>0</v>
      </c>
      <c r="I71" s="55">
        <f>IF(N(SdO)=0,0,NAll*IF($B$71=1,_xlfn.NORM.DIST(LSL,XBar,SdO,TRUE),IF($B$71=22,1-_xlfn.NORM.DIST(USL,XBar,SdO,TRUE),_xlfn.NORM.DIST($D$71,XBar,SdO,TRUE)-_xlfn.NORM.DIST($C$71,XBar,SdO,TRUE))))</f>
        <v>2.3398901058726</v>
      </c>
    </row>
    <row r="72" spans="2:9">
      <c r="B72" s="54">
        <f>$B$71+1</f>
        <v>19</v>
      </c>
      <c r="C72" s="39">
        <f>ROUND(LSL+($B$72-2)*BinW,10)</f>
        <v>12.014</v>
      </c>
      <c r="D72" s="39">
        <f>ROUND($C$72+BinW,10)</f>
        <v>12.016</v>
      </c>
      <c r="E72" s="33" t="str">
        <f>IF($B$72=1,"&lt; "&amp;FIXED(LSL,3,TRUE),IF($B$72=22,"&gt; "&amp;FIXED(USL,3,TRUE),FIXED(($C$72+$D$72)/2,3,TRUE)))</f>
        <v>12.015</v>
      </c>
      <c r="F72" s="40">
        <f>IF($B$72=1,COUNTIF(tblMeas[Reading 1],"&lt;"&amp;LSL)+COUNTIF(tblMeas[Reading 2],"&lt;"&amp;LSL)+COUNTIF(tblMeas[Reading 3],"&lt;"&amp;LSL)+COUNTIF(tblMeas[Reading 4],"&lt;"&amp;LSL)+COUNTIF(tblMeas[Reading 5],"&lt;"&amp;LSL),IF($B$72=22,COUNTIF(tblMeas[Reading 1],"&gt;"&amp;USL)+COUNTIF(tblMeas[Reading 2],"&gt;"&amp;USL)+COUNTIF(tblMeas[Reading 3],"&gt;"&amp;USL)+COUNTIF(tblMeas[Reading 4],"&gt;"&amp;USL)+COUNTIF(tblMeas[Reading 5],"&gt;"&amp;USL),COUNTIFS(tblMeas[Reading 1],"&gt;="&amp;$C$72,tblMeas[Reading 1],IF($B$72=21,"&lt;=","&lt;")&amp;$D$72)+COUNTIFS(tblMeas[Reading 2],"&gt;="&amp;$C$72,tblMeas[Reading 2],IF($B$72=21,"&lt;=","&lt;")&amp;$D$72)+COUNTIFS(tblMeas[Reading 3],"&gt;="&amp;$C$72,tblMeas[Reading 3],IF($B$72=21,"&lt;=","&lt;")&amp;$D$72)+COUNTIFS(tblMeas[Reading 4],"&gt;="&amp;$C$72,tblMeas[Reading 4],IF($B$72=21,"&lt;=","&lt;")&amp;$D$72)+COUNTIFS(tblMeas[Reading 5],"&gt;="&amp;$C$72,tblMeas[Reading 5],IF($B$72=21,"&lt;=","&lt;")&amp;$D$72)))</f>
        <v>1</v>
      </c>
      <c r="G72" s="40">
        <f>IF(OR($B$72=1,$B$72=22),0,$F$72)</f>
        <v>1</v>
      </c>
      <c r="H72" s="40">
        <f>$F$72-$G$72</f>
        <v>0</v>
      </c>
      <c r="I72" s="55">
        <f>IF(N(SdO)=0,0,NAll*IF($B$72=1,_xlfn.NORM.DIST(LSL,XBar,SdO,TRUE),IF($B$72=22,1-_xlfn.NORM.DIST(USL,XBar,SdO,TRUE),_xlfn.NORM.DIST($D$72,XBar,SdO,TRUE)-_xlfn.NORM.DIST($C$72,XBar,SdO,TRUE))))</f>
        <v>0.574217270609259</v>
      </c>
    </row>
    <row r="73" spans="2:9">
      <c r="B73" s="54">
        <f>$B$72+1</f>
        <v>20</v>
      </c>
      <c r="C73" s="39">
        <f>ROUND(LSL+($B$73-2)*BinW,10)</f>
        <v>12.016</v>
      </c>
      <c r="D73" s="39">
        <f>ROUND($C$73+BinW,10)</f>
        <v>12.018</v>
      </c>
      <c r="E73" s="33" t="str">
        <f>IF($B$73=1,"&lt; "&amp;FIXED(LSL,3,TRUE),IF($B$73=22,"&gt; "&amp;FIXED(USL,3,TRUE),FIXED(($C$73+$D$73)/2,3,TRUE)))</f>
        <v>12.017</v>
      </c>
      <c r="F73" s="40">
        <f>IF($B$73=1,COUNTIF(tblMeas[Reading 1],"&lt;"&amp;LSL)+COUNTIF(tblMeas[Reading 2],"&lt;"&amp;LSL)+COUNTIF(tblMeas[Reading 3],"&lt;"&amp;LSL)+COUNTIF(tblMeas[Reading 4],"&lt;"&amp;LSL)+COUNTIF(tblMeas[Reading 5],"&lt;"&amp;LSL),IF($B$73=22,COUNTIF(tblMeas[Reading 1],"&gt;"&amp;USL)+COUNTIF(tblMeas[Reading 2],"&gt;"&amp;USL)+COUNTIF(tblMeas[Reading 3],"&gt;"&amp;USL)+COUNTIF(tblMeas[Reading 4],"&gt;"&amp;USL)+COUNTIF(tblMeas[Reading 5],"&gt;"&amp;USL),COUNTIFS(tblMeas[Reading 1],"&gt;="&amp;$C$73,tblMeas[Reading 1],IF($B$73=21,"&lt;=","&lt;")&amp;$D$73)+COUNTIFS(tblMeas[Reading 2],"&gt;="&amp;$C$73,tblMeas[Reading 2],IF($B$73=21,"&lt;=","&lt;")&amp;$D$73)+COUNTIFS(tblMeas[Reading 3],"&gt;="&amp;$C$73,tblMeas[Reading 3],IF($B$73=21,"&lt;=","&lt;")&amp;$D$73)+COUNTIFS(tblMeas[Reading 4],"&gt;="&amp;$C$73,tblMeas[Reading 4],IF($B$73=21,"&lt;=","&lt;")&amp;$D$73)+COUNTIFS(tblMeas[Reading 5],"&gt;="&amp;$C$73,tblMeas[Reading 5],IF($B$73=21,"&lt;=","&lt;")&amp;$D$73)))</f>
        <v>0</v>
      </c>
      <c r="G73" s="40">
        <f>IF(OR($B$73=1,$B$73=22),0,$F$73)</f>
        <v>0</v>
      </c>
      <c r="H73" s="40">
        <f>$F$73-$G$73</f>
        <v>0</v>
      </c>
      <c r="I73" s="55">
        <f>IF(N(SdO)=0,0,NAll*IF($B$73=1,_xlfn.NORM.DIST(LSL,XBar,SdO,TRUE),IF($B$73=22,1-_xlfn.NORM.DIST(USL,XBar,SdO,TRUE),_xlfn.NORM.DIST($D$73,XBar,SdO,TRUE)-_xlfn.NORM.DIST($C$73,XBar,SdO,TRUE))))</f>
        <v>0.102882912542512</v>
      </c>
    </row>
    <row r="74" spans="2:9">
      <c r="B74" s="54">
        <f>$B$73+1</f>
        <v>21</v>
      </c>
      <c r="C74" s="39">
        <f>ROUND(LSL+($B$74-2)*BinW,10)</f>
        <v>12.018</v>
      </c>
      <c r="D74" s="39">
        <f>ROUND($C$74+BinW,10)</f>
        <v>12.02</v>
      </c>
      <c r="E74" s="33" t="str">
        <f>IF($B$74=1,"&lt; "&amp;FIXED(LSL,3,TRUE),IF($B$74=22,"&gt; "&amp;FIXED(USL,3,TRUE),FIXED(($C$74+$D$74)/2,3,TRUE)))</f>
        <v>12.019</v>
      </c>
      <c r="F74" s="40">
        <f>IF($B$74=1,COUNTIF(tblMeas[Reading 1],"&lt;"&amp;LSL)+COUNTIF(tblMeas[Reading 2],"&lt;"&amp;LSL)+COUNTIF(tblMeas[Reading 3],"&lt;"&amp;LSL)+COUNTIF(tblMeas[Reading 4],"&lt;"&amp;LSL)+COUNTIF(tblMeas[Reading 5],"&lt;"&amp;LSL),IF($B$74=22,COUNTIF(tblMeas[Reading 1],"&gt;"&amp;USL)+COUNTIF(tblMeas[Reading 2],"&gt;"&amp;USL)+COUNTIF(tblMeas[Reading 3],"&gt;"&amp;USL)+COUNTIF(tblMeas[Reading 4],"&gt;"&amp;USL)+COUNTIF(tblMeas[Reading 5],"&gt;"&amp;USL),COUNTIFS(tblMeas[Reading 1],"&gt;="&amp;$C$74,tblMeas[Reading 1],IF($B$74=21,"&lt;=","&lt;")&amp;$D$74)+COUNTIFS(tblMeas[Reading 2],"&gt;="&amp;$C$74,tblMeas[Reading 2],IF($B$74=21,"&lt;=","&lt;")&amp;$D$74)+COUNTIFS(tblMeas[Reading 3],"&gt;="&amp;$C$74,tblMeas[Reading 3],IF($B$74=21,"&lt;=","&lt;")&amp;$D$74)+COUNTIFS(tblMeas[Reading 4],"&gt;="&amp;$C$74,tblMeas[Reading 4],IF($B$74=21,"&lt;=","&lt;")&amp;$D$74)+COUNTIFS(tblMeas[Reading 5],"&gt;="&amp;$C$74,tblMeas[Reading 5],IF($B$74=21,"&lt;=","&lt;")&amp;$D$74)))</f>
        <v>0</v>
      </c>
      <c r="G74" s="40">
        <f>IF(OR($B$74=1,$B$74=22),0,$F$74)</f>
        <v>0</v>
      </c>
      <c r="H74" s="40">
        <f>$F$74-$G$74</f>
        <v>0</v>
      </c>
      <c r="I74" s="55">
        <f>IF(N(SdO)=0,0,NAll*IF($B$74=1,_xlfn.NORM.DIST(LSL,XBar,SdO,TRUE),IF($B$74=22,1-_xlfn.NORM.DIST(USL,XBar,SdO,TRUE),_xlfn.NORM.DIST($D$74,XBar,SdO,TRUE)-_xlfn.NORM.DIST($C$74,XBar,SdO,TRUE))))</f>
        <v>0.0134534399796327</v>
      </c>
    </row>
    <row r="75" spans="2:9">
      <c r="B75" s="54">
        <f>$B$74+1</f>
        <v>22</v>
      </c>
      <c r="C75" s="39">
        <f>ROUND(LSL+($B$75-2)*BinW,10)</f>
        <v>12.02</v>
      </c>
      <c r="D75" s="39">
        <f>ROUND($C$75+BinW,10)</f>
        <v>12.022</v>
      </c>
      <c r="E75" s="33" t="str">
        <f>IF($B$75=1,"&lt; "&amp;FIXED(LSL,3,TRUE),IF($B$75=22,"&gt; "&amp;FIXED(USL,3,TRUE),FIXED(($C$75+$D$75)/2,3,TRUE)))</f>
        <v>&gt; 12.020</v>
      </c>
      <c r="F75" s="40">
        <f>IF($B$75=1,COUNTIF(tblMeas[Reading 1],"&lt;"&amp;LSL)+COUNTIF(tblMeas[Reading 2],"&lt;"&amp;LSL)+COUNTIF(tblMeas[Reading 3],"&lt;"&amp;LSL)+COUNTIF(tblMeas[Reading 4],"&lt;"&amp;LSL)+COUNTIF(tblMeas[Reading 5],"&lt;"&amp;LSL),IF($B$75=22,COUNTIF(tblMeas[Reading 1],"&gt;"&amp;USL)+COUNTIF(tblMeas[Reading 2],"&gt;"&amp;USL)+COUNTIF(tblMeas[Reading 3],"&gt;"&amp;USL)+COUNTIF(tblMeas[Reading 4],"&gt;"&amp;USL)+COUNTIF(tblMeas[Reading 5],"&gt;"&amp;USL),COUNTIFS(tblMeas[Reading 1],"&gt;="&amp;$C$75,tblMeas[Reading 1],IF($B$75=21,"&lt;=","&lt;")&amp;$D$75)+COUNTIFS(tblMeas[Reading 2],"&gt;="&amp;$C$75,tblMeas[Reading 2],IF($B$75=21,"&lt;=","&lt;")&amp;$D$75)+COUNTIFS(tblMeas[Reading 3],"&gt;="&amp;$C$75,tblMeas[Reading 3],IF($B$75=21,"&lt;=","&lt;")&amp;$D$75)+COUNTIFS(tblMeas[Reading 4],"&gt;="&amp;$C$75,tblMeas[Reading 4],IF($B$75=21,"&lt;=","&lt;")&amp;$D$75)+COUNTIFS(tblMeas[Reading 5],"&gt;="&amp;$C$75,tblMeas[Reading 5],IF($B$75=21,"&lt;=","&lt;")&amp;$D$75)))</f>
        <v>0</v>
      </c>
      <c r="G75" s="40">
        <f>IF(OR($B$75=1,$B$75=22),0,$F$75)</f>
        <v>0</v>
      </c>
      <c r="H75" s="40">
        <f>$F$75-$G$75</f>
        <v>0</v>
      </c>
      <c r="I75" s="55">
        <f>IF(N(SdO)=0,0,NAll*IF($B$75=1,_xlfn.NORM.DIST(LSL,XBar,SdO,TRUE),IF($B$75=22,1-_xlfn.NORM.DIST(USL,XBar,SdO,TRUE),_xlfn.NORM.DIST($D$75,XBar,SdO,TRUE)-_xlfn.NORM.DIST($C$75,XBar,SdO,TRUE))))</f>
        <v>0.00137740512407003</v>
      </c>
    </row>
  </sheetData>
  <sheetProtection sheet="1" formatColumns="0" formatRows="0"/>
  <mergeCells count="59">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H35:L35"/>
    <mergeCell ref="K36:L36"/>
    <mergeCell ref="K37:L37"/>
    <mergeCell ref="K38:L38"/>
    <mergeCell ref="K39:L39"/>
    <mergeCell ref="K40:L40"/>
    <mergeCell ref="B52:I52"/>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10">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J10">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K37:K40">
    <cfRule type="cellIs" dxfId="0" priority="81" operator="equal">
      <formula>"On target"</formula>
    </cfRule>
    <cfRule type="cellIs" dxfId="0" priority="82" operator="equal">
      <formula>"PASS"</formula>
    </cfRule>
    <cfRule type="cellIs" dxfId="0" priority="83" operator="equal">
      <formula>"OK"</formula>
    </cfRule>
    <cfRule type="cellIs" dxfId="0" priority="84" operator="equal">
      <formula>"Within limits"</formula>
    </cfRule>
    <cfRule type="cellIs" dxfId="0" priority="85" operator="equal">
      <formula>"Under capacity"</formula>
    </cfRule>
    <cfRule type="cellIs" dxfId="0" priority="86" operator="equal">
      <formula>"Complete"</formula>
    </cfRule>
    <cfRule type="cellIs" dxfId="0" priority="87" operator="equal">
      <formula>"Yes"</formula>
    </cfRule>
    <cfRule type="cellIs" dxfId="1" priority="88" operator="equal">
      <formula>"Near target"</formula>
    </cfRule>
    <cfRule type="cellIs" dxfId="1" priority="89" operator="equal">
      <formula>"Check"</formula>
    </cfRule>
    <cfRule type="cellIs" dxfId="1" priority="90" operator="equal">
      <formula>"Due soon"</formula>
    </cfRule>
    <cfRule type="cellIs" dxfId="1" priority="91" operator="equal">
      <formula>"Near capacity"</formula>
    </cfRule>
    <cfRule type="cellIs" dxfId="1" priority="92" operator="equal">
      <formula>"In progress"</formula>
    </cfRule>
    <cfRule type="cellIs" dxfId="1" priority="93" operator="equal">
      <formula>"Partial"</formula>
    </cfRule>
    <cfRule type="cellIs" dxfId="2" priority="94" operator="equal">
      <formula>"Below target"</formula>
    </cfRule>
    <cfRule type="cellIs" dxfId="2" priority="95" operator="equal">
      <formula>"Above target"</formula>
    </cfRule>
    <cfRule type="cellIs" dxfId="2" priority="96" operator="equal">
      <formula>"FAIL"</formula>
    </cfRule>
    <cfRule type="cellIs" dxfId="2" priority="97" operator="equal">
      <formula>"Over capacity"</formula>
    </cfRule>
    <cfRule type="cellIs" dxfId="2" priority="98" operator="equal">
      <formula>"Overdue"</formula>
    </cfRule>
    <cfRule type="cellIs" dxfId="2" priority="99" operator="equal">
      <formula>"Out of limits"</formula>
    </cfRule>
    <cfRule type="cellIs" dxfId="2" priority="10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Process Capability Cp Cpk Pp Ppk&amp;R&amp;8&amp;A</oddHeader>
    <oddFooter>&amp;L&amp;8mfgcalcs.com - free manufacturing templates&amp;R&amp;8Page &amp;P of &amp;N</oddFooter>
  </headerFooter>
  <rowBreaks count="2" manualBreakCount="2">
    <brk id="28" max="16383" man="1"/>
    <brk id="51"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136</v>
      </c>
      <c r="C4" s="8"/>
      <c r="D4" s="8"/>
    </row>
    <row r="5" spans="1:4" ht="5" customHeight="1"/>
    <row r="6" spans="1:4" ht="55.8" customHeight="1">
      <c r="B6" s="10" t="s">
        <v>137</v>
      </c>
      <c r="C6" s="10"/>
      <c r="D6" s="10"/>
    </row>
    <row r="8" spans="1:4" ht="21" customHeight="1">
      <c r="B8" s="8" t="s">
        <v>138</v>
      </c>
      <c r="C8" s="8"/>
      <c r="D8" s="8"/>
    </row>
    <row r="9" spans="1:4" ht="5" customHeight="1"/>
    <row r="10" spans="1:4" ht="20" customHeight="1">
      <c r="B10" s="49" t="s">
        <v>139</v>
      </c>
      <c r="C10" s="49" t="s">
        <v>140</v>
      </c>
      <c r="D10" s="36" t="s">
        <v>141</v>
      </c>
    </row>
    <row r="11" spans="1:4" ht="30.4" customHeight="1">
      <c r="B11" s="56" t="s">
        <v>142</v>
      </c>
      <c r="C11" s="57" t="s">
        <v>143</v>
      </c>
      <c r="D11" s="58" t="s">
        <v>144</v>
      </c>
    </row>
    <row r="12" spans="1:4" ht="17.2" customHeight="1">
      <c r="B12" s="56" t="s">
        <v>145</v>
      </c>
      <c r="C12" s="57" t="s">
        <v>146</v>
      </c>
      <c r="D12" s="58" t="s">
        <v>72</v>
      </c>
    </row>
    <row r="13" spans="1:4" ht="17.2" customHeight="1">
      <c r="B13" s="56" t="s">
        <v>108</v>
      </c>
      <c r="C13" s="57" t="s">
        <v>147</v>
      </c>
      <c r="D13" s="58" t="s">
        <v>144</v>
      </c>
    </row>
    <row r="14" spans="1:4" ht="30.4" customHeight="1">
      <c r="B14" s="56" t="s">
        <v>148</v>
      </c>
      <c r="C14" s="57" t="s">
        <v>149</v>
      </c>
      <c r="D14" s="58" t="s">
        <v>144</v>
      </c>
    </row>
    <row r="15" spans="1:4" ht="17.2" customHeight="1">
      <c r="B15" s="56" t="s">
        <v>150</v>
      </c>
      <c r="C15" s="57" t="s">
        <v>151</v>
      </c>
      <c r="D15" s="58" t="s">
        <v>144</v>
      </c>
    </row>
    <row r="16" spans="1:4" ht="30.4" customHeight="1">
      <c r="B16" s="56" t="s">
        <v>152</v>
      </c>
      <c r="C16" s="57" t="s">
        <v>153</v>
      </c>
      <c r="D16" s="58" t="s">
        <v>74</v>
      </c>
    </row>
    <row r="17" spans="2:4" ht="30.4" customHeight="1">
      <c r="B17" s="56" t="s">
        <v>154</v>
      </c>
      <c r="C17" s="57" t="s">
        <v>155</v>
      </c>
      <c r="D17" s="58" t="s">
        <v>74</v>
      </c>
    </row>
    <row r="18" spans="2:4" ht="17.2" customHeight="1">
      <c r="B18" s="56" t="s">
        <v>156</v>
      </c>
      <c r="C18" s="57" t="s">
        <v>157</v>
      </c>
      <c r="D18" s="58" t="s">
        <v>124</v>
      </c>
    </row>
    <row r="19" spans="2:4" ht="30.4" customHeight="1">
      <c r="B19" s="56" t="s">
        <v>158</v>
      </c>
      <c r="C19" s="57" t="s">
        <v>159</v>
      </c>
      <c r="D19" s="58" t="s">
        <v>124</v>
      </c>
    </row>
    <row r="20" spans="2:4" ht="43.6" customHeight="1">
      <c r="B20" s="56" t="s">
        <v>160</v>
      </c>
      <c r="C20" s="57" t="s">
        <v>161</v>
      </c>
      <c r="D20" s="58" t="s">
        <v>72</v>
      </c>
    </row>
    <row r="21" spans="2:4" ht="30.4" customHeight="1">
      <c r="B21" s="56" t="s">
        <v>111</v>
      </c>
      <c r="C21" s="57" t="s">
        <v>162</v>
      </c>
      <c r="D21" s="58" t="s">
        <v>163</v>
      </c>
    </row>
    <row r="23" spans="2:4" ht="21" customHeight="1">
      <c r="B23" s="8" t="s">
        <v>164</v>
      </c>
      <c r="C23" s="8"/>
      <c r="D23" s="8"/>
    </row>
    <row r="24" spans="2:4" ht="5" customHeight="1"/>
    <row r="25" spans="2:4" ht="29.4" customHeight="1">
      <c r="B25" s="26" t="s">
        <v>53</v>
      </c>
      <c r="C25" s="10" t="s">
        <v>165</v>
      </c>
      <c r="D25" s="10"/>
    </row>
    <row r="26" spans="2:4" ht="16.2" customHeight="1">
      <c r="B26" s="26" t="s">
        <v>53</v>
      </c>
      <c r="C26" s="10" t="s">
        <v>166</v>
      </c>
      <c r="D26" s="10"/>
    </row>
    <row r="27" spans="2:4" ht="16.2" customHeight="1">
      <c r="B27" s="26" t="s">
        <v>53</v>
      </c>
      <c r="C27" s="10" t="s">
        <v>167</v>
      </c>
      <c r="D27" s="10"/>
    </row>
    <row r="28" spans="2:4" ht="16.2" customHeight="1">
      <c r="B28" s="26" t="s">
        <v>53</v>
      </c>
      <c r="C28" s="10" t="s">
        <v>168</v>
      </c>
      <c r="D28" s="10"/>
    </row>
    <row r="30" spans="2:4" ht="21" customHeight="1">
      <c r="B30" s="8" t="s">
        <v>169</v>
      </c>
      <c r="C30" s="8"/>
      <c r="D30" s="8"/>
    </row>
    <row r="31" spans="2:4" ht="5" customHeight="1"/>
    <row r="32" spans="2:4" ht="29.4" customHeight="1">
      <c r="B32" s="26" t="s">
        <v>53</v>
      </c>
      <c r="C32" s="10" t="s">
        <v>170</v>
      </c>
      <c r="D32" s="10"/>
    </row>
    <row r="33" spans="2:4" ht="16.2" customHeight="1">
      <c r="B33" s="26" t="s">
        <v>53</v>
      </c>
      <c r="C33" s="10" t="s">
        <v>171</v>
      </c>
      <c r="D33" s="10"/>
    </row>
    <row r="34" spans="2:4" ht="29.4" customHeight="1">
      <c r="B34" s="26" t="s">
        <v>53</v>
      </c>
      <c r="C34" s="10" t="s">
        <v>172</v>
      </c>
      <c r="D34" s="10"/>
    </row>
    <row r="35" spans="2:4" ht="29.4" customHeight="1">
      <c r="B35" s="26" t="s">
        <v>53</v>
      </c>
      <c r="C35" s="10" t="s">
        <v>173</v>
      </c>
      <c r="D35" s="10"/>
    </row>
    <row r="37" spans="2:4" ht="21" customHeight="1">
      <c r="B37" s="8" t="s">
        <v>174</v>
      </c>
      <c r="C37" s="8"/>
      <c r="D37" s="8"/>
    </row>
    <row r="38" spans="2:4" ht="5" customHeight="1"/>
    <row r="39" spans="2:4" ht="55.8" customHeight="1">
      <c r="B39" s="10" t="s">
        <v>175</v>
      </c>
      <c r="C39" s="10"/>
      <c r="D39" s="10"/>
    </row>
    <row r="40" spans="2:4">
      <c r="B40" s="24" t="s">
        <v>176</v>
      </c>
      <c r="C40" s="24"/>
      <c r="D40" s="24"/>
    </row>
    <row r="42" spans="2:4" ht="21" customHeight="1">
      <c r="B42" s="8" t="s">
        <v>40</v>
      </c>
      <c r="C42" s="8"/>
      <c r="D42" s="8"/>
    </row>
    <row r="43" spans="2:4" ht="5" customHeight="1"/>
    <row r="44" spans="2:4" ht="42.6" customHeight="1">
      <c r="B44" s="10" t="s">
        <v>177</v>
      </c>
      <c r="C44" s="10"/>
      <c r="D44" s="10"/>
    </row>
    <row r="46" spans="2:4" ht="21" customHeight="1">
      <c r="B46" s="8" t="s">
        <v>178</v>
      </c>
      <c r="C46" s="8"/>
      <c r="D46" s="8"/>
    </row>
    <row r="47" spans="2:4" ht="5" customHeight="1"/>
    <row r="48" spans="2:4" ht="29.4" customHeight="1">
      <c r="B48" s="26" t="s">
        <v>53</v>
      </c>
      <c r="C48" s="10" t="s">
        <v>179</v>
      </c>
      <c r="D48" s="10"/>
    </row>
    <row r="49" spans="2:4" ht="29.4" customHeight="1">
      <c r="B49" s="26" t="s">
        <v>53</v>
      </c>
      <c r="C49" s="10" t="s">
        <v>180</v>
      </c>
      <c r="D49" s="10"/>
    </row>
    <row r="50" spans="2:4" ht="29.4" customHeight="1">
      <c r="B50" s="26" t="s">
        <v>53</v>
      </c>
      <c r="C50" s="10" t="s">
        <v>181</v>
      </c>
      <c r="D50" s="10"/>
    </row>
    <row r="51" spans="2:4" ht="16.2" customHeight="1">
      <c r="B51" s="26" t="s">
        <v>53</v>
      </c>
      <c r="C51" s="10" t="s">
        <v>182</v>
      </c>
      <c r="D51" s="10"/>
    </row>
    <row r="52" spans="2:4">
      <c r="B52" s="21" t="s">
        <v>183</v>
      </c>
      <c r="C52" s="21"/>
      <c r="D52" s="21"/>
    </row>
    <row r="54" spans="2:4" ht="21" customHeight="1">
      <c r="B54" s="8" t="s">
        <v>184</v>
      </c>
      <c r="C54" s="8"/>
      <c r="D54" s="8"/>
    </row>
    <row r="55" spans="2:4" ht="5" customHeight="1"/>
    <row r="56" spans="2:4">
      <c r="B56" s="49" t="s">
        <v>48</v>
      </c>
      <c r="C56" s="49" t="s">
        <v>185</v>
      </c>
      <c r="D56" s="36" t="s">
        <v>83</v>
      </c>
    </row>
    <row r="57" spans="2:4" ht="16.2" customHeight="1">
      <c r="B57" s="59" t="s">
        <v>186</v>
      </c>
      <c r="C57" s="60" t="s">
        <v>187</v>
      </c>
      <c r="D57" s="61" t="s">
        <v>188</v>
      </c>
    </row>
    <row r="59" spans="2:4">
      <c r="B59" s="21" t="s">
        <v>59</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C51:D51"/>
    <mergeCell ref="B52:D52"/>
    <mergeCell ref="B54:D54"/>
    <mergeCell ref="B59:D59"/>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Process Capability Cp Cpk Pp Ppk&amp;R&amp;8&amp;A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M59"/>
  <sheetViews>
    <sheetView showGridLines="0" workbookViewId="0"/>
  </sheetViews>
  <sheetFormatPr defaultRowHeight="15"/>
  <cols>
    <col min="1" max="1" width="2.7109375" customWidth="1"/>
    <col min="2" max="19" width="12.7109375" customWidth="1"/>
  </cols>
  <sheetData>
    <row r="1" spans="1:13" ht="30" customHeight="1">
      <c r="A1" s="1" t="s">
        <v>0</v>
      </c>
      <c r="B1" s="1"/>
      <c r="C1" s="1"/>
      <c r="D1" s="1"/>
      <c r="E1" s="1"/>
      <c r="F1" s="1"/>
      <c r="G1" s="1"/>
      <c r="H1" s="1"/>
      <c r="I1" s="1"/>
      <c r="J1" s="1"/>
      <c r="K1" s="1"/>
      <c r="L1" s="1"/>
      <c r="M1" s="1"/>
    </row>
    <row r="2" spans="1:13" ht="21" customHeight="1">
      <c r="B2" s="2" t="s">
        <v>26</v>
      </c>
      <c r="C2" s="2"/>
      <c r="D2" s="2"/>
      <c r="E2" s="2"/>
      <c r="F2" s="2"/>
      <c r="G2" s="2"/>
      <c r="H2" s="2"/>
      <c r="I2" s="2"/>
      <c r="J2" s="2"/>
      <c r="K2" s="2"/>
      <c r="L2" s="2"/>
      <c r="M2" s="3" t="s">
        <v>2</v>
      </c>
    </row>
    <row r="3" spans="1:13" ht="6" customHeight="1"/>
    <row r="4" spans="1:13" ht="30" customHeight="1">
      <c r="B4" s="62" t="s">
        <v>189</v>
      </c>
      <c r="C4" s="62"/>
      <c r="D4" s="22" t="str">
        <f>IF(COUNTIF($K$11:$K$23,"PASS")=13,"PASS","FAIL")</f>
        <v>PASS</v>
      </c>
      <c r="E4" s="22"/>
      <c r="F4" s="23" t="str">
        <f>COUNTIF($K$11:$K$23,"PASS")&amp;" of 13 checks pass"</f>
        <v>13 of 13 checks pass</v>
      </c>
      <c r="G4" s="23"/>
      <c r="H4" s="23"/>
      <c r="I4" s="23"/>
      <c r="J4" s="23"/>
    </row>
    <row r="6" spans="1:13" ht="29.4" customHeight="1">
      <c r="B6" s="10" t="s">
        <v>190</v>
      </c>
      <c r="C6" s="10"/>
      <c r="D6" s="10"/>
      <c r="E6" s="10"/>
      <c r="F6" s="10"/>
      <c r="G6" s="10"/>
      <c r="H6" s="10"/>
      <c r="I6" s="10"/>
      <c r="J6" s="10"/>
      <c r="K6" s="10"/>
      <c r="L6" s="10"/>
    </row>
    <row r="8" spans="1:13" ht="21" customHeight="1">
      <c r="B8" s="8" t="s">
        <v>191</v>
      </c>
      <c r="C8" s="8"/>
      <c r="D8" s="8"/>
      <c r="E8" s="8"/>
      <c r="F8" s="8"/>
      <c r="G8" s="8"/>
      <c r="H8" s="8"/>
      <c r="I8" s="8"/>
      <c r="J8" s="8"/>
      <c r="K8" s="8"/>
      <c r="L8" s="8"/>
    </row>
    <row r="9" spans="1:13" ht="5" customHeight="1"/>
    <row r="10" spans="1:13" ht="30" customHeight="1">
      <c r="B10" s="36" t="s">
        <v>192</v>
      </c>
      <c r="C10" s="49" t="s">
        <v>92</v>
      </c>
      <c r="D10" s="49"/>
      <c r="E10" s="49"/>
      <c r="F10" s="49"/>
      <c r="G10" s="36" t="s">
        <v>193</v>
      </c>
      <c r="H10" s="36" t="s">
        <v>194</v>
      </c>
      <c r="I10" s="36" t="s">
        <v>195</v>
      </c>
      <c r="J10" s="36" t="s">
        <v>196</v>
      </c>
      <c r="K10" s="36" t="s">
        <v>197</v>
      </c>
    </row>
    <row r="11" spans="1:13" ht="16.2" customHeight="1">
      <c r="B11" s="63">
        <v>1</v>
      </c>
      <c r="C11" s="60" t="s">
        <v>198</v>
      </c>
      <c r="D11" s="60"/>
      <c r="E11" s="60"/>
      <c r="F11" s="60"/>
      <c r="G11" s="64">
        <v>10.408</v>
      </c>
      <c r="H11" s="39">
        <f>$I$37</f>
        <v>10.408</v>
      </c>
      <c r="I11" s="65">
        <f>IF(AND(ISNUMBER($G$11),ISNUMBER($H$11)),ABS($H$11-$G$11),"")</f>
        <v>0</v>
      </c>
      <c r="J11" s="66">
        <v>1E-09</v>
      </c>
      <c r="K11" s="67" t="str">
        <f>IF(AND(ISNUMBER($G$11),ISNUMBER($H$11)),IF(ABS($H$11-$G$11)&lt;=$J$11,"PASS","FAIL"),"FAIL")</f>
        <v>PASS</v>
      </c>
    </row>
    <row r="12" spans="1:13" ht="16.2" customHeight="1">
      <c r="B12" s="63">
        <v>2</v>
      </c>
      <c r="C12" s="60" t="s">
        <v>199</v>
      </c>
      <c r="D12" s="60"/>
      <c r="E12" s="60"/>
      <c r="F12" s="60"/>
      <c r="G12" s="64">
        <v>0.2299999999999986</v>
      </c>
      <c r="H12" s="39">
        <f>$J$39</f>
        <v>0.229999999999999</v>
      </c>
      <c r="I12" s="65">
        <f>IF(AND(ISNUMBER($G$12),ISNUMBER($H$12)),ABS($H$12-$G$12),"")</f>
        <v>0</v>
      </c>
      <c r="J12" s="66">
        <v>1E-09</v>
      </c>
      <c r="K12" s="67" t="str">
        <f>IF(AND(ISNUMBER($G$12),ISNUMBER($H$12)),IF(ABS($H$12-$G$12)&lt;=$J$12,"PASS","FAIL"),"FAIL")</f>
        <v>PASS</v>
      </c>
    </row>
    <row r="13" spans="1:13" ht="16.2" customHeight="1">
      <c r="B13" s="63">
        <v>3</v>
      </c>
      <c r="C13" s="60" t="s">
        <v>200</v>
      </c>
      <c r="D13" s="60"/>
      <c r="E13" s="60"/>
      <c r="F13" s="60"/>
      <c r="G13" s="68">
        <v>1</v>
      </c>
      <c r="H13" s="40">
        <f>$K$41</f>
        <v>1</v>
      </c>
      <c r="I13" s="65">
        <f>IF(AND(ISNUMBER($G$13),ISNUMBER($H$13)),ABS($H$13-$G$13),"")</f>
        <v>0</v>
      </c>
      <c r="J13" s="66">
        <v>1E-09</v>
      </c>
      <c r="K13" s="67" t="str">
        <f>IF(AND(ISNUMBER($G$13),ISNUMBER($H$13)),IF(ABS($H$13-$G$13)&lt;=$J$13,"PASS","FAIL"),"FAIL")</f>
        <v>PASS</v>
      </c>
    </row>
    <row r="14" spans="1:13" ht="16.2" customHeight="1">
      <c r="B14" s="63">
        <v>4</v>
      </c>
      <c r="C14" s="60" t="s">
        <v>201</v>
      </c>
      <c r="D14" s="60"/>
      <c r="E14" s="60"/>
      <c r="F14" s="60"/>
      <c r="G14" s="59" t="s">
        <v>202</v>
      </c>
      <c r="H14" s="33" t="str">
        <f>$L$41</f>
        <v>Reading outside spec</v>
      </c>
      <c r="I14" s="33"/>
      <c r="J14" s="61" t="s">
        <v>203</v>
      </c>
      <c r="K14" s="67" t="str">
        <f>IF($H$14&amp;""=$G$14&amp;"","PASS","FAIL")</f>
        <v>PASS</v>
      </c>
    </row>
    <row r="15" spans="1:13" ht="16.2" customHeight="1">
      <c r="B15" s="63">
        <v>5</v>
      </c>
      <c r="C15" s="60" t="s">
        <v>108</v>
      </c>
      <c r="D15" s="60"/>
      <c r="E15" s="60"/>
      <c r="F15" s="60"/>
      <c r="G15" s="64">
        <v>10.4008</v>
      </c>
      <c r="H15" s="39">
        <f>IF($E$44=0,"",AVERAGE(tblVerifyMeas[Reading 1],tblVerifyMeas[Reading 2],tblVerifyMeas[Reading 3],tblVerifyMeas[Reading 4],tblVerifyMeas[Reading 5]))</f>
        <v>10.4008</v>
      </c>
      <c r="I15" s="65">
        <f>IF(AND(ISNUMBER($G$15),ISNUMBER($H$15)),ABS($H$15-$G$15),"")</f>
        <v>0</v>
      </c>
      <c r="J15" s="66">
        <v>1E-09</v>
      </c>
      <c r="K15" s="67" t="str">
        <f>IF(AND(ISNUMBER($G$15),ISNUMBER($H$15)),IF(ABS($H$15-$G$15)&lt;=$J$15,"PASS","FAIL"),"FAIL")</f>
        <v>PASS</v>
      </c>
    </row>
    <row r="16" spans="1:13" ht="16.2" customHeight="1">
      <c r="B16" s="63">
        <v>6</v>
      </c>
      <c r="C16" s="60" t="s">
        <v>148</v>
      </c>
      <c r="D16" s="60"/>
      <c r="E16" s="60"/>
      <c r="F16" s="60"/>
      <c r="G16" s="64">
        <v>0.116079105760963</v>
      </c>
      <c r="H16" s="39">
        <f>IF(COUNT(tblVerifyMeas[Range])=0,"",$E$46/$E$30)</f>
        <v>0.116079105760963</v>
      </c>
      <c r="I16" s="65">
        <f>IF(AND(ISNUMBER($G$16),ISNUMBER($H$16)),ABS($H$16-$G$16),"")</f>
        <v>0</v>
      </c>
      <c r="J16" s="66">
        <v>1E-09</v>
      </c>
      <c r="K16" s="67" t="str">
        <f>IF(AND(ISNUMBER($G$16),ISNUMBER($H$16)),IF(ABS($H$16-$G$16)&lt;=$J$16,"PASS","FAIL"),"FAIL")</f>
        <v>PASS</v>
      </c>
    </row>
    <row r="17" spans="2:12" ht="16.2" customHeight="1">
      <c r="B17" s="63">
        <v>7</v>
      </c>
      <c r="C17" s="60" t="s">
        <v>150</v>
      </c>
      <c r="D17" s="60"/>
      <c r="E17" s="60"/>
      <c r="F17" s="60"/>
      <c r="G17" s="64">
        <v>0.119719115711179</v>
      </c>
      <c r="H17" s="39">
        <f>IF($E$44&lt;2,"",_xlfn.STDEV.S(tblVerifyMeas[Reading 1],tblVerifyMeas[Reading 2],tblVerifyMeas[Reading 3],tblVerifyMeas[Reading 4],tblVerifyMeas[Reading 5]))</f>
        <v>0.119719115711179</v>
      </c>
      <c r="I17" s="65">
        <f>IF(AND(ISNUMBER($G$17),ISNUMBER($H$17)),ABS($H$17-$G$17),"")</f>
        <v>0</v>
      </c>
      <c r="J17" s="66">
        <v>1E-09</v>
      </c>
      <c r="K17" s="67" t="str">
        <f>IF(AND(ISNUMBER($G$17),ISNUMBER($H$17)),IF(ABS($H$17-$G$17)&lt;=$J$17,"PASS","FAIL"),"FAIL")</f>
        <v>PASS</v>
      </c>
    </row>
    <row r="18" spans="2:12" ht="16.2" customHeight="1">
      <c r="B18" s="63">
        <v>8</v>
      </c>
      <c r="C18" s="60" t="s">
        <v>113</v>
      </c>
      <c r="D18" s="60"/>
      <c r="E18" s="60"/>
      <c r="F18" s="60"/>
      <c r="G18" s="64">
        <v>2.871604938271606</v>
      </c>
      <c r="H18" s="39">
        <f>IF(N($E$47)=0,"",($E$32-$E$31)/(6*$E$47))</f>
        <v>2.87160493827161</v>
      </c>
      <c r="I18" s="65">
        <f>IF(AND(ISNUMBER($G$18),ISNUMBER($H$18)),ABS($H$18-$G$18),"")</f>
        <v>0</v>
      </c>
      <c r="J18" s="66">
        <v>1E-09</v>
      </c>
      <c r="K18" s="67" t="str">
        <f>IF(AND(ISNUMBER($G$18),ISNUMBER($H$18)),IF(ABS($H$18-$G$18)&lt;=$J$18,"PASS","FAIL"),"FAIL")</f>
        <v>PASS</v>
      </c>
    </row>
    <row r="19" spans="2:12" ht="16.2" customHeight="1">
      <c r="B19" s="63">
        <v>9</v>
      </c>
      <c r="C19" s="60" t="s">
        <v>115</v>
      </c>
      <c r="D19" s="60"/>
      <c r="E19" s="60"/>
      <c r="F19" s="60"/>
      <c r="G19" s="64">
        <v>1.150939259259255</v>
      </c>
      <c r="H19" s="39">
        <f>IF(N($E$47)=0,"",MIN($E$50,$E$51))</f>
        <v>1.15093925925926</v>
      </c>
      <c r="I19" s="65">
        <f>IF(AND(ISNUMBER($G$19),ISNUMBER($H$19)),ABS($H$19-$G$19),"")</f>
        <v>0</v>
      </c>
      <c r="J19" s="66">
        <v>1E-09</v>
      </c>
      <c r="K19" s="67" t="str">
        <f>IF(AND(ISNUMBER($G$19),ISNUMBER($H$19)),IF(ABS($H$19-$G$19)&lt;=$J$19,"PASS","FAIL"),"FAIL")</f>
        <v>PASS</v>
      </c>
    </row>
    <row r="20" spans="2:12" ht="16.2" customHeight="1">
      <c r="B20" s="63">
        <v>10</v>
      </c>
      <c r="C20" s="60" t="s">
        <v>117</v>
      </c>
      <c r="D20" s="60"/>
      <c r="E20" s="60"/>
      <c r="F20" s="60"/>
      <c r="G20" s="64">
        <v>2.784294983747594</v>
      </c>
      <c r="H20" s="39">
        <f>IF(N($E$48)=0,"",($E$32-$E$31)/(6*$E$48))</f>
        <v>2.78429498374759</v>
      </c>
      <c r="I20" s="65">
        <f>IF(AND(ISNUMBER($G$20),ISNUMBER($H$20)),ABS($H$20-$G$20),"")</f>
        <v>0</v>
      </c>
      <c r="J20" s="66">
        <v>1E-09</v>
      </c>
      <c r="K20" s="67" t="str">
        <f>IF(AND(ISNUMBER($G$20),ISNUMBER($H$20)),IF(ABS($H$20-$G$20)&lt;=$J$20,"PASS","FAIL"),"FAIL")</f>
        <v>PASS</v>
      </c>
    </row>
    <row r="21" spans="2:12" ht="16.2" customHeight="1">
      <c r="B21" s="63">
        <v>11</v>
      </c>
      <c r="C21" s="60" t="s">
        <v>118</v>
      </c>
      <c r="D21" s="60"/>
      <c r="E21" s="60"/>
      <c r="F21" s="60"/>
      <c r="G21" s="64">
        <v>1.115945429486031</v>
      </c>
      <c r="H21" s="39">
        <f>IF(N($E$48)=0,"",MIN($E$54,$E$55))</f>
        <v>1.11594542948603</v>
      </c>
      <c r="I21" s="65">
        <f>IF(AND(ISNUMBER($G$21),ISNUMBER($H$21)),ABS($H$21-$G$21),"")</f>
        <v>0</v>
      </c>
      <c r="J21" s="66">
        <v>1E-09</v>
      </c>
      <c r="K21" s="67" t="str">
        <f>IF(AND(ISNUMBER($G$21),ISNUMBER($H$21)),IF(ABS($H$21-$G$21)&lt;=$J$21,"PASS","FAIL"),"FAIL")</f>
        <v>PASS</v>
      </c>
    </row>
    <row r="22" spans="2:12" ht="16.2" customHeight="1">
      <c r="B22" s="63">
        <v>12</v>
      </c>
      <c r="C22" s="60" t="s">
        <v>156</v>
      </c>
      <c r="D22" s="60"/>
      <c r="E22" s="60"/>
      <c r="F22" s="60"/>
      <c r="G22" s="64">
        <v>40000</v>
      </c>
      <c r="H22" s="39">
        <f>IF($E$44=0,"",SUM(tblVerifyMeas[Out of spec (readings)])/$E$44*1000000)</f>
        <v>40000</v>
      </c>
      <c r="I22" s="65">
        <f>IF(AND(ISNUMBER($G$22),ISNUMBER($H$22)),ABS($H$22-$G$22),"")</f>
        <v>0</v>
      </c>
      <c r="J22" s="66">
        <v>1E-09</v>
      </c>
      <c r="K22" s="67" t="str">
        <f>IF(AND(ISNUMBER($G$22),ISNUMBER($H$22)),IF(ABS($H$22-$G$22)&lt;=$J$22,"PASS","FAIL"),"FAIL")</f>
        <v>PASS</v>
      </c>
    </row>
    <row r="23" spans="2:12" ht="16.2" customHeight="1">
      <c r="B23" s="63">
        <v>13</v>
      </c>
      <c r="C23" s="60" t="s">
        <v>204</v>
      </c>
      <c r="D23" s="60"/>
      <c r="E23" s="60"/>
      <c r="F23" s="60"/>
      <c r="G23" s="64">
        <v>407.2255387714829</v>
      </c>
      <c r="H23" s="39">
        <f>IF(N($E$48)=0,"",(_xlfn.NORM.DIST($E$31,$E$45,$E$48,TRUE)+1-_xlfn.NORM.DIST($E$32,$E$45,$E$48,TRUE))*1000000)</f>
        <v>407.225538771483</v>
      </c>
      <c r="I23" s="65">
        <f>IF(AND(ISNUMBER($G$23),ISNUMBER($H$23)),ABS($H$23-$G$23),"")</f>
        <v>0</v>
      </c>
      <c r="J23" s="66">
        <v>1E-06</v>
      </c>
      <c r="K23" s="67" t="str">
        <f>IF(AND(ISNUMBER($G$23),ISNUMBER($H$23)),IF(ABS($H$23-$G$23)&lt;=$J$23,"PASS","FAIL"),"FAIL")</f>
        <v>PASS</v>
      </c>
    </row>
    <row r="25" spans="2:12" ht="21" customHeight="1">
      <c r="B25" s="8" t="s">
        <v>205</v>
      </c>
      <c r="C25" s="8"/>
      <c r="D25" s="8"/>
      <c r="E25" s="8"/>
      <c r="F25" s="8"/>
      <c r="G25" s="8"/>
      <c r="H25" s="8"/>
      <c r="I25" s="8"/>
      <c r="J25" s="8"/>
      <c r="K25" s="8"/>
      <c r="L25" s="8"/>
    </row>
    <row r="26" spans="2:12" ht="5" customHeight="1"/>
    <row r="27" spans="2:12">
      <c r="B27" s="21" t="s">
        <v>206</v>
      </c>
      <c r="C27" s="21"/>
      <c r="D27" s="21"/>
      <c r="E27" s="21"/>
      <c r="F27" s="21"/>
      <c r="G27" s="21"/>
      <c r="H27" s="21"/>
      <c r="I27" s="21"/>
      <c r="J27" s="21"/>
      <c r="K27" s="21"/>
      <c r="L27" s="21"/>
    </row>
    <row r="28" spans="2:12">
      <c r="B28" s="34" t="s">
        <v>207</v>
      </c>
      <c r="C28" s="34"/>
      <c r="D28" s="34"/>
      <c r="E28" s="34"/>
      <c r="F28" s="34"/>
    </row>
    <row r="29" spans="2:12">
      <c r="B29" s="27" t="s">
        <v>71</v>
      </c>
      <c r="C29" s="27"/>
      <c r="D29" s="27"/>
      <c r="E29" s="68">
        <v>5</v>
      </c>
      <c r="F29" s="7"/>
    </row>
    <row r="30" spans="2:12">
      <c r="B30" s="27" t="s">
        <v>208</v>
      </c>
      <c r="C30" s="27"/>
      <c r="D30" s="27"/>
      <c r="E30" s="69">
        <v>2.326</v>
      </c>
      <c r="F30" s="7"/>
    </row>
    <row r="31" spans="2:12">
      <c r="B31" s="27" t="s">
        <v>209</v>
      </c>
      <c r="C31" s="27"/>
      <c r="D31" s="27"/>
      <c r="E31" s="69">
        <v>10</v>
      </c>
      <c r="F31" s="7"/>
    </row>
    <row r="32" spans="2:12">
      <c r="B32" s="27" t="s">
        <v>210</v>
      </c>
      <c r="C32" s="27"/>
      <c r="D32" s="27"/>
      <c r="E32" s="69">
        <v>12</v>
      </c>
      <c r="F32" s="7"/>
    </row>
    <row r="34" spans="2:13">
      <c r="B34" s="34" t="s">
        <v>211</v>
      </c>
      <c r="C34" s="34"/>
      <c r="D34" s="34"/>
      <c r="E34" s="34"/>
      <c r="F34" s="34"/>
      <c r="G34" s="34"/>
      <c r="H34" s="34"/>
      <c r="I34" s="34"/>
      <c r="J34" s="34"/>
      <c r="K34" s="34"/>
      <c r="L34" s="34"/>
    </row>
    <row r="35" spans="2:13" ht="14" customHeight="1">
      <c r="B35" s="37"/>
      <c r="C35" s="37"/>
      <c r="D35" s="37" t="str">
        <f>UnitLabel</f>
        <v>mm</v>
      </c>
      <c r="E35" s="37" t="str">
        <f>UnitLabel</f>
        <v>mm</v>
      </c>
      <c r="F35" s="37" t="str">
        <f>UnitLabel</f>
        <v>mm</v>
      </c>
      <c r="G35" s="37" t="str">
        <f>UnitLabel</f>
        <v>mm</v>
      </c>
      <c r="H35" s="37" t="str">
        <f>UnitLabel</f>
        <v>mm</v>
      </c>
      <c r="I35" s="37" t="str">
        <f>UnitLabel</f>
        <v>mm</v>
      </c>
      <c r="J35" s="37" t="str">
        <f>UnitLabel</f>
        <v>mm</v>
      </c>
      <c r="K35" s="37" t="s">
        <v>72</v>
      </c>
      <c r="L35" s="37"/>
      <c r="M35" s="37"/>
    </row>
    <row r="36" spans="2:13" ht="32" customHeight="1">
      <c r="B36" s="36" t="s">
        <v>82</v>
      </c>
      <c r="C36" s="36" t="s">
        <v>83</v>
      </c>
      <c r="D36" s="36" t="s">
        <v>84</v>
      </c>
      <c r="E36" s="36" t="s">
        <v>85</v>
      </c>
      <c r="F36" s="36" t="s">
        <v>86</v>
      </c>
      <c r="G36" s="36" t="s">
        <v>87</v>
      </c>
      <c r="H36" s="36" t="s">
        <v>88</v>
      </c>
      <c r="I36" s="36" t="s">
        <v>89</v>
      </c>
      <c r="J36" s="36" t="s">
        <v>90</v>
      </c>
      <c r="K36" s="36" t="s">
        <v>91</v>
      </c>
      <c r="L36" s="36" t="s">
        <v>92</v>
      </c>
      <c r="M36" s="36" t="s">
        <v>93</v>
      </c>
    </row>
    <row r="37" spans="2:13">
      <c r="B37" s="68">
        <v>1</v>
      </c>
      <c r="C37" s="70">
        <v>46027</v>
      </c>
      <c r="D37" s="69">
        <v>10.42</v>
      </c>
      <c r="E37" s="69">
        <v>10.38</v>
      </c>
      <c r="F37" s="69">
        <v>10.51</v>
      </c>
      <c r="G37" s="69">
        <v>10.33</v>
      </c>
      <c r="H37" s="69">
        <v>10.4</v>
      </c>
      <c r="I37" s="39">
        <f>IF(tblVerifyMeas[[#This Row],[Subgroup no.]]="","",IF(COUNT(tblVerifyMeas[[#This Row],[Reading 1]],tblVerifyMeas[[#This Row],[Reading 2]],tblVerifyMeas[[#This Row],[Reading 3]],tblVerifyMeas[[#This Row],[Reading 4]],tblVerifyMeas[[#This Row],[Reading 5]])&lt;&gt;$E$29,"",AVERAGE(tblVerifyMeas[[#This Row],[Reading 1]],tblVerifyMeas[[#This Row],[Reading 2]],tblVerifyMeas[[#This Row],[Reading 3]],tblVerifyMeas[[#This Row],[Reading 4]],tblVerifyMeas[[#This Row],[Reading 5]])))</f>
        <v>10.408</v>
      </c>
      <c r="J37" s="39">
        <f>IF(tblVerifyMeas[[#This Row],[Subgroup no.]]="","",IF(COUNT(tblVerifyMeas[[#This Row],[Reading 1]],tblVerifyMeas[[#This Row],[Reading 2]],tblVerifyMeas[[#This Row],[Reading 3]],tblVerifyMeas[[#This Row],[Reading 4]],tblVerifyMeas[[#This Row],[Reading 5]])&lt;&gt;$E$29,"",MAX(tblVerifyMeas[[#This Row],[Reading 1]],tblVerifyMeas[[#This Row],[Reading 2]],tblVerifyMeas[[#This Row],[Reading 3]],tblVerifyMeas[[#This Row],[Reading 4]],tblVerifyMeas[[#This Row],[Reading 5]])-MIN(tblVerifyMeas[[#This Row],[Reading 1]],tblVerifyMeas[[#This Row],[Reading 2]],tblVerifyMeas[[#This Row],[Reading 3]],tblVerifyMeas[[#This Row],[Reading 4]],tblVerifyMeas[[#This Row],[Reading 5]])))</f>
        <v>0.18</v>
      </c>
      <c r="K37" s="40">
        <f>IF(tblVerifyMeas[[#This Row],[Subgroup no.]]="","",ISNUMBER(tblVerifyMeas[[#This Row],[Reading 1]])*((tblVerifyMeas[[#This Row],[Reading 1]]&lt;$E$31)+(tblVerifyMeas[[#This Row],[Reading 1]]&gt;$E$32))+ISNUMBER(tblVerifyMeas[[#This Row],[Reading 2]])*((tblVerifyMeas[[#This Row],[Reading 2]]&lt;$E$31)+(tblVerifyMeas[[#This Row],[Reading 2]]&gt;$E$32))+ISNUMBER(tblVerifyMeas[[#This Row],[Reading 3]])*((tblVerifyMeas[[#This Row],[Reading 3]]&lt;$E$31)+(tblVerifyMeas[[#This Row],[Reading 3]]&gt;$E$32))+ISNUMBER(tblVerifyMeas[[#This Row],[Reading 4]])*((tblVerifyMeas[[#This Row],[Reading 4]]&lt;$E$31)+(tblVerifyMeas[[#This Row],[Reading 4]]&gt;$E$32))+ISNUMBER(tblVerifyMeas[[#This Row],[Reading 5]])*((tblVerifyMeas[[#This Row],[Reading 5]]&lt;$E$31)+(tblVerifyMeas[[#This Row],[Reading 5]]&gt;$E$32)))</f>
        <v>0</v>
      </c>
      <c r="L37" s="41" t="str">
        <f>IF(tblVerifyMeas[[#This Row],[Subgroup no.]]="","",IF(COUNT(tblVerifyMeas[[#This Row],[Reading 1]],tblVerifyMeas[[#This Row],[Reading 2]],tblVerifyMeas[[#This Row],[Reading 3]],tblVerifyMeas[[#This Row],[Reading 4]],tblVerifyMeas[[#This Row],[Reading 5]])&lt;&gt;$E$29,"Reading count is not n",IF(COUNTIFS(tblVerifyMeas[Subgroup no.],tblVerifyMeas[[#This Row],[Subgroup no.]])&gt;1,"Duplicate subgroup no.",IF(tblVerifyMeas[[#This Row],[Out of spec (readings)]]&gt;0,"Reading outside spec","OK"))))</f>
        <v>OK</v>
      </c>
      <c r="M37" s="59"/>
    </row>
    <row r="38" spans="2:13">
      <c r="B38" s="68">
        <v>2</v>
      </c>
      <c r="C38" s="70">
        <v>46027</v>
      </c>
      <c r="D38" s="69">
        <v>10.29</v>
      </c>
      <c r="E38" s="69">
        <v>10.47</v>
      </c>
      <c r="F38" s="69">
        <v>10.4</v>
      </c>
      <c r="G38" s="69">
        <v>10.36</v>
      </c>
      <c r="H38" s="69">
        <v>10.55</v>
      </c>
      <c r="I38" s="39">
        <f>IF(tblVerifyMeas[[#This Row],[Subgroup no.]]="","",IF(COUNT(tblVerifyMeas[[#This Row],[Reading 1]],tblVerifyMeas[[#This Row],[Reading 2]],tblVerifyMeas[[#This Row],[Reading 3]],tblVerifyMeas[[#This Row],[Reading 4]],tblVerifyMeas[[#This Row],[Reading 5]])&lt;&gt;$E$29,"",AVERAGE(tblVerifyMeas[[#This Row],[Reading 1]],tblVerifyMeas[[#This Row],[Reading 2]],tblVerifyMeas[[#This Row],[Reading 3]],tblVerifyMeas[[#This Row],[Reading 4]],tblVerifyMeas[[#This Row],[Reading 5]])))</f>
        <v>10.414</v>
      </c>
      <c r="J38" s="39">
        <f>IF(tblVerifyMeas[[#This Row],[Subgroup no.]]="","",IF(COUNT(tblVerifyMeas[[#This Row],[Reading 1]],tblVerifyMeas[[#This Row],[Reading 2]],tblVerifyMeas[[#This Row],[Reading 3]],tblVerifyMeas[[#This Row],[Reading 4]],tblVerifyMeas[[#This Row],[Reading 5]])&lt;&gt;$E$29,"",MAX(tblVerifyMeas[[#This Row],[Reading 1]],tblVerifyMeas[[#This Row],[Reading 2]],tblVerifyMeas[[#This Row],[Reading 3]],tblVerifyMeas[[#This Row],[Reading 4]],tblVerifyMeas[[#This Row],[Reading 5]])-MIN(tblVerifyMeas[[#This Row],[Reading 1]],tblVerifyMeas[[#This Row],[Reading 2]],tblVerifyMeas[[#This Row],[Reading 3]],tblVerifyMeas[[#This Row],[Reading 4]],tblVerifyMeas[[#This Row],[Reading 5]])))</f>
        <v>0.260000000000002</v>
      </c>
      <c r="K38" s="40">
        <f>IF(tblVerifyMeas[[#This Row],[Subgroup no.]]="","",ISNUMBER(tblVerifyMeas[[#This Row],[Reading 1]])*((tblVerifyMeas[[#This Row],[Reading 1]]&lt;$E$31)+(tblVerifyMeas[[#This Row],[Reading 1]]&gt;$E$32))+ISNUMBER(tblVerifyMeas[[#This Row],[Reading 2]])*((tblVerifyMeas[[#This Row],[Reading 2]]&lt;$E$31)+(tblVerifyMeas[[#This Row],[Reading 2]]&gt;$E$32))+ISNUMBER(tblVerifyMeas[[#This Row],[Reading 3]])*((tblVerifyMeas[[#This Row],[Reading 3]]&lt;$E$31)+(tblVerifyMeas[[#This Row],[Reading 3]]&gt;$E$32))+ISNUMBER(tblVerifyMeas[[#This Row],[Reading 4]])*((tblVerifyMeas[[#This Row],[Reading 4]]&lt;$E$31)+(tblVerifyMeas[[#This Row],[Reading 4]]&gt;$E$32))+ISNUMBER(tblVerifyMeas[[#This Row],[Reading 5]])*((tblVerifyMeas[[#This Row],[Reading 5]]&lt;$E$31)+(tblVerifyMeas[[#This Row],[Reading 5]]&gt;$E$32)))</f>
        <v>0</v>
      </c>
      <c r="L38" s="41" t="str">
        <f>IF(tblVerifyMeas[[#This Row],[Subgroup no.]]="","",IF(COUNT(tblVerifyMeas[[#This Row],[Reading 1]],tblVerifyMeas[[#This Row],[Reading 2]],tblVerifyMeas[[#This Row],[Reading 3]],tblVerifyMeas[[#This Row],[Reading 4]],tblVerifyMeas[[#This Row],[Reading 5]])&lt;&gt;$E$29,"Reading count is not n",IF(COUNTIFS(tblVerifyMeas[Subgroup no.],tblVerifyMeas[[#This Row],[Subgroup no.]])&gt;1,"Duplicate subgroup no.",IF(tblVerifyMeas[[#This Row],[Out of spec (readings)]]&gt;0,"Reading outside spec","OK"))))</f>
        <v>OK</v>
      </c>
      <c r="M38" s="59"/>
    </row>
    <row r="39" spans="2:13">
      <c r="B39" s="68">
        <v>3</v>
      </c>
      <c r="C39" s="70">
        <v>46028</v>
      </c>
      <c r="D39" s="69">
        <v>10.61</v>
      </c>
      <c r="E39" s="69">
        <v>10.44</v>
      </c>
      <c r="F39" s="69">
        <v>10.38</v>
      </c>
      <c r="G39" s="69">
        <v>10.49</v>
      </c>
      <c r="H39" s="69">
        <v>10.45</v>
      </c>
      <c r="I39" s="39">
        <f>IF(tblVerifyMeas[[#This Row],[Subgroup no.]]="","",IF(COUNT(tblVerifyMeas[[#This Row],[Reading 1]],tblVerifyMeas[[#This Row],[Reading 2]],tblVerifyMeas[[#This Row],[Reading 3]],tblVerifyMeas[[#This Row],[Reading 4]],tblVerifyMeas[[#This Row],[Reading 5]])&lt;&gt;$E$29,"",AVERAGE(tblVerifyMeas[[#This Row],[Reading 1]],tblVerifyMeas[[#This Row],[Reading 2]],tblVerifyMeas[[#This Row],[Reading 3]],tblVerifyMeas[[#This Row],[Reading 4]],tblVerifyMeas[[#This Row],[Reading 5]])))</f>
        <v>10.474</v>
      </c>
      <c r="J39" s="39">
        <f>IF(tblVerifyMeas[[#This Row],[Subgroup no.]]="","",IF(COUNT(tblVerifyMeas[[#This Row],[Reading 1]],tblVerifyMeas[[#This Row],[Reading 2]],tblVerifyMeas[[#This Row],[Reading 3]],tblVerifyMeas[[#This Row],[Reading 4]],tblVerifyMeas[[#This Row],[Reading 5]])&lt;&gt;$E$29,"",MAX(tblVerifyMeas[[#This Row],[Reading 1]],tblVerifyMeas[[#This Row],[Reading 2]],tblVerifyMeas[[#This Row],[Reading 3]],tblVerifyMeas[[#This Row],[Reading 4]],tblVerifyMeas[[#This Row],[Reading 5]])-MIN(tblVerifyMeas[[#This Row],[Reading 1]],tblVerifyMeas[[#This Row],[Reading 2]],tblVerifyMeas[[#This Row],[Reading 3]],tblVerifyMeas[[#This Row],[Reading 4]],tblVerifyMeas[[#This Row],[Reading 5]])))</f>
        <v>0.229999999999999</v>
      </c>
      <c r="K39" s="40">
        <f>IF(tblVerifyMeas[[#This Row],[Subgroup no.]]="","",ISNUMBER(tblVerifyMeas[[#This Row],[Reading 1]])*((tblVerifyMeas[[#This Row],[Reading 1]]&lt;$E$31)+(tblVerifyMeas[[#This Row],[Reading 1]]&gt;$E$32))+ISNUMBER(tblVerifyMeas[[#This Row],[Reading 2]])*((tblVerifyMeas[[#This Row],[Reading 2]]&lt;$E$31)+(tblVerifyMeas[[#This Row],[Reading 2]]&gt;$E$32))+ISNUMBER(tblVerifyMeas[[#This Row],[Reading 3]])*((tblVerifyMeas[[#This Row],[Reading 3]]&lt;$E$31)+(tblVerifyMeas[[#This Row],[Reading 3]]&gt;$E$32))+ISNUMBER(tblVerifyMeas[[#This Row],[Reading 4]])*((tblVerifyMeas[[#This Row],[Reading 4]]&lt;$E$31)+(tblVerifyMeas[[#This Row],[Reading 4]]&gt;$E$32))+ISNUMBER(tblVerifyMeas[[#This Row],[Reading 5]])*((tblVerifyMeas[[#This Row],[Reading 5]]&lt;$E$31)+(tblVerifyMeas[[#This Row],[Reading 5]]&gt;$E$32)))</f>
        <v>0</v>
      </c>
      <c r="L39" s="41" t="str">
        <f>IF(tblVerifyMeas[[#This Row],[Subgroup no.]]="","",IF(COUNT(tblVerifyMeas[[#This Row],[Reading 1]],tblVerifyMeas[[#This Row],[Reading 2]],tblVerifyMeas[[#This Row],[Reading 3]],tblVerifyMeas[[#This Row],[Reading 4]],tblVerifyMeas[[#This Row],[Reading 5]])&lt;&gt;$E$29,"Reading count is not n",IF(COUNTIFS(tblVerifyMeas[Subgroup no.],tblVerifyMeas[[#This Row],[Subgroup no.]])&gt;1,"Duplicate subgroup no.",IF(tblVerifyMeas[[#This Row],[Out of spec (readings)]]&gt;0,"Reading outside spec","OK"))))</f>
        <v>OK</v>
      </c>
      <c r="M39" s="59"/>
    </row>
    <row r="40" spans="2:13">
      <c r="B40" s="68">
        <v>4</v>
      </c>
      <c r="C40" s="70">
        <v>46028</v>
      </c>
      <c r="D40" s="69">
        <v>10.3</v>
      </c>
      <c r="E40" s="69">
        <v>10.35</v>
      </c>
      <c r="F40" s="69">
        <v>10.27</v>
      </c>
      <c r="G40" s="69">
        <v>10.41</v>
      </c>
      <c r="H40" s="69">
        <v>10.39</v>
      </c>
      <c r="I40" s="39">
        <f>IF(tblVerifyMeas[[#This Row],[Subgroup no.]]="","",IF(COUNT(tblVerifyMeas[[#This Row],[Reading 1]],tblVerifyMeas[[#This Row],[Reading 2]],tblVerifyMeas[[#This Row],[Reading 3]],tblVerifyMeas[[#This Row],[Reading 4]],tblVerifyMeas[[#This Row],[Reading 5]])&lt;&gt;$E$29,"",AVERAGE(tblVerifyMeas[[#This Row],[Reading 1]],tblVerifyMeas[[#This Row],[Reading 2]],tblVerifyMeas[[#This Row],[Reading 3]],tblVerifyMeas[[#This Row],[Reading 4]],tblVerifyMeas[[#This Row],[Reading 5]])))</f>
        <v>10.344</v>
      </c>
      <c r="J40" s="39">
        <f>IF(tblVerifyMeas[[#This Row],[Subgroup no.]]="","",IF(COUNT(tblVerifyMeas[[#This Row],[Reading 1]],tblVerifyMeas[[#This Row],[Reading 2]],tblVerifyMeas[[#This Row],[Reading 3]],tblVerifyMeas[[#This Row],[Reading 4]],tblVerifyMeas[[#This Row],[Reading 5]])&lt;&gt;$E$29,"",MAX(tblVerifyMeas[[#This Row],[Reading 1]],tblVerifyMeas[[#This Row],[Reading 2]],tblVerifyMeas[[#This Row],[Reading 3]],tblVerifyMeas[[#This Row],[Reading 4]],tblVerifyMeas[[#This Row],[Reading 5]])-MIN(tblVerifyMeas[[#This Row],[Reading 1]],tblVerifyMeas[[#This Row],[Reading 2]],tblVerifyMeas[[#This Row],[Reading 3]],tblVerifyMeas[[#This Row],[Reading 4]],tblVerifyMeas[[#This Row],[Reading 5]])))</f>
        <v>0.140000000000001</v>
      </c>
      <c r="K40" s="40">
        <f>IF(tblVerifyMeas[[#This Row],[Subgroup no.]]="","",ISNUMBER(tblVerifyMeas[[#This Row],[Reading 1]])*((tblVerifyMeas[[#This Row],[Reading 1]]&lt;$E$31)+(tblVerifyMeas[[#This Row],[Reading 1]]&gt;$E$32))+ISNUMBER(tblVerifyMeas[[#This Row],[Reading 2]])*((tblVerifyMeas[[#This Row],[Reading 2]]&lt;$E$31)+(tblVerifyMeas[[#This Row],[Reading 2]]&gt;$E$32))+ISNUMBER(tblVerifyMeas[[#This Row],[Reading 3]])*((tblVerifyMeas[[#This Row],[Reading 3]]&lt;$E$31)+(tblVerifyMeas[[#This Row],[Reading 3]]&gt;$E$32))+ISNUMBER(tblVerifyMeas[[#This Row],[Reading 4]])*((tblVerifyMeas[[#This Row],[Reading 4]]&lt;$E$31)+(tblVerifyMeas[[#This Row],[Reading 4]]&gt;$E$32))+ISNUMBER(tblVerifyMeas[[#This Row],[Reading 5]])*((tblVerifyMeas[[#This Row],[Reading 5]]&lt;$E$31)+(tblVerifyMeas[[#This Row],[Reading 5]]&gt;$E$32)))</f>
        <v>0</v>
      </c>
      <c r="L40" s="41" t="str">
        <f>IF(tblVerifyMeas[[#This Row],[Subgroup no.]]="","",IF(COUNT(tblVerifyMeas[[#This Row],[Reading 1]],tblVerifyMeas[[#This Row],[Reading 2]],tblVerifyMeas[[#This Row],[Reading 3]],tblVerifyMeas[[#This Row],[Reading 4]],tblVerifyMeas[[#This Row],[Reading 5]])&lt;&gt;$E$29,"Reading count is not n",IF(COUNTIFS(tblVerifyMeas[Subgroup no.],tblVerifyMeas[[#This Row],[Subgroup no.]])&gt;1,"Duplicate subgroup no.",IF(tblVerifyMeas[[#This Row],[Out of spec (readings)]]&gt;0,"Reading outside spec","OK"))))</f>
        <v>OK</v>
      </c>
      <c r="M40" s="59"/>
    </row>
    <row r="41" spans="2:13">
      <c r="B41" s="68">
        <v>5</v>
      </c>
      <c r="C41" s="70">
        <v>46029</v>
      </c>
      <c r="D41" s="69">
        <v>10.48</v>
      </c>
      <c r="E41" s="69">
        <v>9.98</v>
      </c>
      <c r="F41" s="69">
        <v>10.52</v>
      </c>
      <c r="G41" s="69">
        <v>10.44</v>
      </c>
      <c r="H41" s="69">
        <v>10.4</v>
      </c>
      <c r="I41" s="39">
        <f>IF(tblVerifyMeas[[#This Row],[Subgroup no.]]="","",IF(COUNT(tblVerifyMeas[[#This Row],[Reading 1]],tblVerifyMeas[[#This Row],[Reading 2]],tblVerifyMeas[[#This Row],[Reading 3]],tblVerifyMeas[[#This Row],[Reading 4]],tblVerifyMeas[[#This Row],[Reading 5]])&lt;&gt;$E$29,"",AVERAGE(tblVerifyMeas[[#This Row],[Reading 1]],tblVerifyMeas[[#This Row],[Reading 2]],tblVerifyMeas[[#This Row],[Reading 3]],tblVerifyMeas[[#This Row],[Reading 4]],tblVerifyMeas[[#This Row],[Reading 5]])))</f>
        <v>10.364</v>
      </c>
      <c r="J41" s="39">
        <f>IF(tblVerifyMeas[[#This Row],[Subgroup no.]]="","",IF(COUNT(tblVerifyMeas[[#This Row],[Reading 1]],tblVerifyMeas[[#This Row],[Reading 2]],tblVerifyMeas[[#This Row],[Reading 3]],tblVerifyMeas[[#This Row],[Reading 4]],tblVerifyMeas[[#This Row],[Reading 5]])&lt;&gt;$E$29,"",MAX(tblVerifyMeas[[#This Row],[Reading 1]],tblVerifyMeas[[#This Row],[Reading 2]],tblVerifyMeas[[#This Row],[Reading 3]],tblVerifyMeas[[#This Row],[Reading 4]],tblVerifyMeas[[#This Row],[Reading 5]])-MIN(tblVerifyMeas[[#This Row],[Reading 1]],tblVerifyMeas[[#This Row],[Reading 2]],tblVerifyMeas[[#This Row],[Reading 3]],tblVerifyMeas[[#This Row],[Reading 4]],tblVerifyMeas[[#This Row],[Reading 5]])))</f>
        <v>0.539999999999999</v>
      </c>
      <c r="K41" s="40">
        <f>IF(tblVerifyMeas[[#This Row],[Subgroup no.]]="","",ISNUMBER(tblVerifyMeas[[#This Row],[Reading 1]])*((tblVerifyMeas[[#This Row],[Reading 1]]&lt;$E$31)+(tblVerifyMeas[[#This Row],[Reading 1]]&gt;$E$32))+ISNUMBER(tblVerifyMeas[[#This Row],[Reading 2]])*((tblVerifyMeas[[#This Row],[Reading 2]]&lt;$E$31)+(tblVerifyMeas[[#This Row],[Reading 2]]&gt;$E$32))+ISNUMBER(tblVerifyMeas[[#This Row],[Reading 3]])*((tblVerifyMeas[[#This Row],[Reading 3]]&lt;$E$31)+(tblVerifyMeas[[#This Row],[Reading 3]]&gt;$E$32))+ISNUMBER(tblVerifyMeas[[#This Row],[Reading 4]])*((tblVerifyMeas[[#This Row],[Reading 4]]&lt;$E$31)+(tblVerifyMeas[[#This Row],[Reading 4]]&gt;$E$32))+ISNUMBER(tblVerifyMeas[[#This Row],[Reading 5]])*((tblVerifyMeas[[#This Row],[Reading 5]]&lt;$E$31)+(tblVerifyMeas[[#This Row],[Reading 5]]&gt;$E$32)))</f>
        <v>1</v>
      </c>
      <c r="L41" s="41" t="str">
        <f>IF(tblVerifyMeas[[#This Row],[Subgroup no.]]="","",IF(COUNT(tblVerifyMeas[[#This Row],[Reading 1]],tblVerifyMeas[[#This Row],[Reading 2]],tblVerifyMeas[[#This Row],[Reading 3]],tblVerifyMeas[[#This Row],[Reading 4]],tblVerifyMeas[[#This Row],[Reading 5]])&lt;&gt;$E$29,"Reading count is not n",IF(COUNTIFS(tblVerifyMeas[Subgroup no.],tblVerifyMeas[[#This Row],[Subgroup no.]])&gt;1,"Duplicate subgroup no.",IF(tblVerifyMeas[[#This Row],[Out of spec (readings)]]&gt;0,"Reading outside spec","OK"))))</f>
        <v>Reading outside spec</v>
      </c>
      <c r="M41" s="59"/>
    </row>
    <row r="43" spans="2:13">
      <c r="B43" s="34" t="s">
        <v>212</v>
      </c>
      <c r="C43" s="34"/>
      <c r="D43" s="34"/>
      <c r="E43" s="34"/>
      <c r="F43" s="34"/>
      <c r="G43" s="34"/>
      <c r="H43" s="34"/>
      <c r="I43" s="34"/>
      <c r="J43" s="34"/>
      <c r="K43" s="34"/>
      <c r="L43" s="34"/>
    </row>
    <row r="44" spans="2:13">
      <c r="B44" s="27" t="s">
        <v>106</v>
      </c>
      <c r="C44" s="27"/>
      <c r="D44" s="27"/>
      <c r="E44" s="40">
        <f>COUNT(tblVerifyMeas[Reading 1],tblVerifyMeas[Reading 2],tblVerifyMeas[Reading 3],tblVerifyMeas[Reading 4],tblVerifyMeas[Reading 5])</f>
        <v>25</v>
      </c>
      <c r="F44" s="7" t="s">
        <v>72</v>
      </c>
    </row>
    <row r="45" spans="2:13">
      <c r="B45" s="27" t="s">
        <v>108</v>
      </c>
      <c r="C45" s="27"/>
      <c r="D45" s="27"/>
      <c r="E45" s="39">
        <f>IF($E$44=0,"",AVERAGE(tblVerifyMeas[Reading 1],tblVerifyMeas[Reading 2],tblVerifyMeas[Reading 3],tblVerifyMeas[Reading 4],tblVerifyMeas[Reading 5]))</f>
        <v>10.4008</v>
      </c>
      <c r="F45" s="7" t="str">
        <f>UnitLabel</f>
        <v>mm</v>
      </c>
    </row>
    <row r="46" spans="2:13">
      <c r="B46" s="27" t="s">
        <v>112</v>
      </c>
      <c r="C46" s="27"/>
      <c r="D46" s="27"/>
      <c r="E46" s="39">
        <f>IF(COUNT(tblVerifyMeas[Range])=0,"",AVERAGE(tblVerifyMeas[Range]))</f>
        <v>0.27</v>
      </c>
      <c r="F46" s="7" t="str">
        <f>UnitLabel</f>
        <v>mm</v>
      </c>
    </row>
    <row r="47" spans="2:13">
      <c r="B47" s="27" t="s">
        <v>114</v>
      </c>
      <c r="C47" s="27"/>
      <c r="D47" s="27"/>
      <c r="E47" s="39">
        <f>IF(COUNT(tblVerifyMeas[Range])=0,"",$E$46/$E$30)</f>
        <v>0.116079105760963</v>
      </c>
      <c r="F47" s="7" t="str">
        <f>UnitLabel</f>
        <v>mm</v>
      </c>
    </row>
    <row r="48" spans="2:13">
      <c r="B48" s="27" t="s">
        <v>116</v>
      </c>
      <c r="C48" s="27"/>
      <c r="D48" s="27"/>
      <c r="E48" s="39">
        <f>IF($E$44&lt;2,"",_xlfn.STDEV.S(tblVerifyMeas[Reading 1],tblVerifyMeas[Reading 2],tblVerifyMeas[Reading 3],tblVerifyMeas[Reading 4],tblVerifyMeas[Reading 5]))</f>
        <v>0.119719115711179</v>
      </c>
      <c r="F48" s="7" t="str">
        <f>UnitLabel</f>
        <v>mm</v>
      </c>
    </row>
    <row r="49" spans="2:6">
      <c r="B49" s="17" t="s">
        <v>113</v>
      </c>
      <c r="C49" s="17"/>
      <c r="D49" s="17"/>
      <c r="E49" s="53">
        <f>IF(N($E$47)=0,"",($E$32-$E$31)/(6*$E$47))</f>
        <v>2.87160493827161</v>
      </c>
      <c r="F49" s="7" t="s">
        <v>74</v>
      </c>
    </row>
    <row r="50" spans="2:6">
      <c r="B50" s="27" t="s">
        <v>119</v>
      </c>
      <c r="C50" s="27"/>
      <c r="D50" s="27"/>
      <c r="E50" s="51">
        <f>IF(N($E$47)=0,"",($E$32-$E$45)/(3*$E$47))</f>
        <v>4.59227061728396</v>
      </c>
      <c r="F50" s="7" t="s">
        <v>74</v>
      </c>
    </row>
    <row r="51" spans="2:6">
      <c r="B51" s="27" t="s">
        <v>120</v>
      </c>
      <c r="C51" s="27"/>
      <c r="D51" s="27"/>
      <c r="E51" s="51">
        <f>IF(N($E$47)=0,"",($E$45-$E$31)/(3*$E$47))</f>
        <v>1.15093925925926</v>
      </c>
      <c r="F51" s="7" t="s">
        <v>74</v>
      </c>
    </row>
    <row r="52" spans="2:6">
      <c r="B52" s="17" t="s">
        <v>115</v>
      </c>
      <c r="C52" s="17"/>
      <c r="D52" s="17"/>
      <c r="E52" s="53">
        <f>IF(N($E$47)=0,"",MIN($E$50,$E$51))</f>
        <v>1.15093925925926</v>
      </c>
      <c r="F52" s="7" t="s">
        <v>74</v>
      </c>
    </row>
    <row r="53" spans="2:6">
      <c r="B53" s="17" t="s">
        <v>117</v>
      </c>
      <c r="C53" s="17"/>
      <c r="D53" s="17"/>
      <c r="E53" s="53">
        <f>IF(N($E$48)=0,"",($E$32-$E$31)/(6*$E$48))</f>
        <v>2.78429498374759</v>
      </c>
      <c r="F53" s="7" t="s">
        <v>74</v>
      </c>
    </row>
    <row r="54" spans="2:6">
      <c r="B54" s="27" t="s">
        <v>121</v>
      </c>
      <c r="C54" s="27"/>
      <c r="D54" s="27"/>
      <c r="E54" s="51">
        <f>IF(N($E$48)=0,"",($E$32-$E$45)/(3*$E$48))</f>
        <v>4.45264453800916</v>
      </c>
      <c r="F54" s="7" t="s">
        <v>74</v>
      </c>
    </row>
    <row r="55" spans="2:6">
      <c r="B55" s="27" t="s">
        <v>122</v>
      </c>
      <c r="C55" s="27"/>
      <c r="D55" s="27"/>
      <c r="E55" s="51">
        <f>IF(N($E$48)=0,"",($E$45-$E$31)/(3*$E$48))</f>
        <v>1.11594542948603</v>
      </c>
      <c r="F55" s="7" t="s">
        <v>74</v>
      </c>
    </row>
    <row r="56" spans="2:6">
      <c r="B56" s="17" t="s">
        <v>118</v>
      </c>
      <c r="C56" s="17"/>
      <c r="D56" s="17"/>
      <c r="E56" s="53">
        <f>IF(N($E$48)=0,"",MIN($E$54,$E$55))</f>
        <v>1.11594542948603</v>
      </c>
      <c r="F56" s="7" t="s">
        <v>74</v>
      </c>
    </row>
    <row r="57" spans="2:6">
      <c r="B57" s="27" t="s">
        <v>123</v>
      </c>
      <c r="C57" s="27"/>
      <c r="D57" s="27"/>
      <c r="E57" s="40">
        <f>IF($E$44=0,"",SUM(tblVerifyMeas[Out of spec (readings)])/$E$44*1000000)</f>
        <v>40000</v>
      </c>
      <c r="F57" s="7" t="s">
        <v>124</v>
      </c>
    </row>
    <row r="58" spans="2:6">
      <c r="B58" s="27" t="s">
        <v>125</v>
      </c>
      <c r="C58" s="27"/>
      <c r="D58" s="27"/>
      <c r="E58" s="40">
        <f>IF(N($E$48)=0,"",(_xlfn.NORM.DIST($E$31,$E$45,$E$48,TRUE)+1-_xlfn.NORM.DIST($E$32,$E$45,$E$48,TRUE))*1000000)</f>
        <v>407.225538771483</v>
      </c>
      <c r="F58" s="7" t="s">
        <v>124</v>
      </c>
    </row>
    <row r="59" spans="2:6">
      <c r="B59" s="27" t="s">
        <v>126</v>
      </c>
      <c r="C59" s="27"/>
      <c r="D59" s="27"/>
      <c r="E59" s="39">
        <f>($E$32-$E$31)/20</f>
        <v>0.1</v>
      </c>
      <c r="F59" s="7" t="str">
        <f>UnitLabel</f>
        <v>mm</v>
      </c>
    </row>
  </sheetData>
  <sheetProtection sheet="1" formatColumns="0" formatRows="0"/>
  <mergeCells count="46">
    <mergeCell ref="A1:M1"/>
    <mergeCell ref="B2:L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B25:L25"/>
    <mergeCell ref="B27:L27"/>
    <mergeCell ref="B28:F28"/>
    <mergeCell ref="B29:D29"/>
    <mergeCell ref="B30:D30"/>
    <mergeCell ref="B31:D31"/>
    <mergeCell ref="B32:D32"/>
    <mergeCell ref="B34:L34"/>
    <mergeCell ref="B43:L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37:L41">
    <cfRule type="expression" dxfId="3" priority="41">
      <formula>$L37="OK"</formula>
    </cfRule>
    <cfRule type="expression" dxfId="1" priority="42">
      <formula>AND($L37&lt;&gt;"",$L37&lt;&gt;"OK")</formula>
    </cfRule>
  </conditionalFormatting>
  <hyperlinks>
    <hyperlink ref="M2" r:id="rId1" tooltip="Free manufacturing calculators and templates"/>
  </hyperlinks>
  <printOptions horizontalCentered="1"/>
  <pageMargins left="0.4" right="0.4" top="0.7" bottom="0.65" header="0.3" footer="0.3"/>
  <pageSetup fitToHeight="0" orientation="landscape"/>
  <headerFooter>
    <oddHeader>&amp;L&amp;8MFG Calcs - Process Capability Cp Cpk Pp Ppk&amp;R&amp;8&amp;A</oddHeader>
    <oddFooter>&amp;L&amp;8mfgcalcs.com - free manufacturing templates&amp;R&amp;8Page &amp;P of &amp;N</oddFooter>
  </headerFooter>
  <rowBreaks count="1" manualBreakCount="1">
    <brk id="27"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44</vt:i4>
      </vt:variant>
    </vt:vector>
  </HeadingPairs>
  <TitlesOfParts>
    <vt:vector size="50" baseType="lpstr">
      <vt:lpstr>Start Here</vt:lpstr>
      <vt:lpstr>Setup</vt:lpstr>
      <vt:lpstr>Measurements</vt:lpstr>
      <vt:lpstr>Dashboard</vt:lpstr>
      <vt:lpstr>Method</vt:lpstr>
      <vt:lpstr>Verify</vt:lpstr>
      <vt:lpstr>BinW</vt:lpstr>
      <vt:lpstr>CharName</vt:lpstr>
      <vt:lpstr>ConstD2</vt:lpstr>
      <vt:lpstr>CP</vt:lpstr>
      <vt:lpstr>CPK</vt:lpstr>
      <vt:lpstr>CPL</vt:lpstr>
      <vt:lpstr>CPU</vt:lpstr>
      <vt:lpstr>ExpPpm</vt:lpstr>
      <vt:lpstr>KpiCp</vt:lpstr>
      <vt:lpstr>KpiCpk</vt:lpstr>
      <vt:lpstr>KpiMean</vt:lpstr>
      <vt:lpstr>KpiPp</vt:lpstr>
      <vt:lpstr>KpiPpk</vt:lpstr>
      <vt:lpstr>KpiPpm</vt:lpstr>
      <vt:lpstr>KpiSdO</vt:lpstr>
      <vt:lpstr>KpiSdW</vt:lpstr>
      <vt:lpstr>LSL</vt:lpstr>
      <vt:lpstr>NAll</vt:lpstr>
      <vt:lpstr>ObsPpm</vt:lpstr>
      <vt:lpstr>PlantName</vt:lpstr>
      <vt:lpstr>PP</vt:lpstr>
      <vt:lpstr>PPK</vt:lpstr>
      <vt:lpstr>PPL</vt:lpstr>
      <vt:lpstr>PPU</vt:lpstr>
      <vt:lpstr>Dashboard!Print_Area</vt:lpstr>
      <vt:lpstr>Measurements!Print_Area</vt:lpstr>
      <vt:lpstr>Method!Print_Area</vt:lpstr>
      <vt:lpstr>Setup!Print_Area</vt:lpstr>
      <vt:lpstr>'Start Here'!Print_Area</vt:lpstr>
      <vt:lpstr>Verify!Print_Area</vt:lpstr>
      <vt:lpstr>Measurements!Print_Titles</vt:lpstr>
      <vt:lpstr>Method!Print_Titles</vt:lpstr>
      <vt:lpstr>RBar</vt:lpstr>
      <vt:lpstr>ReqCpk</vt:lpstr>
      <vt:lpstr>ReqPpk</vt:lpstr>
      <vt:lpstr>SdO</vt:lpstr>
      <vt:lpstr>SdW</vt:lpstr>
      <vt:lpstr>SelfCheck</vt:lpstr>
      <vt:lpstr>SelfCheckSummary</vt:lpstr>
      <vt:lpstr>SpecCheck</vt:lpstr>
      <vt:lpstr>SubN</vt:lpstr>
      <vt:lpstr>UnitLabel</vt:lpstr>
      <vt:lpstr>USL</vt:lpstr>
      <vt:lpstr>XBar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Process Capability Cp Cpk Pp Ppk - free Excel template from MFG Calcs</dc:title>
  <dc:subject>Enter a subgrouped capability study and get Cp, Cpk, Pp, Ppk, a histogram against the specification and observed and expected ppm out of spec.</dc:subject>
  <dc:creator>MFG Calcs</dc:creator>
  <cp:keywords>process capability, Cpk, Cp, Ppk, Pp, capability study, PPAP, histogram, ppm</cp:keywords>
  <dc:description>https://www.mfgcalcs.com/templates/process-capability-cpk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process-capability-cpk</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study</vt:lpwstr>
  </property>
  <property fmtid="{D5CDD505-2E9C-101B-9397-08002B2CF9AE}" pid="6" name="Template URL">
    <vt:lpwstr>https://www.mfgcalcs.com/templates/process-capability-cpk</vt:lpwstr>
  </property>
  <property fmtid="{D5CDD505-2E9C-101B-9397-08002B2CF9AE}" pid="7" name="Template sheet roles">
    <vt:lpwstr>Start Here=start;Setup=setup;Measurements=work;Dashboard=dashboard;Method=method;Verify=verify</vt:lpwstr>
  </property>
</Properties>
</file>