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KPI Log" sheetId="3" r:id="rId3"/>
    <sheet name="Dashboard" sheetId="4" r:id="rId4"/>
    <sheet name="Method" sheetId="5" r:id="rId5"/>
    <sheet name="Verify" sheetId="6" r:id="rId6"/>
  </sheets>
  <definedNames>
    <definedName name="Currency">Setup!$C$7</definedName>
    <definedName name="DashFrom">Dashboard!$C$4</definedName>
    <definedName name="DashTo">Dashboard!$I$4</definedName>
    <definedName name="FFrom">IF(DashFrom="",0,DashFrom)</definedName>
    <definedName name="FTo">IF(DashTo="",2958465,DashTo)</definedName>
    <definedName name="KpiAttain">Dashboard!$B$30</definedName>
    <definedName name="KpiAvail">Dashboard!$D$30</definedName>
    <definedName name="KpiFPY">Dashboard!$G$8</definedName>
    <definedName name="KpiInc">Dashboard!$J$30</definedName>
    <definedName name="KpiOTD">Dashboard!$D$8</definedName>
    <definedName name="KpiScore">Dashboard!$B$8</definedName>
    <definedName name="KpiScrap">Dashboard!$G$30</definedName>
    <definedName name="KpiUPLH">Dashboard!$J$8</definedName>
    <definedName name="PlantName">Setup!$C$6</definedName>
    <definedName name="_xlnm.Print_Area" localSheetId="3">Dashboard!$A$1:$L$57</definedName>
    <definedName name="_xlnm.Print_Area" localSheetId="2">'KPI Log'!$A$1:$W$19</definedName>
    <definedName name="_xlnm.Print_Area" localSheetId="4">Method!$A$1:$D$56</definedName>
    <definedName name="_xlnm.Print_Area" localSheetId="1">Setup!$A$1:$E$25</definedName>
    <definedName name="_xlnm.Print_Area" localSheetId="0">'Start Here'!$A$1:$F$55</definedName>
    <definedName name="_xlnm.Print_Area" localSheetId="5">Verify!$A$1:$W$53</definedName>
    <definedName name="_xlnm.Print_Titles" localSheetId="2">'KPI Log'!$1:$6</definedName>
    <definedName name="_xlnm.Print_Titles" localSheetId="4">Method!$1:$2</definedName>
    <definedName name="SelfCheck">Verify!$D$4</definedName>
    <definedName name="SelfCheckSummary">Verify!$F$4</definedName>
    <definedName name="TargetAttain">Setup!$C$13</definedName>
    <definedName name="TargetAvail">Setup!$C$15</definedName>
    <definedName name="TargetFPY">Setup!$C$12</definedName>
    <definedName name="TargetOTD">Setup!$C$11</definedName>
    <definedName name="TargetScore">Setup!$C$17</definedName>
    <definedName name="TargetScrap">Setup!$C$16</definedName>
    <definedName name="TargetUPLH">Setup!$C$14</definedName>
    <definedName name="WDelivery">Setup!$C$21</definedName>
    <definedName name="WProductivity">Setup!$C$23</definedName>
    <definedName name="WQuality">Setup!$C$22</definedName>
  </definedNames>
  <calcPr calcId="124519" fullCalcOnLoad="1"/>
</workbook>
</file>

<file path=xl/sharedStrings.xml><?xml version="1.0" encoding="utf-8"?>
<sst xmlns="http://schemas.openxmlformats.org/spreadsheetml/2006/main" count="363" uniqueCount="224">
  <si>
    <t>Manufacturing KPI Dashboard</t>
  </si>
  <si>
    <t>Read this first: what the workbook does and how to use it.</t>
  </si>
  <si>
    <t>mfgcalcs.com</t>
  </si>
  <si>
    <t>Log a week of plant results in one row and see delivery, quality, productivity, equipment, cost and safety KPIs against your targets, with a weighted factory performance score.</t>
  </si>
  <si>
    <t>For: Plant managers, operations and production managers, and owners who run a weekly or monthly performance review.</t>
  </si>
  <si>
    <t>Version 1.0.0  ·  updated 15 October 2026</t>
  </si>
  <si>
    <t>Quick start</t>
  </si>
  <si>
    <t>1.</t>
  </si>
  <si>
    <t>On Setup, type your plant name, currency label, the target for each KPI and the weights of delivery, quality and productivity in the score.</t>
  </si>
  <si>
    <t>2.</t>
  </si>
  <si>
    <t>On KPI Log, add one row per week: orders shipped and on time, units planned, made and good first time, labour hours, planned hours and downtime, scrap cost, complaints and incidents.</t>
  </si>
  <si>
    <t>3.</t>
  </si>
  <si>
    <t>Read the Check column: anything other than OK names the problem in words.</t>
  </si>
  <si>
    <t>4.</t>
  </si>
  <si>
    <t>Open the Dashboard. Set From and To to look at one month or one quarter.</t>
  </si>
  <si>
    <t>What is in this workbook</t>
  </si>
  <si>
    <t>Start Here</t>
  </si>
  <si>
    <t>Setup</t>
  </si>
  <si>
    <t>Plant name, currency, the target for each KPI and the weights of the factory performance score.</t>
  </si>
  <si>
    <t>KPI Log</t>
  </si>
  <si>
    <t>One row per week: delivery, output, quality, labour, equipment, scrap, complaints and safety.</t>
  </si>
  <si>
    <t>Dashboard</t>
  </si>
  <si>
    <t>Delivery, quality, productivity, equipment, cost and safety against your targets, for the weeks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</si>
  <si>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</si>
  <si>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</si>
  <si>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</si>
  <si>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</si>
  <si>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</si>
  <si>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</si>
  <si>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</si>
  <si>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</si>
  <si>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</si>
  <si>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</si>
  <si>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</si>
  <si>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</si>
  <si>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</si>
  <si>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</si>
  <si>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</si>
  <si>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</si>
  <si>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</si>
  <si>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</si>
  <si>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</si>
  <si>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</si>
  <si>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Factory Performance Score Calculator on mfgcalcs.com</t>
  </si>
  <si>
    <t>Latest version</t>
  </si>
  <si>
    <t>mfgcalcs.com/templates/production-kpi-dashboard</t>
  </si>
  <si>
    <t>More free templates</t>
  </si>
  <si>
    <t>mfgcalcs.com/templates</t>
  </si>
  <si>
    <t>Version</t>
  </si>
  <si>
    <t>1.0.0 (updated 15 October 2026)</t>
  </si>
  <si>
    <t>About the example data</t>
  </si>
  <si>
    <t>Every number already in this workbook is example data for Calloway Fabrication, a fictional business invented for this template, so the dashboard and charts show something meaningful on day one. It covers thirteen weeks (6 July to 28 September 2026) of a sheet-metal and welding plant,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</si>
  <si>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</si>
  <si>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</si>
  <si>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</si>
  <si>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</si>
  <si>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</si>
  <si>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</si>
  <si>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</si>
  <si>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</si>
  <si>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Plant</t>
  </si>
  <si>
    <t>Plant name</t>
  </si>
  <si>
    <t>Calloway Fabrication (example)</t>
  </si>
  <si>
    <t>Currency label</t>
  </si>
  <si>
    <t>USD</t>
  </si>
  <si>
    <t>Targets</t>
  </si>
  <si>
    <t>On-time delivery target</t>
  </si>
  <si>
    <t>First-pass yield target</t>
  </si>
  <si>
    <t>Schedule attainment target</t>
  </si>
  <si>
    <t>Units per labour hour target</t>
  </si>
  <si>
    <t>units/labour h</t>
  </si>
  <si>
    <t>Equipment availability target</t>
  </si>
  <si>
    <t>Scrap cost limit per week</t>
  </si>
  <si>
    <t>Factory performance score target</t>
  </si>
  <si>
    <t>Factory performance score weights</t>
  </si>
  <si>
    <t>Delivery weight (on-time delivery)</t>
  </si>
  <si>
    <t>weight</t>
  </si>
  <si>
    <t>Quality weight (first-pass yield)</t>
  </si>
  <si>
    <t>Productivity weight (units per labour hour)</t>
  </si>
  <si>
    <t>Targets and weights are yours to set; nothing in this workbook assumes an industry benchmark. The score is the weighted average of actual / target for the three KPIs: 100% means all three exactly on target. 'Near target' means within 5% of the target.</t>
  </si>
  <si>
    <t>Week starting</t>
  </si>
  <si>
    <t>Orders shipped</t>
  </si>
  <si>
    <t>Orders on time</t>
  </si>
  <si>
    <t>Units planned</t>
  </si>
  <si>
    <t>Units made</t>
  </si>
  <si>
    <t>Good first time</t>
  </si>
  <si>
    <t>Labour (h)</t>
  </si>
  <si>
    <t>Planned equipment (h)</t>
  </si>
  <si>
    <t>Unplanned downtime (h)</t>
  </si>
  <si>
    <t>Scrap cost</t>
  </si>
  <si>
    <t>Complaints</t>
  </si>
  <si>
    <t>Recordable incidents</t>
  </si>
  <si>
    <t>OTD</t>
  </si>
  <si>
    <t>Attainment</t>
  </si>
  <si>
    <t>First-pass yield</t>
  </si>
  <si>
    <t>Units per labour h</t>
  </si>
  <si>
    <t>Availability</t>
  </si>
  <si>
    <t>Score</t>
  </si>
  <si>
    <t>Score status</t>
  </si>
  <si>
    <t>View date</t>
  </si>
  <si>
    <t>Check</t>
  </si>
  <si>
    <t>Notes</t>
  </si>
  <si>
    <t>Example data for Calloway Fabrication (fictional). Replace it with your own: select the example rows, right-click, Delete &gt; Table Rows. One row per week (or per month: the ratios work the same). Yellow = you type; blue = calculated.</t>
  </si>
  <si>
    <t/>
  </si>
  <si>
    <t>Hand laceration at the shear (recordable)</t>
  </si>
  <si>
    <t>Steel from the coil supplier 6 days late</t>
  </si>
  <si>
    <t>Supplier back on schedule; backlog cleared</t>
  </si>
  <si>
    <t>New welding fixture on cell W2</t>
  </si>
  <si>
    <t>From</t>
  </si>
  <si>
    <t>To</t>
  </si>
  <si>
    <t>FACTORY PERFORMANCE SCORE</t>
  </si>
  <si>
    <t>ON-TIME DELIVERY</t>
  </si>
  <si>
    <t>FIRST-PASS YIELD</t>
  </si>
  <si>
    <t>UNITS PER LABOUR HOUR</t>
  </si>
  <si>
    <t>SCHEDULE ATTAINMENT</t>
  </si>
  <si>
    <t>EQUIPMENT AVAILABILITY</t>
  </si>
  <si>
    <t>RECORDABLE INCIDENTS</t>
  </si>
  <si>
    <t>Factory performance score: attainment = actual / target</t>
  </si>
  <si>
    <t>Score component</t>
  </si>
  <si>
    <t>Actual</t>
  </si>
  <si>
    <t>Target</t>
  </si>
  <si>
    <t>Weight</t>
  </si>
  <si>
    <t>Weighted</t>
  </si>
  <si>
    <t>Delivery: on-time delivery</t>
  </si>
  <si>
    <t>Quality: first-pass yield</t>
  </si>
  <si>
    <t>Productivity: units per labour hour</t>
  </si>
  <si>
    <t>Week by week (last 13 weeks in view)</t>
  </si>
  <si>
    <t>Units/labour h</t>
  </si>
  <si>
    <t>Incidents</t>
  </si>
  <si>
    <t>Score target</t>
  </si>
  <si>
    <t>OTD target</t>
  </si>
  <si>
    <t>The week-by-week block shows the last 13 weeks inside the filter; use From and To to look further back. Every tile and the score use all the weeks in view.</t>
  </si>
  <si>
    <t>What this workbook calculates</t>
  </si>
  <si>
    <t>Each row is one week of plant results. The workbook turns them into seven KPIs and a weighted factory performance score. Every KPI over several weeks is formed from sums (for example on-time delivery = all orders on time / all orders shipped), never as an average of weekly percentages, so a busy week counts for more than a quiet one.</t>
  </si>
  <si>
    <t>Calculations</t>
  </si>
  <si>
    <t>Quantity</t>
  </si>
  <si>
    <t>How it is calculated</t>
  </si>
  <si>
    <t>Units</t>
  </si>
  <si>
    <t>On-time delivery (OTD)</t>
  </si>
  <si>
    <t>Orders on time / orders shipped.</t>
  </si>
  <si>
    <t>%</t>
  </si>
  <si>
    <t>Schedule attainment</t>
  </si>
  <si>
    <t>Good first time / units planned.</t>
  </si>
  <si>
    <t>Good first time / units made.</t>
  </si>
  <si>
    <t>Units per labour hour</t>
  </si>
  <si>
    <t>Good first time / direct labour hours.</t>
  </si>
  <si>
    <t>Equipment availability</t>
  </si>
  <si>
    <t>(Planned equipment hours - unplanned downtime) / planned equipment hours.</t>
  </si>
  <si>
    <t>Sum of the weekly scrap cost; the limit on the tile is the weekly limit x the weeks in view.</t>
  </si>
  <si>
    <t>currency</t>
  </si>
  <si>
    <t>Recordable incidents, complaints</t>
  </si>
  <si>
    <t>Sums over the weeks in view.</t>
  </si>
  <si>
    <t>count</t>
  </si>
  <si>
    <t>Attainment of a score component</t>
  </si>
  <si>
    <t>Actual / target, for OTD, first-pass yield and units per labour hour.</t>
  </si>
  <si>
    <t>Factory performance score</t>
  </si>
  <si>
    <t>(Delivery attainment x delivery weight + quality attainment x quality weight + productivity attainment x productivity weight) / sum of weights. 100% = all three on target.</t>
  </si>
  <si>
    <t>Weekly score (KPI Log)</t>
  </si>
  <si>
    <t>The same score from one row's OTD, first-pass yield and units per labour hour.</t>
  </si>
  <si>
    <t>Status</t>
  </si>
  <si>
    <t>On target at or above the target (at or below a limit), Near target within 5%, otherwise Below target (Above target for a limit).</t>
  </si>
  <si>
    <t>-</t>
  </si>
  <si>
    <t>Assumptions</t>
  </si>
  <si>
    <t>A row covers one week; monthly rows work too, as long as every row covers the same kind of period.</t>
  </si>
  <si>
    <t>Good first time counts only units good without rework; units made counts every unit started and finished.</t>
  </si>
  <si>
    <t>Attainment above 100% counts in full in the score, as in the live calculator; one KPI far above target can hide another below it, so read the components too.</t>
  </si>
  <si>
    <t>Limitations</t>
  </si>
  <si>
    <t>The score covers delivery, quality and productivity only; availability, scrap, complaints and safety are shown beside it, not in it.</t>
  </si>
  <si>
    <t>Recordable incidents are counted, not turned into a rate; a rate per 200,000 hours (US OSHA) needs all hours worked, which this log does not hold.</t>
  </si>
  <si>
    <t>The week-by-week block shows the last 13 weeks inside the filter.</t>
  </si>
  <si>
    <t>Agreement with the live calculator</t>
  </si>
  <si>
    <t>The factory performance score is the live Factory Performance Score calculator's weighted attainment: the calculator takes delivery, quality and productivity attainment and their weights; this workbook computes the three attainments from the log (actual / target) and applies the same formula. For the calculator's example (90%, 95% and 80% with weights 40, 30 and 30: 88.5%) and for this workbook's example quarter, the template's reference agrees with the calculator's engine, checked on every build.</t>
  </si>
  <si>
    <t>Open the Factory Performance Score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</si>
  <si>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</si>
  <si>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</si>
  <si>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22400-2:2014, Key performance indicators for manufacturing operations management (definitions of quality and productivity ratios).</t>
  </si>
  <si>
    <t>US OSHA 29 CFR 1904, Recording and reporting occupational injuries and illnesses (what makes an injury recordable, in the US).</t>
  </si>
  <si>
    <t>MFG Calcs Factory Performance Score calculator (factory-performance-score): weighted target attainment.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</si>
  <si>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</si>
  <si>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</si>
  <si>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</si>
  <si>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</si>
  <si>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</si>
  <si>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</si>
  <si>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</si>
  <si>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</si>
  <si>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</si>
  <si>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</si>
  <si>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</si>
  <si>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</si>
  <si>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</si>
  <si>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</si>
  <si>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</si>
  <si>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</si>
  <si>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Week 1: OTD</t>
  </si>
  <si>
    <t>Week 1: first-pass yield</t>
  </si>
  <si>
    <t>Week 1: units per labour hour</t>
  </si>
  <si>
    <t>Week 1: availability</t>
  </si>
  <si>
    <t>Week 1: weekly score</t>
  </si>
  <si>
    <t>Week 1: score status</t>
  </si>
  <si>
    <t>Near target</t>
  </si>
  <si>
    <t>exact</t>
  </si>
  <si>
    <t>Week 3: Check reports on time &gt; shipped</t>
  </si>
  <si>
    <t>On time &gt; shipped</t>
  </si>
  <si>
    <t>All weeks: OTD (Dashboard formula, from sums)</t>
  </si>
  <si>
    <t>All weeks: schedule attainment</t>
  </si>
  <si>
    <t>All weeks: first-pass yield</t>
  </si>
  <si>
    <t>All weeks: availability</t>
  </si>
  <si>
    <t>Score: delivery attainment</t>
  </si>
  <si>
    <t>Score: productivity attainment</t>
  </si>
  <si>
    <t>All weeks: factory performance score</t>
  </si>
  <si>
    <t>Fixed test inputs</t>
  </si>
  <si>
    <t>White cells are fixed test inputs; blue cells are the workbook's formulas evaluated on them.</t>
  </si>
  <si>
    <t>Parameters</t>
  </si>
  <si>
    <t>Filter: from (0 = no limit)</t>
  </si>
  <si>
    <t>Filter: to (2958465 = no limit)</t>
  </si>
  <si>
    <t>FPY target</t>
  </si>
  <si>
    <t>Attainment target</t>
  </si>
  <si>
    <t>Availability target</t>
  </si>
  <si>
    <t>Delivery weight</t>
  </si>
  <si>
    <t>Quality weight</t>
  </si>
  <si>
    <t>Productivity weight</t>
  </si>
  <si>
    <t>Test table: Kpi</t>
  </si>
  <si>
    <t>Test grid: Score</t>
  </si>
</sst>
</file>

<file path=xl/styles.xml><?xml version="1.0" encoding="utf-8"?>
<styleSheet xmlns="http://schemas.openxmlformats.org/spreadsheetml/2006/main">
  <numFmts count="12">
    <numFmt numFmtId="164" formatCode="0.0%"/>
    <numFmt numFmtId="165" formatCode="#,##0.00"/>
    <numFmt numFmtId="166" formatCode="#,##0"/>
    <numFmt numFmtId="167" formatCode="d mmm yyyy"/>
    <numFmt numFmtId="168" formatCode="#,##0.0"/>
    <numFmt numFmtId="169" formatCode="&quot;Target &quot;0.0%"/>
    <numFmt numFmtId="170" formatCode="&quot;Target &quot;#,##0.00"/>
    <numFmt numFmtId="171" formatCode="&quot;Limit &quot;#,##0"/>
    <numFmt numFmtId="172" formatCode="&quot;Target &quot;#,##0"/>
    <numFmt numFmtId="173" formatCode="#,##0.000"/>
    <numFmt numFmtId="174" formatCode="d mmm"/>
    <numFmt numFmtId="175"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7"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21"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9" fontId="22" fillId="9" borderId="7" xfId="0" applyNumberFormat="1" applyFont="1" applyFill="1" applyBorder="1" applyAlignment="1">
      <alignment horizontal="left" vertical="center"/>
    </xf>
    <xf numFmtId="170" fontId="22" fillId="9" borderId="7" xfId="0" applyNumberFormat="1" applyFont="1" applyFill="1" applyBorder="1" applyAlignment="1">
      <alignment horizontal="left" vertical="center"/>
    </xf>
    <xf numFmtId="0" fontId="21" fillId="9" borderId="8" xfId="0" applyFont="1" applyFill="1" applyBorder="1" applyAlignment="1">
      <alignment vertical="center"/>
    </xf>
    <xf numFmtId="166" fontId="4" fillId="9" borderId="7" xfId="0" applyNumberFormat="1" applyFont="1" applyFill="1" applyBorder="1" applyAlignment="1">
      <alignment horizontal="left" vertical="center"/>
    </xf>
    <xf numFmtId="171" fontId="22" fillId="9" borderId="7" xfId="0" applyNumberFormat="1" applyFont="1" applyFill="1" applyBorder="1" applyAlignment="1">
      <alignment horizontal="left" vertical="center"/>
    </xf>
    <xf numFmtId="172" fontId="22" fillId="9" borderId="7" xfId="0" applyNumberFormat="1" applyFont="1" applyFill="1" applyBorder="1" applyAlignment="1">
      <alignment horizontal="left" vertical="center"/>
    </xf>
    <xf numFmtId="0" fontId="23" fillId="0" borderId="0" xfId="0" applyFont="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6" fontId="10" fillId="0" borderId="9" xfId="0" applyNumberFormat="1" applyFont="1" applyBorder="1" applyAlignment="1">
      <alignment vertical="center"/>
    </xf>
    <xf numFmtId="168" fontId="10" fillId="4" borderId="3" xfId="0" applyNumberFormat="1" applyFont="1" applyFill="1" applyBorder="1" applyAlignment="1">
      <alignment vertical="center"/>
    </xf>
    <xf numFmtId="174" fontId="9" fillId="0" borderId="9" xfId="0" applyNumberFormat="1" applyFont="1" applyBorder="1" applyAlignment="1">
      <alignment vertical="center"/>
    </xf>
    <xf numFmtId="166" fontId="10" fillId="4" borderId="3" xfId="0" applyNumberFormat="1" applyFont="1" applyFill="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75" fontId="10" fillId="4" borderId="3" xfId="0" applyNumberFormat="1" applyFont="1" applyFill="1" applyBorder="1" applyAlignment="1">
      <alignment vertical="center"/>
    </xf>
    <xf numFmtId="175" fontId="10" fillId="0" borderId="9" xfId="0" applyNumberFormat="1" applyFont="1" applyBorder="1" applyAlignment="1">
      <alignment vertical="center"/>
    </xf>
    <xf numFmtId="0" fontId="10" fillId="4" borderId="3" xfId="0" applyFont="1" applyFill="1" applyBorder="1" applyAlignment="1">
      <alignment vertical="center"/>
    </xf>
    <xf numFmtId="165" fontId="10" fillId="0" borderId="9" xfId="0" applyNumberFormat="1" applyFont="1" applyBorder="1" applyAlignment="1">
      <alignment vertical="center"/>
    </xf>
    <xf numFmtId="167"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Factory performance score by week</a:t>
            </a:r>
          </a:p>
        </c:rich>
      </c:tx>
      <c:layout/>
    </c:title>
    <c:plotArea>
      <c:layout/>
      <c:barChart>
        <c:barDir val="col"/>
        <c:grouping val="clustered"/>
        <c:ser>
          <c:idx val="0"/>
          <c:order val="0"/>
          <c:tx>
            <c:v>Score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Dashboard!$B$43:$B$55</c:f>
              <c:numCache>
                <c:formatCode>General</c:formatCode>
                <c:ptCount val="13"/>
                <c:pt idx="0">
                  <c:v>46209</c:v>
                </c:pt>
                <c:pt idx="1">
                  <c:v>46216</c:v>
                </c:pt>
                <c:pt idx="2">
                  <c:v>46223</c:v>
                </c:pt>
                <c:pt idx="3">
                  <c:v>46230</c:v>
                </c:pt>
                <c:pt idx="4">
                  <c:v>46237</c:v>
                </c:pt>
                <c:pt idx="5">
                  <c:v>46244</c:v>
                </c:pt>
                <c:pt idx="6">
                  <c:v>46251</c:v>
                </c:pt>
                <c:pt idx="7">
                  <c:v>46258</c:v>
                </c:pt>
                <c:pt idx="8">
                  <c:v>46265</c:v>
                </c:pt>
                <c:pt idx="9">
                  <c:v>46272</c:v>
                </c:pt>
                <c:pt idx="10">
                  <c:v>46279</c:v>
                </c:pt>
                <c:pt idx="11">
                  <c:v>46286</c:v>
                </c:pt>
                <c:pt idx="12">
                  <c:v>46293</c:v>
                </c:pt>
              </c:numCache>
            </c:numRef>
          </c:cat>
          <c:val>
            <c:numRef>
              <c:f>Dashboard!$J$43:$J$55</c:f>
              <c:numCache>
                <c:formatCode>General</c:formatCode>
                <c:ptCount val="13"/>
                <c:pt idx="0">
                  <c:v>0.996373241598741</c:v>
                </c:pt>
                <c:pt idx="1">
                  <c:v>0.992967621986772</c:v>
                </c:pt>
                <c:pt idx="2">
                  <c:v>1.01871425520222</c:v>
                </c:pt>
                <c:pt idx="3">
                  <c:v>1.0131371905286</c:v>
                </c:pt>
                <c:pt idx="4">
                  <c:v>0.960509480953954</c:v>
                </c:pt>
                <c:pt idx="5">
                  <c:v>0.94229922835809</c:v>
                </c:pt>
                <c:pt idx="6">
                  <c:v>0.939180848429966</c:v>
                </c:pt>
                <c:pt idx="7">
                  <c:v>1.04550525736624</c:v>
                </c:pt>
                <c:pt idx="8">
                  <c:v>1.0066995500442</c:v>
                </c:pt>
                <c:pt idx="9">
                  <c:v>1.04325210517717</c:v>
                </c:pt>
                <c:pt idx="10">
                  <c:v>0.998736750917015</c:v>
                </c:pt>
                <c:pt idx="11">
                  <c:v>1.02682003072834</c:v>
                </c:pt>
                <c:pt idx="12">
                  <c:v>1.00840179900328</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Dashboard!$B$43:$B$55</c:f>
              <c:numCache>
                <c:formatCode>General</c:formatCode>
                <c:ptCount val="13"/>
                <c:pt idx="0">
                  <c:v>46209</c:v>
                </c:pt>
                <c:pt idx="1">
                  <c:v>46216</c:v>
                </c:pt>
                <c:pt idx="2">
                  <c:v>46223</c:v>
                </c:pt>
                <c:pt idx="3">
                  <c:v>46230</c:v>
                </c:pt>
                <c:pt idx="4">
                  <c:v>46237</c:v>
                </c:pt>
                <c:pt idx="5">
                  <c:v>46244</c:v>
                </c:pt>
                <c:pt idx="6">
                  <c:v>46251</c:v>
                </c:pt>
                <c:pt idx="7">
                  <c:v>46258</c:v>
                </c:pt>
                <c:pt idx="8">
                  <c:v>46265</c:v>
                </c:pt>
                <c:pt idx="9">
                  <c:v>46272</c:v>
                </c:pt>
                <c:pt idx="10">
                  <c:v>46279</c:v>
                </c:pt>
                <c:pt idx="11">
                  <c:v>46286</c:v>
                </c:pt>
                <c:pt idx="12">
                  <c:v>46293</c:v>
                </c:pt>
              </c:numCache>
            </c:numRef>
          </c:cat>
          <c:val>
            <c:numRef>
              <c:f>Dashboard!$K$43:$K$55</c:f>
              <c:numCache>
                <c:formatCode>General</c:formatCode>
                <c:ptCount val="13"/>
                <c:pt idx="0">
                  <c:v>1</c:v>
                </c:pt>
                <c:pt idx="1">
                  <c:v>1</c:v>
                </c:pt>
                <c:pt idx="2">
                  <c:v>1</c:v>
                </c:pt>
                <c:pt idx="3">
                  <c:v>1</c:v>
                </c:pt>
                <c:pt idx="4">
                  <c:v>1</c:v>
                </c:pt>
                <c:pt idx="5">
                  <c:v>1</c:v>
                </c:pt>
                <c:pt idx="6">
                  <c:v>1</c:v>
                </c:pt>
                <c:pt idx="7">
                  <c:v>1</c:v>
                </c:pt>
                <c:pt idx="8">
                  <c:v>1</c:v>
                </c:pt>
                <c:pt idx="9">
                  <c:v>1</c:v>
                </c:pt>
                <c:pt idx="10">
                  <c:v>1</c:v>
                </c:pt>
                <c:pt idx="11">
                  <c:v>1</c:v>
                </c:pt>
                <c:pt idx="12">
                  <c:v>1</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Delivery and quality by week</a:t>
            </a:r>
          </a:p>
        </c:rich>
      </c:tx>
      <c:layout/>
    </c:title>
    <c:plotArea>
      <c:layout/>
      <c:lineChart>
        <c:grouping val="standard"/>
        <c:ser>
          <c:idx val="0"/>
          <c:order val="0"/>
          <c:tx>
            <c:v>On-time delivery</c:v>
          </c:tx>
          <c:spPr>
            <a:ln w="28575">
              <a:solidFill>
                <a:srgbClr val="3B64D8"/>
              </a:solidFill>
            </a:ln>
          </c:spPr>
          <c:marker>
            <c:symbol val="circle"/>
            <c:size val="5"/>
            <c:spPr>
              <a:solidFill>
                <a:srgbClr val="3B64D8"/>
              </a:solidFill>
              <a:ln>
                <a:solidFill>
                  <a:srgbClr val="3B64D8"/>
                </a:solidFill>
              </a:ln>
            </c:spPr>
          </c:marker>
          <c:cat>
            <c:numRef>
              <c:f>Dashboard!$B$43:$B$55</c:f>
              <c:numCache>
                <c:formatCode>General</c:formatCode>
                <c:ptCount val="13"/>
                <c:pt idx="0">
                  <c:v>46209</c:v>
                </c:pt>
                <c:pt idx="1">
                  <c:v>46216</c:v>
                </c:pt>
                <c:pt idx="2">
                  <c:v>46223</c:v>
                </c:pt>
                <c:pt idx="3">
                  <c:v>46230</c:v>
                </c:pt>
                <c:pt idx="4">
                  <c:v>46237</c:v>
                </c:pt>
                <c:pt idx="5">
                  <c:v>46244</c:v>
                </c:pt>
                <c:pt idx="6">
                  <c:v>46251</c:v>
                </c:pt>
                <c:pt idx="7">
                  <c:v>46258</c:v>
                </c:pt>
                <c:pt idx="8">
                  <c:v>46265</c:v>
                </c:pt>
                <c:pt idx="9">
                  <c:v>46272</c:v>
                </c:pt>
                <c:pt idx="10">
                  <c:v>46279</c:v>
                </c:pt>
                <c:pt idx="11">
                  <c:v>46286</c:v>
                </c:pt>
                <c:pt idx="12">
                  <c:v>46293</c:v>
                </c:pt>
              </c:numCache>
            </c:numRef>
          </c:cat>
          <c:val>
            <c:numRef>
              <c:f>Dashboard!$C$43:$C$55</c:f>
              <c:numCache>
                <c:formatCode>General</c:formatCode>
                <c:ptCount val="13"/>
                <c:pt idx="0">
                  <c:v>0.966101694915254</c:v>
                </c:pt>
                <c:pt idx="1">
                  <c:v>0.964788732394366</c:v>
                </c:pt>
                <c:pt idx="2">
                  <c:v>0.969465648854962</c:v>
                </c:pt>
                <c:pt idx="3">
                  <c:v>0.971428571428571</c:v>
                </c:pt>
                <c:pt idx="4">
                  <c:v>0.826771653543307</c:v>
                </c:pt>
                <c:pt idx="5">
                  <c:v>0.837037037037037</c:v>
                </c:pt>
                <c:pt idx="6">
                  <c:v>0.857142857142857</c:v>
                </c:pt>
                <c:pt idx="7">
                  <c:v>0.957983193277311</c:v>
                </c:pt>
                <c:pt idx="8">
                  <c:v>0.977611940298508</c:v>
                </c:pt>
                <c:pt idx="9">
                  <c:v>0.967479674796748</c:v>
                </c:pt>
                <c:pt idx="10">
                  <c:v>0.974576271186441</c:v>
                </c:pt>
                <c:pt idx="11">
                  <c:v>0.971223021582734</c:v>
                </c:pt>
                <c:pt idx="12">
                  <c:v>0.977777777777778</c:v>
                </c:pt>
              </c:numCache>
            </c:numRef>
          </c:val>
        </c:ser>
        <c:ser>
          <c:idx val="1"/>
          <c:order val="1"/>
          <c:tx>
            <c:v>First-pass yield</c:v>
          </c:tx>
          <c:spPr>
            <a:ln w="28575">
              <a:solidFill>
                <a:srgbClr val="E8702A"/>
              </a:solidFill>
            </a:ln>
          </c:spPr>
          <c:marker>
            <c:symbol val="circle"/>
            <c:size val="5"/>
            <c:spPr>
              <a:solidFill>
                <a:srgbClr val="E8702A"/>
              </a:solidFill>
              <a:ln>
                <a:solidFill>
                  <a:srgbClr val="E8702A"/>
                </a:solidFill>
              </a:ln>
            </c:spPr>
          </c:marker>
          <c:cat>
            <c:numRef>
              <c:f>Dashboard!$B$43:$B$55</c:f>
              <c:numCache>
                <c:formatCode>General</c:formatCode>
                <c:ptCount val="13"/>
                <c:pt idx="0">
                  <c:v>46209</c:v>
                </c:pt>
                <c:pt idx="1">
                  <c:v>46216</c:v>
                </c:pt>
                <c:pt idx="2">
                  <c:v>46223</c:v>
                </c:pt>
                <c:pt idx="3">
                  <c:v>46230</c:v>
                </c:pt>
                <c:pt idx="4">
                  <c:v>46237</c:v>
                </c:pt>
                <c:pt idx="5">
                  <c:v>46244</c:v>
                </c:pt>
                <c:pt idx="6">
                  <c:v>46251</c:v>
                </c:pt>
                <c:pt idx="7">
                  <c:v>46258</c:v>
                </c:pt>
                <c:pt idx="8">
                  <c:v>46265</c:v>
                </c:pt>
                <c:pt idx="9">
                  <c:v>46272</c:v>
                </c:pt>
                <c:pt idx="10">
                  <c:v>46279</c:v>
                </c:pt>
                <c:pt idx="11">
                  <c:v>46286</c:v>
                </c:pt>
                <c:pt idx="12">
                  <c:v>46293</c:v>
                </c:pt>
              </c:numCache>
            </c:numRef>
          </c:cat>
          <c:val>
            <c:numRef>
              <c:f>Dashboard!$E$43:$E$55</c:f>
              <c:numCache>
                <c:formatCode>General</c:formatCode>
                <c:ptCount val="13"/>
                <c:pt idx="0">
                  <c:v>0.935491172476234</c:v>
                </c:pt>
                <c:pt idx="1">
                  <c:v>0.939523381294964</c:v>
                </c:pt>
                <c:pt idx="2">
                  <c:v>0.950826621449767</c:v>
                </c:pt>
                <c:pt idx="3">
                  <c:v>0.946389969736273</c:v>
                </c:pt>
                <c:pt idx="4">
                  <c:v>0.949774629748873</c:v>
                </c:pt>
                <c:pt idx="5">
                  <c:v>0.940203850509626</c:v>
                </c:pt>
                <c:pt idx="6">
                  <c:v>0.945573464143892</c:v>
                </c:pt>
                <c:pt idx="7">
                  <c:v>0.977700490998363</c:v>
                </c:pt>
                <c:pt idx="8">
                  <c:v>0.975384615384615</c:v>
                </c:pt>
                <c:pt idx="9">
                  <c:v>0.96890756302521</c:v>
                </c:pt>
                <c:pt idx="10">
                  <c:v>0.97672186225102</c:v>
                </c:pt>
                <c:pt idx="11">
                  <c:v>0.971068087883402</c:v>
                </c:pt>
                <c:pt idx="12">
                  <c:v>0.968887856977014</c:v>
                </c:pt>
              </c:numCache>
            </c:numRef>
          </c:val>
        </c:ser>
        <c:ser>
          <c:idx val="2"/>
          <c:order val="2"/>
          <c:tx>
            <c:v>OTD target</c:v>
          </c:tx>
          <c:spPr>
            <a:ln w="19050">
              <a:solidFill>
                <a:srgbClr val="4A5361"/>
              </a:solidFill>
              <a:prstDash val="dash"/>
            </a:ln>
          </c:spPr>
          <c:marker>
            <c:symbol val="none"/>
          </c:marker>
          <c:cat>
            <c:numRef>
              <c:f>Dashboard!$B$43:$B$55</c:f>
              <c:numCache>
                <c:formatCode>General</c:formatCode>
                <c:ptCount val="13"/>
                <c:pt idx="0">
                  <c:v>46209</c:v>
                </c:pt>
                <c:pt idx="1">
                  <c:v>46216</c:v>
                </c:pt>
                <c:pt idx="2">
                  <c:v>46223</c:v>
                </c:pt>
                <c:pt idx="3">
                  <c:v>46230</c:v>
                </c:pt>
                <c:pt idx="4">
                  <c:v>46237</c:v>
                </c:pt>
                <c:pt idx="5">
                  <c:v>46244</c:v>
                </c:pt>
                <c:pt idx="6">
                  <c:v>46251</c:v>
                </c:pt>
                <c:pt idx="7">
                  <c:v>46258</c:v>
                </c:pt>
                <c:pt idx="8">
                  <c:v>46265</c:v>
                </c:pt>
                <c:pt idx="9">
                  <c:v>46272</c:v>
                </c:pt>
                <c:pt idx="10">
                  <c:v>46279</c:v>
                </c:pt>
                <c:pt idx="11">
                  <c:v>46286</c:v>
                </c:pt>
                <c:pt idx="12">
                  <c:v>46293</c:v>
                </c:pt>
              </c:numCache>
            </c:numRef>
          </c:cat>
          <c:val>
            <c:numRef>
              <c:f>Dashboard!$L$43:$L$55</c:f>
              <c:numCache>
                <c:formatCode>General</c:formatCode>
                <c:ptCount val="13"/>
                <c:pt idx="0">
                  <c:v>0.95</c:v>
                </c:pt>
                <c:pt idx="1">
                  <c:v>0.95</c:v>
                </c:pt>
                <c:pt idx="2">
                  <c:v>0.95</c:v>
                </c:pt>
                <c:pt idx="3">
                  <c:v>0.95</c:v>
                </c:pt>
                <c:pt idx="4">
                  <c:v>0.95</c:v>
                </c:pt>
                <c:pt idx="5">
                  <c:v>0.95</c:v>
                </c:pt>
                <c:pt idx="6">
                  <c:v>0.95</c:v>
                </c:pt>
                <c:pt idx="7">
                  <c:v>0.95</c:v>
                </c:pt>
                <c:pt idx="8">
                  <c:v>0.95</c:v>
                </c:pt>
                <c:pt idx="9">
                  <c:v>0.95</c:v>
                </c:pt>
                <c:pt idx="10">
                  <c:v>0.95</c:v>
                </c:pt>
                <c:pt idx="11">
                  <c:v>0.95</c:v>
                </c:pt>
                <c:pt idx="12">
                  <c:v>0.95</c:v>
                </c:pt>
              </c:numCache>
            </c:numRef>
          </c:val>
        </c:ser>
        <c:marker val="1"/>
        <c:axId val="50020001"/>
        <c:axId val="50020002"/>
      </c:lineChart>
      <c:catAx>
        <c:axId val="5002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7"/>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the weekly factory performance score (weighted attainment of delivery, quality and productivity targets) with the scor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Line chart of weekly on-time delivery and first-pass yield, with the on-time deliver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Kpi" displayName="tblKpi" ref="B6:W19" totalsRowShown="0">
  <autoFilter ref="B6:W19"/>
  <tableColumns count="22">
    <tableColumn id="1" name="Week starting"/>
    <tableColumn id="2" name="Orders shipped"/>
    <tableColumn id="3" name="Orders on time"/>
    <tableColumn id="4" name="Units planned"/>
    <tableColumn id="5" name="Units made"/>
    <tableColumn id="6" name="Good first time"/>
    <tableColumn id="7" name="Labour (h)"/>
    <tableColumn id="8" name="Planned equipment (h)"/>
    <tableColumn id="9" name="Unplanned downtime (h)"/>
    <tableColumn id="10" name="Scrap cost"/>
    <tableColumn id="11" name="Complaints"/>
    <tableColumn id="12" name="Recordable incidents"/>
    <tableColumn id="13" name="OTD">
      <calculatedColumnFormula>IF(tblKpi[[#This Row],[Week starting]]="","",IF(tblKpi[[#This Row],[Orders shipped]]&gt;0,tblKpi[[#This Row],[Orders on time]]/tblKpi[[#This Row],[Orders shipped]],""))</calculatedColumnFormula>
    </tableColumn>
    <tableColumn id="14" name="Attainment">
      <calculatedColumnFormula>IF(tblKpi[[#This Row],[Week starting]]="","",IF(tblKpi[[#This Row],[Units planned]]&gt;0,tblKpi[[#This Row],[Good first time]]/tblKpi[[#This Row],[Units planned]],""))</calculatedColumnFormula>
    </tableColumn>
    <tableColumn id="15" name="First-pass yield">
      <calculatedColumnFormula>IF(tblKpi[[#This Row],[Week starting]]="","",IF(tblKpi[[#This Row],[Units made]]&gt;0,tblKpi[[#This Row],[Good first time]]/tblKpi[[#This Row],[Units made]],""))</calculatedColumnFormula>
    </tableColumn>
    <tableColumn id="16" name="Units per labour h">
      <calculatedColumnFormula>IF(tblKpi[[#This Row],[Week starting]]="","",IF(tblKpi[[#This Row],[Labour (h)]]&gt;0,tblKpi[[#This Row],[Good first time]]/tblKpi[[#This Row],[Labour (h)]],""))</calculatedColumnFormula>
    </tableColumn>
    <tableColumn id="17" name="Availability">
      <calculatedColumnFormula>IF(tblKpi[[#This Row],[Week starting]]="","",IF(tblKpi[[#This Row],[Planned equipment (h)]]&gt;0,(tblKpi[[#This Row],[Planned equipment (h)]]-tblKpi[[#This Row],[Unplanned downtime (h)]])/tblKpi[[#This Row],[Planned equipment (h)]],""))</calculatedColumnFormula>
    </tableColumn>
    <tableColumn id="18" name="Score">
      <calculatedColumnFormula>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calculatedColumnFormula>
    </tableColumn>
    <tableColumn id="19" name="Score status">
      <calculatedColumnFormula>IF(NOT(ISNUMBER(tblKpi[[#This Row],[Score]])),"",IF(tblKpi[[#This Row],[Score]]&gt;=TargetScore,"On target",IF(tblKpi[[#This Row],[Score]]&gt;=TargetScore*(1-0.05),"Near target","Below target")))</calculatedColumnFormula>
    </tableColumn>
    <tableColumn id="20" name="View date">
      <calculatedColumnFormula>IF(tblKpi[[#This Row],[Week starting]]="","",IF(AND(tblKpi[[#This Row],[Week starting]]&gt;=FFrom,tblKpi[[#This Row],[Week starting]]&lt;=FTo),tblKpi[[#This Row],[Week starting]],""))</calculatedColumnFormula>
    </tableColumn>
    <tableColumn id="21" name="Check">
      <calculatedColumnFormula>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calculatedColumnFormula>
    </tableColumn>
    <tableColumn id="22" name="Notes"/>
  </tableColumns>
  <tableStyleInfo name="TableStyleLight1" showFirstColumn="0" showLastColumn="0" showRowStripes="0" showColumnStripes="0"/>
</table>
</file>

<file path=xl/tables/table2.xml><?xml version="1.0" encoding="utf-8"?>
<table xmlns="http://schemas.openxmlformats.org/spreadsheetml/2006/main" id="2" name="tblVerifyKpi" displayName="tblVerifyKpi" ref="B44:W47" totalsRowShown="0">
  <tableColumns count="22">
    <tableColumn id="1" name="Week starting"/>
    <tableColumn id="2" name="Orders shipped"/>
    <tableColumn id="3" name="Orders on time"/>
    <tableColumn id="4" name="Units planned"/>
    <tableColumn id="5" name="Units made"/>
    <tableColumn id="6" name="Good first time"/>
    <tableColumn id="7" name="Labour (h)"/>
    <tableColumn id="8" name="Planned equipment (h)"/>
    <tableColumn id="9" name="Unplanned downtime (h)"/>
    <tableColumn id="10" name="Scrap cost"/>
    <tableColumn id="11" name="Complaints"/>
    <tableColumn id="12" name="Recordable incidents"/>
    <tableColumn id="13" name="OTD">
      <calculatedColumnFormula>IF(tblVerifyKpi[[#This Row],[Week starting]]="","",IF(tblVerifyKpi[[#This Row],[Orders shipped]]&gt;0,tblVerifyKpi[[#This Row],[Orders on time]]/tblVerifyKpi[[#This Row],[Orders shipped]],""))</calculatedColumnFormula>
    </tableColumn>
    <tableColumn id="14" name="Attainment">
      <calculatedColumnFormula>IF(tblVerifyKpi[[#This Row],[Week starting]]="","",IF(tblVerifyKpi[[#This Row],[Units planned]]&gt;0,tblVerifyKpi[[#This Row],[Good first time]]/tblVerifyKpi[[#This Row],[Units planned]],""))</calculatedColumnFormula>
    </tableColumn>
    <tableColumn id="15" name="First-pass yield">
      <calculatedColumnFormula>IF(tblVerifyKpi[[#This Row],[Week starting]]="","",IF(tblVerifyKpi[[#This Row],[Units made]]&gt;0,tblVerifyKpi[[#This Row],[Good first time]]/tblVerifyKpi[[#This Row],[Units made]],""))</calculatedColumnFormula>
    </tableColumn>
    <tableColumn id="16" name="Units per labour h">
      <calculatedColumnFormula>IF(tblVerifyKpi[[#This Row],[Week starting]]="","",IF(tblVerifyKpi[[#This Row],[Labour (h)]]&gt;0,tblVerifyKpi[[#This Row],[Good first time]]/tblVerifyKpi[[#This Row],[Labour (h)]],""))</calculatedColumnFormula>
    </tableColumn>
    <tableColumn id="17" name="Availability">
      <calculatedColumnFormula>IF(tblVerifyKpi[[#This Row],[Week starting]]="","",IF(tblVerifyKpi[[#This Row],[Planned equipment (h)]]&gt;0,(tblVerifyKpi[[#This Row],[Planned equipment (h)]]-tblVerifyKpi[[#This Row],[Unplanned downtime (h)]])/tblVerifyKpi[[#This Row],[Planned equipment (h)]],""))</calculatedColumnFormula>
    </tableColumn>
    <tableColumn id="18" name="Score">
      <calculatedColumnFormula>IF(tblVerifyKpi[[#This Row],[Week starting]]="","",IF(OR(N(tblVerifyKpi[[#This Row],[OTD]])=0,N(tblVerifyKpi[[#This Row],[First-pass yield]])=0,N(tblVerifyKpi[[#This Row],[Units per labour h]])=0),"",(tblVerifyKpi[[#This Row],[OTD]]/$E$32*$E$38+tblVerifyKpi[[#This Row],[First-pass yield]]/$E$33*$E$39+tblVerifyKpi[[#This Row],[Units per labour h]]/$E$35*$E$40)/($E$38+$E$39+$E$40)))</calculatedColumnFormula>
    </tableColumn>
    <tableColumn id="19" name="Score status">
      <calculatedColumnFormula>IF(NOT(ISNUMBER(tblVerifyKpi[[#This Row],[Score]])),"",IF(tblVerifyKpi[[#This Row],[Score]]&gt;=$E$37,"On target",IF(tblVerifyKpi[[#This Row],[Score]]&gt;=$E$37*(1-0.05),"Near target","Below target")))</calculatedColumnFormula>
    </tableColumn>
    <tableColumn id="20" name="View date">
      <calculatedColumnFormula>IF(tblVerifyKpi[[#This Row],[Week starting]]="","",IF(AND(tblVerifyKpi[[#This Row],[Week starting]]&gt;=$E$30,tblVerifyKpi[[#This Row],[Week starting]]&lt;=$E$31),tblVerifyKpi[[#This Row],[Week starting]],""))</calculatedColumnFormula>
    </tableColumn>
    <tableColumn id="21" name="Check">
      <calculatedColumnFormula>IF(tblVerifyKpi[[#This Row],[Week starting]]="","",IF(tblVerifyKpi[[#This Row],[Orders shipped]]="","Missing orders shipped",IF(tblVerifyKpi[[#This Row],[Units planned]]="","Missing units planned",IF(tblVerifyKpi[[#This Row],[Units made]]="","Missing units made",IF(tblVerifyKpi[[#This Row],[Good first time]]="","Missing good first time",IF(tblVerifyKpi[[#This Row],[Labour (h)]]="","Missing labour",IF(tblVerifyKpi[[#This Row],[Planned equipment (h)]]="","Missing planned equipment",IF(tblVerifyKpi[[#This Row],[Orders on time]]&gt;tblVerifyKpi[[#This Row],[Orders shipped]],"On time &gt; shipped",IF(tblVerifyKpi[[#This Row],[Good first time]]&gt;tblVerifyKpi[[#This Row],[Units made]],"Good &gt; made",IF(tblVerifyKpi[[#This Row],[Unplanned downtime (h)]]&gt;tblVerifyKpi[[#This Row],[Planned equipment (h)]],"Downtime &gt; planned hours",IF(COUNTIF(tblVerifyKpi[Week starting],tblVerifyKpi[[#This Row],[Week starting]])&gt;1,"Duplicate week","OK")))))))))))</calculatedColumnFormula>
    </tableColumn>
    <tableColumn id="22"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kpi-dashboard" TargetMode="External"/><Relationship Id="rId2" Type="http://schemas.openxmlformats.org/officeDocument/2006/relationships/hyperlink" Target="https://www.mfgcalcs.com/calculators/oee-factory-performance-smart-manufacturing/factory-performance-score?utm_source=mfgcalcs-template&amp;utm_medium=xlsx&amp;utm_campaign=production-kpi-dashboard" TargetMode="External"/><Relationship Id="rId3" Type="http://schemas.openxmlformats.org/officeDocument/2006/relationships/hyperlink" Target="https://www.mfgcalcs.com/templates/production-kpi-dashboard?utm_source=mfgcalcs-template&amp;utm_medium=xlsx&amp;utm_campaign=production-kpi-dashboard" TargetMode="External"/><Relationship Id="rId4" Type="http://schemas.openxmlformats.org/officeDocument/2006/relationships/hyperlink" Target="https://www.mfgcalcs.com/templates?utm_source=mfgcalcs-template&amp;utm_medium=xlsx&amp;utm_campaign=production-kpi-dashboard"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kpi-dashboard"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kpi-dashboard"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kpi-dashboard"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kpi-dashboard" TargetMode="External"/><Relationship Id="rId2" Type="http://schemas.openxmlformats.org/officeDocument/2006/relationships/hyperlink" Target="https://www.mfgcalcs.com/calculators/oee-factory-performance-smart-manufacturing/factory-performance-score?utm_source=mfgcalcs-template&amp;utm_medium=xlsx&amp;utm_campaign=production-kpi-dashboard"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kpi-dashboard"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14 of 14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KPI Log'!A1" tooltip="Go to KPI Log" display="KPI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Manufacturing KPI Dashboard&amp;R&amp;8&amp;A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5"/>
  <sheetViews>
    <sheetView showGridLines="0" workbookViewId="0"/>
  </sheetViews>
  <sheetFormatPr defaultRowHeight="15"/>
  <cols>
    <col min="1" max="1" width="2.7109375" customWidth="1"/>
    <col min="2" max="2" width="36.7109375" customWidth="1"/>
    <col min="3" max="3" width="16.7109375" customWidth="1"/>
    <col min="4" max="4" width="4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60</v>
      </c>
      <c r="C4" s="8"/>
      <c r="D4" s="8"/>
    </row>
    <row r="5" spans="1:5" ht="5" customHeight="1"/>
    <row r="6" spans="1:5">
      <c r="B6" s="27" t="s">
        <v>61</v>
      </c>
      <c r="C6" s="28" t="s">
        <v>62</v>
      </c>
      <c r="D6" s="28"/>
    </row>
    <row r="7" spans="1:5">
      <c r="B7" s="27" t="s">
        <v>63</v>
      </c>
      <c r="C7" s="28" t="s">
        <v>64</v>
      </c>
      <c r="D7" s="28"/>
    </row>
    <row r="9" spans="1:5" ht="21" customHeight="1">
      <c r="B9" s="8" t="s">
        <v>65</v>
      </c>
      <c r="C9" s="8"/>
      <c r="D9" s="8"/>
    </row>
    <row r="10" spans="1:5" ht="5" customHeight="1"/>
    <row r="11" spans="1:5">
      <c r="B11" s="27" t="s">
        <v>66</v>
      </c>
      <c r="C11" s="29">
        <v>0.95</v>
      </c>
      <c r="D11" s="7"/>
    </row>
    <row r="12" spans="1:5">
      <c r="B12" s="27" t="s">
        <v>67</v>
      </c>
      <c r="C12" s="29">
        <v>0.96</v>
      </c>
      <c r="D12" s="7"/>
    </row>
    <row r="13" spans="1:5">
      <c r="B13" s="27" t="s">
        <v>68</v>
      </c>
      <c r="C13" s="29">
        <v>0.95</v>
      </c>
      <c r="D13" s="7"/>
    </row>
    <row r="14" spans="1:5">
      <c r="B14" s="27" t="s">
        <v>69</v>
      </c>
      <c r="C14" s="30">
        <v>2.2</v>
      </c>
      <c r="D14" s="7" t="s">
        <v>70</v>
      </c>
    </row>
    <row r="15" spans="1:5">
      <c r="B15" s="27" t="s">
        <v>71</v>
      </c>
      <c r="C15" s="29">
        <v>0.9</v>
      </c>
      <c r="D15" s="7"/>
    </row>
    <row r="16" spans="1:5">
      <c r="B16" s="27" t="s">
        <v>72</v>
      </c>
      <c r="C16" s="30">
        <v>2500</v>
      </c>
      <c r="D16" s="7" t="str">
        <f>Currency&amp;"/week"</f>
        <v>USD/week</v>
      </c>
    </row>
    <row r="17" spans="2:4">
      <c r="B17" s="27" t="s">
        <v>73</v>
      </c>
      <c r="C17" s="29">
        <v>1</v>
      </c>
      <c r="D17" s="7"/>
    </row>
    <row r="19" spans="2:4" ht="21" customHeight="1">
      <c r="B19" s="8" t="s">
        <v>74</v>
      </c>
      <c r="C19" s="8"/>
      <c r="D19" s="8"/>
    </row>
    <row r="20" spans="2:4" ht="5" customHeight="1"/>
    <row r="21" spans="2:4">
      <c r="B21" s="27" t="s">
        <v>75</v>
      </c>
      <c r="C21" s="31">
        <v>40</v>
      </c>
      <c r="D21" s="7" t="s">
        <v>76</v>
      </c>
    </row>
    <row r="22" spans="2:4">
      <c r="B22" s="27" t="s">
        <v>77</v>
      </c>
      <c r="C22" s="31">
        <v>30</v>
      </c>
      <c r="D22" s="7" t="s">
        <v>76</v>
      </c>
    </row>
    <row r="23" spans="2:4">
      <c r="B23" s="27" t="s">
        <v>78</v>
      </c>
      <c r="C23" s="31">
        <v>30</v>
      </c>
      <c r="D23" s="7" t="s">
        <v>76</v>
      </c>
    </row>
    <row r="25" spans="2:4" ht="35.4" customHeight="1">
      <c r="B25" s="25" t="s">
        <v>79</v>
      </c>
      <c r="C25" s="25"/>
      <c r="D25" s="25"/>
    </row>
  </sheetData>
  <mergeCells count="9">
    <mergeCell ref="A1:E1"/>
    <mergeCell ref="B2:C2"/>
    <mergeCell ref="D2:E2"/>
    <mergeCell ref="B4:D4"/>
    <mergeCell ref="C6:D6"/>
    <mergeCell ref="C7:D7"/>
    <mergeCell ref="B9:D9"/>
    <mergeCell ref="B19:D19"/>
    <mergeCell ref="B25:D25"/>
  </mergeCells>
  <dataValidations count="12">
    <dataValidation type="textLength" allowBlank="1" showInputMessage="1" showErrorMessage="1" errorTitle="Check this entry" error="Text up to 80 characters." promptTitle="Plant nam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percentage from 0% to 100% (type 85% or 0.85)." promptTitle="On-time delivery target" prompt="Orders shipped on or before the promised date / orders shipped. Enter a percentage from 0% to 100% (type 85% or 0.85)." sqref="C11">
      <formula1>0</formula1>
      <formula2>1</formula2>
    </dataValidation>
    <dataValidation type="decimal" allowBlank="1" showInputMessage="1" showErrorMessage="1" errorTitle="Check this entry" error="Enter a percentage from 0% to 100% (type 85% or 0.85)." promptTitle="First-pass yield target" prompt="Units good first time / units made. Enter a percentage from 0% to 100% (type 85% or 0.85)." sqref="C12">
      <formula1>0</formula1>
      <formula2>1</formula2>
    </dataValidation>
    <dataValidation type="decimal" allowBlank="1" showInputMessage="1" showErrorMessage="1" errorTitle="Check this entry" error="Enter a percentage from 0% to 200% (type 85% or 0.85)." promptTitle="Schedule attainment target" prompt="Good units / planned units. Enter a percentage from 0% to 200% (type 85% or 0.85)." sqref="C13">
      <formula1>0</formula1>
      <formula2>2</formula2>
    </dataValidation>
    <dataValidation type="decimal" allowBlank="1" showInputMessage="1" showErrorMessage="1" errorTitle="Check this entry" error="Enter a number from 0.0001 to 10,000,000." promptTitle="Units per labour hour target" prompt="Good units / direct labour hours. Set it from your own standard. Enter a number from 0.0001 to 10,000,000." sqref="C14">
      <formula1>0.0001</formula1>
      <formula2>10000000.0</formula2>
    </dataValidation>
    <dataValidation type="decimal" allowBlank="1" showInputMessage="1" showErrorMessage="1" errorTitle="Check this entry" error="Enter a percentage from 0% to 100% (type 85% or 0.85)." promptTitle="Equipment availability target" prompt="(Planned equipment hours - unplanned downtime) / planned equipment hours. Enter a percentage from 0% to 100% (type 85% or 0.85)." sqref="C15">
      <formula1>0</formula1>
      <formula2>1</formula2>
    </dataValidation>
    <dataValidation type="decimal" allowBlank="1" showInputMessage="1" showErrorMessage="1" errorTitle="Check this entry" error="Enter a number of at least 0." promptTitle="Scrap cost limit per week" prompt="Weekly scrap cost you do not want to exceed. The Dashboard limit is this x the weeks in view. Enter a number of at least 0." sqref="C16">
      <formula1>0</formula1>
      <formula2>1000000000.0</formula2>
    </dataValidation>
    <dataValidation type="decimal" allowBlank="1" showInputMessage="1" showErrorMessage="1" errorTitle="Check this entry" error="Enter a percentage from 0% to 200% (type 85% or 0.85)." promptTitle="Factory performance score target" prompt="100% = delivery, quality and productivity exactly on their targets. Enter a percentage from 0% to 200% (type 85% or 0.85)." sqref="C17">
      <formula1>0</formula1>
      <formula2>2</formula2>
    </dataValidation>
    <dataValidation type="decimal" allowBlank="1" showInputMessage="1" showErrorMessage="1" errorTitle="Check this entry" error="Enter a number from 0 to 100." promptTitle="Delivery weight (on-time deli..." prompt="Enter a number from 0 to 100." sqref="C21">
      <formula1>0</formula1>
      <formula2>100</formula2>
    </dataValidation>
    <dataValidation type="decimal" allowBlank="1" showInputMessage="1" showErrorMessage="1" errorTitle="Check this entry" error="Enter a number from 0 to 100." promptTitle="Quality weight (first-pass yi..." prompt="Enter a number from 0 to 100." sqref="C22">
      <formula1>0</formula1>
      <formula2>100</formula2>
    </dataValidation>
    <dataValidation type="decimal" allowBlank="1" showInputMessage="1" showErrorMessage="1" errorTitle="Check this entry" error="Enter a number from 0 to 100." promptTitle="Productivity weight (units pe..." prompt="Enter a number from 0 to 100." sqref="C23">
      <formula1>0</formula1>
      <formula2>100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Manufacturing KPI Dashboard&amp;R&amp;8&amp;A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W19"/>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12.28515625" customWidth="1"/>
    <col min="3" max="8" width="9.28515625" customWidth="1"/>
    <col min="9" max="9" width="10.7109375" customWidth="1"/>
    <col min="10" max="10" width="11.28515625" customWidth="1"/>
    <col min="11" max="11" width="9.7109375" customWidth="1"/>
    <col min="12" max="12" width="9.28515625" customWidth="1"/>
    <col min="13" max="13" width="10.28515625" customWidth="1"/>
    <col min="14" max="14" width="8.28515625" customWidth="1"/>
    <col min="15" max="15" width="10.28515625" customWidth="1"/>
    <col min="16" max="16" width="9.7109375" customWidth="1"/>
    <col min="17" max="17" width="10.28515625" customWidth="1"/>
    <col min="18" max="18" width="10.7109375" customWidth="1"/>
    <col min="19" max="19" width="8.7109375" customWidth="1"/>
    <col min="20" max="21" width="12.28515625" customWidth="1"/>
    <col min="22" max="22" width="22.7109375" customWidth="1"/>
    <col min="23" max="23" width="34.7109375" customWidth="1"/>
  </cols>
  <sheetData>
    <row r="1" spans="1:23" ht="30" customHeight="1" x14ac:dyDescent="0.25">
      <c r="A1" s="1" t="s">
        <v>0</v>
      </c>
      <c r="B1" s="1"/>
      <c r="C1" s="1"/>
      <c r="D1" s="1"/>
      <c r="E1" s="1"/>
      <c r="F1" s="1"/>
      <c r="G1" s="1"/>
      <c r="H1" s="1"/>
      <c r="I1" s="1"/>
      <c r="J1" s="1"/>
      <c r="K1" s="1"/>
      <c r="L1" s="1"/>
      <c r="M1" s="1"/>
      <c r="N1" s="1"/>
      <c r="O1" s="1"/>
      <c r="P1" s="1"/>
      <c r="Q1" s="1"/>
      <c r="R1" s="1"/>
      <c r="S1" s="1"/>
      <c r="T1" s="1"/>
      <c r="U1" s="1"/>
      <c r="V1" s="1"/>
      <c r="W1" s="1"/>
    </row>
    <row r="2" spans="1:23" ht="21" customHeight="1" x14ac:dyDescent="0.25">
      <c r="B2" s="2" t="s">
        <v>20</v>
      </c>
      <c r="C2" s="2"/>
      <c r="D2" s="2"/>
      <c r="E2" s="2"/>
      <c r="F2" s="2"/>
      <c r="G2" s="2"/>
      <c r="H2" s="2"/>
      <c r="I2" s="2"/>
      <c r="J2" s="2"/>
      <c r="K2" s="2"/>
      <c r="L2" s="2"/>
      <c r="M2" s="2"/>
      <c r="N2" s="2"/>
      <c r="O2" s="2"/>
      <c r="P2" s="2"/>
      <c r="Q2" s="2"/>
      <c r="R2" s="2"/>
      <c r="S2" s="2"/>
      <c r="T2" s="2"/>
      <c r="U2" s="2"/>
      <c r="V2" s="2"/>
      <c r="W2" s="3" t="s">
        <v>2</v>
      </c>
    </row>
    <row r="3" spans="1:23" ht="6" customHeight="1" x14ac:dyDescent="0.25"/>
    <row r="4" spans="1:23" ht="18" customHeight="1" x14ac:dyDescent="0.25">
      <c r="B4" s="32" t="s">
        <v>102</v>
      </c>
      <c r="C4" s="32"/>
      <c r="D4" s="32"/>
      <c r="E4" s="32"/>
      <c r="F4" s="32"/>
      <c r="G4" s="32"/>
      <c r="H4" s="32"/>
      <c r="I4" s="32"/>
      <c r="J4" s="32"/>
      <c r="K4" s="32"/>
      <c r="L4" s="32"/>
      <c r="M4" s="32"/>
      <c r="N4" s="32"/>
      <c r="O4" s="32"/>
      <c r="P4" s="32"/>
      <c r="Q4" s="32"/>
      <c r="R4" s="32"/>
      <c r="S4" s="32"/>
      <c r="T4" s="32"/>
      <c r="U4" s="32"/>
      <c r="V4" s="32"/>
      <c r="W4" s="32"/>
    </row>
    <row r="5" spans="1:23" ht="14" customHeight="1" x14ac:dyDescent="0.25">
      <c r="B5" s="33"/>
      <c r="C5" s="33"/>
      <c r="D5" s="33"/>
      <c r="E5" s="33"/>
      <c r="F5" s="33"/>
      <c r="G5" s="33"/>
      <c r="H5" s="33"/>
      <c r="I5" s="33"/>
      <c r="J5" s="33"/>
      <c r="K5" s="33" t="str">
        <f>Currency</f>
        <v>USD</v>
      </c>
      <c r="L5" s="33"/>
      <c r="M5" s="33"/>
      <c r="N5" s="33"/>
      <c r="O5" s="33"/>
      <c r="P5" s="33"/>
      <c r="Q5" s="33"/>
      <c r="R5" s="33"/>
      <c r="S5" s="33"/>
      <c r="T5" s="33"/>
      <c r="U5" s="33"/>
      <c r="V5" s="33"/>
      <c r="W5" s="33"/>
    </row>
    <row r="6" spans="1:23" ht="32" customHeight="1" x14ac:dyDescent="0.25">
      <c r="B6" s="34" t="s">
        <v>80</v>
      </c>
      <c r="C6" s="34" t="s">
        <v>81</v>
      </c>
      <c r="D6" s="34" t="s">
        <v>82</v>
      </c>
      <c r="E6" s="34" t="s">
        <v>83</v>
      </c>
      <c r="F6" s="34" t="s">
        <v>84</v>
      </c>
      <c r="G6" s="34" t="s">
        <v>85</v>
      </c>
      <c r="H6" s="34" t="s">
        <v>86</v>
      </c>
      <c r="I6" s="34" t="s">
        <v>87</v>
      </c>
      <c r="J6" s="34" t="s">
        <v>88</v>
      </c>
      <c r="K6" s="34" t="s">
        <v>89</v>
      </c>
      <c r="L6" s="34" t="s">
        <v>90</v>
      </c>
      <c r="M6" s="34" t="s">
        <v>91</v>
      </c>
      <c r="N6" s="34" t="s">
        <v>92</v>
      </c>
      <c r="O6" s="34" t="s">
        <v>93</v>
      </c>
      <c r="P6" s="34" t="s">
        <v>94</v>
      </c>
      <c r="Q6" s="34" t="s">
        <v>95</v>
      </c>
      <c r="R6" s="34" t="s">
        <v>96</v>
      </c>
      <c r="S6" s="34" t="s">
        <v>97</v>
      </c>
      <c r="T6" s="34" t="s">
        <v>98</v>
      </c>
      <c r="U6" s="34" t="s">
        <v>99</v>
      </c>
      <c r="V6" s="34" t="s">
        <v>100</v>
      </c>
      <c r="W6" s="34" t="s">
        <v>101</v>
      </c>
    </row>
    <row r="7" spans="1:23" x14ac:dyDescent="0.25">
      <c r="B7" s="35">
        <v>46209</v>
      </c>
      <c r="C7" s="31">
        <v>118</v>
      </c>
      <c r="D7" s="31">
        <v>114</v>
      </c>
      <c r="E7" s="31">
        <v>4400</v>
      </c>
      <c r="F7" s="31">
        <v>4418</v>
      </c>
      <c r="G7" s="31">
        <v>4133</v>
      </c>
      <c r="H7" s="36">
        <v>1896</v>
      </c>
      <c r="I7" s="36">
        <v>400</v>
      </c>
      <c r="J7" s="36">
        <v>19.2</v>
      </c>
      <c r="K7" s="30">
        <v>5190</v>
      </c>
      <c r="L7" s="31">
        <v>0</v>
      </c>
      <c r="M7" s="31">
        <v>0</v>
      </c>
      <c r="N7" s="37">
        <f>IF(tblKpi[[#This Row],[Week starting]]="","",IF(tblKpi[[#This Row],[Orders shipped]]&gt;0,tblKpi[[#This Row],[Orders on time]]/tblKpi[[#This Row],[Orders shipped]],""))</f>
        <v>0.966101694915254</v>
      </c>
      <c r="O7" s="37">
        <f>IF(tblKpi[[#This Row],[Week starting]]="","",IF(tblKpi[[#This Row],[Units planned]]&gt;0,tblKpi[[#This Row],[Good first time]]/tblKpi[[#This Row],[Units planned]],""))</f>
        <v>0.939318181818182</v>
      </c>
      <c r="P7" s="37">
        <f>IF(tblKpi[[#This Row],[Week starting]]="","",IF(tblKpi[[#This Row],[Units made]]&gt;0,tblKpi[[#This Row],[Good first time]]/tblKpi[[#This Row],[Units made]],""))</f>
        <v>0.935491172476234</v>
      </c>
      <c r="Q7" s="38">
        <f>IF(tblKpi[[#This Row],[Week starting]]="","",IF(tblKpi[[#This Row],[Labour (h)]]&gt;0,tblKpi[[#This Row],[Good first time]]/tblKpi[[#This Row],[Labour (h)]],""))</f>
        <v>2.17985232067511</v>
      </c>
      <c r="R7" s="37">
        <f>IF(tblKpi[[#This Row],[Week starting]]="","",IF(tblKpi[[#This Row],[Planned equipment (h)]]&gt;0,(tblKpi[[#This Row],[Planned equipment (h)]]-tblKpi[[#This Row],[Unplanned downtime (h)]])/tblKpi[[#This Row],[Planned equipment (h)]],""))</f>
        <v>0.952</v>
      </c>
      <c r="S7"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0.996373241598741</v>
      </c>
      <c r="T7" s="39" t="str">
        <f>IF(NOT(ISNUMBER(tblKpi[[#This Row],[Score]])),"",IF(tblKpi[[#This Row],[Score]]&gt;=TargetScore,"On target",IF(tblKpi[[#This Row],[Score]]&gt;=TargetScore*(1-0.05),"Near target","Below target")))</f>
        <v>Near target</v>
      </c>
      <c r="U7" s="40">
        <f>IF(tblKpi[[#This Row],[Week starting]]="","",IF(AND(tblKpi[[#This Row],[Week starting]]&gt;=FFrom,tblKpi[[#This Row],[Week starting]]&lt;=FTo),tblKpi[[#This Row],[Week starting]],""))</f>
        <v>46209</v>
      </c>
      <c r="V7"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7" s="42" t="s">
        <v>103</v>
      </c>
    </row>
    <row r="8" spans="1:23" x14ac:dyDescent="0.25">
      <c r="B8" s="35">
        <v>46216</v>
      </c>
      <c r="C8" s="31">
        <v>142</v>
      </c>
      <c r="D8" s="31">
        <v>137</v>
      </c>
      <c r="E8" s="31">
        <v>4400</v>
      </c>
      <c r="F8" s="31">
        <v>4448</v>
      </c>
      <c r="G8" s="31">
        <v>4179</v>
      </c>
      <c r="H8" s="36">
        <v>1944</v>
      </c>
      <c r="I8" s="36">
        <v>400</v>
      </c>
      <c r="J8" s="36">
        <v>38.8</v>
      </c>
      <c r="K8" s="30">
        <v>5140</v>
      </c>
      <c r="L8" s="31">
        <v>0</v>
      </c>
      <c r="M8" s="31">
        <v>0</v>
      </c>
      <c r="N8" s="37">
        <f>IF(tblKpi[[#This Row],[Week starting]]="","",IF(tblKpi[[#This Row],[Orders shipped]]&gt;0,tblKpi[[#This Row],[Orders on time]]/tblKpi[[#This Row],[Orders shipped]],""))</f>
        <v>0.964788732394366</v>
      </c>
      <c r="O8" s="37">
        <f>IF(tblKpi[[#This Row],[Week starting]]="","",IF(tblKpi[[#This Row],[Units planned]]&gt;0,tblKpi[[#This Row],[Good first time]]/tblKpi[[#This Row],[Units planned]],""))</f>
        <v>0.949772727272727</v>
      </c>
      <c r="P8" s="37">
        <f>IF(tblKpi[[#This Row],[Week starting]]="","",IF(tblKpi[[#This Row],[Units made]]&gt;0,tblKpi[[#This Row],[Good first time]]/tblKpi[[#This Row],[Units made]],""))</f>
        <v>0.939523381294964</v>
      </c>
      <c r="Q8" s="38">
        <f>IF(tblKpi[[#This Row],[Week starting]]="","",IF(tblKpi[[#This Row],[Labour (h)]]&gt;0,tblKpi[[#This Row],[Good first time]]/tblKpi[[#This Row],[Labour (h)]],""))</f>
        <v>2.14969135802469</v>
      </c>
      <c r="R8" s="37">
        <f>IF(tblKpi[[#This Row],[Week starting]]="","",IF(tblKpi[[#This Row],[Planned equipment (h)]]&gt;0,(tblKpi[[#This Row],[Planned equipment (h)]]-tblKpi[[#This Row],[Unplanned downtime (h)]])/tblKpi[[#This Row],[Planned equipment (h)]],""))</f>
        <v>0.903</v>
      </c>
      <c r="S8"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0.992967621986772</v>
      </c>
      <c r="T8" s="39" t="str">
        <f>IF(NOT(ISNUMBER(tblKpi[[#This Row],[Score]])),"",IF(tblKpi[[#This Row],[Score]]&gt;=TargetScore,"On target",IF(tblKpi[[#This Row],[Score]]&gt;=TargetScore*(1-0.05),"Near target","Below target")))</f>
        <v>Near target</v>
      </c>
      <c r="U8" s="40">
        <f>IF(tblKpi[[#This Row],[Week starting]]="","",IF(AND(tblKpi[[#This Row],[Week starting]]&gt;=FFrom,tblKpi[[#This Row],[Week starting]]&lt;=FTo),tblKpi[[#This Row],[Week starting]],""))</f>
        <v>46216</v>
      </c>
      <c r="V8"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8" s="42" t="s">
        <v>103</v>
      </c>
    </row>
    <row r="9" spans="1:23" x14ac:dyDescent="0.25">
      <c r="B9" s="35">
        <v>46223</v>
      </c>
      <c r="C9" s="31">
        <v>131</v>
      </c>
      <c r="D9" s="31">
        <v>127</v>
      </c>
      <c r="E9" s="31">
        <v>4800</v>
      </c>
      <c r="F9" s="31">
        <v>4718</v>
      </c>
      <c r="G9" s="31">
        <v>4486</v>
      </c>
      <c r="H9" s="36">
        <v>1952</v>
      </c>
      <c r="I9" s="36">
        <v>400</v>
      </c>
      <c r="J9" s="36">
        <v>40.3</v>
      </c>
      <c r="K9" s="30">
        <v>4560</v>
      </c>
      <c r="L9" s="31">
        <v>0</v>
      </c>
      <c r="M9" s="31">
        <v>0</v>
      </c>
      <c r="N9" s="37">
        <f>IF(tblKpi[[#This Row],[Week starting]]="","",IF(tblKpi[[#This Row],[Orders shipped]]&gt;0,tblKpi[[#This Row],[Orders on time]]/tblKpi[[#This Row],[Orders shipped]],""))</f>
        <v>0.969465648854962</v>
      </c>
      <c r="O9" s="37">
        <f>IF(tblKpi[[#This Row],[Week starting]]="","",IF(tblKpi[[#This Row],[Units planned]]&gt;0,tblKpi[[#This Row],[Good first time]]/tblKpi[[#This Row],[Units planned]],""))</f>
        <v>0.934583333333333</v>
      </c>
      <c r="P9" s="37">
        <f>IF(tblKpi[[#This Row],[Week starting]]="","",IF(tblKpi[[#This Row],[Units made]]&gt;0,tblKpi[[#This Row],[Good first time]]/tblKpi[[#This Row],[Units made]],""))</f>
        <v>0.950826621449767</v>
      </c>
      <c r="Q9" s="38">
        <f>IF(tblKpi[[#This Row],[Week starting]]="","",IF(tblKpi[[#This Row],[Labour (h)]]&gt;0,tblKpi[[#This Row],[Good first time]]/tblKpi[[#This Row],[Labour (h)]],""))</f>
        <v>2.29815573770492</v>
      </c>
      <c r="R9" s="37">
        <f>IF(tblKpi[[#This Row],[Week starting]]="","",IF(tblKpi[[#This Row],[Planned equipment (h)]]&gt;0,(tblKpi[[#This Row],[Planned equipment (h)]]-tblKpi[[#This Row],[Unplanned downtime (h)]])/tblKpi[[#This Row],[Planned equipment (h)]],""))</f>
        <v>0.89925</v>
      </c>
      <c r="S9"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1.01871425520222</v>
      </c>
      <c r="T9" s="39" t="str">
        <f>IF(NOT(ISNUMBER(tblKpi[[#This Row],[Score]])),"",IF(tblKpi[[#This Row],[Score]]&gt;=TargetScore,"On target",IF(tblKpi[[#This Row],[Score]]&gt;=TargetScore*(1-0.05),"Near target","Below target")))</f>
        <v>On target</v>
      </c>
      <c r="U9" s="40">
        <f>IF(tblKpi[[#This Row],[Week starting]]="","",IF(AND(tblKpi[[#This Row],[Week starting]]&gt;=FFrom,tblKpi[[#This Row],[Week starting]]&lt;=FTo),tblKpi[[#This Row],[Week starting]],""))</f>
        <v>46223</v>
      </c>
      <c r="V9"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9" s="42" t="s">
        <v>103</v>
      </c>
    </row>
    <row r="10" spans="1:23" x14ac:dyDescent="0.25">
      <c r="B10" s="35">
        <v>46230</v>
      </c>
      <c r="C10" s="31">
        <v>140</v>
      </c>
      <c r="D10" s="31">
        <v>136</v>
      </c>
      <c r="E10" s="31">
        <v>4600</v>
      </c>
      <c r="F10" s="31">
        <v>4626</v>
      </c>
      <c r="G10" s="31">
        <v>4378</v>
      </c>
      <c r="H10" s="36">
        <v>1936</v>
      </c>
      <c r="I10" s="36">
        <v>400</v>
      </c>
      <c r="J10" s="36">
        <v>31.5</v>
      </c>
      <c r="K10" s="30">
        <v>4900</v>
      </c>
      <c r="L10" s="31">
        <v>0</v>
      </c>
      <c r="M10" s="31">
        <v>1</v>
      </c>
      <c r="N10" s="37">
        <f>IF(tblKpi[[#This Row],[Week starting]]="","",IF(tblKpi[[#This Row],[Orders shipped]]&gt;0,tblKpi[[#This Row],[Orders on time]]/tblKpi[[#This Row],[Orders shipped]],""))</f>
        <v>0.971428571428571</v>
      </c>
      <c r="O10" s="37">
        <f>IF(tblKpi[[#This Row],[Week starting]]="","",IF(tblKpi[[#This Row],[Units planned]]&gt;0,tblKpi[[#This Row],[Good first time]]/tblKpi[[#This Row],[Units planned]],""))</f>
        <v>0.951739130434783</v>
      </c>
      <c r="P10" s="37">
        <f>IF(tblKpi[[#This Row],[Week starting]]="","",IF(tblKpi[[#This Row],[Units made]]&gt;0,tblKpi[[#This Row],[Good first time]]/tblKpi[[#This Row],[Units made]],""))</f>
        <v>0.946389969736273</v>
      </c>
      <c r="Q10" s="38">
        <f>IF(tblKpi[[#This Row],[Week starting]]="","",IF(tblKpi[[#This Row],[Labour (h)]]&gt;0,tblKpi[[#This Row],[Good first time]]/tblKpi[[#This Row],[Labour (h)]],""))</f>
        <v>2.26136363636364</v>
      </c>
      <c r="R10" s="37">
        <f>IF(tblKpi[[#This Row],[Week starting]]="","",IF(tblKpi[[#This Row],[Planned equipment (h)]]&gt;0,(tblKpi[[#This Row],[Planned equipment (h)]]-tblKpi[[#This Row],[Unplanned downtime (h)]])/tblKpi[[#This Row],[Planned equipment (h)]],""))</f>
        <v>0.92125</v>
      </c>
      <c r="S10"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1.0131371905286</v>
      </c>
      <c r="T10" s="39" t="str">
        <f>IF(NOT(ISNUMBER(tblKpi[[#This Row],[Score]])),"",IF(tblKpi[[#This Row],[Score]]&gt;=TargetScore,"On target",IF(tblKpi[[#This Row],[Score]]&gt;=TargetScore*(1-0.05),"Near target","Below target")))</f>
        <v>On target</v>
      </c>
      <c r="U10" s="40">
        <f>IF(tblKpi[[#This Row],[Week starting]]="","",IF(AND(tblKpi[[#This Row],[Week starting]]&gt;=FFrom,tblKpi[[#This Row],[Week starting]]&lt;=FTo),tblKpi[[#This Row],[Week starting]],""))</f>
        <v>46230</v>
      </c>
      <c r="V10"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0" s="42" t="s">
        <v>104</v>
      </c>
    </row>
    <row r="11" spans="1:23" x14ac:dyDescent="0.25">
      <c r="B11" s="35">
        <v>46237</v>
      </c>
      <c r="C11" s="31">
        <v>127</v>
      </c>
      <c r="D11" s="31">
        <v>105</v>
      </c>
      <c r="E11" s="31">
        <v>4800</v>
      </c>
      <c r="F11" s="31">
        <v>4659</v>
      </c>
      <c r="G11" s="31">
        <v>4425</v>
      </c>
      <c r="H11" s="36">
        <v>1912</v>
      </c>
      <c r="I11" s="36">
        <v>400</v>
      </c>
      <c r="J11" s="36">
        <v>38.7</v>
      </c>
      <c r="K11" s="30">
        <v>4780</v>
      </c>
      <c r="L11" s="31">
        <v>1</v>
      </c>
      <c r="M11" s="31">
        <v>0</v>
      </c>
      <c r="N11" s="37">
        <f>IF(tblKpi[[#This Row],[Week starting]]="","",IF(tblKpi[[#This Row],[Orders shipped]]&gt;0,tblKpi[[#This Row],[Orders on time]]/tblKpi[[#This Row],[Orders shipped]],""))</f>
        <v>0.826771653543307</v>
      </c>
      <c r="O11" s="37">
        <f>IF(tblKpi[[#This Row],[Week starting]]="","",IF(tblKpi[[#This Row],[Units planned]]&gt;0,tblKpi[[#This Row],[Good first time]]/tblKpi[[#This Row],[Units planned]],""))</f>
        <v>0.921875</v>
      </c>
      <c r="P11" s="37">
        <f>IF(tblKpi[[#This Row],[Week starting]]="","",IF(tblKpi[[#This Row],[Units made]]&gt;0,tblKpi[[#This Row],[Good first time]]/tblKpi[[#This Row],[Units made]],""))</f>
        <v>0.949774629748873</v>
      </c>
      <c r="Q11" s="38">
        <f>IF(tblKpi[[#This Row],[Week starting]]="","",IF(tblKpi[[#This Row],[Labour (h)]]&gt;0,tblKpi[[#This Row],[Good first time]]/tblKpi[[#This Row],[Labour (h)]],""))</f>
        <v>2.31433054393305</v>
      </c>
      <c r="R11" s="37">
        <f>IF(tblKpi[[#This Row],[Week starting]]="","",IF(tblKpi[[#This Row],[Planned equipment (h)]]&gt;0,(tblKpi[[#This Row],[Planned equipment (h)]]-tblKpi[[#This Row],[Unplanned downtime (h)]])/tblKpi[[#This Row],[Planned equipment (h)]],""))</f>
        <v>0.90325</v>
      </c>
      <c r="S11"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0.960509480953954</v>
      </c>
      <c r="T11" s="39" t="str">
        <f>IF(NOT(ISNUMBER(tblKpi[[#This Row],[Score]])),"",IF(tblKpi[[#This Row],[Score]]&gt;=TargetScore,"On target",IF(tblKpi[[#This Row],[Score]]&gt;=TargetScore*(1-0.05),"Near target","Below target")))</f>
        <v>Near target</v>
      </c>
      <c r="U11" s="40">
        <f>IF(tblKpi[[#This Row],[Week starting]]="","",IF(AND(tblKpi[[#This Row],[Week starting]]&gt;=FFrom,tblKpi[[#This Row],[Week starting]]&lt;=FTo),tblKpi[[#This Row],[Week starting]],""))</f>
        <v>46237</v>
      </c>
      <c r="V11"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1" s="42" t="s">
        <v>105</v>
      </c>
    </row>
    <row r="12" spans="1:23" x14ac:dyDescent="0.25">
      <c r="B12" s="35">
        <v>46244</v>
      </c>
      <c r="C12" s="31">
        <v>135</v>
      </c>
      <c r="D12" s="31">
        <v>113</v>
      </c>
      <c r="E12" s="31">
        <v>4800</v>
      </c>
      <c r="F12" s="31">
        <v>4415</v>
      </c>
      <c r="G12" s="31">
        <v>4151</v>
      </c>
      <c r="H12" s="36">
        <v>1912</v>
      </c>
      <c r="I12" s="36">
        <v>400</v>
      </c>
      <c r="J12" s="36">
        <v>34.4</v>
      </c>
      <c r="K12" s="30">
        <v>5420</v>
      </c>
      <c r="L12" s="31">
        <v>0</v>
      </c>
      <c r="M12" s="31">
        <v>0</v>
      </c>
      <c r="N12" s="37">
        <f>IF(tblKpi[[#This Row],[Week starting]]="","",IF(tblKpi[[#This Row],[Orders shipped]]&gt;0,tblKpi[[#This Row],[Orders on time]]/tblKpi[[#This Row],[Orders shipped]],""))</f>
        <v>0.837037037037037</v>
      </c>
      <c r="O12" s="37">
        <f>IF(tblKpi[[#This Row],[Week starting]]="","",IF(tblKpi[[#This Row],[Units planned]]&gt;0,tblKpi[[#This Row],[Good first time]]/tblKpi[[#This Row],[Units planned]],""))</f>
        <v>0.864791666666667</v>
      </c>
      <c r="P12" s="37">
        <f>IF(tblKpi[[#This Row],[Week starting]]="","",IF(tblKpi[[#This Row],[Units made]]&gt;0,tblKpi[[#This Row],[Good first time]]/tblKpi[[#This Row],[Units made]],""))</f>
        <v>0.940203850509626</v>
      </c>
      <c r="Q12" s="38">
        <f>IF(tblKpi[[#This Row],[Week starting]]="","",IF(tblKpi[[#This Row],[Labour (h)]]&gt;0,tblKpi[[#This Row],[Good first time]]/tblKpi[[#This Row],[Labour (h)]],""))</f>
        <v>2.17102510460251</v>
      </c>
      <c r="R12" s="37">
        <f>IF(tblKpi[[#This Row],[Week starting]]="","",IF(tblKpi[[#This Row],[Planned equipment (h)]]&gt;0,(tblKpi[[#This Row],[Planned equipment (h)]]-tblKpi[[#This Row],[Unplanned downtime (h)]])/tblKpi[[#This Row],[Planned equipment (h)]],""))</f>
        <v>0.914</v>
      </c>
      <c r="S12"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0.94229922835809</v>
      </c>
      <c r="T12" s="39" t="str">
        <f>IF(NOT(ISNUMBER(tblKpi[[#This Row],[Score]])),"",IF(tblKpi[[#This Row],[Score]]&gt;=TargetScore,"On target",IF(tblKpi[[#This Row],[Score]]&gt;=TargetScore*(1-0.05),"Near target","Below target")))</f>
        <v>Below target</v>
      </c>
      <c r="U12" s="40">
        <f>IF(tblKpi[[#This Row],[Week starting]]="","",IF(AND(tblKpi[[#This Row],[Week starting]]&gt;=FFrom,tblKpi[[#This Row],[Week starting]]&lt;=FTo),tblKpi[[#This Row],[Week starting]],""))</f>
        <v>46244</v>
      </c>
      <c r="V12"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2" s="42" t="s">
        <v>103</v>
      </c>
    </row>
    <row r="13" spans="1:23" x14ac:dyDescent="0.25">
      <c r="B13" s="35">
        <v>46251</v>
      </c>
      <c r="C13" s="31">
        <v>133</v>
      </c>
      <c r="D13" s="31">
        <v>114</v>
      </c>
      <c r="E13" s="31">
        <v>4600</v>
      </c>
      <c r="F13" s="31">
        <v>4281</v>
      </c>
      <c r="G13" s="31">
        <v>4048</v>
      </c>
      <c r="H13" s="36">
        <v>1952</v>
      </c>
      <c r="I13" s="36">
        <v>400</v>
      </c>
      <c r="J13" s="36">
        <v>41.4</v>
      </c>
      <c r="K13" s="30">
        <v>4000</v>
      </c>
      <c r="L13" s="31">
        <v>0</v>
      </c>
      <c r="M13" s="31">
        <v>0</v>
      </c>
      <c r="N13" s="37">
        <f>IF(tblKpi[[#This Row],[Week starting]]="","",IF(tblKpi[[#This Row],[Orders shipped]]&gt;0,tblKpi[[#This Row],[Orders on time]]/tblKpi[[#This Row],[Orders shipped]],""))</f>
        <v>0.857142857142857</v>
      </c>
      <c r="O13" s="37">
        <f>IF(tblKpi[[#This Row],[Week starting]]="","",IF(tblKpi[[#This Row],[Units planned]]&gt;0,tblKpi[[#This Row],[Good first time]]/tblKpi[[#This Row],[Units planned]],""))</f>
        <v>0.88</v>
      </c>
      <c r="P13" s="37">
        <f>IF(tblKpi[[#This Row],[Week starting]]="","",IF(tblKpi[[#This Row],[Units made]]&gt;0,tblKpi[[#This Row],[Good first time]]/tblKpi[[#This Row],[Units made]],""))</f>
        <v>0.945573464143892</v>
      </c>
      <c r="Q13" s="38">
        <f>IF(tblKpi[[#This Row],[Week starting]]="","",IF(tblKpi[[#This Row],[Labour (h)]]&gt;0,tblKpi[[#This Row],[Good first time]]/tblKpi[[#This Row],[Labour (h)]],""))</f>
        <v>2.07377049180328</v>
      </c>
      <c r="R13" s="37">
        <f>IF(tblKpi[[#This Row],[Week starting]]="","",IF(tblKpi[[#This Row],[Planned equipment (h)]]&gt;0,(tblKpi[[#This Row],[Planned equipment (h)]]-tblKpi[[#This Row],[Unplanned downtime (h)]])/tblKpi[[#This Row],[Planned equipment (h)]],""))</f>
        <v>0.8965</v>
      </c>
      <c r="S13"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0.939180848429966</v>
      </c>
      <c r="T13" s="39" t="str">
        <f>IF(NOT(ISNUMBER(tblKpi[[#This Row],[Score]])),"",IF(tblKpi[[#This Row],[Score]]&gt;=TargetScore,"On target",IF(tblKpi[[#This Row],[Score]]&gt;=TargetScore*(1-0.05),"Near target","Below target")))</f>
        <v>Below target</v>
      </c>
      <c r="U13" s="40">
        <f>IF(tblKpi[[#This Row],[Week starting]]="","",IF(AND(tblKpi[[#This Row],[Week starting]]&gt;=FFrom,tblKpi[[#This Row],[Week starting]]&lt;=FTo),tblKpi[[#This Row],[Week starting]],""))</f>
        <v>46251</v>
      </c>
      <c r="V13"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3" s="42" t="s">
        <v>106</v>
      </c>
    </row>
    <row r="14" spans="1:23" x14ac:dyDescent="0.25">
      <c r="B14" s="35">
        <v>46258</v>
      </c>
      <c r="C14" s="31">
        <v>119</v>
      </c>
      <c r="D14" s="31">
        <v>114</v>
      </c>
      <c r="E14" s="31">
        <v>4800</v>
      </c>
      <c r="F14" s="31">
        <v>4888</v>
      </c>
      <c r="G14" s="31">
        <v>4779</v>
      </c>
      <c r="H14" s="36">
        <v>1936</v>
      </c>
      <c r="I14" s="36">
        <v>400</v>
      </c>
      <c r="J14" s="36">
        <v>26.2</v>
      </c>
      <c r="K14" s="30">
        <v>2150</v>
      </c>
      <c r="L14" s="31">
        <v>0</v>
      </c>
      <c r="M14" s="31">
        <v>0</v>
      </c>
      <c r="N14" s="37">
        <f>IF(tblKpi[[#This Row],[Week starting]]="","",IF(tblKpi[[#This Row],[Orders shipped]]&gt;0,tblKpi[[#This Row],[Orders on time]]/tblKpi[[#This Row],[Orders shipped]],""))</f>
        <v>0.957983193277311</v>
      </c>
      <c r="O14" s="37">
        <f>IF(tblKpi[[#This Row],[Week starting]]="","",IF(tblKpi[[#This Row],[Units planned]]&gt;0,tblKpi[[#This Row],[Good first time]]/tblKpi[[#This Row],[Units planned]],""))</f>
        <v>0.995625</v>
      </c>
      <c r="P14" s="37">
        <f>IF(tblKpi[[#This Row],[Week starting]]="","",IF(tblKpi[[#This Row],[Units made]]&gt;0,tblKpi[[#This Row],[Good first time]]/tblKpi[[#This Row],[Units made]],""))</f>
        <v>0.977700490998363</v>
      </c>
      <c r="Q14" s="38">
        <f>IF(tblKpi[[#This Row],[Week starting]]="","",IF(tblKpi[[#This Row],[Labour (h)]]&gt;0,tblKpi[[#This Row],[Good first time]]/tblKpi[[#This Row],[Labour (h)]],""))</f>
        <v>2.46849173553719</v>
      </c>
      <c r="R14" s="37">
        <f>IF(tblKpi[[#This Row],[Week starting]]="","",IF(tblKpi[[#This Row],[Planned equipment (h)]]&gt;0,(tblKpi[[#This Row],[Planned equipment (h)]]-tblKpi[[#This Row],[Unplanned downtime (h)]])/tblKpi[[#This Row],[Planned equipment (h)]],""))</f>
        <v>0.9345</v>
      </c>
      <c r="S14"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1.04550525736624</v>
      </c>
      <c r="T14" s="39" t="str">
        <f>IF(NOT(ISNUMBER(tblKpi[[#This Row],[Score]])),"",IF(tblKpi[[#This Row],[Score]]&gt;=TargetScore,"On target",IF(tblKpi[[#This Row],[Score]]&gt;=TargetScore*(1-0.05),"Near target","Below target")))</f>
        <v>On target</v>
      </c>
      <c r="U14" s="40">
        <f>IF(tblKpi[[#This Row],[Week starting]]="","",IF(AND(tblKpi[[#This Row],[Week starting]]&gt;=FFrom,tblKpi[[#This Row],[Week starting]]&lt;=FTo),tblKpi[[#This Row],[Week starting]],""))</f>
        <v>46258</v>
      </c>
      <c r="V14"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4" s="42" t="s">
        <v>107</v>
      </c>
    </row>
    <row r="15" spans="1:23" x14ac:dyDescent="0.25">
      <c r="B15" s="35">
        <v>46265</v>
      </c>
      <c r="C15" s="31">
        <v>134</v>
      </c>
      <c r="D15" s="31">
        <v>131</v>
      </c>
      <c r="E15" s="31">
        <v>4200</v>
      </c>
      <c r="F15" s="31">
        <v>4225</v>
      </c>
      <c r="G15" s="31">
        <v>4121</v>
      </c>
      <c r="H15" s="36">
        <v>1936</v>
      </c>
      <c r="I15" s="36">
        <v>400</v>
      </c>
      <c r="J15" s="36">
        <v>34.7</v>
      </c>
      <c r="K15" s="30">
        <v>2050</v>
      </c>
      <c r="L15" s="31">
        <v>0</v>
      </c>
      <c r="M15" s="31">
        <v>0</v>
      </c>
      <c r="N15" s="37">
        <f>IF(tblKpi[[#This Row],[Week starting]]="","",IF(tblKpi[[#This Row],[Orders shipped]]&gt;0,tblKpi[[#This Row],[Orders on time]]/tblKpi[[#This Row],[Orders shipped]],""))</f>
        <v>0.977611940298508</v>
      </c>
      <c r="O15" s="37">
        <f>IF(tblKpi[[#This Row],[Week starting]]="","",IF(tblKpi[[#This Row],[Units planned]]&gt;0,tblKpi[[#This Row],[Good first time]]/tblKpi[[#This Row],[Units planned]],""))</f>
        <v>0.981190476190476</v>
      </c>
      <c r="P15" s="37">
        <f>IF(tblKpi[[#This Row],[Week starting]]="","",IF(tblKpi[[#This Row],[Units made]]&gt;0,tblKpi[[#This Row],[Good first time]]/tblKpi[[#This Row],[Units made]],""))</f>
        <v>0.975384615384615</v>
      </c>
      <c r="Q15" s="38">
        <f>IF(tblKpi[[#This Row],[Week starting]]="","",IF(tblKpi[[#This Row],[Labour (h)]]&gt;0,tblKpi[[#This Row],[Good first time]]/tblKpi[[#This Row],[Labour (h)]],""))</f>
        <v>2.12861570247934</v>
      </c>
      <c r="R15" s="37">
        <f>IF(tblKpi[[#This Row],[Week starting]]="","",IF(tblKpi[[#This Row],[Planned equipment (h)]]&gt;0,(tblKpi[[#This Row],[Planned equipment (h)]]-tblKpi[[#This Row],[Unplanned downtime (h)]])/tblKpi[[#This Row],[Planned equipment (h)]],""))</f>
        <v>0.91325</v>
      </c>
      <c r="S15"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1.0066995500442</v>
      </c>
      <c r="T15" s="39" t="str">
        <f>IF(NOT(ISNUMBER(tblKpi[[#This Row],[Score]])),"",IF(tblKpi[[#This Row],[Score]]&gt;=TargetScore,"On target",IF(tblKpi[[#This Row],[Score]]&gt;=TargetScore*(1-0.05),"Near target","Below target")))</f>
        <v>On target</v>
      </c>
      <c r="U15" s="40">
        <f>IF(tblKpi[[#This Row],[Week starting]]="","",IF(AND(tblKpi[[#This Row],[Week starting]]&gt;=FFrom,tblKpi[[#This Row],[Week starting]]&lt;=FTo),tblKpi[[#This Row],[Week starting]],""))</f>
        <v>46265</v>
      </c>
      <c r="V15"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5" s="42" t="s">
        <v>103</v>
      </c>
    </row>
    <row r="16" spans="1:23" x14ac:dyDescent="0.25">
      <c r="B16" s="35">
        <v>46272</v>
      </c>
      <c r="C16" s="31">
        <v>123</v>
      </c>
      <c r="D16" s="31">
        <v>119</v>
      </c>
      <c r="E16" s="31">
        <v>4800</v>
      </c>
      <c r="F16" s="31">
        <v>4760</v>
      </c>
      <c r="G16" s="31">
        <v>4612</v>
      </c>
      <c r="H16" s="36">
        <v>1888</v>
      </c>
      <c r="I16" s="36">
        <v>400</v>
      </c>
      <c r="J16" s="36">
        <v>37.3</v>
      </c>
      <c r="K16" s="30">
        <v>3070</v>
      </c>
      <c r="L16" s="31">
        <v>1</v>
      </c>
      <c r="M16" s="31">
        <v>0</v>
      </c>
      <c r="N16" s="37">
        <f>IF(tblKpi[[#This Row],[Week starting]]="","",IF(tblKpi[[#This Row],[Orders shipped]]&gt;0,tblKpi[[#This Row],[Orders on time]]/tblKpi[[#This Row],[Orders shipped]],""))</f>
        <v>0.967479674796748</v>
      </c>
      <c r="O16" s="37">
        <f>IF(tblKpi[[#This Row],[Week starting]]="","",IF(tblKpi[[#This Row],[Units planned]]&gt;0,tblKpi[[#This Row],[Good first time]]/tblKpi[[#This Row],[Units planned]],""))</f>
        <v>0.960833333333333</v>
      </c>
      <c r="P16" s="37">
        <f>IF(tblKpi[[#This Row],[Week starting]]="","",IF(tblKpi[[#This Row],[Units made]]&gt;0,tblKpi[[#This Row],[Good first time]]/tblKpi[[#This Row],[Units made]],""))</f>
        <v>0.96890756302521</v>
      </c>
      <c r="Q16" s="38">
        <f>IF(tblKpi[[#This Row],[Week starting]]="","",IF(tblKpi[[#This Row],[Labour (h)]]&gt;0,tblKpi[[#This Row],[Good first time]]/tblKpi[[#This Row],[Labour (h)]],""))</f>
        <v>2.44279661016949</v>
      </c>
      <c r="R16" s="37">
        <f>IF(tblKpi[[#This Row],[Week starting]]="","",IF(tblKpi[[#This Row],[Planned equipment (h)]]&gt;0,(tblKpi[[#This Row],[Planned equipment (h)]]-tblKpi[[#This Row],[Unplanned downtime (h)]])/tblKpi[[#This Row],[Planned equipment (h)]],""))</f>
        <v>0.90675</v>
      </c>
      <c r="S16"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1.04325210517717</v>
      </c>
      <c r="T16" s="39" t="str">
        <f>IF(NOT(ISNUMBER(tblKpi[[#This Row],[Score]])),"",IF(tblKpi[[#This Row],[Score]]&gt;=TargetScore,"On target",IF(tblKpi[[#This Row],[Score]]&gt;=TargetScore*(1-0.05),"Near target","Below target")))</f>
        <v>On target</v>
      </c>
      <c r="U16" s="40">
        <f>IF(tblKpi[[#This Row],[Week starting]]="","",IF(AND(tblKpi[[#This Row],[Week starting]]&gt;=FFrom,tblKpi[[#This Row],[Week starting]]&lt;=FTo),tblKpi[[#This Row],[Week starting]],""))</f>
        <v>46272</v>
      </c>
      <c r="V16"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6" s="42" t="s">
        <v>103</v>
      </c>
    </row>
    <row r="17" spans="2:23" x14ac:dyDescent="0.25">
      <c r="B17" s="35">
        <v>46279</v>
      </c>
      <c r="C17" s="31">
        <v>118</v>
      </c>
      <c r="D17" s="31">
        <v>115</v>
      </c>
      <c r="E17" s="31">
        <v>4200</v>
      </c>
      <c r="F17" s="31">
        <v>4167</v>
      </c>
      <c r="G17" s="31">
        <v>4070</v>
      </c>
      <c r="H17" s="36">
        <v>1960</v>
      </c>
      <c r="I17" s="36">
        <v>400</v>
      </c>
      <c r="J17" s="36">
        <v>41.5</v>
      </c>
      <c r="K17" s="30">
        <v>1950</v>
      </c>
      <c r="L17" s="31">
        <v>0</v>
      </c>
      <c r="M17" s="31">
        <v>0</v>
      </c>
      <c r="N17" s="37">
        <f>IF(tblKpi[[#This Row],[Week starting]]="","",IF(tblKpi[[#This Row],[Orders shipped]]&gt;0,tblKpi[[#This Row],[Orders on time]]/tblKpi[[#This Row],[Orders shipped]],""))</f>
        <v>0.974576271186441</v>
      </c>
      <c r="O17" s="37">
        <f>IF(tblKpi[[#This Row],[Week starting]]="","",IF(tblKpi[[#This Row],[Units planned]]&gt;0,tblKpi[[#This Row],[Good first time]]/tblKpi[[#This Row],[Units planned]],""))</f>
        <v>0.969047619047619</v>
      </c>
      <c r="P17" s="37">
        <f>IF(tblKpi[[#This Row],[Week starting]]="","",IF(tblKpi[[#This Row],[Units made]]&gt;0,tblKpi[[#This Row],[Good first time]]/tblKpi[[#This Row],[Units made]],""))</f>
        <v>0.97672186225102</v>
      </c>
      <c r="Q17" s="38">
        <f>IF(tblKpi[[#This Row],[Week starting]]="","",IF(tblKpi[[#This Row],[Labour (h)]]&gt;0,tblKpi[[#This Row],[Good first time]]/tblKpi[[#This Row],[Labour (h)]],""))</f>
        <v>2.0765306122449</v>
      </c>
      <c r="R17" s="37">
        <f>IF(tblKpi[[#This Row],[Week starting]]="","",IF(tblKpi[[#This Row],[Planned equipment (h)]]&gt;0,(tblKpi[[#This Row],[Planned equipment (h)]]-tblKpi[[#This Row],[Unplanned downtime (h)]])/tblKpi[[#This Row],[Planned equipment (h)]],""))</f>
        <v>0.89625</v>
      </c>
      <c r="S17"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0.998736750917015</v>
      </c>
      <c r="T17" s="39" t="str">
        <f>IF(NOT(ISNUMBER(tblKpi[[#This Row],[Score]])),"",IF(tblKpi[[#This Row],[Score]]&gt;=TargetScore,"On target",IF(tblKpi[[#This Row],[Score]]&gt;=TargetScore*(1-0.05),"Near target","Below target")))</f>
        <v>Near target</v>
      </c>
      <c r="U17" s="40">
        <f>IF(tblKpi[[#This Row],[Week starting]]="","",IF(AND(tblKpi[[#This Row],[Week starting]]&gt;=FFrom,tblKpi[[#This Row],[Week starting]]&lt;=FTo),tblKpi[[#This Row],[Week starting]],""))</f>
        <v>46279</v>
      </c>
      <c r="V17"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7" s="42" t="s">
        <v>103</v>
      </c>
    </row>
    <row r="18" spans="2:23" x14ac:dyDescent="0.25">
      <c r="B18" s="35">
        <v>46286</v>
      </c>
      <c r="C18" s="31">
        <v>139</v>
      </c>
      <c r="D18" s="31">
        <v>135</v>
      </c>
      <c r="E18" s="31">
        <v>4800</v>
      </c>
      <c r="F18" s="31">
        <v>4597</v>
      </c>
      <c r="G18" s="31">
        <v>4464</v>
      </c>
      <c r="H18" s="36">
        <v>1936</v>
      </c>
      <c r="I18" s="36">
        <v>400</v>
      </c>
      <c r="J18" s="36">
        <v>40.1</v>
      </c>
      <c r="K18" s="30">
        <v>2550</v>
      </c>
      <c r="L18" s="31">
        <v>0</v>
      </c>
      <c r="M18" s="31">
        <v>0</v>
      </c>
      <c r="N18" s="37">
        <f>IF(tblKpi[[#This Row],[Week starting]]="","",IF(tblKpi[[#This Row],[Orders shipped]]&gt;0,tblKpi[[#This Row],[Orders on time]]/tblKpi[[#This Row],[Orders shipped]],""))</f>
        <v>0.971223021582734</v>
      </c>
      <c r="O18" s="37">
        <f>IF(tblKpi[[#This Row],[Week starting]]="","",IF(tblKpi[[#This Row],[Units planned]]&gt;0,tblKpi[[#This Row],[Good first time]]/tblKpi[[#This Row],[Units planned]],""))</f>
        <v>0.93</v>
      </c>
      <c r="P18" s="37">
        <f>IF(tblKpi[[#This Row],[Week starting]]="","",IF(tblKpi[[#This Row],[Units made]]&gt;0,tblKpi[[#This Row],[Good first time]]/tblKpi[[#This Row],[Units made]],""))</f>
        <v>0.971068087883402</v>
      </c>
      <c r="Q18" s="38">
        <f>IF(tblKpi[[#This Row],[Week starting]]="","",IF(tblKpi[[#This Row],[Labour (h)]]&gt;0,tblKpi[[#This Row],[Good first time]]/tblKpi[[#This Row],[Labour (h)]],""))</f>
        <v>2.30578512396694</v>
      </c>
      <c r="R18" s="37">
        <f>IF(tblKpi[[#This Row],[Week starting]]="","",IF(tblKpi[[#This Row],[Planned equipment (h)]]&gt;0,(tblKpi[[#This Row],[Planned equipment (h)]]-tblKpi[[#This Row],[Unplanned downtime (h)]])/tblKpi[[#This Row],[Planned equipment (h)]],""))</f>
        <v>0.89975</v>
      </c>
      <c r="S18"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1.02682003072834</v>
      </c>
      <c r="T18" s="39" t="str">
        <f>IF(NOT(ISNUMBER(tblKpi[[#This Row],[Score]])),"",IF(tblKpi[[#This Row],[Score]]&gt;=TargetScore,"On target",IF(tblKpi[[#This Row],[Score]]&gt;=TargetScore*(1-0.05),"Near target","Below target")))</f>
        <v>On target</v>
      </c>
      <c r="U18" s="40">
        <f>IF(tblKpi[[#This Row],[Week starting]]="","",IF(AND(tblKpi[[#This Row],[Week starting]]&gt;=FFrom,tblKpi[[#This Row],[Week starting]]&lt;=FTo),tblKpi[[#This Row],[Week starting]],""))</f>
        <v>46286</v>
      </c>
      <c r="V18"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8" s="42" t="s">
        <v>103</v>
      </c>
    </row>
    <row r="19" spans="2:23" x14ac:dyDescent="0.25">
      <c r="B19" s="35">
        <v>46293</v>
      </c>
      <c r="C19" s="31">
        <v>135</v>
      </c>
      <c r="D19" s="31">
        <v>132</v>
      </c>
      <c r="E19" s="31">
        <v>4600</v>
      </c>
      <c r="F19" s="31">
        <v>4307</v>
      </c>
      <c r="G19" s="31">
        <v>4173</v>
      </c>
      <c r="H19" s="36">
        <v>1936</v>
      </c>
      <c r="I19" s="36">
        <v>400</v>
      </c>
      <c r="J19" s="36">
        <v>31.2</v>
      </c>
      <c r="K19" s="30">
        <v>2620</v>
      </c>
      <c r="L19" s="31">
        <v>0</v>
      </c>
      <c r="M19" s="31">
        <v>0</v>
      </c>
      <c r="N19" s="37">
        <f>IF(tblKpi[[#This Row],[Week starting]]="","",IF(tblKpi[[#This Row],[Orders shipped]]&gt;0,tblKpi[[#This Row],[Orders on time]]/tblKpi[[#This Row],[Orders shipped]],""))</f>
        <v>0.977777777777778</v>
      </c>
      <c r="O19" s="37">
        <f>IF(tblKpi[[#This Row],[Week starting]]="","",IF(tblKpi[[#This Row],[Units planned]]&gt;0,tblKpi[[#This Row],[Good first time]]/tblKpi[[#This Row],[Units planned]],""))</f>
        <v>0.907173913043478</v>
      </c>
      <c r="P19" s="37">
        <f>IF(tblKpi[[#This Row],[Week starting]]="","",IF(tblKpi[[#This Row],[Units made]]&gt;0,tblKpi[[#This Row],[Good first time]]/tblKpi[[#This Row],[Units made]],""))</f>
        <v>0.968887856977014</v>
      </c>
      <c r="Q19" s="38">
        <f>IF(tblKpi[[#This Row],[Week starting]]="","",IF(tblKpi[[#This Row],[Labour (h)]]&gt;0,tblKpi[[#This Row],[Good first time]]/tblKpi[[#This Row],[Labour (h)]],""))</f>
        <v>2.15547520661157</v>
      </c>
      <c r="R19" s="37">
        <f>IF(tblKpi[[#This Row],[Week starting]]="","",IF(tblKpi[[#This Row],[Planned equipment (h)]]&gt;0,(tblKpi[[#This Row],[Planned equipment (h)]]-tblKpi[[#This Row],[Unplanned downtime (h)]])/tblKpi[[#This Row],[Planned equipment (h)]],""))</f>
        <v>0.922</v>
      </c>
      <c r="S19" s="37">
        <f>IF(tblKpi[[#This Row],[Week starting]]="","",IF(OR(N(tblKpi[[#This Row],[OTD]])=0,N(tblKpi[[#This Row],[First-pass yield]])=0,N(tblKpi[[#This Row],[Units per labour h]])=0),"",(tblKpi[[#This Row],[OTD]]/TargetOTD*WDelivery+tblKpi[[#This Row],[First-pass yield]]/TargetFPY*WQuality+tblKpi[[#This Row],[Units per labour h]]/TargetUPLH*WProductivity)/(WDelivery+WQuality+WProductivity)))</f>
        <v>1.00840179900328</v>
      </c>
      <c r="T19" s="39" t="str">
        <f>IF(NOT(ISNUMBER(tblKpi[[#This Row],[Score]])),"",IF(tblKpi[[#This Row],[Score]]&gt;=TargetScore,"On target",IF(tblKpi[[#This Row],[Score]]&gt;=TargetScore*(1-0.05),"Near target","Below target")))</f>
        <v>On target</v>
      </c>
      <c r="U19" s="40">
        <f>IF(tblKpi[[#This Row],[Week starting]]="","",IF(AND(tblKpi[[#This Row],[Week starting]]&gt;=FFrom,tblKpi[[#This Row],[Week starting]]&lt;=FTo),tblKpi[[#This Row],[Week starting]],""))</f>
        <v>46293</v>
      </c>
      <c r="V19" s="41" t="str">
        <f>IF(tblKpi[[#This Row],[Week starting]]="","",IF(tblKpi[[#This Row],[Orders shipped]]="","Missing orders shipped",IF(tblKpi[[#This Row],[Units planned]]="","Missing units planned",IF(tblKpi[[#This Row],[Units made]]="","Missing units made",IF(tblKpi[[#This Row],[Good first time]]="","Missing good first time",IF(tblKpi[[#This Row],[Labour (h)]]="","Missing labour",IF(tblKpi[[#This Row],[Planned equipment (h)]]="","Missing planned equipment",IF(tblKpi[[#This Row],[Orders on time]]&gt;tblKpi[[#This Row],[Orders shipped]],"On time &gt; shipped",IF(tblKpi[[#This Row],[Good first time]]&gt;tblKpi[[#This Row],[Units made]],"Good &gt; made",IF(tblKpi[[#This Row],[Unplanned downtime (h)]]&gt;tblKpi[[#This Row],[Planned equipment (h)]],"Downtime &gt; planned hours",IF(COUNTIF(tblKpi[Week starting],tblKpi[[#This Row],[Week starting]])&gt;1,"Duplicate week","OK")))))))))))</f>
        <v>OK</v>
      </c>
      <c r="W19" s="42" t="s">
        <v>103</v>
      </c>
    </row>
  </sheetData>
  <mergeCells count="3">
    <mergeCell ref="A1:W1"/>
    <mergeCell ref="B2:V2"/>
    <mergeCell ref="B4:W4"/>
  </mergeCells>
  <conditionalFormatting sqref="N7:N519">
    <cfRule type="expression" dxfId="3" priority="1" stopIfTrue="1">
      <formula>AND(ISNUMBER(N7),N7&gt;=(TargetOTD))</formula>
    </cfRule>
    <cfRule type="expression" dxfId="4" priority="2" stopIfTrue="1">
      <formula>AND(ISNUMBER(N7),N7&gt;=(TargetOTD)*(1-0.05))</formula>
    </cfRule>
    <cfRule type="expression" dxfId="5" priority="3">
      <formula>ISNUMBER(N7)</formula>
    </cfRule>
  </conditionalFormatting>
  <conditionalFormatting sqref="O7:O519">
    <cfRule type="expression" dxfId="3" priority="4" stopIfTrue="1">
      <formula>AND(ISNUMBER(O7),O7&gt;=(TargetAttain))</formula>
    </cfRule>
    <cfRule type="expression" dxfId="4" priority="5" stopIfTrue="1">
      <formula>AND(ISNUMBER(O7),O7&gt;=(TargetAttain)*(1-0.05))</formula>
    </cfRule>
    <cfRule type="expression" dxfId="5" priority="6">
      <formula>ISNUMBER(O7)</formula>
    </cfRule>
  </conditionalFormatting>
  <conditionalFormatting sqref="P7:P519">
    <cfRule type="expression" dxfId="3" priority="7" stopIfTrue="1">
      <formula>AND(ISNUMBER(P7),P7&gt;=(TargetFPY))</formula>
    </cfRule>
    <cfRule type="expression" dxfId="4" priority="8" stopIfTrue="1">
      <formula>AND(ISNUMBER(P7),P7&gt;=(TargetFPY)*(1-0.05))</formula>
    </cfRule>
    <cfRule type="expression" dxfId="5" priority="9">
      <formula>ISNUMBER(P7)</formula>
    </cfRule>
  </conditionalFormatting>
  <conditionalFormatting sqref="Q7:Q519">
    <cfRule type="expression" dxfId="3" priority="10" stopIfTrue="1">
      <formula>AND(ISNUMBER(Q7),Q7&gt;=(TargetUPLH))</formula>
    </cfRule>
    <cfRule type="expression" dxfId="4" priority="11" stopIfTrue="1">
      <formula>AND(ISNUMBER(Q7),Q7&gt;=(TargetUPLH)*(1-0.05))</formula>
    </cfRule>
    <cfRule type="expression" dxfId="5" priority="12">
      <formula>ISNUMBER(Q7)</formula>
    </cfRule>
  </conditionalFormatting>
  <conditionalFormatting sqref="R7:R519">
    <cfRule type="expression" dxfId="3" priority="13" stopIfTrue="1">
      <formula>AND(ISNUMBER(R7),R7&gt;=(TargetAvail))</formula>
    </cfRule>
    <cfRule type="expression" dxfId="4" priority="14" stopIfTrue="1">
      <formula>AND(ISNUMBER(R7),R7&gt;=(TargetAvail)*(1-0.05))</formula>
    </cfRule>
    <cfRule type="expression" dxfId="5" priority="15">
      <formula>ISNUMBER(R7)</formula>
    </cfRule>
  </conditionalFormatting>
  <conditionalFormatting sqref="S7:S519">
    <cfRule type="dataBar" priority="16">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T7:T519">
    <cfRule type="cellIs" dxfId="0" priority="17" operator="equal">
      <formula>"On target"</formula>
    </cfRule>
    <cfRule type="cellIs" dxfId="0" priority="18" operator="equal">
      <formula>"PASS"</formula>
    </cfRule>
    <cfRule type="cellIs" dxfId="0" priority="19" operator="equal">
      <formula>"OK"</formula>
    </cfRule>
    <cfRule type="cellIs" dxfId="0" priority="20" operator="equal">
      <formula>"Within limits"</formula>
    </cfRule>
    <cfRule type="cellIs" dxfId="0" priority="21" operator="equal">
      <formula>"Under capacity"</formula>
    </cfRule>
    <cfRule type="cellIs" dxfId="0" priority="22" operator="equal">
      <formula>"Complete"</formula>
    </cfRule>
    <cfRule type="cellIs" dxfId="0" priority="23" operator="equal">
      <formula>"Yes"</formula>
    </cfRule>
    <cfRule type="cellIs" dxfId="1" priority="24" operator="equal">
      <formula>"Near target"</formula>
    </cfRule>
    <cfRule type="cellIs" dxfId="1" priority="25" operator="equal">
      <formula>"Check"</formula>
    </cfRule>
    <cfRule type="cellIs" dxfId="1" priority="26" operator="equal">
      <formula>"Due soon"</formula>
    </cfRule>
    <cfRule type="cellIs" dxfId="1" priority="27" operator="equal">
      <formula>"Near capacity"</formula>
    </cfRule>
    <cfRule type="cellIs" dxfId="1" priority="28" operator="equal">
      <formula>"In progress"</formula>
    </cfRule>
    <cfRule type="cellIs" dxfId="1" priority="29" operator="equal">
      <formula>"Partial"</formula>
    </cfRule>
    <cfRule type="cellIs" dxfId="2" priority="30" operator="equal">
      <formula>"Below target"</formula>
    </cfRule>
    <cfRule type="cellIs" dxfId="2" priority="31" operator="equal">
      <formula>"Above target"</formula>
    </cfRule>
    <cfRule type="cellIs" dxfId="2" priority="32" operator="equal">
      <formula>"FAIL"</formula>
    </cfRule>
    <cfRule type="cellIs" dxfId="2" priority="33" operator="equal">
      <formula>"Over capacity"</formula>
    </cfRule>
    <cfRule type="cellIs" dxfId="2" priority="34" operator="equal">
      <formula>"Overdue"</formula>
    </cfRule>
    <cfRule type="cellIs" dxfId="2" priority="35" operator="equal">
      <formula>"Out of limits"</formula>
    </cfRule>
    <cfRule type="cellIs" dxfId="2" priority="36" operator="equal">
      <formula>"No"</formula>
    </cfRule>
  </conditionalFormatting>
  <conditionalFormatting sqref="V7:V519">
    <cfRule type="expression" dxfId="3" priority="37">
      <formula>$V7="OK"</formula>
    </cfRule>
    <cfRule type="expression" dxfId="1" priority="38">
      <formula>AND($V7&lt;&gt;"",$V7&lt;&gt;"OK")</formula>
    </cfRule>
  </conditionalFormatting>
  <dataValidations count="13">
    <dataValidation type="date" allowBlank="1" showInputMessage="1" showErrorMessage="1" errorTitle="Check this entry" error="Enter a date between 01 Jan 2000 and 31 Dec 2100." promptTitle="Week starting" prompt="First day of the week (or month) the row covers. Enter a date between 01 Jan 2000 and 31 Dec 2100." sqref="B7:B519">
      <formula1>36526</formula1>
      <formula2>73415</formula2>
    </dataValidation>
    <dataValidation type="whole" allowBlank="1" showInputMessage="1" showErrorMessage="1" errorTitle="Check this entry" error="Enter a whole number from 0 to 10,000,000." promptTitle="Orders shipped" prompt="Enter a whole number from 0 to 10,000,000." sqref="C7:C519">
      <formula1>0</formula1>
      <formula2>10000000.0</formula2>
    </dataValidation>
    <dataValidation type="whole" allowBlank="1" showInputMessage="1" showErrorMessage="1" errorTitle="Check this entry" error="Enter a whole number from 0 to 10,000,000." promptTitle="Orders on time" prompt="Orders shipped on or before the date promised to the customer. Enter a whole number from 0 to 10,000,000." sqref="D7:D519">
      <formula1>0</formula1>
      <formula2>10000000.0</formula2>
    </dataValidation>
    <dataValidation type="whole" allowBlank="1" showInputMessage="1" showErrorMessage="1" errorTitle="Check this entry" error="Enter a whole number of at least 0." promptTitle="Units planned" prompt="Units the production plan called for in the week. Enter a whole number of at least 0." sqref="E7:E519">
      <formula1>0</formula1>
      <formula2>1000000000.0</formula2>
    </dataValidation>
    <dataValidation type="whole" allowBlank="1" showInputMessage="1" showErrorMessage="1" errorTitle="Check this entry" error="Enter a whole number of at least 0." promptTitle="Units made" prompt="Every unit made, good or not. Enter a whole number of at least 0." sqref="F7:F519">
      <formula1>0</formula1>
      <formula2>1000000000.0</formula2>
    </dataValidation>
    <dataValidation type="whole" allowBlank="1" showInputMessage="1" showErrorMessage="1" errorTitle="Check this entry" error="Enter a whole number of at least 0." promptTitle="Good first time" prompt="Units good without rework or repair. Enter a whole number of at least 0." sqref="G7:G519">
      <formula1>0</formula1>
      <formula2>1000000000.0</formula2>
    </dataValidation>
    <dataValidation type="decimal" allowBlank="1" showInputMessage="1" showErrorMessage="1" errorTitle="Check this entry" error="Enter a number from 0 to 10,000,000." promptTitle="Labour (h)" prompt="Direct labour hours paid in the week, overtime included. Enter a number from 0 to 10,000,000." sqref="H7:H519">
      <formula1>0</formula1>
      <formula2>10000000.0</formula2>
    </dataValidation>
    <dataValidation type="decimal" allowBlank="1" showInputMessage="1" showErrorMessage="1" errorTitle="Check this entry" error="Enter a number from 0 to 10,000,000." promptTitle="Planned equipment (h)" prompt="Hours the key equipment was scheduled to run. Enter a number from 0 to 10,000,000." sqref="I7:I519">
      <formula1>0</formula1>
      <formula2>10000000.0</formula2>
    </dataValidation>
    <dataValidation type="decimal" allowBlank="1" showInputMessage="1" showErrorMessage="1" errorTitle="Check this entry" error="Enter a number from 0 to 10,000,000." promptTitle="Unplanned downtime (h)" prompt="Breakdowns and other unplanned stops inside planned hours. Enter a number from 0 to 10,000,000." sqref="J7:J519">
      <formula1>0</formula1>
      <formula2>10000000.0</formula2>
    </dataValidation>
    <dataValidation type="decimal" allowBlank="1" showInputMessage="1" showErrorMessage="1" errorTitle="Check this entry" error="Enter a number of at least 0." promptTitle="Scrap cost" prompt="Material, labour and overhead in parts scrapped this week, from your scrap report. Enter a number of at least 0." sqref="K7:K519">
      <formula1>0</formula1>
      <formula2>1000000000.0</formula2>
    </dataValidation>
    <dataValidation type="whole" allowBlank="1" showInputMessage="1" showErrorMessage="1" errorTitle="Check this entry" error="Enter a whole number from 0 to 100,000." promptTitle="Complaints" prompt="Customer complaints received in the week. Enter a whole number from 0 to 100,000." sqref="L7:L519">
      <formula1>0</formula1>
      <formula2>100000.0</formula2>
    </dataValidation>
    <dataValidation type="whole" allowBlank="1" showInputMessage="1" showErrorMessage="1" errorTitle="Check this entry" error="Enter a whole number from 0 to 10,000." promptTitle="Recordable incidents" prompt="Injuries that meet your recordable definition (for example OSHA 29 CFR 1904 in the US). Enter a whole number from 0 to 10,000." sqref="M7:M519">
      <formula1>0</formula1>
      <formula2>10000.0</formula2>
    </dataValidation>
    <dataValidation type="textLength" allowBlank="1" showInputMessage="1" showErrorMessage="1" errorTitle="Check this entry" error="Text up to 255 characters." promptTitle="Notes" prompt="Text up to 255 characters." sqref="W7:W519">
      <formula1>0</formula1>
      <formula2>255</formula2>
    </dataValidation>
  </dataValidations>
  <hyperlinks>
    <hyperlink ref="W2" r:id="rId1" tooltip="Free manufacturing calculators and templates"/>
  </hyperlinks>
  <pageMargins left="0.4" right="0.4" top="0.7" bottom="0.65" header="0.3" footer="0.3"/>
  <pageSetup fitToHeight="0" orientation="landscape"/>
  <headerFooter>
    <oddHeader>&amp;L&amp;8MFG Calcs - Manufacturing KPI Dashboard&amp;R&amp;8&amp;A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S7:S519</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57"/>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27" t="s">
        <v>108</v>
      </c>
      <c r="C4" s="43"/>
      <c r="D4" s="43"/>
      <c r="H4" s="27" t="s">
        <v>109</v>
      </c>
      <c r="I4" s="43"/>
      <c r="J4" s="43"/>
    </row>
    <row r="5" spans="1:12">
      <c r="B5" s="44" t="str">
        <f>PlantName&amp;": "&amp;COUNTIFS(tblKpi[View date],"&gt;0")&amp;" weeks in view. Leave the filters blank to include every week; dates are inclusive."</f>
        <v>Calloway Fabrication (example): 13 weeks in view. Leave the filters blank to include every week; dates are inclusive.</v>
      </c>
      <c r="C5" s="44"/>
      <c r="D5" s="44"/>
      <c r="E5" s="44"/>
      <c r="F5" s="44"/>
      <c r="G5" s="44"/>
      <c r="H5" s="44"/>
      <c r="I5" s="44"/>
      <c r="J5" s="44"/>
      <c r="K5" s="44"/>
      <c r="L5" s="44"/>
    </row>
    <row r="7" spans="1:12" ht="18" customHeight="1">
      <c r="B7" s="45" t="s">
        <v>110</v>
      </c>
      <c r="C7" s="45"/>
      <c r="D7" s="45" t="s">
        <v>111</v>
      </c>
      <c r="E7" s="45"/>
      <c r="F7" s="45"/>
      <c r="G7" s="45" t="s">
        <v>112</v>
      </c>
      <c r="H7" s="45"/>
      <c r="I7" s="45"/>
      <c r="J7" s="45" t="s">
        <v>113</v>
      </c>
      <c r="K7" s="45"/>
      <c r="L7" s="45"/>
    </row>
    <row r="8" spans="1:12" ht="21" customHeight="1">
      <c r="B8" s="46">
        <f>IF((SUM($F$37:$F$39))=0,"",(SUM($G$37:$G$39))/(SUM($F$37:$F$39)))</f>
        <v>0.999290084574404</v>
      </c>
      <c r="C8" s="46"/>
      <c r="D8" s="46">
        <f>IF((SUMIFS(tblKpi[Orders shipped],tblKpi[View date],"&gt;0"))=0,"",(SUMIFS(tblKpi[Orders on time],tblKpi[View date],"&gt;0"))/(SUMIFS(tblKpi[Orders shipped],tblKpi[View date],"&gt;0")))</f>
        <v>0.939787485242031</v>
      </c>
      <c r="E8" s="46"/>
      <c r="F8" s="46"/>
      <c r="G8" s="46">
        <f>IF((SUMIFS(tblKpi[Units made],tblKpi[View date],"&gt;0"))=0,"",(SUMIFS(tblKpi[Good first time],tblKpi[View date],"&gt;0"))/(SUMIFS(tblKpi[Units made],tblKpi[View date],"&gt;0")))</f>
        <v>0.957442444752089</v>
      </c>
      <c r="H8" s="46"/>
      <c r="I8" s="46"/>
      <c r="J8" s="47">
        <f>IF((SUMIFS(tblKpi[Labour (h)],tblKpi[View date],"&gt;0"))=0,"",(SUMIFS(tblKpi[Good first time],tblKpi[View date],"&gt;0"))/(SUMIFS(tblKpi[Labour (h)],tblKpi[View date],"&gt;0")))</f>
        <v>2.23218839655722</v>
      </c>
      <c r="K8" s="47"/>
      <c r="L8" s="47"/>
    </row>
    <row r="9" spans="1:12" ht="21" customHeight="1">
      <c r="B9" s="46"/>
      <c r="C9" s="46"/>
      <c r="D9" s="46"/>
      <c r="E9" s="46"/>
      <c r="F9" s="46"/>
      <c r="G9" s="46"/>
      <c r="H9" s="46"/>
      <c r="I9" s="46"/>
      <c r="J9" s="47"/>
      <c r="K9" s="47"/>
      <c r="L9" s="47"/>
    </row>
    <row r="10" spans="1:12">
      <c r="B10" s="48">
        <f>TargetScore</f>
        <v>1</v>
      </c>
      <c r="C10" s="48"/>
      <c r="D10" s="48">
        <f>TargetOTD</f>
        <v>0.95</v>
      </c>
      <c r="E10" s="48"/>
      <c r="F10" s="48"/>
      <c r="G10" s="48">
        <f>TargetFPY</f>
        <v>0.96</v>
      </c>
      <c r="H10" s="48"/>
      <c r="I10" s="48"/>
      <c r="J10" s="49">
        <f>TargetUPLH</f>
        <v>2.2</v>
      </c>
      <c r="K10" s="49"/>
      <c r="L10" s="49"/>
    </row>
    <row r="11" spans="1:12" ht="18" customHeight="1">
      <c r="B11" s="50" t="str">
        <f>IF(NOT(ISNUMBER(KpiScore)),"No data",IF(KpiScore&gt;=(TargetScore),"On target",IF(KpiScore&gt;=(TargetScore)*(1-0.05),"Near target","Below target")))</f>
        <v>Near target</v>
      </c>
      <c r="C11" s="50"/>
      <c r="D11" s="50" t="str">
        <f>IF(NOT(ISNUMBER(KpiOTD)),"No data",IF(KpiOTD&gt;=(TargetOTD),"On target",IF(KpiOTD&gt;=(TargetOTD)*(1-0.05),"Near target","Below target")))</f>
        <v>Near target</v>
      </c>
      <c r="E11" s="50"/>
      <c r="F11" s="50"/>
      <c r="G11" s="50" t="str">
        <f>IF(NOT(ISNUMBER(KpiFPY)),"No data",IF(KpiFPY&gt;=(TargetFPY),"On target",IF(KpiFPY&gt;=(TargetFPY)*(1-0.05),"Near target","Below target")))</f>
        <v>Near target</v>
      </c>
      <c r="H11" s="50"/>
      <c r="I11" s="50"/>
      <c r="J11" s="50" t="str">
        <f>IF(NOT(ISNUMBER(KpiUPLH)),"No data",IF(KpiUPLH&gt;=(TargetUPLH),"On target",IF(KpiUPLH&gt;=(TargetUPLH)*(1-0.05),"Near target","Below target")))</f>
        <v>On target</v>
      </c>
      <c r="K11" s="50"/>
      <c r="L11" s="50"/>
    </row>
    <row r="29" spans="2:12" ht="18" customHeight="1">
      <c r="B29" s="45" t="s">
        <v>114</v>
      </c>
      <c r="C29" s="45"/>
      <c r="D29" s="45" t="s">
        <v>115</v>
      </c>
      <c r="E29" s="45"/>
      <c r="F29" s="45"/>
      <c r="G29" s="45" t="str">
        <f>"SCRAP COST ("&amp;Currency&amp;")"</f>
        <v>SCRAP COST (USD)</v>
      </c>
      <c r="H29" s="45"/>
      <c r="I29" s="45"/>
      <c r="J29" s="45" t="s">
        <v>116</v>
      </c>
      <c r="K29" s="45"/>
      <c r="L29" s="45"/>
    </row>
    <row r="30" spans="2:12" ht="21" customHeight="1">
      <c r="B30" s="46">
        <f>IF((SUMIFS(tblKpi[Units planned],tblKpi[View date],"&gt;0"))=0,"",(SUMIFS(tblKpi[Good first time],tblKpi[View date],"&gt;0"))/(SUMIFS(tblKpi[Units planned],tblKpi[View date],"&gt;0")))</f>
        <v>0.936772575250836</v>
      </c>
      <c r="C30" s="46"/>
      <c r="D30" s="46">
        <f>IF((SUMIFS(tblKpi[Planned equipment (h)],tblKpi[View date],"&gt;0"))=0,"",(SUMIFS(tblKpi[Planned equipment (h)],tblKpi[View date],"&gt;0")-SUMIFS(tblKpi[Unplanned downtime (h)],tblKpi[View date],"&gt;0"))/(SUMIFS(tblKpi[Planned equipment (h)],tblKpi[View date],"&gt;0")))</f>
        <v>0.912442307692308</v>
      </c>
      <c r="E30" s="46"/>
      <c r="F30" s="46"/>
      <c r="G30" s="51">
        <f>SUMIFS(tblKpi[Scrap cost],tblKpi[View date],"&gt;0")</f>
        <v>48380</v>
      </c>
      <c r="H30" s="51"/>
      <c r="I30" s="51"/>
      <c r="J30" s="51">
        <f>SUMIFS(tblKpi[Recordable incidents],tblKpi[View date],"&gt;0")</f>
        <v>1</v>
      </c>
      <c r="K30" s="51"/>
      <c r="L30" s="51"/>
    </row>
    <row r="31" spans="2:12" ht="21" customHeight="1">
      <c r="B31" s="46"/>
      <c r="C31" s="46"/>
      <c r="D31" s="46"/>
      <c r="E31" s="46"/>
      <c r="F31" s="46"/>
      <c r="G31" s="51"/>
      <c r="H31" s="51"/>
      <c r="I31" s="51"/>
      <c r="J31" s="51"/>
      <c r="K31" s="51"/>
      <c r="L31" s="51"/>
    </row>
    <row r="32" spans="2:12">
      <c r="B32" s="48">
        <f>TargetAttain</f>
        <v>0.95</v>
      </c>
      <c r="C32" s="48"/>
      <c r="D32" s="48">
        <f>TargetAvail</f>
        <v>0.9</v>
      </c>
      <c r="E32" s="48"/>
      <c r="F32" s="48"/>
      <c r="G32" s="52">
        <f>TargetScrap*MAX(1,COUNTIFS(tblKpi[View date],"&gt;0"))</f>
        <v>32500</v>
      </c>
      <c r="H32" s="52"/>
      <c r="I32" s="52"/>
      <c r="J32" s="53">
        <f>0</f>
        <v>0</v>
      </c>
      <c r="K32" s="53"/>
      <c r="L32" s="53"/>
    </row>
    <row r="33" spans="2:12" ht="18" customHeight="1">
      <c r="B33" s="50" t="str">
        <f>IF(NOT(ISNUMBER(KpiAttain)),"No data",IF(KpiAttain&gt;=(TargetAttain),"On target",IF(KpiAttain&gt;=(TargetAttain)*(1-0.05),"Near target","Below target")))</f>
        <v>Near target</v>
      </c>
      <c r="C33" s="50"/>
      <c r="D33" s="50" t="str">
        <f>IF(NOT(ISNUMBER(KpiAvail)),"No data",IF(KpiAvail&gt;=(TargetAvail),"On target",IF(KpiAvail&gt;=(TargetAvail)*(1-0.05),"Near target","Below target")))</f>
        <v>On target</v>
      </c>
      <c r="E33" s="50"/>
      <c r="F33" s="50"/>
      <c r="G33" s="50" t="str">
        <f>IF(NOT(ISNUMBER(KpiScrap)),"No data",IF(KpiScrap&lt;=(TargetScrap*MAX(1,COUNTIFS(tblKpi[View date],"&gt;0"))),"On target",IF(KpiScrap&lt;=(TargetScrap*MAX(1,COUNTIFS(tblKpi[View date],"&gt;0")))*(1+0.05),"Near target","Above target")))</f>
        <v>Above target</v>
      </c>
      <c r="H33" s="50"/>
      <c r="I33" s="50"/>
      <c r="J33" s="50" t="str">
        <f>IF(NOT(ISNUMBER(KpiInc)),"No data",IF(KpiInc&lt;=(0),"On target",IF(KpiInc&lt;=(0)*(1+0),"Near target","Above target")))</f>
        <v>Above target</v>
      </c>
      <c r="K33" s="50"/>
      <c r="L33" s="50"/>
    </row>
    <row r="35" spans="2:12">
      <c r="B35" s="54" t="s">
        <v>117</v>
      </c>
      <c r="C35" s="54"/>
      <c r="D35" s="54"/>
      <c r="E35" s="54"/>
      <c r="F35" s="54"/>
      <c r="G35" s="54"/>
    </row>
    <row r="36" spans="2:12" ht="20" customHeight="1">
      <c r="B36" s="55" t="s">
        <v>118</v>
      </c>
      <c r="C36" s="34" t="s">
        <v>119</v>
      </c>
      <c r="D36" s="34" t="s">
        <v>120</v>
      </c>
      <c r="E36" s="34" t="s">
        <v>93</v>
      </c>
      <c r="F36" s="34" t="s">
        <v>121</v>
      </c>
      <c r="G36" s="34" t="s">
        <v>122</v>
      </c>
    </row>
    <row r="37" spans="2:12">
      <c r="B37" s="56" t="s">
        <v>123</v>
      </c>
      <c r="C37" s="57">
        <f>IF((SUMIFS(tblKpi[Orders shipped],tblKpi[View date],"&gt;0"))=0,"",(SUMIFS(tblKpi[Orders on time],tblKpi[View date],"&gt;0"))/(SUMIFS(tblKpi[Orders shipped],tblKpi[View date],"&gt;0")))</f>
        <v>0.939787485242031</v>
      </c>
      <c r="D37" s="58">
        <f>CHOOSE(1,TargetOTD,TargetFPY,TargetUPLH)</f>
        <v>0.95</v>
      </c>
      <c r="E37" s="37">
        <f>IF(($D$37)=0,"",($C$37)/($D$37))</f>
        <v>0.989249984465296</v>
      </c>
      <c r="F37" s="59">
        <f>CHOOSE(1,WDelivery,WQuality,WProductivity)</f>
        <v>40</v>
      </c>
      <c r="G37" s="60">
        <f>IF($E$37="","",$E$37*$F$37)</f>
        <v>39.5699993786118</v>
      </c>
    </row>
    <row r="38" spans="2:12">
      <c r="B38" s="56" t="s">
        <v>124</v>
      </c>
      <c r="C38" s="57">
        <f>IF((SUMIFS(tblKpi[Units made],tblKpi[View date],"&gt;0"))=0,"",(SUMIFS(tblKpi[Good first time],tblKpi[View date],"&gt;0"))/(SUMIFS(tblKpi[Units made],tblKpi[View date],"&gt;0")))</f>
        <v>0.957442444752089</v>
      </c>
      <c r="D38" s="58">
        <f>CHOOSE(2,TargetOTD,TargetFPY,TargetUPLH)</f>
        <v>0.96</v>
      </c>
      <c r="E38" s="37">
        <f>IF(($D$38)=0,"",($C$38)/($D$38))</f>
        <v>0.997335879950093</v>
      </c>
      <c r="F38" s="59">
        <f>CHOOSE(2,WDelivery,WQuality,WProductivity)</f>
        <v>30</v>
      </c>
      <c r="G38" s="60">
        <f>IF($E$38="","",$E$38*$F$38)</f>
        <v>29.9200763985028</v>
      </c>
    </row>
    <row r="39" spans="2:12">
      <c r="B39" s="56" t="s">
        <v>125</v>
      </c>
      <c r="C39" s="57">
        <f>IF((SUMIFS(tblKpi[Labour (h)],tblKpi[View date],"&gt;0"))=0,"",(SUMIFS(tblKpi[Good first time],tblKpi[View date],"&gt;0"))/(SUMIFS(tblKpi[Labour (h)],tblKpi[View date],"&gt;0")))</f>
        <v>2.23218839655722</v>
      </c>
      <c r="D39" s="58">
        <f>CHOOSE(3,TargetOTD,TargetFPY,TargetUPLH)</f>
        <v>2.2</v>
      </c>
      <c r="E39" s="37">
        <f>IF(($D$39)=0,"",($C$39)/($D$39))</f>
        <v>1.01463108934419</v>
      </c>
      <c r="F39" s="59">
        <f>CHOOSE(3,WDelivery,WQuality,WProductivity)</f>
        <v>30</v>
      </c>
      <c r="G39" s="60">
        <f>IF($E$39="","",$E$39*$F$39)</f>
        <v>30.4389326803257</v>
      </c>
    </row>
    <row r="41" spans="2:12">
      <c r="B41" s="54" t="s">
        <v>126</v>
      </c>
      <c r="C41" s="54"/>
      <c r="D41" s="54"/>
      <c r="E41" s="54"/>
      <c r="F41" s="54"/>
      <c r="G41" s="54"/>
      <c r="H41" s="54"/>
      <c r="I41" s="54"/>
      <c r="J41" s="54"/>
      <c r="K41" s="54"/>
      <c r="L41" s="54"/>
    </row>
    <row r="42" spans="2:12" ht="32" customHeight="1">
      <c r="B42" s="55" t="s">
        <v>80</v>
      </c>
      <c r="C42" s="34" t="s">
        <v>92</v>
      </c>
      <c r="D42" s="34" t="s">
        <v>93</v>
      </c>
      <c r="E42" s="34" t="s">
        <v>94</v>
      </c>
      <c r="F42" s="34" t="s">
        <v>127</v>
      </c>
      <c r="G42" s="34" t="s">
        <v>96</v>
      </c>
      <c r="H42" s="34" t="s">
        <v>89</v>
      </c>
      <c r="I42" s="34" t="s">
        <v>128</v>
      </c>
      <c r="J42" s="34" t="s">
        <v>97</v>
      </c>
      <c r="K42" s="34" t="s">
        <v>129</v>
      </c>
      <c r="L42" s="34" t="s">
        <v>130</v>
      </c>
    </row>
    <row r="43" spans="2:12">
      <c r="B43" s="61">
        <f>IF($B$44="","",IFERROR(LARGE(tblKpi[View date],COUNTIF(tblKpi[View date],"&gt;="&amp;$B$44)+1),""))</f>
        <v>46209</v>
      </c>
      <c r="C43" s="37">
        <f>IF($B$43="","",IF((SUMIFS(tblKpi[Orders shipped],tblKpi[View date],$B$43))=0,"",(SUMIFS(tblKpi[Orders on time],tblKpi[View date],$B$43))/(SUMIFS(tblKpi[Orders shipped],tblKpi[View date],$B$43))))</f>
        <v>0.966101694915254</v>
      </c>
      <c r="D43" s="37">
        <f>IF($B$43="","",IF((SUMIFS(tblKpi[Units planned],tblKpi[View date],$B$43))=0,"",(SUMIFS(tblKpi[Good first time],tblKpi[View date],$B$43))/(SUMIFS(tblKpi[Units planned],tblKpi[View date],$B$43))))</f>
        <v>0.939318181818182</v>
      </c>
      <c r="E43" s="37">
        <f>IF($B$43="","",IF((SUMIFS(tblKpi[Units made],tblKpi[View date],$B$43))=0,"",(SUMIFS(tblKpi[Good first time],tblKpi[View date],$B$43))/(SUMIFS(tblKpi[Units made],tblKpi[View date],$B$43))))</f>
        <v>0.935491172476234</v>
      </c>
      <c r="F43" s="38">
        <f>IF($B$43="","",IF((SUMIFS(tblKpi[Labour (h)],tblKpi[View date],$B$43))=0,"",(SUMIFS(tblKpi[Good first time],tblKpi[View date],$B$43))/(SUMIFS(tblKpi[Labour (h)],tblKpi[View date],$B$43))))</f>
        <v>2.17985232067511</v>
      </c>
      <c r="G43" s="37">
        <f>IF($B$43="","",IF((SUMIFS(tblKpi[Planned equipment (h)],tblKpi[View date],$B$43))=0,"",(SUMIFS(tblKpi[Planned equipment (h)],tblKpi[View date],$B$43)-SUMIFS(tblKpi[Unplanned downtime (h)],tblKpi[View date],$B$43))/(SUMIFS(tblKpi[Planned equipment (h)],tblKpi[View date],$B$43))))</f>
        <v>0.952</v>
      </c>
      <c r="H43" s="62">
        <f>IF($B$43="","",SUMIFS(tblKpi[Scrap cost],tblKpi[View date],$B$43))</f>
        <v>5190</v>
      </c>
      <c r="I43" s="62">
        <f>IF($B$43="","",SUMIFS(tblKpi[Recordable incidents],tblKpi[View date],$B$43))</f>
        <v>0</v>
      </c>
      <c r="J43" s="37">
        <f>IF($B$43="","",SUMIFS(tblKpi[Score],tblKpi[View date],$B$43))</f>
        <v>0.996373241598741</v>
      </c>
      <c r="K43" s="63">
        <f>TargetScore</f>
        <v>1</v>
      </c>
      <c r="L43" s="63">
        <f>TargetOTD</f>
        <v>0.95</v>
      </c>
    </row>
    <row r="44" spans="2:12">
      <c r="B44" s="61">
        <f>IF($B$45="","",IFERROR(LARGE(tblKpi[View date],COUNTIF(tblKpi[View date],"&gt;="&amp;$B$45)+1),""))</f>
        <v>46216</v>
      </c>
      <c r="C44" s="37">
        <f>IF($B$44="","",IF((SUMIFS(tblKpi[Orders shipped],tblKpi[View date],$B$44))=0,"",(SUMIFS(tblKpi[Orders on time],tblKpi[View date],$B$44))/(SUMIFS(tblKpi[Orders shipped],tblKpi[View date],$B$44))))</f>
        <v>0.964788732394366</v>
      </c>
      <c r="D44" s="37">
        <f>IF($B$44="","",IF((SUMIFS(tblKpi[Units planned],tblKpi[View date],$B$44))=0,"",(SUMIFS(tblKpi[Good first time],tblKpi[View date],$B$44))/(SUMIFS(tblKpi[Units planned],tblKpi[View date],$B$44))))</f>
        <v>0.949772727272727</v>
      </c>
      <c r="E44" s="37">
        <f>IF($B$44="","",IF((SUMIFS(tblKpi[Units made],tblKpi[View date],$B$44))=0,"",(SUMIFS(tblKpi[Good first time],tblKpi[View date],$B$44))/(SUMIFS(tblKpi[Units made],tblKpi[View date],$B$44))))</f>
        <v>0.939523381294964</v>
      </c>
      <c r="F44" s="38">
        <f>IF($B$44="","",IF((SUMIFS(tblKpi[Labour (h)],tblKpi[View date],$B$44))=0,"",(SUMIFS(tblKpi[Good first time],tblKpi[View date],$B$44))/(SUMIFS(tblKpi[Labour (h)],tblKpi[View date],$B$44))))</f>
        <v>2.14969135802469</v>
      </c>
      <c r="G44" s="37">
        <f>IF($B$44="","",IF((SUMIFS(tblKpi[Planned equipment (h)],tblKpi[View date],$B$44))=0,"",(SUMIFS(tblKpi[Planned equipment (h)],tblKpi[View date],$B$44)-SUMIFS(tblKpi[Unplanned downtime (h)],tblKpi[View date],$B$44))/(SUMIFS(tblKpi[Planned equipment (h)],tblKpi[View date],$B$44))))</f>
        <v>0.903</v>
      </c>
      <c r="H44" s="62">
        <f>IF($B$44="","",SUMIFS(tblKpi[Scrap cost],tblKpi[View date],$B$44))</f>
        <v>5140</v>
      </c>
      <c r="I44" s="62">
        <f>IF($B$44="","",SUMIFS(tblKpi[Recordable incidents],tblKpi[View date],$B$44))</f>
        <v>0</v>
      </c>
      <c r="J44" s="37">
        <f>IF($B$44="","",SUMIFS(tblKpi[Score],tblKpi[View date],$B$44))</f>
        <v>0.992967621986772</v>
      </c>
      <c r="K44" s="63">
        <f>TargetScore</f>
        <v>1</v>
      </c>
      <c r="L44" s="63">
        <f>TargetOTD</f>
        <v>0.95</v>
      </c>
    </row>
    <row r="45" spans="2:12">
      <c r="B45" s="61">
        <f>IF($B$46="","",IFERROR(LARGE(tblKpi[View date],COUNTIF(tblKpi[View date],"&gt;="&amp;$B$46)+1),""))</f>
        <v>46223</v>
      </c>
      <c r="C45" s="37">
        <f>IF($B$45="","",IF((SUMIFS(tblKpi[Orders shipped],tblKpi[View date],$B$45))=0,"",(SUMIFS(tblKpi[Orders on time],tblKpi[View date],$B$45))/(SUMIFS(tblKpi[Orders shipped],tblKpi[View date],$B$45))))</f>
        <v>0.969465648854962</v>
      </c>
      <c r="D45" s="37">
        <f>IF($B$45="","",IF((SUMIFS(tblKpi[Units planned],tblKpi[View date],$B$45))=0,"",(SUMIFS(tblKpi[Good first time],tblKpi[View date],$B$45))/(SUMIFS(tblKpi[Units planned],tblKpi[View date],$B$45))))</f>
        <v>0.934583333333333</v>
      </c>
      <c r="E45" s="37">
        <f>IF($B$45="","",IF((SUMIFS(tblKpi[Units made],tblKpi[View date],$B$45))=0,"",(SUMIFS(tblKpi[Good first time],tblKpi[View date],$B$45))/(SUMIFS(tblKpi[Units made],tblKpi[View date],$B$45))))</f>
        <v>0.950826621449767</v>
      </c>
      <c r="F45" s="38">
        <f>IF($B$45="","",IF((SUMIFS(tblKpi[Labour (h)],tblKpi[View date],$B$45))=0,"",(SUMIFS(tblKpi[Good first time],tblKpi[View date],$B$45))/(SUMIFS(tblKpi[Labour (h)],tblKpi[View date],$B$45))))</f>
        <v>2.29815573770492</v>
      </c>
      <c r="G45" s="37">
        <f>IF($B$45="","",IF((SUMIFS(tblKpi[Planned equipment (h)],tblKpi[View date],$B$45))=0,"",(SUMIFS(tblKpi[Planned equipment (h)],tblKpi[View date],$B$45)-SUMIFS(tblKpi[Unplanned downtime (h)],tblKpi[View date],$B$45))/(SUMIFS(tblKpi[Planned equipment (h)],tblKpi[View date],$B$45))))</f>
        <v>0.89925</v>
      </c>
      <c r="H45" s="62">
        <f>IF($B$45="","",SUMIFS(tblKpi[Scrap cost],tblKpi[View date],$B$45))</f>
        <v>4560</v>
      </c>
      <c r="I45" s="62">
        <f>IF($B$45="","",SUMIFS(tblKpi[Recordable incidents],tblKpi[View date],$B$45))</f>
        <v>0</v>
      </c>
      <c r="J45" s="37">
        <f>IF($B$45="","",SUMIFS(tblKpi[Score],tblKpi[View date],$B$45))</f>
        <v>1.01871425520222</v>
      </c>
      <c r="K45" s="63">
        <f>TargetScore</f>
        <v>1</v>
      </c>
      <c r="L45" s="63">
        <f>TargetOTD</f>
        <v>0.95</v>
      </c>
    </row>
    <row r="46" spans="2:12">
      <c r="B46" s="61">
        <f>IF($B$47="","",IFERROR(LARGE(tblKpi[View date],COUNTIF(tblKpi[View date],"&gt;="&amp;$B$47)+1),""))</f>
        <v>46230</v>
      </c>
      <c r="C46" s="37">
        <f>IF($B$46="","",IF((SUMIFS(tblKpi[Orders shipped],tblKpi[View date],$B$46))=0,"",(SUMIFS(tblKpi[Orders on time],tblKpi[View date],$B$46))/(SUMIFS(tblKpi[Orders shipped],tblKpi[View date],$B$46))))</f>
        <v>0.971428571428571</v>
      </c>
      <c r="D46" s="37">
        <f>IF($B$46="","",IF((SUMIFS(tblKpi[Units planned],tblKpi[View date],$B$46))=0,"",(SUMIFS(tblKpi[Good first time],tblKpi[View date],$B$46))/(SUMIFS(tblKpi[Units planned],tblKpi[View date],$B$46))))</f>
        <v>0.951739130434783</v>
      </c>
      <c r="E46" s="37">
        <f>IF($B$46="","",IF((SUMIFS(tblKpi[Units made],tblKpi[View date],$B$46))=0,"",(SUMIFS(tblKpi[Good first time],tblKpi[View date],$B$46))/(SUMIFS(tblKpi[Units made],tblKpi[View date],$B$46))))</f>
        <v>0.946389969736273</v>
      </c>
      <c r="F46" s="38">
        <f>IF($B$46="","",IF((SUMIFS(tblKpi[Labour (h)],tblKpi[View date],$B$46))=0,"",(SUMIFS(tblKpi[Good first time],tblKpi[View date],$B$46))/(SUMIFS(tblKpi[Labour (h)],tblKpi[View date],$B$46))))</f>
        <v>2.26136363636364</v>
      </c>
      <c r="G46" s="37">
        <f>IF($B$46="","",IF((SUMIFS(tblKpi[Planned equipment (h)],tblKpi[View date],$B$46))=0,"",(SUMIFS(tblKpi[Planned equipment (h)],tblKpi[View date],$B$46)-SUMIFS(tblKpi[Unplanned downtime (h)],tblKpi[View date],$B$46))/(SUMIFS(tblKpi[Planned equipment (h)],tblKpi[View date],$B$46))))</f>
        <v>0.92125</v>
      </c>
      <c r="H46" s="62">
        <f>IF($B$46="","",SUMIFS(tblKpi[Scrap cost],tblKpi[View date],$B$46))</f>
        <v>4900</v>
      </c>
      <c r="I46" s="62">
        <f>IF($B$46="","",SUMIFS(tblKpi[Recordable incidents],tblKpi[View date],$B$46))</f>
        <v>1</v>
      </c>
      <c r="J46" s="37">
        <f>IF($B$46="","",SUMIFS(tblKpi[Score],tblKpi[View date],$B$46))</f>
        <v>1.0131371905286</v>
      </c>
      <c r="K46" s="63">
        <f>TargetScore</f>
        <v>1</v>
      </c>
      <c r="L46" s="63">
        <f>TargetOTD</f>
        <v>0.95</v>
      </c>
    </row>
    <row r="47" spans="2:12">
      <c r="B47" s="61">
        <f>IF($B$48="","",IFERROR(LARGE(tblKpi[View date],COUNTIF(tblKpi[View date],"&gt;="&amp;$B$48)+1),""))</f>
        <v>46237</v>
      </c>
      <c r="C47" s="37">
        <f>IF($B$47="","",IF((SUMIFS(tblKpi[Orders shipped],tblKpi[View date],$B$47))=0,"",(SUMIFS(tblKpi[Orders on time],tblKpi[View date],$B$47))/(SUMIFS(tblKpi[Orders shipped],tblKpi[View date],$B$47))))</f>
        <v>0.826771653543307</v>
      </c>
      <c r="D47" s="37">
        <f>IF($B$47="","",IF((SUMIFS(tblKpi[Units planned],tblKpi[View date],$B$47))=0,"",(SUMIFS(tblKpi[Good first time],tblKpi[View date],$B$47))/(SUMIFS(tblKpi[Units planned],tblKpi[View date],$B$47))))</f>
        <v>0.921875</v>
      </c>
      <c r="E47" s="37">
        <f>IF($B$47="","",IF((SUMIFS(tblKpi[Units made],tblKpi[View date],$B$47))=0,"",(SUMIFS(tblKpi[Good first time],tblKpi[View date],$B$47))/(SUMIFS(tblKpi[Units made],tblKpi[View date],$B$47))))</f>
        <v>0.949774629748873</v>
      </c>
      <c r="F47" s="38">
        <f>IF($B$47="","",IF((SUMIFS(tblKpi[Labour (h)],tblKpi[View date],$B$47))=0,"",(SUMIFS(tblKpi[Good first time],tblKpi[View date],$B$47))/(SUMIFS(tblKpi[Labour (h)],tblKpi[View date],$B$47))))</f>
        <v>2.31433054393305</v>
      </c>
      <c r="G47" s="37">
        <f>IF($B$47="","",IF((SUMIFS(tblKpi[Planned equipment (h)],tblKpi[View date],$B$47))=0,"",(SUMIFS(tblKpi[Planned equipment (h)],tblKpi[View date],$B$47)-SUMIFS(tblKpi[Unplanned downtime (h)],tblKpi[View date],$B$47))/(SUMIFS(tblKpi[Planned equipment (h)],tblKpi[View date],$B$47))))</f>
        <v>0.90325</v>
      </c>
      <c r="H47" s="62">
        <f>IF($B$47="","",SUMIFS(tblKpi[Scrap cost],tblKpi[View date],$B$47))</f>
        <v>4780</v>
      </c>
      <c r="I47" s="62">
        <f>IF($B$47="","",SUMIFS(tblKpi[Recordable incidents],tblKpi[View date],$B$47))</f>
        <v>0</v>
      </c>
      <c r="J47" s="37">
        <f>IF($B$47="","",SUMIFS(tblKpi[Score],tblKpi[View date],$B$47))</f>
        <v>0.960509480953954</v>
      </c>
      <c r="K47" s="63">
        <f>TargetScore</f>
        <v>1</v>
      </c>
      <c r="L47" s="63">
        <f>TargetOTD</f>
        <v>0.95</v>
      </c>
    </row>
    <row r="48" spans="2:12">
      <c r="B48" s="61">
        <f>IF($B$49="","",IFERROR(LARGE(tblKpi[View date],COUNTIF(tblKpi[View date],"&gt;="&amp;$B$49)+1),""))</f>
        <v>46244</v>
      </c>
      <c r="C48" s="37">
        <f>IF($B$48="","",IF((SUMIFS(tblKpi[Orders shipped],tblKpi[View date],$B$48))=0,"",(SUMIFS(tblKpi[Orders on time],tblKpi[View date],$B$48))/(SUMIFS(tblKpi[Orders shipped],tblKpi[View date],$B$48))))</f>
        <v>0.837037037037037</v>
      </c>
      <c r="D48" s="37">
        <f>IF($B$48="","",IF((SUMIFS(tblKpi[Units planned],tblKpi[View date],$B$48))=0,"",(SUMIFS(tblKpi[Good first time],tblKpi[View date],$B$48))/(SUMIFS(tblKpi[Units planned],tblKpi[View date],$B$48))))</f>
        <v>0.864791666666667</v>
      </c>
      <c r="E48" s="37">
        <f>IF($B$48="","",IF((SUMIFS(tblKpi[Units made],tblKpi[View date],$B$48))=0,"",(SUMIFS(tblKpi[Good first time],tblKpi[View date],$B$48))/(SUMIFS(tblKpi[Units made],tblKpi[View date],$B$48))))</f>
        <v>0.940203850509626</v>
      </c>
      <c r="F48" s="38">
        <f>IF($B$48="","",IF((SUMIFS(tblKpi[Labour (h)],tblKpi[View date],$B$48))=0,"",(SUMIFS(tblKpi[Good first time],tblKpi[View date],$B$48))/(SUMIFS(tblKpi[Labour (h)],tblKpi[View date],$B$48))))</f>
        <v>2.17102510460251</v>
      </c>
      <c r="G48" s="37">
        <f>IF($B$48="","",IF((SUMIFS(tblKpi[Planned equipment (h)],tblKpi[View date],$B$48))=0,"",(SUMIFS(tblKpi[Planned equipment (h)],tblKpi[View date],$B$48)-SUMIFS(tblKpi[Unplanned downtime (h)],tblKpi[View date],$B$48))/(SUMIFS(tblKpi[Planned equipment (h)],tblKpi[View date],$B$48))))</f>
        <v>0.914</v>
      </c>
      <c r="H48" s="62">
        <f>IF($B$48="","",SUMIFS(tblKpi[Scrap cost],tblKpi[View date],$B$48))</f>
        <v>5420</v>
      </c>
      <c r="I48" s="62">
        <f>IF($B$48="","",SUMIFS(tblKpi[Recordable incidents],tblKpi[View date],$B$48))</f>
        <v>0</v>
      </c>
      <c r="J48" s="37">
        <f>IF($B$48="","",SUMIFS(tblKpi[Score],tblKpi[View date],$B$48))</f>
        <v>0.94229922835809</v>
      </c>
      <c r="K48" s="63">
        <f>TargetScore</f>
        <v>1</v>
      </c>
      <c r="L48" s="63">
        <f>TargetOTD</f>
        <v>0.95</v>
      </c>
    </row>
    <row r="49" spans="2:12">
      <c r="B49" s="61">
        <f>IF($B$50="","",IFERROR(LARGE(tblKpi[View date],COUNTIF(tblKpi[View date],"&gt;="&amp;$B$50)+1),""))</f>
        <v>46251</v>
      </c>
      <c r="C49" s="37">
        <f>IF($B$49="","",IF((SUMIFS(tblKpi[Orders shipped],tblKpi[View date],$B$49))=0,"",(SUMIFS(tblKpi[Orders on time],tblKpi[View date],$B$49))/(SUMIFS(tblKpi[Orders shipped],tblKpi[View date],$B$49))))</f>
        <v>0.857142857142857</v>
      </c>
      <c r="D49" s="37">
        <f>IF($B$49="","",IF((SUMIFS(tblKpi[Units planned],tblKpi[View date],$B$49))=0,"",(SUMIFS(tblKpi[Good first time],tblKpi[View date],$B$49))/(SUMIFS(tblKpi[Units planned],tblKpi[View date],$B$49))))</f>
        <v>0.88</v>
      </c>
      <c r="E49" s="37">
        <f>IF($B$49="","",IF((SUMIFS(tblKpi[Units made],tblKpi[View date],$B$49))=0,"",(SUMIFS(tblKpi[Good first time],tblKpi[View date],$B$49))/(SUMIFS(tblKpi[Units made],tblKpi[View date],$B$49))))</f>
        <v>0.945573464143892</v>
      </c>
      <c r="F49" s="38">
        <f>IF($B$49="","",IF((SUMIFS(tblKpi[Labour (h)],tblKpi[View date],$B$49))=0,"",(SUMIFS(tblKpi[Good first time],tblKpi[View date],$B$49))/(SUMIFS(tblKpi[Labour (h)],tblKpi[View date],$B$49))))</f>
        <v>2.07377049180328</v>
      </c>
      <c r="G49" s="37">
        <f>IF($B$49="","",IF((SUMIFS(tblKpi[Planned equipment (h)],tblKpi[View date],$B$49))=0,"",(SUMIFS(tblKpi[Planned equipment (h)],tblKpi[View date],$B$49)-SUMIFS(tblKpi[Unplanned downtime (h)],tblKpi[View date],$B$49))/(SUMIFS(tblKpi[Planned equipment (h)],tblKpi[View date],$B$49))))</f>
        <v>0.8965</v>
      </c>
      <c r="H49" s="62">
        <f>IF($B$49="","",SUMIFS(tblKpi[Scrap cost],tblKpi[View date],$B$49))</f>
        <v>4000</v>
      </c>
      <c r="I49" s="62">
        <f>IF($B$49="","",SUMIFS(tblKpi[Recordable incidents],tblKpi[View date],$B$49))</f>
        <v>0</v>
      </c>
      <c r="J49" s="37">
        <f>IF($B$49="","",SUMIFS(tblKpi[Score],tblKpi[View date],$B$49))</f>
        <v>0.939180848429966</v>
      </c>
      <c r="K49" s="63">
        <f>TargetScore</f>
        <v>1</v>
      </c>
      <c r="L49" s="63">
        <f>TargetOTD</f>
        <v>0.95</v>
      </c>
    </row>
    <row r="50" spans="2:12">
      <c r="B50" s="61">
        <f>IF($B$51="","",IFERROR(LARGE(tblKpi[View date],COUNTIF(tblKpi[View date],"&gt;="&amp;$B$51)+1),""))</f>
        <v>46258</v>
      </c>
      <c r="C50" s="37">
        <f>IF($B$50="","",IF((SUMIFS(tblKpi[Orders shipped],tblKpi[View date],$B$50))=0,"",(SUMIFS(tblKpi[Orders on time],tblKpi[View date],$B$50))/(SUMIFS(tblKpi[Orders shipped],tblKpi[View date],$B$50))))</f>
        <v>0.957983193277311</v>
      </c>
      <c r="D50" s="37">
        <f>IF($B$50="","",IF((SUMIFS(tblKpi[Units planned],tblKpi[View date],$B$50))=0,"",(SUMIFS(tblKpi[Good first time],tblKpi[View date],$B$50))/(SUMIFS(tblKpi[Units planned],tblKpi[View date],$B$50))))</f>
        <v>0.995625</v>
      </c>
      <c r="E50" s="37">
        <f>IF($B$50="","",IF((SUMIFS(tblKpi[Units made],tblKpi[View date],$B$50))=0,"",(SUMIFS(tblKpi[Good first time],tblKpi[View date],$B$50))/(SUMIFS(tblKpi[Units made],tblKpi[View date],$B$50))))</f>
        <v>0.977700490998363</v>
      </c>
      <c r="F50" s="38">
        <f>IF($B$50="","",IF((SUMIFS(tblKpi[Labour (h)],tblKpi[View date],$B$50))=0,"",(SUMIFS(tblKpi[Good first time],tblKpi[View date],$B$50))/(SUMIFS(tblKpi[Labour (h)],tblKpi[View date],$B$50))))</f>
        <v>2.46849173553719</v>
      </c>
      <c r="G50" s="37">
        <f>IF($B$50="","",IF((SUMIFS(tblKpi[Planned equipment (h)],tblKpi[View date],$B$50))=0,"",(SUMIFS(tblKpi[Planned equipment (h)],tblKpi[View date],$B$50)-SUMIFS(tblKpi[Unplanned downtime (h)],tblKpi[View date],$B$50))/(SUMIFS(tblKpi[Planned equipment (h)],tblKpi[View date],$B$50))))</f>
        <v>0.9345</v>
      </c>
      <c r="H50" s="62">
        <f>IF($B$50="","",SUMIFS(tblKpi[Scrap cost],tblKpi[View date],$B$50))</f>
        <v>2150</v>
      </c>
      <c r="I50" s="62">
        <f>IF($B$50="","",SUMIFS(tblKpi[Recordable incidents],tblKpi[View date],$B$50))</f>
        <v>0</v>
      </c>
      <c r="J50" s="37">
        <f>IF($B$50="","",SUMIFS(tblKpi[Score],tblKpi[View date],$B$50))</f>
        <v>1.04550525736624</v>
      </c>
      <c r="K50" s="63">
        <f>TargetScore</f>
        <v>1</v>
      </c>
      <c r="L50" s="63">
        <f>TargetOTD</f>
        <v>0.95</v>
      </c>
    </row>
    <row r="51" spans="2:12">
      <c r="B51" s="61">
        <f>IF($B$52="","",IFERROR(LARGE(tblKpi[View date],COUNTIF(tblKpi[View date],"&gt;="&amp;$B$52)+1),""))</f>
        <v>46265</v>
      </c>
      <c r="C51" s="37">
        <f>IF($B$51="","",IF((SUMIFS(tblKpi[Orders shipped],tblKpi[View date],$B$51))=0,"",(SUMIFS(tblKpi[Orders on time],tblKpi[View date],$B$51))/(SUMIFS(tblKpi[Orders shipped],tblKpi[View date],$B$51))))</f>
        <v>0.977611940298508</v>
      </c>
      <c r="D51" s="37">
        <f>IF($B$51="","",IF((SUMIFS(tblKpi[Units planned],tblKpi[View date],$B$51))=0,"",(SUMIFS(tblKpi[Good first time],tblKpi[View date],$B$51))/(SUMIFS(tblKpi[Units planned],tblKpi[View date],$B$51))))</f>
        <v>0.981190476190476</v>
      </c>
      <c r="E51" s="37">
        <f>IF($B$51="","",IF((SUMIFS(tblKpi[Units made],tblKpi[View date],$B$51))=0,"",(SUMIFS(tblKpi[Good first time],tblKpi[View date],$B$51))/(SUMIFS(tblKpi[Units made],tblKpi[View date],$B$51))))</f>
        <v>0.975384615384615</v>
      </c>
      <c r="F51" s="38">
        <f>IF($B$51="","",IF((SUMIFS(tblKpi[Labour (h)],tblKpi[View date],$B$51))=0,"",(SUMIFS(tblKpi[Good first time],tblKpi[View date],$B$51))/(SUMIFS(tblKpi[Labour (h)],tblKpi[View date],$B$51))))</f>
        <v>2.12861570247934</v>
      </c>
      <c r="G51" s="37">
        <f>IF($B$51="","",IF((SUMIFS(tblKpi[Planned equipment (h)],tblKpi[View date],$B$51))=0,"",(SUMIFS(tblKpi[Planned equipment (h)],tblKpi[View date],$B$51)-SUMIFS(tblKpi[Unplanned downtime (h)],tblKpi[View date],$B$51))/(SUMIFS(tblKpi[Planned equipment (h)],tblKpi[View date],$B$51))))</f>
        <v>0.91325</v>
      </c>
      <c r="H51" s="62">
        <f>IF($B$51="","",SUMIFS(tblKpi[Scrap cost],tblKpi[View date],$B$51))</f>
        <v>2050</v>
      </c>
      <c r="I51" s="62">
        <f>IF($B$51="","",SUMIFS(tblKpi[Recordable incidents],tblKpi[View date],$B$51))</f>
        <v>0</v>
      </c>
      <c r="J51" s="37">
        <f>IF($B$51="","",SUMIFS(tblKpi[Score],tblKpi[View date],$B$51))</f>
        <v>1.0066995500442</v>
      </c>
      <c r="K51" s="63">
        <f>TargetScore</f>
        <v>1</v>
      </c>
      <c r="L51" s="63">
        <f>TargetOTD</f>
        <v>0.95</v>
      </c>
    </row>
    <row r="52" spans="2:12">
      <c r="B52" s="61">
        <f>IF($B$53="","",IFERROR(LARGE(tblKpi[View date],COUNTIF(tblKpi[View date],"&gt;="&amp;$B$53)+1),""))</f>
        <v>46272</v>
      </c>
      <c r="C52" s="37">
        <f>IF($B$52="","",IF((SUMIFS(tblKpi[Orders shipped],tblKpi[View date],$B$52))=0,"",(SUMIFS(tblKpi[Orders on time],tblKpi[View date],$B$52))/(SUMIFS(tblKpi[Orders shipped],tblKpi[View date],$B$52))))</f>
        <v>0.967479674796748</v>
      </c>
      <c r="D52" s="37">
        <f>IF($B$52="","",IF((SUMIFS(tblKpi[Units planned],tblKpi[View date],$B$52))=0,"",(SUMIFS(tblKpi[Good first time],tblKpi[View date],$B$52))/(SUMIFS(tblKpi[Units planned],tblKpi[View date],$B$52))))</f>
        <v>0.960833333333333</v>
      </c>
      <c r="E52" s="37">
        <f>IF($B$52="","",IF((SUMIFS(tblKpi[Units made],tblKpi[View date],$B$52))=0,"",(SUMIFS(tblKpi[Good first time],tblKpi[View date],$B$52))/(SUMIFS(tblKpi[Units made],tblKpi[View date],$B$52))))</f>
        <v>0.96890756302521</v>
      </c>
      <c r="F52" s="38">
        <f>IF($B$52="","",IF((SUMIFS(tblKpi[Labour (h)],tblKpi[View date],$B$52))=0,"",(SUMIFS(tblKpi[Good first time],tblKpi[View date],$B$52))/(SUMIFS(tblKpi[Labour (h)],tblKpi[View date],$B$52))))</f>
        <v>2.44279661016949</v>
      </c>
      <c r="G52" s="37">
        <f>IF($B$52="","",IF((SUMIFS(tblKpi[Planned equipment (h)],tblKpi[View date],$B$52))=0,"",(SUMIFS(tblKpi[Planned equipment (h)],tblKpi[View date],$B$52)-SUMIFS(tblKpi[Unplanned downtime (h)],tblKpi[View date],$B$52))/(SUMIFS(tblKpi[Planned equipment (h)],tblKpi[View date],$B$52))))</f>
        <v>0.90675</v>
      </c>
      <c r="H52" s="62">
        <f>IF($B$52="","",SUMIFS(tblKpi[Scrap cost],tblKpi[View date],$B$52))</f>
        <v>3070</v>
      </c>
      <c r="I52" s="62">
        <f>IF($B$52="","",SUMIFS(tblKpi[Recordable incidents],tblKpi[View date],$B$52))</f>
        <v>0</v>
      </c>
      <c r="J52" s="37">
        <f>IF($B$52="","",SUMIFS(tblKpi[Score],tblKpi[View date],$B$52))</f>
        <v>1.04325210517717</v>
      </c>
      <c r="K52" s="63">
        <f>TargetScore</f>
        <v>1</v>
      </c>
      <c r="L52" s="63">
        <f>TargetOTD</f>
        <v>0.95</v>
      </c>
    </row>
    <row r="53" spans="2:12">
      <c r="B53" s="61">
        <f>IF($B$54="","",IFERROR(LARGE(tblKpi[View date],COUNTIF(tblKpi[View date],"&gt;="&amp;$B$54)+1),""))</f>
        <v>46279</v>
      </c>
      <c r="C53" s="37">
        <f>IF($B$53="","",IF((SUMIFS(tblKpi[Orders shipped],tblKpi[View date],$B$53))=0,"",(SUMIFS(tblKpi[Orders on time],tblKpi[View date],$B$53))/(SUMIFS(tblKpi[Orders shipped],tblKpi[View date],$B$53))))</f>
        <v>0.974576271186441</v>
      </c>
      <c r="D53" s="37">
        <f>IF($B$53="","",IF((SUMIFS(tblKpi[Units planned],tblKpi[View date],$B$53))=0,"",(SUMIFS(tblKpi[Good first time],tblKpi[View date],$B$53))/(SUMIFS(tblKpi[Units planned],tblKpi[View date],$B$53))))</f>
        <v>0.969047619047619</v>
      </c>
      <c r="E53" s="37">
        <f>IF($B$53="","",IF((SUMIFS(tblKpi[Units made],tblKpi[View date],$B$53))=0,"",(SUMIFS(tblKpi[Good first time],tblKpi[View date],$B$53))/(SUMIFS(tblKpi[Units made],tblKpi[View date],$B$53))))</f>
        <v>0.97672186225102</v>
      </c>
      <c r="F53" s="38">
        <f>IF($B$53="","",IF((SUMIFS(tblKpi[Labour (h)],tblKpi[View date],$B$53))=0,"",(SUMIFS(tblKpi[Good first time],tblKpi[View date],$B$53))/(SUMIFS(tblKpi[Labour (h)],tblKpi[View date],$B$53))))</f>
        <v>2.0765306122449</v>
      </c>
      <c r="G53" s="37">
        <f>IF($B$53="","",IF((SUMIFS(tblKpi[Planned equipment (h)],tblKpi[View date],$B$53))=0,"",(SUMIFS(tblKpi[Planned equipment (h)],tblKpi[View date],$B$53)-SUMIFS(tblKpi[Unplanned downtime (h)],tblKpi[View date],$B$53))/(SUMIFS(tblKpi[Planned equipment (h)],tblKpi[View date],$B$53))))</f>
        <v>0.89625</v>
      </c>
      <c r="H53" s="62">
        <f>IF($B$53="","",SUMIFS(tblKpi[Scrap cost],tblKpi[View date],$B$53))</f>
        <v>1950</v>
      </c>
      <c r="I53" s="62">
        <f>IF($B$53="","",SUMIFS(tblKpi[Recordable incidents],tblKpi[View date],$B$53))</f>
        <v>0</v>
      </c>
      <c r="J53" s="37">
        <f>IF($B$53="","",SUMIFS(tblKpi[Score],tblKpi[View date],$B$53))</f>
        <v>0.998736750917015</v>
      </c>
      <c r="K53" s="63">
        <f>TargetScore</f>
        <v>1</v>
      </c>
      <c r="L53" s="63">
        <f>TargetOTD</f>
        <v>0.95</v>
      </c>
    </row>
    <row r="54" spans="2:12">
      <c r="B54" s="61">
        <f>IF($B$55="","",IFERROR(LARGE(tblKpi[View date],COUNTIF(tblKpi[View date],"&gt;="&amp;$B$55)+1),""))</f>
        <v>46286</v>
      </c>
      <c r="C54" s="37">
        <f>IF($B$54="","",IF((SUMIFS(tblKpi[Orders shipped],tblKpi[View date],$B$54))=0,"",(SUMIFS(tblKpi[Orders on time],tblKpi[View date],$B$54))/(SUMIFS(tblKpi[Orders shipped],tblKpi[View date],$B$54))))</f>
        <v>0.971223021582734</v>
      </c>
      <c r="D54" s="37">
        <f>IF($B$54="","",IF((SUMIFS(tblKpi[Units planned],tblKpi[View date],$B$54))=0,"",(SUMIFS(tblKpi[Good first time],tblKpi[View date],$B$54))/(SUMIFS(tblKpi[Units planned],tblKpi[View date],$B$54))))</f>
        <v>0.93</v>
      </c>
      <c r="E54" s="37">
        <f>IF($B$54="","",IF((SUMIFS(tblKpi[Units made],tblKpi[View date],$B$54))=0,"",(SUMIFS(tblKpi[Good first time],tblKpi[View date],$B$54))/(SUMIFS(tblKpi[Units made],tblKpi[View date],$B$54))))</f>
        <v>0.971068087883402</v>
      </c>
      <c r="F54" s="38">
        <f>IF($B$54="","",IF((SUMIFS(tblKpi[Labour (h)],tblKpi[View date],$B$54))=0,"",(SUMIFS(tblKpi[Good first time],tblKpi[View date],$B$54))/(SUMIFS(tblKpi[Labour (h)],tblKpi[View date],$B$54))))</f>
        <v>2.30578512396694</v>
      </c>
      <c r="G54" s="37">
        <f>IF($B$54="","",IF((SUMIFS(tblKpi[Planned equipment (h)],tblKpi[View date],$B$54))=0,"",(SUMIFS(tblKpi[Planned equipment (h)],tblKpi[View date],$B$54)-SUMIFS(tblKpi[Unplanned downtime (h)],tblKpi[View date],$B$54))/(SUMIFS(tblKpi[Planned equipment (h)],tblKpi[View date],$B$54))))</f>
        <v>0.89975</v>
      </c>
      <c r="H54" s="62">
        <f>IF($B$54="","",SUMIFS(tblKpi[Scrap cost],tblKpi[View date],$B$54))</f>
        <v>2550</v>
      </c>
      <c r="I54" s="62">
        <f>IF($B$54="","",SUMIFS(tblKpi[Recordable incidents],tblKpi[View date],$B$54))</f>
        <v>0</v>
      </c>
      <c r="J54" s="37">
        <f>IF($B$54="","",SUMIFS(tblKpi[Score],tblKpi[View date],$B$54))</f>
        <v>1.02682003072834</v>
      </c>
      <c r="K54" s="63">
        <f>TargetScore</f>
        <v>1</v>
      </c>
      <c r="L54" s="63">
        <f>TargetOTD</f>
        <v>0.95</v>
      </c>
    </row>
    <row r="55" spans="2:12">
      <c r="B55" s="61">
        <f>IF(COUNT(tblKpi[View date])=0,"",MAX(tblKpi[View date]))</f>
        <v>46293</v>
      </c>
      <c r="C55" s="37">
        <f>IF($B$55="","",IF((SUMIFS(tblKpi[Orders shipped],tblKpi[View date],$B$55))=0,"",(SUMIFS(tblKpi[Orders on time],tblKpi[View date],$B$55))/(SUMIFS(tblKpi[Orders shipped],tblKpi[View date],$B$55))))</f>
        <v>0.977777777777778</v>
      </c>
      <c r="D55" s="37">
        <f>IF($B$55="","",IF((SUMIFS(tblKpi[Units planned],tblKpi[View date],$B$55))=0,"",(SUMIFS(tblKpi[Good first time],tblKpi[View date],$B$55))/(SUMIFS(tblKpi[Units planned],tblKpi[View date],$B$55))))</f>
        <v>0.907173913043478</v>
      </c>
      <c r="E55" s="37">
        <f>IF($B$55="","",IF((SUMIFS(tblKpi[Units made],tblKpi[View date],$B$55))=0,"",(SUMIFS(tblKpi[Good first time],tblKpi[View date],$B$55))/(SUMIFS(tblKpi[Units made],tblKpi[View date],$B$55))))</f>
        <v>0.968887856977014</v>
      </c>
      <c r="F55" s="38">
        <f>IF($B$55="","",IF((SUMIFS(tblKpi[Labour (h)],tblKpi[View date],$B$55))=0,"",(SUMIFS(tblKpi[Good first time],tblKpi[View date],$B$55))/(SUMIFS(tblKpi[Labour (h)],tblKpi[View date],$B$55))))</f>
        <v>2.15547520661157</v>
      </c>
      <c r="G55" s="37">
        <f>IF($B$55="","",IF((SUMIFS(tblKpi[Planned equipment (h)],tblKpi[View date],$B$55))=0,"",(SUMIFS(tblKpi[Planned equipment (h)],tblKpi[View date],$B$55)-SUMIFS(tblKpi[Unplanned downtime (h)],tblKpi[View date],$B$55))/(SUMIFS(tblKpi[Planned equipment (h)],tblKpi[View date],$B$55))))</f>
        <v>0.922</v>
      </c>
      <c r="H55" s="62">
        <f>IF($B$55="","",SUMIFS(tblKpi[Scrap cost],tblKpi[View date],$B$55))</f>
        <v>2620</v>
      </c>
      <c r="I55" s="62">
        <f>IF($B$55="","",SUMIFS(tblKpi[Recordable incidents],tblKpi[View date],$B$55))</f>
        <v>0</v>
      </c>
      <c r="J55" s="37">
        <f>IF($B$55="","",SUMIFS(tblKpi[Score],tblKpi[View date],$B$55))</f>
        <v>1.00840179900328</v>
      </c>
      <c r="K55" s="63">
        <f>TargetScore</f>
        <v>1</v>
      </c>
      <c r="L55" s="63">
        <f>TargetOTD</f>
        <v>0.95</v>
      </c>
    </row>
    <row r="56" spans="2:12" ht="8" customHeight="1"/>
    <row r="57" spans="2:12">
      <c r="B57" s="21" t="s">
        <v>131</v>
      </c>
      <c r="C57" s="21"/>
      <c r="D57" s="21"/>
      <c r="E57" s="21"/>
      <c r="F57" s="21"/>
      <c r="G57" s="21"/>
      <c r="H57" s="21"/>
      <c r="I57" s="21"/>
      <c r="J57" s="21"/>
      <c r="K57" s="21"/>
      <c r="L57" s="21"/>
    </row>
  </sheetData>
  <sheetProtection sheet="1" formatColumns="0" formatRows="0"/>
  <mergeCells count="41">
    <mergeCell ref="A1:L1"/>
    <mergeCell ref="B2:J2"/>
    <mergeCell ref="K2:L2"/>
    <mergeCell ref="C4:D4"/>
    <mergeCell ref="I4:J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G35"/>
    <mergeCell ref="B41:L41"/>
    <mergeCell ref="B57:L57"/>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B33">
    <cfRule type="cellIs" dxfId="0" priority="81" operator="equal">
      <formula>"On target"</formula>
    </cfRule>
    <cfRule type="cellIs" dxfId="0" priority="82" operator="equal">
      <formula>"PASS"</formula>
    </cfRule>
    <cfRule type="cellIs" dxfId="0" priority="83" operator="equal">
      <formula>"OK"</formula>
    </cfRule>
    <cfRule type="cellIs" dxfId="0" priority="84" operator="equal">
      <formula>"Within limits"</formula>
    </cfRule>
    <cfRule type="cellIs" dxfId="0" priority="85" operator="equal">
      <formula>"Under capacity"</formula>
    </cfRule>
    <cfRule type="cellIs" dxfId="0" priority="86" operator="equal">
      <formula>"Complete"</formula>
    </cfRule>
    <cfRule type="cellIs" dxfId="0" priority="87" operator="equal">
      <formula>"Yes"</formula>
    </cfRule>
    <cfRule type="cellIs" dxfId="1" priority="88" operator="equal">
      <formula>"Near target"</formula>
    </cfRule>
    <cfRule type="cellIs" dxfId="1" priority="89" operator="equal">
      <formula>"Check"</formula>
    </cfRule>
    <cfRule type="cellIs" dxfId="1" priority="90" operator="equal">
      <formula>"Due soon"</formula>
    </cfRule>
    <cfRule type="cellIs" dxfId="1" priority="91" operator="equal">
      <formula>"Near capacity"</formula>
    </cfRule>
    <cfRule type="cellIs" dxfId="1" priority="92" operator="equal">
      <formula>"In progress"</formula>
    </cfRule>
    <cfRule type="cellIs" dxfId="1" priority="93" operator="equal">
      <formula>"Partial"</formula>
    </cfRule>
    <cfRule type="cellIs" dxfId="2" priority="94" operator="equal">
      <formula>"Below target"</formula>
    </cfRule>
    <cfRule type="cellIs" dxfId="2" priority="95" operator="equal">
      <formula>"Above target"</formula>
    </cfRule>
    <cfRule type="cellIs" dxfId="2" priority="96" operator="equal">
      <formula>"FAIL"</formula>
    </cfRule>
    <cfRule type="cellIs" dxfId="2" priority="97" operator="equal">
      <formula>"Over capacity"</formula>
    </cfRule>
    <cfRule type="cellIs" dxfId="2" priority="98" operator="equal">
      <formula>"Overdue"</formula>
    </cfRule>
    <cfRule type="cellIs" dxfId="2" priority="99" operator="equal">
      <formula>"Out of limits"</formula>
    </cfRule>
    <cfRule type="cellIs" dxfId="2" priority="100" operator="equal">
      <formula>"No"</formula>
    </cfRule>
  </conditionalFormatting>
  <conditionalFormatting sqref="C43:C55">
    <cfRule type="expression" dxfId="3" priority="164" stopIfTrue="1">
      <formula>AND(ISNUMBER(C43),C43&gt;=(TargetOTD))</formula>
    </cfRule>
    <cfRule type="expression" dxfId="4" priority="165" stopIfTrue="1">
      <formula>AND(ISNUMBER(C43),C43&gt;=(TargetOTD)*(1-0.05))</formula>
    </cfRule>
    <cfRule type="expression" dxfId="5" priority="166">
      <formula>ISNUMBER(C43)</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33">
    <cfRule type="cellIs" dxfId="0" priority="101" operator="equal">
      <formula>"On target"</formula>
    </cfRule>
    <cfRule type="cellIs" dxfId="0" priority="102" operator="equal">
      <formula>"PASS"</formula>
    </cfRule>
    <cfRule type="cellIs" dxfId="0" priority="103" operator="equal">
      <formula>"OK"</formula>
    </cfRule>
    <cfRule type="cellIs" dxfId="0" priority="104" operator="equal">
      <formula>"Within limits"</formula>
    </cfRule>
    <cfRule type="cellIs" dxfId="0" priority="105" operator="equal">
      <formula>"Under capacity"</formula>
    </cfRule>
    <cfRule type="cellIs" dxfId="0" priority="106" operator="equal">
      <formula>"Complete"</formula>
    </cfRule>
    <cfRule type="cellIs" dxfId="0" priority="107" operator="equal">
      <formula>"Yes"</formula>
    </cfRule>
    <cfRule type="cellIs" dxfId="1" priority="108" operator="equal">
      <formula>"Near target"</formula>
    </cfRule>
    <cfRule type="cellIs" dxfId="1" priority="109" operator="equal">
      <formula>"Check"</formula>
    </cfRule>
    <cfRule type="cellIs" dxfId="1" priority="110" operator="equal">
      <formula>"Due soon"</formula>
    </cfRule>
    <cfRule type="cellIs" dxfId="1" priority="111" operator="equal">
      <formula>"Near capacity"</formula>
    </cfRule>
    <cfRule type="cellIs" dxfId="1" priority="112" operator="equal">
      <formula>"In progress"</formula>
    </cfRule>
    <cfRule type="cellIs" dxfId="1" priority="113" operator="equal">
      <formula>"Partial"</formula>
    </cfRule>
    <cfRule type="cellIs" dxfId="2" priority="114" operator="equal">
      <formula>"Below target"</formula>
    </cfRule>
    <cfRule type="cellIs" dxfId="2" priority="115" operator="equal">
      <formula>"Above target"</formula>
    </cfRule>
    <cfRule type="cellIs" dxfId="2" priority="116" operator="equal">
      <formula>"FAIL"</formula>
    </cfRule>
    <cfRule type="cellIs" dxfId="2" priority="117" operator="equal">
      <formula>"Over capacity"</formula>
    </cfRule>
    <cfRule type="cellIs" dxfId="2" priority="118" operator="equal">
      <formula>"Overdue"</formula>
    </cfRule>
    <cfRule type="cellIs" dxfId="2" priority="119" operator="equal">
      <formula>"Out of limits"</formula>
    </cfRule>
    <cfRule type="cellIs" dxfId="2" priority="120" operator="equal">
      <formula>"No"</formula>
    </cfRule>
  </conditionalFormatting>
  <conditionalFormatting sqref="D43:D55">
    <cfRule type="expression" dxfId="3" priority="167" stopIfTrue="1">
      <formula>AND(ISNUMBER(D43),D43&gt;=(TargetAttain))</formula>
    </cfRule>
    <cfRule type="expression" dxfId="4" priority="168" stopIfTrue="1">
      <formula>AND(ISNUMBER(D43),D43&gt;=(TargetAttain)*(1-0.05))</formula>
    </cfRule>
    <cfRule type="expression" dxfId="5" priority="169">
      <formula>ISNUMBER(D43)</formula>
    </cfRule>
  </conditionalFormatting>
  <conditionalFormatting sqref="E37:E39">
    <cfRule type="expression" dxfId="3" priority="161" stopIfTrue="1">
      <formula>AND(ISNUMBER(E37),E37&gt;=(1))</formula>
    </cfRule>
    <cfRule type="expression" dxfId="4" priority="162" stopIfTrue="1">
      <formula>AND(ISNUMBER(E37),E37&gt;=(1)*(1-0.05))</formula>
    </cfRule>
    <cfRule type="expression" dxfId="5" priority="163">
      <formula>ISNUMBER(E37)</formula>
    </cfRule>
  </conditionalFormatting>
  <conditionalFormatting sqref="E43:E55">
    <cfRule type="expression" dxfId="3" priority="170" stopIfTrue="1">
      <formula>AND(ISNUMBER(E43),E43&gt;=(TargetFPY))</formula>
    </cfRule>
    <cfRule type="expression" dxfId="4" priority="171" stopIfTrue="1">
      <formula>AND(ISNUMBER(E43),E43&gt;=(TargetFPY)*(1-0.05))</formula>
    </cfRule>
    <cfRule type="expression" dxfId="5" priority="172">
      <formula>ISNUMBER(E43)</formula>
    </cfRule>
  </conditionalFormatting>
  <conditionalFormatting sqref="F43:F55">
    <cfRule type="expression" dxfId="3" priority="173" stopIfTrue="1">
      <formula>AND(ISNUMBER(F43),F43&gt;=(TargetUPLH))</formula>
    </cfRule>
    <cfRule type="expression" dxfId="4" priority="174" stopIfTrue="1">
      <formula>AND(ISNUMBER(F43),F43&gt;=(TargetUPLH)*(1-0.05))</formula>
    </cfRule>
    <cfRule type="expression" dxfId="5" priority="175">
      <formula>ISNUMBER(F43)</formula>
    </cfRule>
  </conditionalFormatting>
  <conditionalFormatting sqref="G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33">
    <cfRule type="cellIs" dxfId="0" priority="121" operator="equal">
      <formula>"On target"</formula>
    </cfRule>
    <cfRule type="cellIs" dxfId="0" priority="122" operator="equal">
      <formula>"PASS"</formula>
    </cfRule>
    <cfRule type="cellIs" dxfId="0" priority="123" operator="equal">
      <formula>"OK"</formula>
    </cfRule>
    <cfRule type="cellIs" dxfId="0" priority="124" operator="equal">
      <formula>"Within limits"</formula>
    </cfRule>
    <cfRule type="cellIs" dxfId="0" priority="125" operator="equal">
      <formula>"Under capacity"</formula>
    </cfRule>
    <cfRule type="cellIs" dxfId="0" priority="126" operator="equal">
      <formula>"Complete"</formula>
    </cfRule>
    <cfRule type="cellIs" dxfId="0" priority="127" operator="equal">
      <formula>"Yes"</formula>
    </cfRule>
    <cfRule type="cellIs" dxfId="1" priority="128" operator="equal">
      <formula>"Near target"</formula>
    </cfRule>
    <cfRule type="cellIs" dxfId="1" priority="129" operator="equal">
      <formula>"Check"</formula>
    </cfRule>
    <cfRule type="cellIs" dxfId="1" priority="130" operator="equal">
      <formula>"Due soon"</formula>
    </cfRule>
    <cfRule type="cellIs" dxfId="1" priority="131" operator="equal">
      <formula>"Near capacity"</formula>
    </cfRule>
    <cfRule type="cellIs" dxfId="1" priority="132" operator="equal">
      <formula>"In progress"</formula>
    </cfRule>
    <cfRule type="cellIs" dxfId="1" priority="133" operator="equal">
      <formula>"Partial"</formula>
    </cfRule>
    <cfRule type="cellIs" dxfId="2" priority="134" operator="equal">
      <formula>"Below target"</formula>
    </cfRule>
    <cfRule type="cellIs" dxfId="2" priority="135" operator="equal">
      <formula>"Above target"</formula>
    </cfRule>
    <cfRule type="cellIs" dxfId="2" priority="136" operator="equal">
      <formula>"FAIL"</formula>
    </cfRule>
    <cfRule type="cellIs" dxfId="2" priority="137" operator="equal">
      <formula>"Over capacity"</formula>
    </cfRule>
    <cfRule type="cellIs" dxfId="2" priority="138" operator="equal">
      <formula>"Overdue"</formula>
    </cfRule>
    <cfRule type="cellIs" dxfId="2" priority="139" operator="equal">
      <formula>"Out of limits"</formula>
    </cfRule>
    <cfRule type="cellIs" dxfId="2" priority="140" operator="equal">
      <formula>"No"</formula>
    </cfRule>
  </conditionalFormatting>
  <conditionalFormatting sqref="G43:G55">
    <cfRule type="expression" dxfId="3" priority="176" stopIfTrue="1">
      <formula>AND(ISNUMBER(G43),G43&gt;=(TargetAvail))</formula>
    </cfRule>
    <cfRule type="expression" dxfId="4" priority="177" stopIfTrue="1">
      <formula>AND(ISNUMBER(G43),G43&gt;=(TargetAvail)*(1-0.05))</formula>
    </cfRule>
    <cfRule type="expression" dxfId="5" priority="178">
      <formula>ISNUMBER(G43)</formula>
    </cfRule>
  </conditionalFormatting>
  <conditionalFormatting sqref="J11">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J33">
    <cfRule type="cellIs" dxfId="0" priority="141" operator="equal">
      <formula>"On target"</formula>
    </cfRule>
    <cfRule type="cellIs" dxfId="0" priority="142" operator="equal">
      <formula>"PASS"</formula>
    </cfRule>
    <cfRule type="cellIs" dxfId="0" priority="143" operator="equal">
      <formula>"OK"</formula>
    </cfRule>
    <cfRule type="cellIs" dxfId="0" priority="144" operator="equal">
      <formula>"Within limits"</formula>
    </cfRule>
    <cfRule type="cellIs" dxfId="0" priority="145" operator="equal">
      <formula>"Under capacity"</formula>
    </cfRule>
    <cfRule type="cellIs" dxfId="0" priority="146" operator="equal">
      <formula>"Complete"</formula>
    </cfRule>
    <cfRule type="cellIs" dxfId="0" priority="147" operator="equal">
      <formula>"Yes"</formula>
    </cfRule>
    <cfRule type="cellIs" dxfId="1" priority="148" operator="equal">
      <formula>"Near target"</formula>
    </cfRule>
    <cfRule type="cellIs" dxfId="1" priority="149" operator="equal">
      <formula>"Check"</formula>
    </cfRule>
    <cfRule type="cellIs" dxfId="1" priority="150" operator="equal">
      <formula>"Due soon"</formula>
    </cfRule>
    <cfRule type="cellIs" dxfId="1" priority="151" operator="equal">
      <formula>"Near capacity"</formula>
    </cfRule>
    <cfRule type="cellIs" dxfId="1" priority="152" operator="equal">
      <formula>"In progress"</formula>
    </cfRule>
    <cfRule type="cellIs" dxfId="1" priority="153" operator="equal">
      <formula>"Partial"</formula>
    </cfRule>
    <cfRule type="cellIs" dxfId="2" priority="154" operator="equal">
      <formula>"Below target"</formula>
    </cfRule>
    <cfRule type="cellIs" dxfId="2" priority="155" operator="equal">
      <formula>"Above target"</formula>
    </cfRule>
    <cfRule type="cellIs" dxfId="2" priority="156" operator="equal">
      <formula>"FAIL"</formula>
    </cfRule>
    <cfRule type="cellIs" dxfId="2" priority="157" operator="equal">
      <formula>"Over capacity"</formula>
    </cfRule>
    <cfRule type="cellIs" dxfId="2" priority="158" operator="equal">
      <formula>"Overdue"</formula>
    </cfRule>
    <cfRule type="cellIs" dxfId="2" priority="159" operator="equal">
      <formula>"Out of limits"</formula>
    </cfRule>
    <cfRule type="cellIs" dxfId="2" priority="160" operator="equal">
      <formula>"No"</formula>
    </cfRule>
  </conditionalFormatting>
  <conditionalFormatting sqref="J43:J55">
    <cfRule type="expression" dxfId="3" priority="179" stopIfTrue="1">
      <formula>AND(ISNUMBER(J43),J43&gt;=(TargetScore))</formula>
    </cfRule>
    <cfRule type="expression" dxfId="4" priority="180" stopIfTrue="1">
      <formula>AND(ISNUMBER(J43),J43&gt;=(TargetScore)*(1-0.05))</formula>
    </cfRule>
    <cfRule type="expression" dxfId="5" priority="181">
      <formula>ISNUMBER(J43)</formula>
    </cfRule>
  </conditionalFormatting>
  <dataValidations count="2">
    <dataValidation type="date" allowBlank="1" showInputMessage="1" showErrorMessage="1" errorTitle="Check this entry" error="Enter a date between 01 Jan 2000 and 31 Dec 2100." promptTitle="From" prompt="First week to include. Leave blank to start at the first row. Enter a date between 01 Jan 2000 and 31 Dec 2100." sqref="C4">
      <formula1>36526</formula1>
      <formula2>73415</formula2>
    </dataValidation>
    <dataValidation type="date" allowBlank="1" showInputMessage="1" showErrorMessage="1" errorTitle="Check this entry" error="Enter a date between 01 Jan 2000 and 31 Dec 2100." promptTitle="To" prompt="Last week to include. Leave blank to end at the latest row. Enter a date between 01 Jan 2000 and 31 Dec 2100." sqref="I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Manufacturing KPI Dashboard&amp;R&amp;8&amp;A</oddHeader>
    <oddFooter>&amp;L&amp;8mfgcalcs.com - free manufacturing templates&amp;R&amp;8Page &amp;P of &amp;N</oddFooter>
  </headerFooter>
  <rowBreaks count="1" manualBreakCount="1">
    <brk id="28"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132</v>
      </c>
      <c r="C4" s="8"/>
      <c r="D4" s="8"/>
    </row>
    <row r="5" spans="1:4" ht="5" customHeight="1"/>
    <row r="6" spans="1:4" ht="42.6" customHeight="1">
      <c r="B6" s="10" t="s">
        <v>133</v>
      </c>
      <c r="C6" s="10"/>
      <c r="D6" s="10"/>
    </row>
    <row r="8" spans="1:4" ht="21" customHeight="1">
      <c r="B8" s="8" t="s">
        <v>134</v>
      </c>
      <c r="C8" s="8"/>
      <c r="D8" s="8"/>
    </row>
    <row r="9" spans="1:4" ht="5" customHeight="1"/>
    <row r="10" spans="1:4" ht="20" customHeight="1">
      <c r="B10" s="55" t="s">
        <v>135</v>
      </c>
      <c r="C10" s="55" t="s">
        <v>136</v>
      </c>
      <c r="D10" s="34" t="s">
        <v>137</v>
      </c>
    </row>
    <row r="11" spans="1:4" ht="17.2" customHeight="1">
      <c r="B11" s="64" t="s">
        <v>138</v>
      </c>
      <c r="C11" s="65" t="s">
        <v>139</v>
      </c>
      <c r="D11" s="66" t="s">
        <v>140</v>
      </c>
    </row>
    <row r="12" spans="1:4" ht="17.2" customHeight="1">
      <c r="B12" s="64" t="s">
        <v>141</v>
      </c>
      <c r="C12" s="65" t="s">
        <v>142</v>
      </c>
      <c r="D12" s="66" t="s">
        <v>140</v>
      </c>
    </row>
    <row r="13" spans="1:4" ht="17.2" customHeight="1">
      <c r="B13" s="64" t="s">
        <v>94</v>
      </c>
      <c r="C13" s="65" t="s">
        <v>143</v>
      </c>
      <c r="D13" s="66" t="s">
        <v>140</v>
      </c>
    </row>
    <row r="14" spans="1:4" ht="17.2" customHeight="1">
      <c r="B14" s="64" t="s">
        <v>144</v>
      </c>
      <c r="C14" s="65" t="s">
        <v>145</v>
      </c>
      <c r="D14" s="66" t="s">
        <v>70</v>
      </c>
    </row>
    <row r="15" spans="1:4" ht="17.2" customHeight="1">
      <c r="B15" s="64" t="s">
        <v>146</v>
      </c>
      <c r="C15" s="65" t="s">
        <v>147</v>
      </c>
      <c r="D15" s="66" t="s">
        <v>140</v>
      </c>
    </row>
    <row r="16" spans="1:4" ht="30.4" customHeight="1">
      <c r="B16" s="64" t="s">
        <v>89</v>
      </c>
      <c r="C16" s="65" t="s">
        <v>148</v>
      </c>
      <c r="D16" s="66" t="s">
        <v>149</v>
      </c>
    </row>
    <row r="17" spans="2:4" ht="30.4" customHeight="1">
      <c r="B17" s="64" t="s">
        <v>150</v>
      </c>
      <c r="C17" s="65" t="s">
        <v>151</v>
      </c>
      <c r="D17" s="66" t="s">
        <v>152</v>
      </c>
    </row>
    <row r="18" spans="2:4" ht="17.2" customHeight="1">
      <c r="B18" s="64" t="s">
        <v>153</v>
      </c>
      <c r="C18" s="65" t="s">
        <v>154</v>
      </c>
      <c r="D18" s="66" t="s">
        <v>140</v>
      </c>
    </row>
    <row r="19" spans="2:4" ht="43.6" customHeight="1">
      <c r="B19" s="64" t="s">
        <v>155</v>
      </c>
      <c r="C19" s="65" t="s">
        <v>156</v>
      </c>
      <c r="D19" s="66" t="s">
        <v>140</v>
      </c>
    </row>
    <row r="20" spans="2:4" ht="17.2" customHeight="1">
      <c r="B20" s="64" t="s">
        <v>157</v>
      </c>
      <c r="C20" s="65" t="s">
        <v>158</v>
      </c>
      <c r="D20" s="66" t="s">
        <v>140</v>
      </c>
    </row>
    <row r="21" spans="2:4" ht="30.4" customHeight="1">
      <c r="B21" s="64" t="s">
        <v>159</v>
      </c>
      <c r="C21" s="65" t="s">
        <v>160</v>
      </c>
      <c r="D21" s="66" t="s">
        <v>161</v>
      </c>
    </row>
    <row r="23" spans="2:4" ht="21" customHeight="1">
      <c r="B23" s="8" t="s">
        <v>162</v>
      </c>
      <c r="C23" s="8"/>
      <c r="D23" s="8"/>
    </row>
    <row r="24" spans="2:4" ht="5" customHeight="1"/>
    <row r="25" spans="2:4" ht="16.2" customHeight="1">
      <c r="B25" s="26" t="s">
        <v>53</v>
      </c>
      <c r="C25" s="10" t="s">
        <v>163</v>
      </c>
      <c r="D25" s="10"/>
    </row>
    <row r="26" spans="2:4" ht="29.4" customHeight="1">
      <c r="B26" s="26" t="s">
        <v>53</v>
      </c>
      <c r="C26" s="10" t="s">
        <v>164</v>
      </c>
      <c r="D26" s="10"/>
    </row>
    <row r="27" spans="2:4" ht="29.4" customHeight="1">
      <c r="B27" s="26" t="s">
        <v>53</v>
      </c>
      <c r="C27" s="10" t="s">
        <v>165</v>
      </c>
      <c r="D27" s="10"/>
    </row>
    <row r="29" spans="2:4" ht="21" customHeight="1">
      <c r="B29" s="8" t="s">
        <v>166</v>
      </c>
      <c r="C29" s="8"/>
      <c r="D29" s="8"/>
    </row>
    <row r="30" spans="2:4" ht="5" customHeight="1"/>
    <row r="31" spans="2:4" ht="29.4" customHeight="1">
      <c r="B31" s="26" t="s">
        <v>53</v>
      </c>
      <c r="C31" s="10" t="s">
        <v>167</v>
      </c>
      <c r="D31" s="10"/>
    </row>
    <row r="32" spans="2:4" ht="29.4" customHeight="1">
      <c r="B32" s="26" t="s">
        <v>53</v>
      </c>
      <c r="C32" s="10" t="s">
        <v>168</v>
      </c>
      <c r="D32" s="10"/>
    </row>
    <row r="33" spans="2:4" ht="16.2" customHeight="1">
      <c r="B33" s="26" t="s">
        <v>53</v>
      </c>
      <c r="C33" s="10" t="s">
        <v>169</v>
      </c>
      <c r="D33" s="10"/>
    </row>
    <row r="35" spans="2:4" ht="21" customHeight="1">
      <c r="B35" s="8" t="s">
        <v>170</v>
      </c>
      <c r="C35" s="8"/>
      <c r="D35" s="8"/>
    </row>
    <row r="36" spans="2:4" ht="5" customHeight="1"/>
    <row r="37" spans="2:4" ht="55.8" customHeight="1">
      <c r="B37" s="10" t="s">
        <v>171</v>
      </c>
      <c r="C37" s="10"/>
      <c r="D37" s="10"/>
    </row>
    <row r="38" spans="2:4">
      <c r="B38" s="24" t="s">
        <v>172</v>
      </c>
      <c r="C38" s="24"/>
      <c r="D38" s="24"/>
    </row>
    <row r="40" spans="2:4" ht="21" customHeight="1">
      <c r="B40" s="8" t="s">
        <v>40</v>
      </c>
      <c r="C40" s="8"/>
      <c r="D40" s="8"/>
    </row>
    <row r="41" spans="2:4" ht="5" customHeight="1"/>
    <row r="42" spans="2:4" ht="42.6" customHeight="1">
      <c r="B42" s="10" t="s">
        <v>173</v>
      </c>
      <c r="C42" s="10"/>
      <c r="D42" s="10"/>
    </row>
    <row r="44" spans="2:4" ht="21" customHeight="1">
      <c r="B44" s="8" t="s">
        <v>174</v>
      </c>
      <c r="C44" s="8"/>
      <c r="D44" s="8"/>
    </row>
    <row r="45" spans="2:4" ht="5" customHeight="1"/>
    <row r="46" spans="2:4" ht="29.4" customHeight="1">
      <c r="B46" s="26" t="s">
        <v>53</v>
      </c>
      <c r="C46" s="10" t="s">
        <v>175</v>
      </c>
      <c r="D46" s="10"/>
    </row>
    <row r="47" spans="2:4" ht="29.4" customHeight="1">
      <c r="B47" s="26" t="s">
        <v>53</v>
      </c>
      <c r="C47" s="10" t="s">
        <v>176</v>
      </c>
      <c r="D47" s="10"/>
    </row>
    <row r="48" spans="2:4" ht="29.4" customHeight="1">
      <c r="B48" s="26" t="s">
        <v>53</v>
      </c>
      <c r="C48" s="10" t="s">
        <v>177</v>
      </c>
      <c r="D48" s="10"/>
    </row>
    <row r="49" spans="2:4">
      <c r="B49" s="21" t="s">
        <v>178</v>
      </c>
      <c r="C49" s="21"/>
      <c r="D49" s="21"/>
    </row>
    <row r="51" spans="2:4" ht="21" customHeight="1">
      <c r="B51" s="8" t="s">
        <v>179</v>
      </c>
      <c r="C51" s="8"/>
      <c r="D51" s="8"/>
    </row>
    <row r="52" spans="2:4" ht="5" customHeight="1"/>
    <row r="53" spans="2:4">
      <c r="B53" s="55" t="s">
        <v>48</v>
      </c>
      <c r="C53" s="55" t="s">
        <v>180</v>
      </c>
      <c r="D53" s="34" t="s">
        <v>181</v>
      </c>
    </row>
    <row r="54" spans="2:4" ht="16.2" customHeight="1">
      <c r="B54" s="67" t="s">
        <v>182</v>
      </c>
      <c r="C54" s="68" t="s">
        <v>183</v>
      </c>
      <c r="D54" s="69" t="s">
        <v>184</v>
      </c>
    </row>
    <row r="56" spans="2:4">
      <c r="B56" s="21" t="s">
        <v>59</v>
      </c>
      <c r="C56" s="21"/>
      <c r="D56" s="21"/>
    </row>
  </sheetData>
  <sheetProtection sheet="1" formatColumns="0" formatRows="0"/>
  <mergeCells count="25">
    <mergeCell ref="A1:D1"/>
    <mergeCell ref="B2:C2"/>
    <mergeCell ref="B4:D4"/>
    <mergeCell ref="B6:D6"/>
    <mergeCell ref="B8:D8"/>
    <mergeCell ref="B23:D23"/>
    <mergeCell ref="C25:D25"/>
    <mergeCell ref="C26:D26"/>
    <mergeCell ref="C27:D27"/>
    <mergeCell ref="B29:D29"/>
    <mergeCell ref="C31:D31"/>
    <mergeCell ref="C32:D32"/>
    <mergeCell ref="C33:D33"/>
    <mergeCell ref="B35:D35"/>
    <mergeCell ref="B37:D37"/>
    <mergeCell ref="B38:D38"/>
    <mergeCell ref="B40:D40"/>
    <mergeCell ref="B42:D42"/>
    <mergeCell ref="B44:D44"/>
    <mergeCell ref="C46:D46"/>
    <mergeCell ref="C47:D47"/>
    <mergeCell ref="C48:D48"/>
    <mergeCell ref="B49:D49"/>
    <mergeCell ref="B51:D51"/>
    <mergeCell ref="B56:D56"/>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Manufacturing KPI Dashboard&amp;R&amp;8&amp;A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W53"/>
  <sheetViews>
    <sheetView showGridLines="0" workbookViewId="0"/>
  </sheetViews>
  <sheetFormatPr defaultRowHeight="15"/>
  <cols>
    <col min="1" max="1" width="2.7109375" customWidth="1"/>
    <col min="2" max="19" width="12.7109375" customWidth="1"/>
    <col min="20" max="21" width="12.28515625" customWidth="1"/>
    <col min="22" max="22" width="22.7109375" customWidth="1"/>
    <col min="23" max="23" width="34.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26</v>
      </c>
      <c r="C2" s="2"/>
      <c r="D2" s="2"/>
      <c r="E2" s="2"/>
      <c r="F2" s="2"/>
      <c r="G2" s="2"/>
      <c r="H2" s="2"/>
      <c r="I2" s="2"/>
      <c r="J2" s="2"/>
      <c r="K2" s="2"/>
      <c r="L2" s="2"/>
      <c r="M2" s="2"/>
      <c r="N2" s="2"/>
      <c r="O2" s="2"/>
      <c r="P2" s="2"/>
      <c r="Q2" s="2"/>
      <c r="R2" s="2"/>
      <c r="S2" s="2"/>
      <c r="T2" s="2"/>
      <c r="U2" s="2"/>
      <c r="V2" s="2"/>
      <c r="W2" s="3" t="s">
        <v>2</v>
      </c>
    </row>
    <row r="3" spans="1:23" ht="6" customHeight="1"/>
    <row r="4" spans="1:23" ht="30" customHeight="1">
      <c r="B4" s="70" t="s">
        <v>185</v>
      </c>
      <c r="C4" s="70"/>
      <c r="D4" s="22" t="str">
        <f>IF(COUNTIF($K$11:$K$24,"PASS")=14,"PASS","FAIL")</f>
        <v>PASS</v>
      </c>
      <c r="E4" s="22"/>
      <c r="F4" s="23" t="str">
        <f>COUNTIF($K$11:$K$24,"PASS")&amp;" of 14 checks pass"</f>
        <v>14 of 14 checks pass</v>
      </c>
      <c r="G4" s="23"/>
      <c r="H4" s="23"/>
      <c r="I4" s="23"/>
      <c r="J4" s="23"/>
    </row>
    <row r="6" spans="1:23" ht="29.4" customHeight="1">
      <c r="B6" s="10" t="s">
        <v>186</v>
      </c>
      <c r="C6" s="10"/>
      <c r="D6" s="10"/>
      <c r="E6" s="10"/>
      <c r="F6" s="10"/>
      <c r="G6" s="10"/>
      <c r="H6" s="10"/>
      <c r="I6" s="10"/>
      <c r="J6" s="10"/>
      <c r="K6" s="10"/>
      <c r="L6" s="10"/>
    </row>
    <row r="8" spans="1:23" ht="21" customHeight="1">
      <c r="B8" s="8" t="s">
        <v>187</v>
      </c>
      <c r="C8" s="8"/>
      <c r="D8" s="8"/>
      <c r="E8" s="8"/>
      <c r="F8" s="8"/>
      <c r="G8" s="8"/>
      <c r="H8" s="8"/>
      <c r="I8" s="8"/>
      <c r="J8" s="8"/>
      <c r="K8" s="8"/>
      <c r="L8" s="8"/>
    </row>
    <row r="9" spans="1:23" ht="5" customHeight="1"/>
    <row r="10" spans="1:23" ht="30" customHeight="1">
      <c r="B10" s="34" t="s">
        <v>188</v>
      </c>
      <c r="C10" s="55" t="s">
        <v>100</v>
      </c>
      <c r="D10" s="55"/>
      <c r="E10" s="55"/>
      <c r="F10" s="55"/>
      <c r="G10" s="34" t="s">
        <v>189</v>
      </c>
      <c r="H10" s="34" t="s">
        <v>190</v>
      </c>
      <c r="I10" s="34" t="s">
        <v>191</v>
      </c>
      <c r="J10" s="34" t="s">
        <v>192</v>
      </c>
      <c r="K10" s="34" t="s">
        <v>193</v>
      </c>
    </row>
    <row r="11" spans="1:23" ht="16.2" customHeight="1">
      <c r="B11" s="71">
        <v>1</v>
      </c>
      <c r="C11" s="68" t="s">
        <v>194</v>
      </c>
      <c r="D11" s="68"/>
      <c r="E11" s="68"/>
      <c r="F11" s="68"/>
      <c r="G11" s="63">
        <v>0.9</v>
      </c>
      <c r="H11" s="37">
        <f>$N$45</f>
        <v>0.9</v>
      </c>
      <c r="I11" s="72">
        <f>IF(AND(ISNUMBER($G$11),ISNUMBER($H$11)),ABS($H$11-$G$11),"")</f>
        <v>0</v>
      </c>
      <c r="J11" s="73">
        <v>1E-09</v>
      </c>
      <c r="K11" s="39" t="str">
        <f>IF(AND(ISNUMBER($G$11),ISNUMBER($H$11)),IF(ABS($H$11-$G$11)&lt;=$J$11,"PASS","FAIL"),"FAIL")</f>
        <v>PASS</v>
      </c>
    </row>
    <row r="12" spans="1:23" ht="16.2" customHeight="1">
      <c r="B12" s="71">
        <v>2</v>
      </c>
      <c r="C12" s="68" t="s">
        <v>195</v>
      </c>
      <c r="D12" s="68"/>
      <c r="E12" s="68"/>
      <c r="F12" s="68"/>
      <c r="G12" s="63">
        <v>0.95</v>
      </c>
      <c r="H12" s="37">
        <f>$P$45</f>
        <v>0.95</v>
      </c>
      <c r="I12" s="72">
        <f>IF(AND(ISNUMBER($G$12),ISNUMBER($H$12)),ABS($H$12-$G$12),"")</f>
        <v>0</v>
      </c>
      <c r="J12" s="73">
        <v>1E-09</v>
      </c>
      <c r="K12" s="39" t="str">
        <f>IF(AND(ISNUMBER($G$12),ISNUMBER($H$12)),IF(ABS($H$12-$G$12)&lt;=$J$12,"PASS","FAIL"),"FAIL")</f>
        <v>PASS</v>
      </c>
    </row>
    <row r="13" spans="1:23" ht="16.2" customHeight="1">
      <c r="B13" s="71">
        <v>3</v>
      </c>
      <c r="C13" s="68" t="s">
        <v>196</v>
      </c>
      <c r="D13" s="68"/>
      <c r="E13" s="68"/>
      <c r="F13" s="68"/>
      <c r="G13" s="58">
        <v>2</v>
      </c>
      <c r="H13" s="57">
        <f>$Q$45</f>
        <v>2</v>
      </c>
      <c r="I13" s="72">
        <f>IF(AND(ISNUMBER($G$13),ISNUMBER($H$13)),ABS($H$13-$G$13),"")</f>
        <v>0</v>
      </c>
      <c r="J13" s="73">
        <v>1E-09</v>
      </c>
      <c r="K13" s="39" t="str">
        <f>IF(AND(ISNUMBER($G$13),ISNUMBER($H$13)),IF(ABS($H$13-$G$13)&lt;=$J$13,"PASS","FAIL"),"FAIL")</f>
        <v>PASS</v>
      </c>
    </row>
    <row r="14" spans="1:23" ht="16.2" customHeight="1">
      <c r="B14" s="71">
        <v>4</v>
      </c>
      <c r="C14" s="68" t="s">
        <v>197</v>
      </c>
      <c r="D14" s="68"/>
      <c r="E14" s="68"/>
      <c r="F14" s="68"/>
      <c r="G14" s="63">
        <v>0.92</v>
      </c>
      <c r="H14" s="37">
        <f>$R$45</f>
        <v>0.92</v>
      </c>
      <c r="I14" s="72">
        <f>IF(AND(ISNUMBER($G$14),ISNUMBER($H$14)),ABS($H$14-$G$14),"")</f>
        <v>0</v>
      </c>
      <c r="J14" s="73">
        <v>1E-09</v>
      </c>
      <c r="K14" s="39" t="str">
        <f>IF(AND(ISNUMBER($G$14),ISNUMBER($H$14)),IF(ABS($H$14-$G$14)&lt;=$J$14,"PASS","FAIL"),"FAIL")</f>
        <v>PASS</v>
      </c>
    </row>
    <row r="15" spans="1:23" ht="16.2" customHeight="1">
      <c r="B15" s="71">
        <v>5</v>
      </c>
      <c r="C15" s="68" t="s">
        <v>198</v>
      </c>
      <c r="D15" s="68"/>
      <c r="E15" s="68"/>
      <c r="F15" s="68"/>
      <c r="G15" s="63">
        <v>0.9758223684210526</v>
      </c>
      <c r="H15" s="37">
        <f>$S$45</f>
        <v>0.975822368421053</v>
      </c>
      <c r="I15" s="72">
        <f>IF(AND(ISNUMBER($G$15),ISNUMBER($H$15)),ABS($H$15-$G$15),"")</f>
        <v>0</v>
      </c>
      <c r="J15" s="73">
        <v>1E-09</v>
      </c>
      <c r="K15" s="39" t="str">
        <f>IF(AND(ISNUMBER($G$15),ISNUMBER($H$15)),IF(ABS($H$15-$G$15)&lt;=$J$15,"PASS","FAIL"),"FAIL")</f>
        <v>PASS</v>
      </c>
    </row>
    <row r="16" spans="1:23" ht="16.2" customHeight="1">
      <c r="B16" s="71">
        <v>6</v>
      </c>
      <c r="C16" s="68" t="s">
        <v>199</v>
      </c>
      <c r="D16" s="68"/>
      <c r="E16" s="68"/>
      <c r="F16" s="68"/>
      <c r="G16" s="67" t="s">
        <v>200</v>
      </c>
      <c r="H16" s="74" t="str">
        <f>$T$45</f>
        <v>Near target</v>
      </c>
      <c r="I16" s="74"/>
      <c r="J16" s="69" t="s">
        <v>201</v>
      </c>
      <c r="K16" s="39" t="str">
        <f>IF($H$16&amp;""=$G$16&amp;"","PASS","FAIL")</f>
        <v>PASS</v>
      </c>
    </row>
    <row r="17" spans="2:12" ht="16.2" customHeight="1">
      <c r="B17" s="71">
        <v>7</v>
      </c>
      <c r="C17" s="68" t="s">
        <v>202</v>
      </c>
      <c r="D17" s="68"/>
      <c r="E17" s="68"/>
      <c r="F17" s="68"/>
      <c r="G17" s="67" t="s">
        <v>203</v>
      </c>
      <c r="H17" s="74" t="str">
        <f>$V$47</f>
        <v>On time &gt; shipped</v>
      </c>
      <c r="I17" s="74"/>
      <c r="J17" s="69" t="s">
        <v>201</v>
      </c>
      <c r="K17" s="39" t="str">
        <f>IF($H$17&amp;""=$G$17&amp;"","PASS","FAIL")</f>
        <v>PASS</v>
      </c>
    </row>
    <row r="18" spans="2:12" ht="16.2" customHeight="1">
      <c r="B18" s="71">
        <v>8</v>
      </c>
      <c r="C18" s="68" t="s">
        <v>204</v>
      </c>
      <c r="D18" s="68"/>
      <c r="E18" s="68"/>
      <c r="F18" s="68"/>
      <c r="G18" s="63">
        <v>0.9766666666666667</v>
      </c>
      <c r="H18" s="37">
        <f>IF((SUMIFS(tblVerifyKpi[Orders shipped],tblVerifyKpi[View date],"&gt;0"))=0,"",(SUMIFS(tblVerifyKpi[Orders on time],tblVerifyKpi[View date],"&gt;0"))/(SUMIFS(tblVerifyKpi[Orders shipped],tblVerifyKpi[View date],"&gt;0")))</f>
        <v>0.976666666666667</v>
      </c>
      <c r="I18" s="72">
        <f>IF(AND(ISNUMBER($G$18),ISNUMBER($H$18)),ABS($H$18-$G$18),"")</f>
        <v>0</v>
      </c>
      <c r="J18" s="73">
        <v>1E-09</v>
      </c>
      <c r="K18" s="39" t="str">
        <f>IF(AND(ISNUMBER($G$18),ISNUMBER($H$18)),IF(ABS($H$18-$G$18)&lt;=$J$18,"PASS","FAIL"),"FAIL")</f>
        <v>PASS</v>
      </c>
    </row>
    <row r="19" spans="2:12" ht="16.2" customHeight="1">
      <c r="B19" s="71">
        <v>9</v>
      </c>
      <c r="C19" s="68" t="s">
        <v>205</v>
      </c>
      <c r="D19" s="68"/>
      <c r="E19" s="68"/>
      <c r="F19" s="68"/>
      <c r="G19" s="63">
        <v>0.9774193548387097</v>
      </c>
      <c r="H19" s="37">
        <f>IF((SUMIFS(tblVerifyKpi[Units planned],tblVerifyKpi[View date],"&gt;0"))=0,"",(SUMIFS(tblVerifyKpi[Good first time],tblVerifyKpi[View date],"&gt;0"))/(SUMIFS(tblVerifyKpi[Units planned],tblVerifyKpi[View date],"&gt;0")))</f>
        <v>0.97741935483871</v>
      </c>
      <c r="I19" s="72">
        <f>IF(AND(ISNUMBER($G$19),ISNUMBER($H$19)),ABS($H$19-$G$19),"")</f>
        <v>0</v>
      </c>
      <c r="J19" s="73">
        <v>1E-09</v>
      </c>
      <c r="K19" s="39" t="str">
        <f>IF(AND(ISNUMBER($G$19),ISNUMBER($H$19)),IF(ABS($H$19-$G$19)&lt;=$J$19,"PASS","FAIL"),"FAIL")</f>
        <v>PASS</v>
      </c>
    </row>
    <row r="20" spans="2:12" ht="16.2" customHeight="1">
      <c r="B20" s="71">
        <v>10</v>
      </c>
      <c r="C20" s="68" t="s">
        <v>206</v>
      </c>
      <c r="D20" s="68"/>
      <c r="E20" s="68"/>
      <c r="F20" s="68"/>
      <c r="G20" s="63">
        <v>0.9680511182108626</v>
      </c>
      <c r="H20" s="37">
        <f>IF((SUMIFS(tblVerifyKpi[Units made],tblVerifyKpi[View date],"&gt;0"))=0,"",(SUMIFS(tblVerifyKpi[Good first time],tblVerifyKpi[View date],"&gt;0"))/(SUMIFS(tblVerifyKpi[Units made],tblVerifyKpi[View date],"&gt;0")))</f>
        <v>0.968051118210863</v>
      </c>
      <c r="I20" s="72">
        <f>IF(AND(ISNUMBER($G$20),ISNUMBER($H$20)),ABS($H$20-$G$20),"")</f>
        <v>0</v>
      </c>
      <c r="J20" s="73">
        <v>1E-09</v>
      </c>
      <c r="K20" s="39" t="str">
        <f>IF(AND(ISNUMBER($G$20),ISNUMBER($H$20)),IF(ABS($H$20-$G$20)&lt;=$J$20,"PASS","FAIL"),"FAIL")</f>
        <v>PASS</v>
      </c>
    </row>
    <row r="21" spans="2:12" ht="16.2" customHeight="1">
      <c r="B21" s="71">
        <v>11</v>
      </c>
      <c r="C21" s="68" t="s">
        <v>207</v>
      </c>
      <c r="D21" s="68"/>
      <c r="E21" s="68"/>
      <c r="F21" s="68"/>
      <c r="G21" s="63">
        <v>0.965</v>
      </c>
      <c r="H21" s="37">
        <f>IF((SUMIFS(tblVerifyKpi[Planned equipment (h)],tblVerifyKpi[View date],"&gt;0"))=0,"",(SUMIFS(tblVerifyKpi[Planned equipment (h)],tblVerifyKpi[View date],"&gt;0")-SUMIFS(tblVerifyKpi[Unplanned downtime (h)],tblVerifyKpi[View date],"&gt;0"))/(SUMIFS(tblVerifyKpi[Planned equipment (h)],tblVerifyKpi[View date],"&gt;0")))</f>
        <v>0.965</v>
      </c>
      <c r="I21" s="72">
        <f>IF(AND(ISNUMBER($G$21),ISNUMBER($H$21)),ABS($H$21-$G$21),"")</f>
        <v>0</v>
      </c>
      <c r="J21" s="73">
        <v>1E-09</v>
      </c>
      <c r="K21" s="39" t="str">
        <f>IF(AND(ISNUMBER($G$21),ISNUMBER($H$21)),IF(ABS($H$21-$G$21)&lt;=$J$21,"PASS","FAIL"),"FAIL")</f>
        <v>PASS</v>
      </c>
    </row>
    <row r="22" spans="2:12" ht="16.2" customHeight="1">
      <c r="B22" s="71">
        <v>12</v>
      </c>
      <c r="C22" s="68" t="s">
        <v>208</v>
      </c>
      <c r="D22" s="68"/>
      <c r="E22" s="68"/>
      <c r="F22" s="68"/>
      <c r="G22" s="63">
        <v>1.028070175438597</v>
      </c>
      <c r="H22" s="37">
        <f>$E$51</f>
        <v>1.0280701754386</v>
      </c>
      <c r="I22" s="72">
        <f>IF(AND(ISNUMBER($G$22),ISNUMBER($H$22)),ABS($H$22-$G$22),"")</f>
        <v>0</v>
      </c>
      <c r="J22" s="73">
        <v>1E-09</v>
      </c>
      <c r="K22" s="39" t="str">
        <f>IF(AND(ISNUMBER($G$22),ISNUMBER($H$22)),IF(ABS($H$22-$G$22)&lt;=$J$22,"PASS","FAIL"),"FAIL")</f>
        <v>PASS</v>
      </c>
    </row>
    <row r="23" spans="2:12" ht="16.2" customHeight="1">
      <c r="B23" s="71">
        <v>13</v>
      </c>
      <c r="C23" s="68" t="s">
        <v>209</v>
      </c>
      <c r="D23" s="68"/>
      <c r="E23" s="68"/>
      <c r="F23" s="68"/>
      <c r="G23" s="63">
        <v>1.086021505376344</v>
      </c>
      <c r="H23" s="37">
        <f>$E$53</f>
        <v>1.08602150537634</v>
      </c>
      <c r="I23" s="72">
        <f>IF(AND(ISNUMBER($G$23),ISNUMBER($H$23)),ABS($H$23-$G$23),"")</f>
        <v>0</v>
      </c>
      <c r="J23" s="73">
        <v>1E-09</v>
      </c>
      <c r="K23" s="39" t="str">
        <f>IF(AND(ISNUMBER($G$23),ISNUMBER($H$23)),IF(ABS($H$23-$G$23)&lt;=$J$23,"PASS","FAIL"),"FAIL")</f>
        <v>PASS</v>
      </c>
    </row>
    <row r="24" spans="2:12" ht="16.2" customHeight="1">
      <c r="B24" s="71">
        <v>14</v>
      </c>
      <c r="C24" s="68" t="s">
        <v>210</v>
      </c>
      <c r="D24" s="68"/>
      <c r="E24" s="68"/>
      <c r="F24" s="68"/>
      <c r="G24" s="63">
        <v>1.039550496229236</v>
      </c>
      <c r="H24" s="37">
        <f>IF((SUM($F$51:$F$53))=0,"",(SUM($G$51:$G$53))/(SUM($F$51:$F$53)))</f>
        <v>1.03955049622924</v>
      </c>
      <c r="I24" s="72">
        <f>IF(AND(ISNUMBER($G$24),ISNUMBER($H$24)),ABS($H$24-$G$24),"")</f>
        <v>0</v>
      </c>
      <c r="J24" s="73">
        <v>1E-09</v>
      </c>
      <c r="K24" s="39" t="str">
        <f>IF(AND(ISNUMBER($G$24),ISNUMBER($H$24)),IF(ABS($H$24-$G$24)&lt;=$J$24,"PASS","FAIL"),"FAIL")</f>
        <v>PASS</v>
      </c>
    </row>
    <row r="26" spans="2:12" ht="21" customHeight="1">
      <c r="B26" s="8" t="s">
        <v>211</v>
      </c>
      <c r="C26" s="8"/>
      <c r="D26" s="8"/>
      <c r="E26" s="8"/>
      <c r="F26" s="8"/>
      <c r="G26" s="8"/>
      <c r="H26" s="8"/>
      <c r="I26" s="8"/>
      <c r="J26" s="8"/>
      <c r="K26" s="8"/>
      <c r="L26" s="8"/>
    </row>
    <row r="27" spans="2:12" ht="5" customHeight="1"/>
    <row r="28" spans="2:12">
      <c r="B28" s="21" t="s">
        <v>212</v>
      </c>
      <c r="C28" s="21"/>
      <c r="D28" s="21"/>
      <c r="E28" s="21"/>
      <c r="F28" s="21"/>
      <c r="G28" s="21"/>
      <c r="H28" s="21"/>
      <c r="I28" s="21"/>
      <c r="J28" s="21"/>
      <c r="K28" s="21"/>
      <c r="L28" s="21"/>
    </row>
    <row r="29" spans="2:12">
      <c r="B29" s="54" t="s">
        <v>213</v>
      </c>
      <c r="C29" s="54"/>
      <c r="D29" s="54"/>
      <c r="E29" s="54"/>
      <c r="F29" s="54"/>
    </row>
    <row r="30" spans="2:12">
      <c r="B30" s="27" t="s">
        <v>214</v>
      </c>
      <c r="C30" s="27"/>
      <c r="D30" s="27"/>
      <c r="E30" s="59">
        <v>0</v>
      </c>
      <c r="F30" s="7"/>
    </row>
    <row r="31" spans="2:12">
      <c r="B31" s="27" t="s">
        <v>215</v>
      </c>
      <c r="C31" s="27"/>
      <c r="D31" s="27"/>
      <c r="E31" s="59">
        <v>2958465</v>
      </c>
      <c r="F31" s="7"/>
    </row>
    <row r="32" spans="2:12">
      <c r="B32" s="27" t="s">
        <v>130</v>
      </c>
      <c r="C32" s="27"/>
      <c r="D32" s="27"/>
      <c r="E32" s="63">
        <v>0.95</v>
      </c>
      <c r="F32" s="7"/>
    </row>
    <row r="33" spans="2:23">
      <c r="B33" s="27" t="s">
        <v>216</v>
      </c>
      <c r="C33" s="27"/>
      <c r="D33" s="27"/>
      <c r="E33" s="63">
        <v>0.96</v>
      </c>
      <c r="F33" s="7"/>
    </row>
    <row r="34" spans="2:23">
      <c r="B34" s="27" t="s">
        <v>217</v>
      </c>
      <c r="C34" s="27"/>
      <c r="D34" s="27"/>
      <c r="E34" s="63">
        <v>0.95</v>
      </c>
      <c r="F34" s="7"/>
    </row>
    <row r="35" spans="2:23">
      <c r="B35" s="27" t="s">
        <v>69</v>
      </c>
      <c r="C35" s="27"/>
      <c r="D35" s="27"/>
      <c r="E35" s="75">
        <v>2</v>
      </c>
      <c r="F35" s="7"/>
    </row>
    <row r="36" spans="2:23">
      <c r="B36" s="27" t="s">
        <v>218</v>
      </c>
      <c r="C36" s="27"/>
      <c r="D36" s="27"/>
      <c r="E36" s="63">
        <v>0.9</v>
      </c>
      <c r="F36" s="7"/>
    </row>
    <row r="37" spans="2:23">
      <c r="B37" s="27" t="s">
        <v>129</v>
      </c>
      <c r="C37" s="27"/>
      <c r="D37" s="27"/>
      <c r="E37" s="63">
        <v>1</v>
      </c>
      <c r="F37" s="7"/>
    </row>
    <row r="38" spans="2:23">
      <c r="B38" s="27" t="s">
        <v>219</v>
      </c>
      <c r="C38" s="27"/>
      <c r="D38" s="27"/>
      <c r="E38" s="59">
        <v>40</v>
      </c>
      <c r="F38" s="7"/>
    </row>
    <row r="39" spans="2:23">
      <c r="B39" s="27" t="s">
        <v>220</v>
      </c>
      <c r="C39" s="27"/>
      <c r="D39" s="27"/>
      <c r="E39" s="59">
        <v>30</v>
      </c>
      <c r="F39" s="7"/>
    </row>
    <row r="40" spans="2:23">
      <c r="B40" s="27" t="s">
        <v>221</v>
      </c>
      <c r="C40" s="27"/>
      <c r="D40" s="27"/>
      <c r="E40" s="59">
        <v>30</v>
      </c>
      <c r="F40" s="7"/>
    </row>
    <row r="42" spans="2:23">
      <c r="B42" s="54" t="s">
        <v>222</v>
      </c>
      <c r="C42" s="54"/>
      <c r="D42" s="54"/>
      <c r="E42" s="54"/>
      <c r="F42" s="54"/>
      <c r="G42" s="54"/>
      <c r="H42" s="54"/>
      <c r="I42" s="54"/>
      <c r="J42" s="54"/>
      <c r="K42" s="54"/>
      <c r="L42" s="54"/>
    </row>
    <row r="43" spans="2:23" ht="14" customHeight="1">
      <c r="B43" s="33"/>
      <c r="C43" s="33"/>
      <c r="D43" s="33"/>
      <c r="E43" s="33"/>
      <c r="F43" s="33"/>
      <c r="G43" s="33"/>
      <c r="H43" s="33"/>
      <c r="I43" s="33"/>
      <c r="J43" s="33"/>
      <c r="K43" s="33" t="str">
        <f>Currency</f>
        <v>USD</v>
      </c>
      <c r="L43" s="33"/>
      <c r="M43" s="33"/>
      <c r="N43" s="33"/>
      <c r="O43" s="33"/>
      <c r="P43" s="33"/>
      <c r="Q43" s="33"/>
      <c r="R43" s="33"/>
      <c r="S43" s="33"/>
      <c r="T43" s="33"/>
      <c r="U43" s="33"/>
      <c r="V43" s="33"/>
      <c r="W43" s="33"/>
    </row>
    <row r="44" spans="2:23" ht="32" customHeight="1">
      <c r="B44" s="34" t="s">
        <v>80</v>
      </c>
      <c r="C44" s="34" t="s">
        <v>81</v>
      </c>
      <c r="D44" s="34" t="s">
        <v>82</v>
      </c>
      <c r="E44" s="34" t="s">
        <v>83</v>
      </c>
      <c r="F44" s="34" t="s">
        <v>84</v>
      </c>
      <c r="G44" s="34" t="s">
        <v>85</v>
      </c>
      <c r="H44" s="34" t="s">
        <v>86</v>
      </c>
      <c r="I44" s="34" t="s">
        <v>87</v>
      </c>
      <c r="J44" s="34" t="s">
        <v>88</v>
      </c>
      <c r="K44" s="34" t="s">
        <v>89</v>
      </c>
      <c r="L44" s="34" t="s">
        <v>90</v>
      </c>
      <c r="M44" s="34" t="s">
        <v>91</v>
      </c>
      <c r="N44" s="34" t="s">
        <v>92</v>
      </c>
      <c r="O44" s="34" t="s">
        <v>93</v>
      </c>
      <c r="P44" s="34" t="s">
        <v>94</v>
      </c>
      <c r="Q44" s="34" t="s">
        <v>95</v>
      </c>
      <c r="R44" s="34" t="s">
        <v>96</v>
      </c>
      <c r="S44" s="34" t="s">
        <v>97</v>
      </c>
      <c r="T44" s="34" t="s">
        <v>98</v>
      </c>
      <c r="U44" s="34" t="s">
        <v>99</v>
      </c>
      <c r="V44" s="34" t="s">
        <v>100</v>
      </c>
      <c r="W44" s="34" t="s">
        <v>101</v>
      </c>
    </row>
    <row r="45" spans="2:23">
      <c r="B45" s="76">
        <v>46027</v>
      </c>
      <c r="C45" s="59">
        <v>100</v>
      </c>
      <c r="D45" s="59">
        <v>90</v>
      </c>
      <c r="E45" s="59">
        <v>1000</v>
      </c>
      <c r="F45" s="59">
        <v>1000</v>
      </c>
      <c r="G45" s="59">
        <v>950</v>
      </c>
      <c r="H45" s="77">
        <v>475</v>
      </c>
      <c r="I45" s="77">
        <v>100</v>
      </c>
      <c r="J45" s="77">
        <v>8</v>
      </c>
      <c r="K45" s="75">
        <v>500</v>
      </c>
      <c r="L45" s="59">
        <v>0</v>
      </c>
      <c r="M45" s="59">
        <v>0</v>
      </c>
      <c r="N45" s="37">
        <f>IF(tblVerifyKpi[[#This Row],[Week starting]]="","",IF(tblVerifyKpi[[#This Row],[Orders shipped]]&gt;0,tblVerifyKpi[[#This Row],[Orders on time]]/tblVerifyKpi[[#This Row],[Orders shipped]],""))</f>
        <v>0.9</v>
      </c>
      <c r="O45" s="37">
        <f>IF(tblVerifyKpi[[#This Row],[Week starting]]="","",IF(tblVerifyKpi[[#This Row],[Units planned]]&gt;0,tblVerifyKpi[[#This Row],[Good first time]]/tblVerifyKpi[[#This Row],[Units planned]],""))</f>
        <v>0.95</v>
      </c>
      <c r="P45" s="37">
        <f>IF(tblVerifyKpi[[#This Row],[Week starting]]="","",IF(tblVerifyKpi[[#This Row],[Units made]]&gt;0,tblVerifyKpi[[#This Row],[Good first time]]/tblVerifyKpi[[#This Row],[Units made]],""))</f>
        <v>0.95</v>
      </c>
      <c r="Q45" s="38">
        <f>IF(tblVerifyKpi[[#This Row],[Week starting]]="","",IF(tblVerifyKpi[[#This Row],[Labour (h)]]&gt;0,tblVerifyKpi[[#This Row],[Good first time]]/tblVerifyKpi[[#This Row],[Labour (h)]],""))</f>
        <v>2</v>
      </c>
      <c r="R45" s="37">
        <f>IF(tblVerifyKpi[[#This Row],[Week starting]]="","",IF(tblVerifyKpi[[#This Row],[Planned equipment (h)]]&gt;0,(tblVerifyKpi[[#This Row],[Planned equipment (h)]]-tblVerifyKpi[[#This Row],[Unplanned downtime (h)]])/tblVerifyKpi[[#This Row],[Planned equipment (h)]],""))</f>
        <v>0.92</v>
      </c>
      <c r="S45" s="37">
        <f>IF(tblVerifyKpi[[#This Row],[Week starting]]="","",IF(OR(N(tblVerifyKpi[[#This Row],[OTD]])=0,N(tblVerifyKpi[[#This Row],[First-pass yield]])=0,N(tblVerifyKpi[[#This Row],[Units per labour h]])=0),"",(tblVerifyKpi[[#This Row],[OTD]]/$E$32*$E$38+tblVerifyKpi[[#This Row],[First-pass yield]]/$E$33*$E$39+tblVerifyKpi[[#This Row],[Units per labour h]]/$E$35*$E$40)/($E$38+$E$39+$E$40)))</f>
        <v>0.975822368421053</v>
      </c>
      <c r="T45" s="39" t="str">
        <f>IF(NOT(ISNUMBER(tblVerifyKpi[[#This Row],[Score]])),"",IF(tblVerifyKpi[[#This Row],[Score]]&gt;=$E$37,"On target",IF(tblVerifyKpi[[#This Row],[Score]]&gt;=$E$37*(1-0.05),"Near target","Below target")))</f>
        <v>Near target</v>
      </c>
      <c r="U45" s="40">
        <f>IF(tblVerifyKpi[[#This Row],[Week starting]]="","",IF(AND(tblVerifyKpi[[#This Row],[Week starting]]&gt;=$E$30,tblVerifyKpi[[#This Row],[Week starting]]&lt;=$E$31),tblVerifyKpi[[#This Row],[Week starting]],""))</f>
        <v>46027</v>
      </c>
      <c r="V45" s="41" t="str">
        <f>IF(tblVerifyKpi[[#This Row],[Week starting]]="","",IF(tblVerifyKpi[[#This Row],[Orders shipped]]="","Missing orders shipped",IF(tblVerifyKpi[[#This Row],[Units planned]]="","Missing units planned",IF(tblVerifyKpi[[#This Row],[Units made]]="","Missing units made",IF(tblVerifyKpi[[#This Row],[Good first time]]="","Missing good first time",IF(tblVerifyKpi[[#This Row],[Labour (h)]]="","Missing labour",IF(tblVerifyKpi[[#This Row],[Planned equipment (h)]]="","Missing planned equipment",IF(tblVerifyKpi[[#This Row],[Orders on time]]&gt;tblVerifyKpi[[#This Row],[Orders shipped]],"On time &gt; shipped",IF(tblVerifyKpi[[#This Row],[Good first time]]&gt;tblVerifyKpi[[#This Row],[Units made]],"Good &gt; made",IF(tblVerifyKpi[[#This Row],[Unplanned downtime (h)]]&gt;tblVerifyKpi[[#This Row],[Planned equipment (h)]],"Downtime &gt; planned hours",IF(COUNTIF(tblVerifyKpi[Week starting],tblVerifyKpi[[#This Row],[Week starting]])&gt;1,"Duplicate week","OK")))))))))))</f>
        <v>OK</v>
      </c>
      <c r="W45" s="67"/>
    </row>
    <row r="46" spans="2:23">
      <c r="B46" s="76">
        <v>46034</v>
      </c>
      <c r="C46" s="59">
        <v>120</v>
      </c>
      <c r="D46" s="59">
        <v>118</v>
      </c>
      <c r="E46" s="59">
        <v>1200</v>
      </c>
      <c r="F46" s="59">
        <v>1250</v>
      </c>
      <c r="G46" s="59">
        <v>1220</v>
      </c>
      <c r="H46" s="77">
        <v>500</v>
      </c>
      <c r="I46" s="77">
        <v>100</v>
      </c>
      <c r="J46" s="77">
        <v>2.5</v>
      </c>
      <c r="K46" s="75">
        <v>300</v>
      </c>
      <c r="L46" s="59">
        <v>1</v>
      </c>
      <c r="M46" s="59">
        <v>1</v>
      </c>
      <c r="N46" s="37">
        <f>IF(tblVerifyKpi[[#This Row],[Week starting]]="","",IF(tblVerifyKpi[[#This Row],[Orders shipped]]&gt;0,tblVerifyKpi[[#This Row],[Orders on time]]/tblVerifyKpi[[#This Row],[Orders shipped]],""))</f>
        <v>0.983333333333333</v>
      </c>
      <c r="O46" s="37">
        <f>IF(tblVerifyKpi[[#This Row],[Week starting]]="","",IF(tblVerifyKpi[[#This Row],[Units planned]]&gt;0,tblVerifyKpi[[#This Row],[Good first time]]/tblVerifyKpi[[#This Row],[Units planned]],""))</f>
        <v>1.01666666666667</v>
      </c>
      <c r="P46" s="37">
        <f>IF(tblVerifyKpi[[#This Row],[Week starting]]="","",IF(tblVerifyKpi[[#This Row],[Units made]]&gt;0,tblVerifyKpi[[#This Row],[Good first time]]/tblVerifyKpi[[#This Row],[Units made]],""))</f>
        <v>0.976</v>
      </c>
      <c r="Q46" s="38">
        <f>IF(tblVerifyKpi[[#This Row],[Week starting]]="","",IF(tblVerifyKpi[[#This Row],[Labour (h)]]&gt;0,tblVerifyKpi[[#This Row],[Good first time]]/tblVerifyKpi[[#This Row],[Labour (h)]],""))</f>
        <v>2.44</v>
      </c>
      <c r="R46" s="37">
        <f>IF(tblVerifyKpi[[#This Row],[Week starting]]="","",IF(tblVerifyKpi[[#This Row],[Planned equipment (h)]]&gt;0,(tblVerifyKpi[[#This Row],[Planned equipment (h)]]-tblVerifyKpi[[#This Row],[Unplanned downtime (h)]])/tblVerifyKpi[[#This Row],[Planned equipment (h)]],""))</f>
        <v>0.975</v>
      </c>
      <c r="S46" s="37">
        <f>IF(tblVerifyKpi[[#This Row],[Week starting]]="","",IF(OR(N(tblVerifyKpi[[#This Row],[OTD]])=0,N(tblVerifyKpi[[#This Row],[First-pass yield]])=0,N(tblVerifyKpi[[#This Row],[Units per labour h]])=0),"",(tblVerifyKpi[[#This Row],[OTD]]/$E$32*$E$38+tblVerifyKpi[[#This Row],[First-pass yield]]/$E$33*$E$39+tblVerifyKpi[[#This Row],[Units per labour h]]/$E$35*$E$40)/($E$38+$E$39+$E$40)))</f>
        <v>1.0850350877193</v>
      </c>
      <c r="T46" s="39" t="str">
        <f>IF(NOT(ISNUMBER(tblVerifyKpi[[#This Row],[Score]])),"",IF(tblVerifyKpi[[#This Row],[Score]]&gt;=$E$37,"On target",IF(tblVerifyKpi[[#This Row],[Score]]&gt;=$E$37*(1-0.05),"Near target","Below target")))</f>
        <v>On target</v>
      </c>
      <c r="U46" s="40">
        <f>IF(tblVerifyKpi[[#This Row],[Week starting]]="","",IF(AND(tblVerifyKpi[[#This Row],[Week starting]]&gt;=$E$30,tblVerifyKpi[[#This Row],[Week starting]]&lt;=$E$31),tblVerifyKpi[[#This Row],[Week starting]],""))</f>
        <v>46034</v>
      </c>
      <c r="V46" s="41" t="str">
        <f>IF(tblVerifyKpi[[#This Row],[Week starting]]="","",IF(tblVerifyKpi[[#This Row],[Orders shipped]]="","Missing orders shipped",IF(tblVerifyKpi[[#This Row],[Units planned]]="","Missing units planned",IF(tblVerifyKpi[[#This Row],[Units made]]="","Missing units made",IF(tblVerifyKpi[[#This Row],[Good first time]]="","Missing good first time",IF(tblVerifyKpi[[#This Row],[Labour (h)]]="","Missing labour",IF(tblVerifyKpi[[#This Row],[Planned equipment (h)]]="","Missing planned equipment",IF(tblVerifyKpi[[#This Row],[Orders on time]]&gt;tblVerifyKpi[[#This Row],[Orders shipped]],"On time &gt; shipped",IF(tblVerifyKpi[[#This Row],[Good first time]]&gt;tblVerifyKpi[[#This Row],[Units made]],"Good &gt; made",IF(tblVerifyKpi[[#This Row],[Unplanned downtime (h)]]&gt;tblVerifyKpi[[#This Row],[Planned equipment (h)]],"Downtime &gt; planned hours",IF(COUNTIF(tblVerifyKpi[Week starting],tblVerifyKpi[[#This Row],[Week starting]])&gt;1,"Duplicate week","OK")))))))))))</f>
        <v>OK</v>
      </c>
      <c r="W46" s="67"/>
    </row>
    <row r="47" spans="2:23">
      <c r="B47" s="76">
        <v>46041</v>
      </c>
      <c r="C47" s="59">
        <v>80</v>
      </c>
      <c r="D47" s="59">
        <v>85</v>
      </c>
      <c r="E47" s="59">
        <v>900</v>
      </c>
      <c r="F47" s="59">
        <v>880</v>
      </c>
      <c r="G47" s="59">
        <v>860</v>
      </c>
      <c r="H47" s="77">
        <v>420</v>
      </c>
      <c r="I47" s="77">
        <v>100</v>
      </c>
      <c r="J47" s="77">
        <v>0</v>
      </c>
      <c r="K47" s="75">
        <v>0</v>
      </c>
      <c r="L47" s="59">
        <v>0</v>
      </c>
      <c r="M47" s="59">
        <v>0</v>
      </c>
      <c r="N47" s="37">
        <f>IF(tblVerifyKpi[[#This Row],[Week starting]]="","",IF(tblVerifyKpi[[#This Row],[Orders shipped]]&gt;0,tblVerifyKpi[[#This Row],[Orders on time]]/tblVerifyKpi[[#This Row],[Orders shipped]],""))</f>
        <v>1.0625</v>
      </c>
      <c r="O47" s="37">
        <f>IF(tblVerifyKpi[[#This Row],[Week starting]]="","",IF(tblVerifyKpi[[#This Row],[Units planned]]&gt;0,tblVerifyKpi[[#This Row],[Good first time]]/tblVerifyKpi[[#This Row],[Units planned]],""))</f>
        <v>0.955555555555556</v>
      </c>
      <c r="P47" s="37">
        <f>IF(tblVerifyKpi[[#This Row],[Week starting]]="","",IF(tblVerifyKpi[[#This Row],[Units made]]&gt;0,tblVerifyKpi[[#This Row],[Good first time]]/tblVerifyKpi[[#This Row],[Units made]],""))</f>
        <v>0.977272727272727</v>
      </c>
      <c r="Q47" s="38">
        <f>IF(tblVerifyKpi[[#This Row],[Week starting]]="","",IF(tblVerifyKpi[[#This Row],[Labour (h)]]&gt;0,tblVerifyKpi[[#This Row],[Good first time]]/tblVerifyKpi[[#This Row],[Labour (h)]],""))</f>
        <v>2.04761904761905</v>
      </c>
      <c r="R47" s="37">
        <f>IF(tblVerifyKpi[[#This Row],[Week starting]]="","",IF(tblVerifyKpi[[#This Row],[Planned equipment (h)]]&gt;0,(tblVerifyKpi[[#This Row],[Planned equipment (h)]]-tblVerifyKpi[[#This Row],[Unplanned downtime (h)]])/tblVerifyKpi[[#This Row],[Planned equipment (h)]],""))</f>
        <v>1</v>
      </c>
      <c r="S47" s="37">
        <f>IF(tblVerifyKpi[[#This Row],[Week starting]]="","",IF(OR(N(tblVerifyKpi[[#This Row],[OTD]])=0,N(tblVerifyKpi[[#This Row],[First-pass yield]])=0,N(tblVerifyKpi[[#This Row],[Units per labour h]])=0),"",(tblVerifyKpi[[#This Row],[OTD]]/$E$32*$E$38+tblVerifyKpi[[#This Row],[First-pass yield]]/$E$33*$E$39+tblVerifyKpi[[#This Row],[Units per labour h]]/$E$35*$E$40)/($E$38+$E$39+$E$40)))</f>
        <v>1.05990900546822</v>
      </c>
      <c r="T47" s="39" t="str">
        <f>IF(NOT(ISNUMBER(tblVerifyKpi[[#This Row],[Score]])),"",IF(tblVerifyKpi[[#This Row],[Score]]&gt;=$E$37,"On target",IF(tblVerifyKpi[[#This Row],[Score]]&gt;=$E$37*(1-0.05),"Near target","Below target")))</f>
        <v>On target</v>
      </c>
      <c r="U47" s="40">
        <f>IF(tblVerifyKpi[[#This Row],[Week starting]]="","",IF(AND(tblVerifyKpi[[#This Row],[Week starting]]&gt;=$E$30,tblVerifyKpi[[#This Row],[Week starting]]&lt;=$E$31),tblVerifyKpi[[#This Row],[Week starting]],""))</f>
        <v>46041</v>
      </c>
      <c r="V47" s="41" t="str">
        <f>IF(tblVerifyKpi[[#This Row],[Week starting]]="","",IF(tblVerifyKpi[[#This Row],[Orders shipped]]="","Missing orders shipped",IF(tblVerifyKpi[[#This Row],[Units planned]]="","Missing units planned",IF(tblVerifyKpi[[#This Row],[Units made]]="","Missing units made",IF(tblVerifyKpi[[#This Row],[Good first time]]="","Missing good first time",IF(tblVerifyKpi[[#This Row],[Labour (h)]]="","Missing labour",IF(tblVerifyKpi[[#This Row],[Planned equipment (h)]]="","Missing planned equipment",IF(tblVerifyKpi[[#This Row],[Orders on time]]&gt;tblVerifyKpi[[#This Row],[Orders shipped]],"On time &gt; shipped",IF(tblVerifyKpi[[#This Row],[Good first time]]&gt;tblVerifyKpi[[#This Row],[Units made]],"Good &gt; made",IF(tblVerifyKpi[[#This Row],[Unplanned downtime (h)]]&gt;tblVerifyKpi[[#This Row],[Planned equipment (h)]],"Downtime &gt; planned hours",IF(COUNTIF(tblVerifyKpi[Week starting],tblVerifyKpi[[#This Row],[Week starting]])&gt;1,"Duplicate week","OK")))))))))))</f>
        <v>On time &gt; shipped</v>
      </c>
      <c r="W47" s="67"/>
    </row>
    <row r="49" spans="2:12">
      <c r="B49" s="54" t="s">
        <v>223</v>
      </c>
      <c r="C49" s="54"/>
      <c r="D49" s="54"/>
      <c r="E49" s="54"/>
      <c r="F49" s="54"/>
      <c r="G49" s="54"/>
      <c r="H49" s="54"/>
      <c r="I49" s="54"/>
      <c r="J49" s="54"/>
      <c r="K49" s="54"/>
      <c r="L49" s="54"/>
    </row>
    <row r="50" spans="2:12" ht="20" customHeight="1">
      <c r="B50" s="55" t="s">
        <v>118</v>
      </c>
      <c r="C50" s="34" t="s">
        <v>119</v>
      </c>
      <c r="D50" s="34" t="s">
        <v>120</v>
      </c>
      <c r="E50" s="34" t="s">
        <v>93</v>
      </c>
      <c r="F50" s="34" t="s">
        <v>121</v>
      </c>
      <c r="G50" s="34" t="s">
        <v>122</v>
      </c>
    </row>
    <row r="51" spans="2:12">
      <c r="B51" s="56" t="s">
        <v>123</v>
      </c>
      <c r="C51" s="57">
        <f>IF((SUMIFS(tblVerifyKpi[Orders shipped],tblVerifyKpi[View date],"&gt;0"))=0,"",(SUMIFS(tblVerifyKpi[Orders on time],tblVerifyKpi[View date],"&gt;0"))/(SUMIFS(tblVerifyKpi[Orders shipped],tblVerifyKpi[View date],"&gt;0")))</f>
        <v>0.976666666666667</v>
      </c>
      <c r="D51" s="58">
        <f>CHOOSE(1,$E$32,$E$33,$E$35)</f>
        <v>0.95</v>
      </c>
      <c r="E51" s="37">
        <f>IF(($D$51)=0,"",($C$51)/($D$51))</f>
        <v>1.0280701754386</v>
      </c>
      <c r="F51" s="59">
        <f>CHOOSE(1,$E$38,$E$39,$E$40)</f>
        <v>40</v>
      </c>
      <c r="G51" s="60">
        <f>IF($E$51="","",$E$51*$F$51)</f>
        <v>41.1228070175439</v>
      </c>
    </row>
    <row r="52" spans="2:12">
      <c r="B52" s="56" t="s">
        <v>124</v>
      </c>
      <c r="C52" s="57">
        <f>IF((SUMIFS(tblVerifyKpi[Units made],tblVerifyKpi[View date],"&gt;0"))=0,"",(SUMIFS(tblVerifyKpi[Good first time],tblVerifyKpi[View date],"&gt;0"))/(SUMIFS(tblVerifyKpi[Units made],tblVerifyKpi[View date],"&gt;0")))</f>
        <v>0.968051118210863</v>
      </c>
      <c r="D52" s="58">
        <f>CHOOSE(2,$E$32,$E$33,$E$35)</f>
        <v>0.96</v>
      </c>
      <c r="E52" s="37">
        <f>IF(($D$52)=0,"",($C$52)/($D$52))</f>
        <v>1.00838658146965</v>
      </c>
      <c r="F52" s="59">
        <f>CHOOSE(2,$E$38,$E$39,$E$40)</f>
        <v>30</v>
      </c>
      <c r="G52" s="60">
        <f>IF($E$52="","",$E$52*$F$52)</f>
        <v>30.2515974440895</v>
      </c>
    </row>
    <row r="53" spans="2:12">
      <c r="B53" s="56" t="s">
        <v>125</v>
      </c>
      <c r="C53" s="57">
        <f>IF((SUMIFS(tblVerifyKpi[Labour (h)],tblVerifyKpi[View date],"&gt;0"))=0,"",(SUMIFS(tblVerifyKpi[Good first time],tblVerifyKpi[View date],"&gt;0"))/(SUMIFS(tblVerifyKpi[Labour (h)],tblVerifyKpi[View date],"&gt;0")))</f>
        <v>2.17204301075269</v>
      </c>
      <c r="D53" s="58">
        <f>CHOOSE(3,$E$32,$E$33,$E$35)</f>
        <v>2</v>
      </c>
      <c r="E53" s="37">
        <f>IF(($D$53)=0,"",($C$53)/($D$53))</f>
        <v>1.08602150537634</v>
      </c>
      <c r="F53" s="59">
        <f>CHOOSE(3,$E$38,$E$39,$E$40)</f>
        <v>30</v>
      </c>
      <c r="G53" s="60">
        <f>IF($E$53="","",$E$53*$F$53)</f>
        <v>32.5806451612903</v>
      </c>
    </row>
  </sheetData>
  <sheetProtection sheet="1" formatColumns="0" formatRows="0"/>
  <mergeCells count="38">
    <mergeCell ref="A1:W1"/>
    <mergeCell ref="B2:V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F29"/>
    <mergeCell ref="B30:D30"/>
    <mergeCell ref="B31:D31"/>
    <mergeCell ref="B32:D32"/>
    <mergeCell ref="B33:D33"/>
    <mergeCell ref="B34:D34"/>
    <mergeCell ref="B35:D35"/>
    <mergeCell ref="B36:D36"/>
    <mergeCell ref="B37:D37"/>
    <mergeCell ref="B38:D38"/>
    <mergeCell ref="B39:D39"/>
    <mergeCell ref="B40:D40"/>
    <mergeCell ref="B42:L42"/>
    <mergeCell ref="B49:L4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51:E53">
    <cfRule type="expression" dxfId="3" priority="43" stopIfTrue="1">
      <formula>AND(ISNUMBER(E51),E51&gt;=(1))</formula>
    </cfRule>
    <cfRule type="expression" dxfId="4" priority="44" stopIfTrue="1">
      <formula>AND(ISNUMBER(E51),E51&gt;=(1)*(1-0.05))</formula>
    </cfRule>
    <cfRule type="expression" dxfId="5" priority="45">
      <formula>ISNUMBER(E51)</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V45:V47">
    <cfRule type="expression" dxfId="3" priority="41">
      <formula>$V45="OK"</formula>
    </cfRule>
    <cfRule type="expression" dxfId="1" priority="42">
      <formula>AND($V45&lt;&gt;"",$V45&lt;&gt;"OK")</formula>
    </cfRule>
  </conditionalFormatting>
  <hyperlinks>
    <hyperlink ref="W2" r:id="rId1" tooltip="Free manufacturing calculators and templates"/>
  </hyperlinks>
  <printOptions horizontalCentered="1"/>
  <pageMargins left="0.4" right="0.4" top="0.7" bottom="0.65" header="0.3" footer="0.3"/>
  <pageSetup fitToHeight="0" orientation="landscape"/>
  <headerFooter>
    <oddHeader>&amp;L&amp;8MFG Calcs - Manufacturing KPI Dashboard&amp;R&amp;8&amp;A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32</vt:i4>
      </vt:variant>
    </vt:vector>
  </HeadingPairs>
  <TitlesOfParts>
    <vt:vector size="38" baseType="lpstr">
      <vt:lpstr>Start Here</vt:lpstr>
      <vt:lpstr>Setup</vt:lpstr>
      <vt:lpstr>KPI Log</vt:lpstr>
      <vt:lpstr>Dashboard</vt:lpstr>
      <vt:lpstr>Method</vt:lpstr>
      <vt:lpstr>Verify</vt:lpstr>
      <vt:lpstr>Currency</vt:lpstr>
      <vt:lpstr>DashFrom</vt:lpstr>
      <vt:lpstr>DashTo</vt:lpstr>
      <vt:lpstr>KpiAttain</vt:lpstr>
      <vt:lpstr>KpiAvail</vt:lpstr>
      <vt:lpstr>KpiFPY</vt:lpstr>
      <vt:lpstr>KpiInc</vt:lpstr>
      <vt:lpstr>KpiOTD</vt:lpstr>
      <vt:lpstr>KpiScore</vt:lpstr>
      <vt:lpstr>KpiScrap</vt:lpstr>
      <vt:lpstr>KpiUPLH</vt:lpstr>
      <vt:lpstr>PlantName</vt:lpstr>
      <vt:lpstr>Dashboard!Print_Area</vt:lpstr>
      <vt:lpstr>'KPI Log'!Print_Area</vt:lpstr>
      <vt:lpstr>Method!Print_Area</vt:lpstr>
      <vt:lpstr>Setup!Print_Area</vt:lpstr>
      <vt:lpstr>'Start Here'!Print_Area</vt:lpstr>
      <vt:lpstr>Verify!Print_Area</vt:lpstr>
      <vt:lpstr>'KPI Log'!Print_Titles</vt:lpstr>
      <vt:lpstr>Method!Print_Titles</vt:lpstr>
      <vt:lpstr>SelfCheck</vt:lpstr>
      <vt:lpstr>SelfCheckSummary</vt:lpstr>
      <vt:lpstr>TargetAttain</vt:lpstr>
      <vt:lpstr>TargetAvail</vt:lpstr>
      <vt:lpstr>TargetFPY</vt:lpstr>
      <vt:lpstr>TargetOTD</vt:lpstr>
      <vt:lpstr>TargetScore</vt:lpstr>
      <vt:lpstr>TargetScrap</vt:lpstr>
      <vt:lpstr>TargetUPLH</vt:lpstr>
      <vt:lpstr>WDelivery</vt:lpstr>
      <vt:lpstr>WProductivity</vt:lpstr>
      <vt:lpstr>WQuality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Manufacturing KPI Dashboard - free Excel template from MFG Calcs</dc:title>
  <dc:subject>Log a week of plant results in one row and see delivery, quality, productivity, equipment, cost and safety KPIs against your targets, with a weighted factory performance score.</dc:subject>
  <dc:creator>MFG Calcs</dc:creator>
  <cp:keywords>KPI dashboard, manufacturing KPIs, plant scorecard, on-time delivery, first-pass yield, schedule attainment, units per labour hour, factory performance score</cp:keywords>
  <dc:description>https://www.mfgcalcs.com/templates/production-kpi-dashboard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production-kpi-dashboard</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https://www.mfgcalcs.com/templates/production-kpi-dashboard</vt:lpwstr>
  </property>
  <property fmtid="{D5CDD505-2E9C-101B-9397-08002B2CF9AE}" pid="7" name="Template sheet roles">
    <vt:lpwstr>Start Here=start;Setup=setup;KPI Log=work;Dashboard=dashboard;Method=method;Verify=verify</vt:lpwstr>
  </property>
</Properties>
</file>