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chedule" sheetId="3" r:id="rId3"/>
    <sheet name="Timeline" sheetId="4" r:id="rId4"/>
    <sheet name="Dashboard" sheetId="5" r:id="rId5"/>
    <sheet name="Method" sheetId="6" r:id="rId6"/>
    <sheet name="Verify" sheetId="7" r:id="rId7"/>
  </sheets>
  <definedNames>
    <definedName name="AsOf">Setup!$D$10</definedName>
    <definedName name="DbAsOf">Dashboard!$K$4</definedName>
    <definedName name="DbEnd">Dashboard!$G$4</definedName>
    <definedName name="DbStart">Dashboard!$C$4</definedName>
    <definedName name="Holidays">tblHolidays[Date]</definedName>
    <definedName name="HorizonDays">Setup!$D$8</definedName>
    <definedName name="KpiBehind">Dashboard!$G$7</definedName>
    <definedName name="KpiJobs">Dashboard!$B$7</definedName>
    <definedName name="KpiLate">Dashboard!$D$7</definedName>
    <definedName name="KpiPeak">Dashboard!$J$7</definedName>
    <definedName name="Machines">tblMachines[Machine]</definedName>
    <definedName name="NearAt">Setup!$D$11</definedName>
    <definedName name="OverAt">Setup!$D$12</definedName>
    <definedName name="PlanEnd">Setup!$D$9</definedName>
    <definedName name="PlanStart">Setup!$D$7</definedName>
    <definedName name="PlantName">Setup!$D$6</definedName>
    <definedName name="_xlnm.Print_Area" localSheetId="4">Dashboard!$A$1:$L$59</definedName>
    <definedName name="_xlnm.Print_Area" localSheetId="5">Method!$A$1:$D$58</definedName>
    <definedName name="_xlnm.Print_Area" localSheetId="2">Schedule!$A$1:$T$21</definedName>
    <definedName name="_xlnm.Print_Area" localSheetId="1">Setup!$A$1:$H$29</definedName>
    <definedName name="_xlnm.Print_Area" localSheetId="0">'Start Here'!$A$1:$F$57</definedName>
    <definedName name="_xlnm.Print_Area" localSheetId="3">Timeline!$A$1:$V$22</definedName>
    <definedName name="_xlnm.Print_Area" localSheetId="6">Verify!$A$1:$T$92</definedName>
    <definedName name="_xlnm.Print_Titles" localSheetId="5">Method!$1:$2</definedName>
    <definedName name="_xlnm.Print_Titles" localSheetId="2">Schedule!$1:$5</definedName>
    <definedName name="SelfCheck">Verify!$D$4</definedName>
    <definedName name="SelfCheckSummary">Verify!$F$4</definedName>
  </definedNames>
  <calcPr calcId="124519" fullCalcOnLoad="1"/>
</workbook>
</file>

<file path=xl/sharedStrings.xml><?xml version="1.0" encoding="utf-8"?>
<sst xmlns="http://schemas.openxmlformats.org/spreadsheetml/2006/main" count="525" uniqueCount="305">
  <si>
    <t>Production Schedule Gantt</t>
  </si>
  <si>
    <t>Read this first: what the workbook does and how to use it.</t>
  </si>
  <si>
    <t>mfgcalcs.com</t>
  </si>
  <si>
    <t>Schedule jobs on machines in working days, see each job's end date, slack to due date and progress, and check machine load against usable capacity on a Gantt dashboard.</t>
  </si>
  <si>
    <t>For: Production planners, schedulers, shop supervisors and owners of machine shops and job shops.</t>
  </si>
  <si>
    <t>Version 1.0.0  ·  updated 15 October 2026</t>
  </si>
  <si>
    <t>Quick start</t>
  </si>
  <si>
    <t>1.</t>
  </si>
  <si>
    <t>On Setup, set the plan start, the horizon in working days and the status (as of) date, then replace the example machines (hours per day, availability, efficiency) and holidays.</t>
  </si>
  <si>
    <t>2.</t>
  </si>
  <si>
    <t>On Schedule, add one row per job: machine, quantity, setup hours, cycle minutes per piece, start date, due date and percent complete.</t>
  </si>
  <si>
    <t>3.</t>
  </si>
  <si>
    <t>Read the end date, slack and progress columns, and fix anything the Check column names (overlaps, non-working start days).</t>
  </si>
  <si>
    <t>4.</t>
  </si>
  <si>
    <t>Open Timeline for the day-by-day Gantt grid to print for the shop floor.</t>
  </si>
  <si>
    <t>5.</t>
  </si>
  <si>
    <t>Open the Dashboard: the Gantt chart, machine load against capacity, and the late and behind-schedule counts.</t>
  </si>
  <si>
    <t>What is in this workbook</t>
  </si>
  <si>
    <t>Start Here</t>
  </si>
  <si>
    <t>Setup</t>
  </si>
  <si>
    <t>Plan dates, capacity thresholds, the machines with their usable hours, and holidays.</t>
  </si>
  <si>
    <t>Schedule</t>
  </si>
  <si>
    <t>One row per job: machine, quantity, times, start and due dates. End date, slack and progress follow.</t>
  </si>
  <si>
    <t>Timeline</t>
  </si>
  <si>
    <t>The day-by-day Gantt grid: one row per job, one column per working day. Green = done, blue = still to do.</t>
  </si>
  <si>
    <t>Dashboard</t>
  </si>
  <si>
    <t>Jobs on a Gantt chart, machine load against usable capacity, and the jobs that are late or behind.</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</si>
  <si>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</si>
  <si>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</si>
  <si>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</si>
  <si>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</si>
  <si>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</si>
  <si>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</si>
  <si>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</si>
  <si>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</si>
  <si>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</si>
  <si>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</si>
  <si>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</si>
  <si>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</si>
  <si>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</si>
  <si>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</si>
  <si>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</si>
  <si>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</si>
  <si>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</si>
  <si>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</si>
  <si>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</si>
  <si>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</si>
  <si>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Finite Capacity Load Calculator on mfgcalcs.com</t>
  </si>
  <si>
    <t>Latest version</t>
  </si>
  <si>
    <t>mfgcalcs.com/templates/production-schedule</t>
  </si>
  <si>
    <t>More free templates</t>
  </si>
  <si>
    <t>mfgcalcs.com/templates</t>
  </si>
  <si>
    <t>Version</t>
  </si>
  <si>
    <t>1.0.0 (updated 15 October 2026)</t>
  </si>
  <si>
    <t>About the example data</t>
  </si>
  <si>
    <t>Every number already in this workbook is example data for Hartwell Precision, a fictional business invented for this template, so the dashboard and charts show something meaningful on day one. It covers sixteen jobs on four CNC machines over a 20-working-day plan starting 2 November 2026, with a shutdown day on 20 November.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</si>
  <si>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</si>
  <si>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</si>
  <si>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</si>
  <si>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</si>
  <si>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</si>
  <si>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</si>
  <si>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</si>
  <si>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</si>
  <si>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Machine</t>
  </si>
  <si>
    <t>Description</t>
  </si>
  <si>
    <t>Hours per day (h)</t>
  </si>
  <si>
    <t>Availability (%)</t>
  </si>
  <si>
    <t>Efficiency (%)</t>
  </si>
  <si>
    <t>Usable (h/day)</t>
  </si>
  <si>
    <t>Date</t>
  </si>
  <si>
    <t>Name</t>
  </si>
  <si>
    <t>Plan</t>
  </si>
  <si>
    <t>Plant or shop name</t>
  </si>
  <si>
    <t>Hartwell Precision (example)</t>
  </si>
  <si>
    <t>Plan starts</t>
  </si>
  <si>
    <t>Plan horizon</t>
  </si>
  <si>
    <t>working days</t>
  </si>
  <si>
    <t>Plan ends (last working day)</t>
  </si>
  <si>
    <t>Status as of</t>
  </si>
  <si>
    <t>Near capacity from</t>
  </si>
  <si>
    <t>Over capacity above</t>
  </si>
  <si>
    <t>Machines</t>
  </si>
  <si>
    <t>Usable hours per working day = hours per day x availability x efficiency. Availability covers breakdowns and unplanned stops; efficiency covers speed losses and small stops. Setups are not in these factors: they are planned per job on the Schedule. The thresholds and factors are yours to set; none is an industry benchmark.</t>
  </si>
  <si>
    <t>Machines (example)</t>
  </si>
  <si>
    <t>VMC-1</t>
  </si>
  <si>
    <t>3-axis vertical machining centre</t>
  </si>
  <si>
    <t>VMC-2</t>
  </si>
  <si>
    <t>HMC-1</t>
  </si>
  <si>
    <t>Horizontal machining centre, pallet pool</t>
  </si>
  <si>
    <t>LATHE-1</t>
  </si>
  <si>
    <t>CNC lathe with bar feeder, one shift</t>
  </si>
  <si>
    <t>Holidays and shutdown days</t>
  </si>
  <si>
    <t>Days that are not worked, besides Saturdays and Sundays. Keep at least one row; a date outside the plan does no harm.</t>
  </si>
  <si>
    <t>Holidays (example)</t>
  </si>
  <si>
    <t>Plant shutdown day (example)</t>
  </si>
  <si>
    <t>Job</t>
  </si>
  <si>
    <t>Customer</t>
  </si>
  <si>
    <t>Part</t>
  </si>
  <si>
    <t>Qty (pcs)</t>
  </si>
  <si>
    <t>Setup (h)</t>
  </si>
  <si>
    <t>Cycle (min/pc)</t>
  </si>
  <si>
    <t>Start</t>
  </si>
  <si>
    <t>Due</t>
  </si>
  <si>
    <t>Complete (%)</t>
  </si>
  <si>
    <t>Work (h)</t>
  </si>
  <si>
    <t>Days (working)</t>
  </si>
  <si>
    <t>End</t>
  </si>
  <si>
    <t>Slack (days)</t>
  </si>
  <si>
    <t>On time</t>
  </si>
  <si>
    <t>Progress</t>
  </si>
  <si>
    <t>Check</t>
  </si>
  <si>
    <t>Notes</t>
  </si>
  <si>
    <t>Example data for Hartwell Precision (fictional). Replace it with your own: select the example rows, right-click, Delete &gt; Table Rows. Yellow = you type; blue = calculated; Check names any problem. List jobs by machine, in run order.</t>
  </si>
  <si>
    <t>J-4101</t>
  </si>
  <si>
    <t>Corvane Pumps</t>
  </si>
  <si>
    <t>Pump housing PH-220</t>
  </si>
  <si>
    <t/>
  </si>
  <si>
    <t>J-4105</t>
  </si>
  <si>
    <t>Aldermoor Valves</t>
  </si>
  <si>
    <t>Valve body VB-40</t>
  </si>
  <si>
    <t>J-4109</t>
  </si>
  <si>
    <t>Brightwater Instruments</t>
  </si>
  <si>
    <t>Sensor block SB-7</t>
  </si>
  <si>
    <t>J-4113</t>
  </si>
  <si>
    <t>End cover EC-220</t>
  </si>
  <si>
    <t>J-4102</t>
  </si>
  <si>
    <t>Halden Robotics</t>
  </si>
  <si>
    <t>Gripper plate GP-12</t>
  </si>
  <si>
    <t>Last 20 plates held for rework</t>
  </si>
  <si>
    <t>J-4106</t>
  </si>
  <si>
    <t>Bonnet BN-40</t>
  </si>
  <si>
    <t>J-4110</t>
  </si>
  <si>
    <t>Arm bracket AB-3</t>
  </si>
  <si>
    <t>J-4114</t>
  </si>
  <si>
    <t>Lid LD-7</t>
  </si>
  <si>
    <t>J-4103</t>
  </si>
  <si>
    <t>Impeller casing IC-90</t>
  </si>
  <si>
    <t>J-4107</t>
  </si>
  <si>
    <t>Marlow Hydraulics</t>
  </si>
  <si>
    <t>Manifold MF-6</t>
  </si>
  <si>
    <t>J-4111</t>
  </si>
  <si>
    <t>Manifold MF-8</t>
  </si>
  <si>
    <t>J-4115</t>
  </si>
  <si>
    <t>Base frame BF-1</t>
  </si>
  <si>
    <t>Fixture from J-4110 reused</t>
  </si>
  <si>
    <t>J-4104</t>
  </si>
  <si>
    <t>Stem ST-40</t>
  </si>
  <si>
    <t>J-4108</t>
  </si>
  <si>
    <t>Fitting FT-12</t>
  </si>
  <si>
    <t>J-4112</t>
  </si>
  <si>
    <t>Shaft SH-220</t>
  </si>
  <si>
    <t>Bar stock arrives 13 Nov</t>
  </si>
  <si>
    <t>J-4116</t>
  </si>
  <si>
    <t>Spindle SP-7</t>
  </si>
  <si>
    <t>Customer asked for 3 Dec</t>
  </si>
  <si>
    <t>Each row is a job of the Schedule (in the same order); each column a working day from the plan start, skipping weekends and the Setup holidays. Green = done (the job's calendar span x percent complete), blue = still to do. The grid shows the first 16 jobs and 20 working days.</t>
  </si>
  <si>
    <t>Working days from the plan start</t>
  </si>
  <si>
    <t>Job (machine)</t>
  </si>
  <si>
    <t>Plan ends</t>
  </si>
  <si>
    <t>JOBS ON THE SCHEDULE</t>
  </si>
  <si>
    <t>JOBS PLANNED TO FINISH LATE</t>
  </si>
  <si>
    <t>JOBS BEHIND SCHEDULE</t>
  </si>
  <si>
    <t>BUSIEST MACHINE LOAD</t>
  </si>
  <si>
    <t>Rows on the Schedule sheet</t>
  </si>
  <si>
    <t>Green = done (span x percent complete), blue = still to do. Bars run from start to end date, weekends included.</t>
  </si>
  <si>
    <t>Usable capacity = usable hours per day x working days in the horizon.</t>
  </si>
  <si>
    <t>Machine load over the plan horizon</t>
  </si>
  <si>
    <t>Jobs</t>
  </si>
  <si>
    <t>Scheduled (h)</t>
  </si>
  <si>
    <t>Usable capacity (h)</t>
  </si>
  <si>
    <t>Load</t>
  </si>
  <si>
    <t>Hours over capacity</t>
  </si>
  <si>
    <t>Jobs late</t>
  </si>
  <si>
    <t>Capacity</t>
  </si>
  <si>
    <t>Jobs in Schedule order (chart data for the Gantt)</t>
  </si>
  <si>
    <t>Offset (days)</t>
  </si>
  <si>
    <t>Done (days)</t>
  </si>
  <si>
    <t>Remaining (days)</t>
  </si>
  <si>
    <t>The Dashboard and Timeline show the first 16 jobs and 4 machines. If you schedule more, extend the blocks (see Method) or split the plan by area.</t>
  </si>
  <si>
    <t>What this workbook calculates</t>
  </si>
  <si>
    <t>The schedule works in whole working days. A job's work hours (setup plus quantity x cycle time) divided by its machine's usable hours per day give the working days it needs; Excel's WORKDAY counts that many working days from the start date, skipping weekends and the holiday list, to give the end date. The Gantt chart and the Timeline grid draw each job from its start to its end; the Dashboard compares each machine's scheduled hours with its usable capacity over the horizon.</t>
  </si>
  <si>
    <t>Calculations</t>
  </si>
  <si>
    <t>Quantity</t>
  </si>
  <si>
    <t>How it is calculated</t>
  </si>
  <si>
    <t>Units</t>
  </si>
  <si>
    <t>Usable hours per day</t>
  </si>
  <si>
    <t>Hours per day x availability x efficiency, per machine on Setup.</t>
  </si>
  <si>
    <t>h/day</t>
  </si>
  <si>
    <t>Work</t>
  </si>
  <si>
    <t>Setup hours + quantity x cycle minutes / 60.</t>
  </si>
  <si>
    <t>h</t>
  </si>
  <si>
    <t>Working days needed</t>
  </si>
  <si>
    <t>Work / the machine's usable hours per day (looked up by machine).</t>
  </si>
  <si>
    <t>End date</t>
  </si>
  <si>
    <t>WORKDAY(start, MAX(1, ROUNDUP(working days needed, 0)) - 1, holidays): the last working day of the job. A job needing 0.4 days ends on its start day.</t>
  </si>
  <si>
    <t>date</t>
  </si>
  <si>
    <t>Gantt offset, done, remaining</t>
  </si>
  <si>
    <t>In the Dashboard job list: offset = start - plan start; span = end - start + 1 (calendar days, so a bar covers the weekends inside a job); done = span x percent complete; remaining = span - done.</t>
  </si>
  <si>
    <t>days</t>
  </si>
  <si>
    <t>Slack</t>
  </si>
  <si>
    <t>Working days from the end date to the due date: NETWORKDAYS(end, due, holidays) - 1, negative when the end is after the due date.</t>
  </si>
  <si>
    <t>Yes when the end date is on or before the due date, No otherwise.</t>
  </si>
  <si>
    <t>-</t>
  </si>
  <si>
    <t>As of the status date: Complete (100%), Overdue (end date before the status date and not complete), In progress (started), Not started.</t>
  </si>
  <si>
    <t>Plan end</t>
  </si>
  <si>
    <t>The horizon's last working day: WORKDAY from the first working day on or after the plan start, horizon - 1 working days on.</t>
  </si>
  <si>
    <t>Usable capacity</t>
  </si>
  <si>
    <t>Usable hours per day x the horizon in working days, per machine.</t>
  </si>
  <si>
    <t>Machine load</t>
  </si>
  <si>
    <t>Scheduled hours (sum of the work of every job on the machine) / usable capacity. Under capacity below the near threshold, Near capacity from it, Over capacity above the over threshold.</t>
  </si>
  <si>
    <t>%</t>
  </si>
  <si>
    <t>Timeline cells</t>
  </si>
  <si>
    <t>A job's row is filled on each working day from its start to its end date; dark while the day is before start + done days.</t>
  </si>
  <si>
    <t>Assumptions</t>
  </si>
  <si>
    <t>A job runs on one machine; split a multi-operation job into one row per operation, each with its own machine and start date.</t>
  </si>
  <si>
    <t>Usable hours per day are the same on every working day; overtime days are best entered as a higher hours per day or a shorter cycle.</t>
  </si>
  <si>
    <t>Every job on a machine counts against the horizon's capacity, so list only jobs inside the plan (or move a finished plan's jobs to an archive copy).</t>
  </si>
  <si>
    <t>Weekends are Saturday and Sunday (Excel WORKDAY and NETWORKDAYS).</t>
  </si>
  <si>
    <t>Limitations</t>
  </si>
  <si>
    <t>It does not sequence jobs for you: you type the start dates, and the Check column flags overlaps on a machine.</t>
  </si>
  <si>
    <t>Days are whole: a job ending part-way through a day still occupies the day, and the next job starts on the next working day.</t>
  </si>
  <si>
    <t>The Dashboard and Timeline have fixed blocks for 16 jobs, 4 machines and 20 working days; extend them by copying the last row or column of a block and widening the chart ranges, or keep one workbook per area.</t>
  </si>
  <si>
    <t>Percent complete is what you type; the workbook does not read machine data.</t>
  </si>
  <si>
    <t>Agreement with the live calculator</t>
  </si>
  <si>
    <t>The Dashboard's usable capacity per machine is the live Finite Capacity Load calculator's 'usable finite capacity' with a working day as the scheduling bucket: hours per day x working days in the horizon x availability x efficiency. For the calculator's own example (16 h per bucket, 10 buckets, 88% availability, 92% efficiency) both give 129.5 usable hours out of 160 calendar hours; verify.py checks the template's reference against the calculator's engine on every build. The calculator stops at capacity; this workbook adds the jobs, the dates and the Gantt.</t>
  </si>
  <si>
    <t>Open the Finite Capacity Load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</si>
  <si>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</si>
  <si>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</si>
  <si>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Microsoft Excel function reference: WORKDAY and NETWORKDAYS (working-day arithmetic used for end dates and slack).</t>
  </si>
  <si>
    <t>MFG Calcs Finite Capacity Load calculator (finite-capacity-load): usable capacity = hours per bucket x buckets x availability x efficiency.</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</si>
  <si>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</si>
  <si>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</si>
  <si>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</si>
  <si>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</si>
  <si>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</si>
  <si>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</si>
  <si>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</si>
  <si>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</si>
  <si>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</si>
  <si>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</si>
  <si>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</si>
  <si>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</si>
  <si>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</si>
  <si>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</si>
  <si>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</si>
  <si>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M1 (calculator example): usable hours per day</t>
  </si>
  <si>
    <t>T1 (one day, complete): work hours</t>
  </si>
  <si>
    <t>T1 (one day, complete): working days needed</t>
  </si>
  <si>
    <t>T1 (one day, complete): end date</t>
  </si>
  <si>
    <t>T1 (one day, complete): slack (working days)</t>
  </si>
  <si>
    <t>T1 (one day, complete): on time</t>
  </si>
  <si>
    <t>Yes</t>
  </si>
  <si>
    <t>exact</t>
  </si>
  <si>
    <t>T1 (one day, complete): progress</t>
  </si>
  <si>
    <t>Complete</t>
  </si>
  <si>
    <t>T2 (crosses the holiday, late): work hours</t>
  </si>
  <si>
    <t>T2 (crosses the holiday, late): working days needed</t>
  </si>
  <si>
    <t>T2 (crosses the holiday, late): end date</t>
  </si>
  <si>
    <t>T2 (crosses the holiday, late): slack (working days)</t>
  </si>
  <si>
    <t>T2 (crosses the holiday, late): on time</t>
  </si>
  <si>
    <t>No</t>
  </si>
  <si>
    <t>T2 (crosses the holiday, late): progress</t>
  </si>
  <si>
    <t>Overdue</t>
  </si>
  <si>
    <t>T3 (in progress): work hours</t>
  </si>
  <si>
    <t>T3 (in progress): working days needed</t>
  </si>
  <si>
    <t>T3 (in progress): end date</t>
  </si>
  <si>
    <t>T3 (in progress): slack (working days)</t>
  </si>
  <si>
    <t>T3 (in progress): on time</t>
  </si>
  <si>
    <t>T3 (in progress): progress</t>
  </si>
  <si>
    <t>In progress</t>
  </si>
  <si>
    <t>T4: Check reports the overlap with T2</t>
  </si>
  <si>
    <t>Overlaps another job on this machine</t>
  </si>
  <si>
    <t>T5: Check reports a Saturday start</t>
  </si>
  <si>
    <t>Starts on a non-working day</t>
  </si>
  <si>
    <t>All rows: jobs planned late (Dashboard formula)</t>
  </si>
  <si>
    <t>All rows: jobs behind schedule (Dashboard formula)</t>
  </si>
  <si>
    <t>M1: scheduled hours</t>
  </si>
  <si>
    <t>M1: usable capacity over 10 working days (= calculator)</t>
  </si>
  <si>
    <t>M1: machine load</t>
  </si>
  <si>
    <t>Gantt data, T2: done days (span x complete)</t>
  </si>
  <si>
    <t>Gantt data, T2: remaining days</t>
  </si>
  <si>
    <t>Gantt data, T3: offset from the plan start</t>
  </si>
  <si>
    <t>Fixed test inputs</t>
  </si>
  <si>
    <t>White cells are fixed test inputs; blue cells are the workbook's formulas evaluated on them.</t>
  </si>
  <si>
    <t>Parameters</t>
  </si>
  <si>
    <t>Plan start</t>
  </si>
  <si>
    <t>Horizon (working days)</t>
  </si>
  <si>
    <t>Test table: Holidays</t>
  </si>
  <si>
    <t>Test holiday</t>
  </si>
  <si>
    <t>Test table: Machines</t>
  </si>
  <si>
    <t>M1</t>
  </si>
  <si>
    <t>Calculator example</t>
  </si>
  <si>
    <t>M2</t>
  </si>
  <si>
    <t>One shift</t>
  </si>
  <si>
    <t>Test table: Jobs</t>
  </si>
  <si>
    <t>T1</t>
  </si>
  <si>
    <t>C</t>
  </si>
  <si>
    <t>P</t>
  </si>
  <si>
    <t>T2</t>
  </si>
  <si>
    <t>T3</t>
  </si>
  <si>
    <t>T4</t>
  </si>
  <si>
    <t>T5</t>
  </si>
  <si>
    <t>Test grid: ByMachine</t>
  </si>
  <si>
    <t>Test grid: Plan</t>
  </si>
</sst>
</file>

<file path=xl/styles.xml><?xml version="1.0" encoding="utf-8"?>
<styleSheet xmlns="http://schemas.openxmlformats.org/spreadsheetml/2006/main">
  <numFmts count="14">
    <numFmt numFmtId="164" formatCode="d mmm yyyy"/>
    <numFmt numFmtId="165" formatCode="#,##0"/>
    <numFmt numFmtId="166" formatCode="0.0%"/>
    <numFmt numFmtId="167" formatCode="#,##0.0"/>
    <numFmt numFmtId="168" formatCode="#,##0.00"/>
    <numFmt numFmtId="169" formatCode="+#,##0;-#,##0;0"/>
    <numFmt numFmtId="170" formatCode="d mmm"/>
    <numFmt numFmtId="171" formatCode=";;;"/>
    <numFmt numFmtId="172" formatCode="0%"/>
    <numFmt numFmtId="173" formatCode="&quot;Target &quot;#,##0"/>
    <numFmt numFmtId="174" formatCode="&quot;Limit &quot;0%"/>
    <numFmt numFmtId="175" formatCode="0.0000"/>
    <numFmt numFmtId="176" formatCode="0.0E+00"/>
    <numFmt numFmtId="177" formatCode="#,##0.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i/>
      <sz val="9"/>
      <color rgb="FF6B7280"/>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thin">
        <color rgb="FFD6DBE3"/>
      </top>
      <bottom style="thin">
        <color rgb="FFD6DBE3"/>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s>
  <cellStyleXfs count="1">
    <xf numFmtId="0" fontId="0" fillId="0" borderId="0"/>
  </cellStyleXfs>
  <cellXfs count="8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0" fontId="19" fillId="7" borderId="2" xfId="0" applyFont="1" applyFill="1" applyBorder="1" applyAlignment="1">
      <alignment vertical="center" wrapText="1"/>
    </xf>
    <xf numFmtId="168"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18" fillId="2" borderId="5" xfId="0" applyFont="1" applyFill="1" applyBorder="1" applyAlignment="1">
      <alignment horizontal="left" vertical="center" wrapText="1"/>
    </xf>
    <xf numFmtId="170" fontId="18" fillId="2" borderId="5" xfId="0" applyNumberFormat="1" applyFont="1" applyFill="1" applyBorder="1" applyAlignment="1">
      <alignment horizontal="center" vertical="center" wrapText="1"/>
    </xf>
    <xf numFmtId="0" fontId="9" fillId="0" borderId="6" xfId="0" applyFont="1" applyBorder="1" applyAlignment="1">
      <alignment vertical="center"/>
    </xf>
    <xf numFmtId="171" fontId="10" fillId="4" borderId="3" xfId="0" applyNumberFormat="1" applyFont="1" applyFill="1" applyBorder="1" applyAlignment="1">
      <alignment horizontal="center" vertical="center"/>
    </xf>
    <xf numFmtId="0" fontId="21" fillId="9" borderId="7" xfId="0" applyFont="1" applyFill="1" applyBorder="1" applyAlignment="1">
      <alignment vertical="center" wrapText="1"/>
    </xf>
    <xf numFmtId="165" fontId="4" fillId="9" borderId="8" xfId="0" applyNumberFormat="1" applyFont="1" applyFill="1" applyBorder="1" applyAlignment="1">
      <alignment horizontal="left" vertical="center"/>
    </xf>
    <xf numFmtId="172" fontId="4" fillId="9" borderId="8" xfId="0" applyNumberFormat="1" applyFont="1" applyFill="1" applyBorder="1" applyAlignment="1">
      <alignment horizontal="left" vertical="center"/>
    </xf>
    <xf numFmtId="0" fontId="22" fillId="9" borderId="8" xfId="0" applyFont="1" applyFill="1" applyBorder="1" applyAlignment="1">
      <alignment vertical="center"/>
    </xf>
    <xf numFmtId="173" fontId="22" fillId="9" borderId="8" xfId="0" applyNumberFormat="1" applyFont="1" applyFill="1" applyBorder="1" applyAlignment="1">
      <alignment horizontal="left" vertical="center"/>
    </xf>
    <xf numFmtId="174" fontId="22" fillId="9" borderId="8" xfId="0" applyNumberFormat="1" applyFont="1" applyFill="1" applyBorder="1" applyAlignment="1">
      <alignment horizontal="left" vertical="center"/>
    </xf>
    <xf numFmtId="0" fontId="21" fillId="9" borderId="9" xfId="0" applyFont="1" applyFill="1" applyBorder="1" applyAlignment="1">
      <alignment vertical="center"/>
    </xf>
    <xf numFmtId="0" fontId="23" fillId="0" borderId="0" xfId="0" applyFont="1" applyAlignment="1">
      <alignment vertical="center"/>
    </xf>
    <xf numFmtId="165" fontId="10" fillId="4" borderId="3" xfId="0" applyNumberFormat="1" applyFont="1" applyFill="1" applyBorder="1" applyAlignment="1">
      <alignment vertical="center"/>
    </xf>
    <xf numFmtId="172" fontId="10" fillId="4" borderId="3" xfId="0" applyNumberFormat="1" applyFont="1" applyFill="1" applyBorder="1" applyAlignment="1">
      <alignment vertical="center"/>
    </xf>
    <xf numFmtId="0" fontId="10" fillId="4" borderId="3" xfId="0" applyFont="1" applyFill="1" applyBorder="1" applyAlignment="1">
      <alignment vertical="center"/>
    </xf>
    <xf numFmtId="170" fontId="10" fillId="4" borderId="3" xfId="0" applyNumberFormat="1" applyFont="1" applyFill="1" applyBorder="1" applyAlignment="1">
      <alignment vertical="center"/>
    </xf>
    <xf numFmtId="0" fontId="13" fillId="0" borderId="0" xfId="0" applyFont="1" applyAlignment="1">
      <alignment vertical="center"/>
    </xf>
    <xf numFmtId="0" fontId="9" fillId="0" borderId="6" xfId="0" applyFont="1" applyBorder="1" applyAlignment="1">
      <alignment vertical="top" wrapText="1"/>
    </xf>
    <xf numFmtId="0" fontId="10" fillId="0" borderId="6" xfId="0" applyFont="1" applyBorder="1" applyAlignment="1">
      <alignment vertical="top" wrapText="1"/>
    </xf>
    <xf numFmtId="0" fontId="10" fillId="0" borderId="6" xfId="0" applyFont="1" applyBorder="1" applyAlignment="1">
      <alignment horizontal="center" vertical="top"/>
    </xf>
    <xf numFmtId="0" fontId="10" fillId="0" borderId="6" xfId="0" applyFont="1" applyBorder="1" applyAlignment="1">
      <alignment vertical="center"/>
    </xf>
    <xf numFmtId="0" fontId="10" fillId="0" borderId="6" xfId="0" applyFont="1" applyBorder="1" applyAlignment="1">
      <alignment vertical="center" wrapText="1"/>
    </xf>
    <xf numFmtId="0" fontId="10" fillId="0" borderId="6" xfId="0" applyFont="1" applyBorder="1" applyAlignment="1">
      <alignment horizontal="center" vertical="center"/>
    </xf>
    <xf numFmtId="0" fontId="8" fillId="0" borderId="0" xfId="0" applyFont="1" applyAlignment="1">
      <alignment vertical="center"/>
    </xf>
    <xf numFmtId="165" fontId="9" fillId="0" borderId="6" xfId="0" applyNumberFormat="1" applyFont="1" applyBorder="1" applyAlignment="1">
      <alignment horizontal="center" vertical="center"/>
    </xf>
    <xf numFmtId="175" fontId="10" fillId="0" borderId="6" xfId="0" applyNumberFormat="1" applyFont="1" applyBorder="1" applyAlignment="1">
      <alignment vertical="center"/>
    </xf>
    <xf numFmtId="175" fontId="10" fillId="4" borderId="3" xfId="0" applyNumberFormat="1" applyFont="1" applyFill="1" applyBorder="1" applyAlignment="1">
      <alignment vertical="center"/>
    </xf>
    <xf numFmtId="176" fontId="10" fillId="4" borderId="3" xfId="0" applyNumberFormat="1" applyFont="1" applyFill="1" applyBorder="1" applyAlignment="1">
      <alignment vertical="center"/>
    </xf>
    <xf numFmtId="176" fontId="10" fillId="0" borderId="6" xfId="0" applyNumberFormat="1" applyFont="1" applyBorder="1" applyAlignment="1">
      <alignment vertical="center"/>
    </xf>
    <xf numFmtId="168" fontId="10" fillId="0" borderId="6" xfId="0" applyNumberFormat="1" applyFont="1" applyBorder="1" applyAlignment="1">
      <alignment vertical="center"/>
    </xf>
    <xf numFmtId="164" fontId="10" fillId="0" borderId="6" xfId="0" applyNumberFormat="1" applyFont="1" applyBorder="1" applyAlignment="1">
      <alignment vertical="center"/>
    </xf>
    <xf numFmtId="169" fontId="10" fillId="0" borderId="6" xfId="0" applyNumberFormat="1" applyFont="1" applyBorder="1" applyAlignment="1">
      <alignment vertical="center"/>
    </xf>
    <xf numFmtId="165" fontId="10" fillId="0" borderId="6" xfId="0" applyNumberFormat="1" applyFont="1" applyBorder="1" applyAlignment="1">
      <alignment vertical="center"/>
    </xf>
    <xf numFmtId="177" fontId="10" fillId="0" borderId="6" xfId="0" applyNumberFormat="1" applyFont="1" applyBorder="1" applyAlignment="1">
      <alignment vertical="center"/>
    </xf>
    <xf numFmtId="177" fontId="10" fillId="4" borderId="3" xfId="0" applyNumberFormat="1" applyFont="1" applyFill="1" applyBorder="1" applyAlignment="1">
      <alignment vertical="center"/>
    </xf>
    <xf numFmtId="166" fontId="10" fillId="0" borderId="6" xfId="0" applyNumberFormat="1" applyFont="1" applyBorder="1" applyAlignment="1">
      <alignment vertical="center"/>
    </xf>
    <xf numFmtId="166" fontId="10" fillId="4" borderId="3" xfId="0" applyNumberFormat="1" applyFont="1" applyFill="1" applyBorder="1" applyAlignment="1">
      <alignment vertical="center"/>
    </xf>
    <xf numFmtId="167" fontId="10" fillId="0" borderId="6"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color rgb="FF1BA37A"/>
      </font>
      <fill>
        <patternFill>
          <bgColor rgb="FF1BA37A"/>
        </patternFill>
      </fill>
    </dxf>
    <dxf>
      <font>
        <color rgb="FF3B64D8"/>
      </font>
      <fill>
        <patternFill>
          <bgColor rgb="FF3B64D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Schedule (Gantt)</a:t>
            </a:r>
          </a:p>
        </c:rich>
      </c:tx>
      <c:layout/>
    </c:title>
    <c:plotArea>
      <c:layout/>
      <c:barChart>
        <c:barDir val="bar"/>
        <c:grouping val="stacked"/>
        <c:ser>
          <c:idx val="0"/>
          <c:order val="0"/>
          <c:tx>
            <c:v> </c:v>
          </c:tx>
          <c:spPr>
            <a:noFill/>
            <a:ln>
              <a:noFill/>
            </a:ln>
          </c:spPr>
          <c:cat>
            <c:strRef>
              <c:f>Dashboard!$B$41:$B$56</c:f>
              <c:strCache>
                <c:ptCount val="16"/>
                <c:pt idx="0">
                  <c:v>J-4101 (VMC-1)</c:v>
                </c:pt>
                <c:pt idx="1">
                  <c:v>J-4105 (VMC-1)</c:v>
                </c:pt>
                <c:pt idx="2">
                  <c:v>J-4109 (VMC-1)</c:v>
                </c:pt>
                <c:pt idx="3">
                  <c:v>J-4113 (VMC-1)</c:v>
                </c:pt>
                <c:pt idx="4">
                  <c:v>J-4102 (VMC-2)</c:v>
                </c:pt>
                <c:pt idx="5">
                  <c:v>J-4106 (VMC-2)</c:v>
                </c:pt>
                <c:pt idx="6">
                  <c:v>J-4110 (VMC-2)</c:v>
                </c:pt>
                <c:pt idx="7">
                  <c:v>J-4114 (VMC-2)</c:v>
                </c:pt>
                <c:pt idx="8">
                  <c:v>J-4103 (HMC-1)</c:v>
                </c:pt>
                <c:pt idx="9">
                  <c:v>J-4107 (HMC-1)</c:v>
                </c:pt>
                <c:pt idx="10">
                  <c:v>J-4111 (HMC-1)</c:v>
                </c:pt>
                <c:pt idx="11">
                  <c:v>J-4115 (HMC-1)</c:v>
                </c:pt>
                <c:pt idx="12">
                  <c:v>J-4104 (LATHE-1)</c:v>
                </c:pt>
                <c:pt idx="13">
                  <c:v>J-4108 (LATHE-1)</c:v>
                </c:pt>
                <c:pt idx="14">
                  <c:v>J-4112 (LATHE-1)</c:v>
                </c:pt>
                <c:pt idx="15">
                  <c:v>J-4116 (LATHE-1)</c:v>
                </c:pt>
              </c:strCache>
            </c:strRef>
          </c:cat>
          <c:val>
            <c:numRef>
              <c:f>Dashboard!$G$41:$G$56</c:f>
              <c:numCache>
                <c:formatCode>General</c:formatCode>
                <c:ptCount val="16"/>
                <c:pt idx="0">
                  <c:v>0</c:v>
                </c:pt>
                <c:pt idx="1">
                  <c:v>4</c:v>
                </c:pt>
                <c:pt idx="2">
                  <c:v>10</c:v>
                </c:pt>
                <c:pt idx="3">
                  <c:v>16</c:v>
                </c:pt>
                <c:pt idx="4">
                  <c:v>0</c:v>
                </c:pt>
                <c:pt idx="5">
                  <c:v>4</c:v>
                </c:pt>
                <c:pt idx="6">
                  <c:v>10</c:v>
                </c:pt>
                <c:pt idx="7">
                  <c:v>16</c:v>
                </c:pt>
                <c:pt idx="8">
                  <c:v>0</c:v>
                </c:pt>
                <c:pt idx="9">
                  <c:v>7</c:v>
                </c:pt>
                <c:pt idx="10">
                  <c:v>14</c:v>
                </c:pt>
                <c:pt idx="11">
                  <c:v>21</c:v>
                </c:pt>
                <c:pt idx="12">
                  <c:v>0</c:v>
                </c:pt>
                <c:pt idx="13">
                  <c:v>8</c:v>
                </c:pt>
                <c:pt idx="14">
                  <c:v>16</c:v>
                </c:pt>
                <c:pt idx="15">
                  <c:v>28</c:v>
                </c:pt>
              </c:numCache>
            </c:numRef>
          </c:val>
        </c:ser>
        <c:ser>
          <c:idx val="1"/>
          <c:order val="1"/>
          <c:tx>
            <c:v>Done</c:v>
          </c:tx>
          <c:spPr>
            <a:solidFill>
              <a:srgbClr val="1BA37A"/>
            </a:solidFill>
            <a:ln w="9525">
              <a:solidFill>
                <a:srgbClr val="FFFFFF"/>
              </a:solidFill>
            </a:ln>
          </c:spPr>
          <c:cat>
            <c:strRef>
              <c:f>Dashboard!$B$41:$B$56</c:f>
              <c:strCache>
                <c:ptCount val="16"/>
                <c:pt idx="0">
                  <c:v>J-4101 (VMC-1)</c:v>
                </c:pt>
                <c:pt idx="1">
                  <c:v>J-4105 (VMC-1)</c:v>
                </c:pt>
                <c:pt idx="2">
                  <c:v>J-4109 (VMC-1)</c:v>
                </c:pt>
                <c:pt idx="3">
                  <c:v>J-4113 (VMC-1)</c:v>
                </c:pt>
                <c:pt idx="4">
                  <c:v>J-4102 (VMC-2)</c:v>
                </c:pt>
                <c:pt idx="5">
                  <c:v>J-4106 (VMC-2)</c:v>
                </c:pt>
                <c:pt idx="6">
                  <c:v>J-4110 (VMC-2)</c:v>
                </c:pt>
                <c:pt idx="7">
                  <c:v>J-4114 (VMC-2)</c:v>
                </c:pt>
                <c:pt idx="8">
                  <c:v>J-4103 (HMC-1)</c:v>
                </c:pt>
                <c:pt idx="9">
                  <c:v>J-4107 (HMC-1)</c:v>
                </c:pt>
                <c:pt idx="10">
                  <c:v>J-4111 (HMC-1)</c:v>
                </c:pt>
                <c:pt idx="11">
                  <c:v>J-4115 (HMC-1)</c:v>
                </c:pt>
                <c:pt idx="12">
                  <c:v>J-4104 (LATHE-1)</c:v>
                </c:pt>
                <c:pt idx="13">
                  <c:v>J-4108 (LATHE-1)</c:v>
                </c:pt>
                <c:pt idx="14">
                  <c:v>J-4112 (LATHE-1)</c:v>
                </c:pt>
                <c:pt idx="15">
                  <c:v>J-4116 (LATHE-1)</c:v>
                </c:pt>
              </c:strCache>
            </c:strRef>
          </c:cat>
          <c:val>
            <c:numRef>
              <c:f>Dashboard!$H$41:$H$56</c:f>
              <c:numCache>
                <c:formatCode>General</c:formatCode>
                <c:ptCount val="16"/>
                <c:pt idx="0">
                  <c:v>4</c:v>
                </c:pt>
                <c:pt idx="1">
                  <c:v>4.5</c:v>
                </c:pt>
                <c:pt idx="2">
                  <c:v>0</c:v>
                </c:pt>
                <c:pt idx="3">
                  <c:v>0</c:v>
                </c:pt>
                <c:pt idx="4">
                  <c:v>3.8</c:v>
                </c:pt>
                <c:pt idx="5">
                  <c:v>4.5</c:v>
                </c:pt>
                <c:pt idx="6">
                  <c:v>0</c:v>
                </c:pt>
                <c:pt idx="7">
                  <c:v>0</c:v>
                </c:pt>
                <c:pt idx="8">
                  <c:v>5</c:v>
                </c:pt>
                <c:pt idx="9">
                  <c:v>2</c:v>
                </c:pt>
                <c:pt idx="10">
                  <c:v>0</c:v>
                </c:pt>
                <c:pt idx="11">
                  <c:v>0</c:v>
                </c:pt>
                <c:pt idx="12">
                  <c:v>8</c:v>
                </c:pt>
                <c:pt idx="13">
                  <c:v>1.2</c:v>
                </c:pt>
                <c:pt idx="14">
                  <c:v>0</c:v>
                </c:pt>
                <c:pt idx="15">
                  <c:v>0</c:v>
                </c:pt>
              </c:numCache>
            </c:numRef>
          </c:val>
        </c:ser>
        <c:ser>
          <c:idx val="2"/>
          <c:order val="2"/>
          <c:tx>
            <c:v>Remaining</c:v>
          </c:tx>
          <c:spPr>
            <a:solidFill>
              <a:srgbClr val="3B64D8"/>
            </a:solidFill>
            <a:ln w="9525">
              <a:solidFill>
                <a:srgbClr val="FFFFFF"/>
              </a:solidFill>
            </a:ln>
          </c:spPr>
          <c:cat>
            <c:strRef>
              <c:f>Dashboard!$B$41:$B$56</c:f>
              <c:strCache>
                <c:ptCount val="16"/>
                <c:pt idx="0">
                  <c:v>J-4101 (VMC-1)</c:v>
                </c:pt>
                <c:pt idx="1">
                  <c:v>J-4105 (VMC-1)</c:v>
                </c:pt>
                <c:pt idx="2">
                  <c:v>J-4109 (VMC-1)</c:v>
                </c:pt>
                <c:pt idx="3">
                  <c:v>J-4113 (VMC-1)</c:v>
                </c:pt>
                <c:pt idx="4">
                  <c:v>J-4102 (VMC-2)</c:v>
                </c:pt>
                <c:pt idx="5">
                  <c:v>J-4106 (VMC-2)</c:v>
                </c:pt>
                <c:pt idx="6">
                  <c:v>J-4110 (VMC-2)</c:v>
                </c:pt>
                <c:pt idx="7">
                  <c:v>J-4114 (VMC-2)</c:v>
                </c:pt>
                <c:pt idx="8">
                  <c:v>J-4103 (HMC-1)</c:v>
                </c:pt>
                <c:pt idx="9">
                  <c:v>J-4107 (HMC-1)</c:v>
                </c:pt>
                <c:pt idx="10">
                  <c:v>J-4111 (HMC-1)</c:v>
                </c:pt>
                <c:pt idx="11">
                  <c:v>J-4115 (HMC-1)</c:v>
                </c:pt>
                <c:pt idx="12">
                  <c:v>J-4104 (LATHE-1)</c:v>
                </c:pt>
                <c:pt idx="13">
                  <c:v>J-4108 (LATHE-1)</c:v>
                </c:pt>
                <c:pt idx="14">
                  <c:v>J-4112 (LATHE-1)</c:v>
                </c:pt>
                <c:pt idx="15">
                  <c:v>J-4116 (LATHE-1)</c:v>
                </c:pt>
              </c:strCache>
            </c:strRef>
          </c:cat>
          <c:val>
            <c:numRef>
              <c:f>Dashboard!$I$41:$I$56</c:f>
              <c:numCache>
                <c:formatCode>General</c:formatCode>
                <c:ptCount val="16"/>
                <c:pt idx="0">
                  <c:v>0</c:v>
                </c:pt>
                <c:pt idx="1">
                  <c:v>1.5</c:v>
                </c:pt>
                <c:pt idx="2">
                  <c:v>6</c:v>
                </c:pt>
                <c:pt idx="3">
                  <c:v>7</c:v>
                </c:pt>
                <c:pt idx="4">
                  <c:v>0.2</c:v>
                </c:pt>
                <c:pt idx="5">
                  <c:v>1.5</c:v>
                </c:pt>
                <c:pt idx="6">
                  <c:v>6</c:v>
                </c:pt>
                <c:pt idx="7">
                  <c:v>6</c:v>
                </c:pt>
                <c:pt idx="8">
                  <c:v>0</c:v>
                </c:pt>
                <c:pt idx="9">
                  <c:v>3</c:v>
                </c:pt>
                <c:pt idx="10">
                  <c:v>4</c:v>
                </c:pt>
                <c:pt idx="11">
                  <c:v>4</c:v>
                </c:pt>
                <c:pt idx="12">
                  <c:v>0</c:v>
                </c:pt>
                <c:pt idx="13">
                  <c:v>6.8</c:v>
                </c:pt>
                <c:pt idx="14">
                  <c:v>10</c:v>
                </c:pt>
                <c:pt idx="15">
                  <c:v>8</c:v>
                </c:pt>
              </c:numCache>
            </c:numRef>
          </c:val>
        </c:ser>
        <c:gapWidth val="4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tickLblSkip val="1"/>
      </c:catAx>
      <c:valAx>
        <c:axId val="50010002"/>
        <c:scaling>
          <c:orientation val="minMax"/>
          <c:min val="0"/>
        </c:scaling>
        <c:axPos val="t"/>
        <c:majorGridlines>
          <c:spPr>
            <a:ln w="9525">
              <a:solidFill>
                <a:srgbClr val="E6E9EE"/>
              </a:solidFill>
            </a:ln>
          </c:spPr>
        </c:majorGridlines>
        <c:title>
          <c:tx>
            <c:rich>
              <a:bodyPr/>
              <a:lstStyle/>
              <a:p>
                <a:pPr>
                  <a:defRPr sz="900" b="0" baseline="0">
                    <a:solidFill>
                      <a:srgbClr val="4A5361"/>
                    </a:solidFill>
                    <a:latin typeface="Calibri"/>
                  </a:defRPr>
                </a:pPr>
                <a:r>
                  <a:rPr lang="en-US" sz="900" b="0" baseline="0">
                    <a:solidFill>
                      <a:srgbClr val="4A5361"/>
                    </a:solidFill>
                    <a:latin typeface="Calibri"/>
                  </a:rPr>
                  <a:t>Days from plan start</a:t>
                </a:r>
              </a:p>
            </c:rich>
          </c:tx>
          <c:layout/>
        </c:title>
        <c:numFmt formatCode="0" sourceLinked="0"/>
        <c:majorTickMark val="none"/>
        <c:minorTickMark val="none"/>
        <c:tickLblPos val="high"/>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Scheduled hours vs usable capacity</a:t>
            </a:r>
          </a:p>
        </c:rich>
      </c:tx>
      <c:layout/>
    </c:title>
    <c:plotArea>
      <c:layout/>
      <c:barChart>
        <c:barDir val="col"/>
        <c:grouping val="clustered"/>
        <c:ser>
          <c:idx val="0"/>
          <c:order val="0"/>
          <c:tx>
            <c:v>Usable capacity (h)</c:v>
          </c:tx>
          <c:spPr>
            <a:solidFill>
              <a:srgbClr val="3B64D8"/>
            </a:solidFill>
            <a:ln w="9525">
              <a:solidFill>
                <a:srgbClr val="FFFFFF"/>
              </a:solidFill>
            </a:ln>
          </c:spPr>
          <c:cat>
            <c:strRef>
              <c:f>Dashboard!$B$34:$B$37</c:f>
              <c:strCache>
                <c:ptCount val="4"/>
                <c:pt idx="0">
                  <c:v>VMC-1</c:v>
                </c:pt>
                <c:pt idx="1">
                  <c:v>VMC-2</c:v>
                </c:pt>
                <c:pt idx="2">
                  <c:v>HMC-1</c:v>
                </c:pt>
                <c:pt idx="3">
                  <c:v>LATHE-1</c:v>
                </c:pt>
              </c:strCache>
            </c:strRef>
          </c:cat>
          <c:val>
            <c:numRef>
              <c:f>Dashboard!$E$34:$E$37</c:f>
              <c:numCache>
                <c:formatCode>General</c:formatCode>
                <c:ptCount val="4"/>
                <c:pt idx="0">
                  <c:v>244.8</c:v>
                </c:pt>
                <c:pt idx="1">
                  <c:v>239.36</c:v>
                </c:pt>
                <c:pt idx="2">
                  <c:v>356.224</c:v>
                </c:pt>
                <c:pt idx="3">
                  <c:v>129.6</c:v>
                </c:pt>
              </c:numCache>
            </c:numRef>
          </c:val>
        </c:ser>
        <c:ser>
          <c:idx val="1"/>
          <c:order val="1"/>
          <c:tx>
            <c:v>Scheduled (h)</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Dashboard!$B$34:$B$37</c:f>
              <c:strCache>
                <c:ptCount val="4"/>
                <c:pt idx="0">
                  <c:v>VMC-1</c:v>
                </c:pt>
                <c:pt idx="1">
                  <c:v>VMC-2</c:v>
                </c:pt>
                <c:pt idx="2">
                  <c:v>HMC-1</c:v>
                </c:pt>
                <c:pt idx="3">
                  <c:v>LATHE-1</c:v>
                </c:pt>
              </c:strCache>
            </c:strRef>
          </c:cat>
          <c:val>
            <c:numRef>
              <c:f>Dashboard!$D$34:$D$37</c:f>
              <c:numCache>
                <c:formatCode>General</c:formatCode>
                <c:ptCount val="4"/>
                <c:pt idx="0">
                  <c:v>165.5</c:v>
                </c:pt>
                <c:pt idx="1">
                  <c:v>157.5</c:v>
                </c:pt>
                <c:pt idx="2">
                  <c:v>276.833333333333</c:v>
                </c:pt>
                <c:pt idx="3">
                  <c:v>146.916666666667</c:v>
                </c:pt>
              </c:numCache>
            </c:numRef>
          </c:val>
        </c:ser>
        <c:gapWidth val="80"/>
        <c:overlap val="-1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6</xdr:col>
      <xdr:colOff>676275</xdr:colOff>
      <xdr:row>28</xdr:row>
      <xdr:rowOff>152400</xdr:rowOff>
    </xdr:to>
    <xdr:graphicFrame macro="">
      <xdr:nvGraphicFramePr>
        <xdr:cNvPr id="2" name="Chart 1" descr="Gantt chart with one bar per job from its start to its end date, measured in days from the plan start; the done part of each bar is green and the remaining part blu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38100</xdr:colOff>
      <xdr:row>11</xdr:row>
      <xdr:rowOff>38100</xdr:rowOff>
    </xdr:from>
    <xdr:to>
      <xdr:col>11</xdr:col>
      <xdr:colOff>676275</xdr:colOff>
      <xdr:row>28</xdr:row>
      <xdr:rowOff>152400</xdr:rowOff>
    </xdr:to>
    <xdr:graphicFrame macro="">
      <xdr:nvGraphicFramePr>
        <xdr:cNvPr id="3" name="Chart 2" descr="Clustered column chart comparing scheduled work hours with usable capacity hours over the plan horizon for each mach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Machines" displayName="tblMachines" ref="B18:G22" totalsRowShown="0">
  <autoFilter ref="B18:G22"/>
  <tableColumns count="6">
    <tableColumn id="1" name="Machine"/>
    <tableColumn id="2" name="Description"/>
    <tableColumn id="3" name="Hours per day (h)"/>
    <tableColumn id="4" name="Availability (%)"/>
    <tableColumn id="5" name="Efficiency (%)"/>
    <tableColumn id="6" name="Usable (h/day)">
      <calculatedColumnFormula>tblMachines[[#This Row],[Hours per day (h)]]*tblMachines[[#This Row],[Availability (%)]]*tblMachines[[#This Row],[Efficiency (%)]]</calculatedColumnFormula>
    </tableColumn>
  </tableColumns>
  <tableStyleInfo name="TableStyleLight1" showFirstColumn="0" showLastColumn="0" showRowStripes="0" showColumnStripes="0"/>
</table>
</file>

<file path=xl/tables/table2.xml><?xml version="1.0" encoding="utf-8"?>
<table xmlns="http://schemas.openxmlformats.org/spreadsheetml/2006/main" id="2" name="tblHolidays" displayName="tblHolidays" ref="B28:C29" totalsRowShown="0">
  <autoFilter ref="B28:C29"/>
  <tableColumns count="2">
    <tableColumn id="1" name="Date"/>
    <tableColumn id="2" name="Name"/>
  </tableColumns>
  <tableStyleInfo name="TableStyleLight1" showFirstColumn="0" showLastColumn="0" showRowStripes="0" showColumnStripes="0"/>
</table>
</file>

<file path=xl/tables/table3.xml><?xml version="1.0" encoding="utf-8"?>
<table xmlns="http://schemas.openxmlformats.org/spreadsheetml/2006/main" id="3" name="tblJobs" displayName="tblJobs" ref="B5:T21" totalsRowShown="0">
  <autoFilter ref="B5:T21"/>
  <tableColumns count="19">
    <tableColumn id="1" name="Job"/>
    <tableColumn id="2" name="Customer"/>
    <tableColumn id="3" name="Part"/>
    <tableColumn id="4" name="Machine"/>
    <tableColumn id="5" name="Qty (pcs)"/>
    <tableColumn id="6" name="Setup (h)"/>
    <tableColumn id="7" name="Cycle (min/pc)"/>
    <tableColumn id="8" name="Start"/>
    <tableColumn id="9" name="Due"/>
    <tableColumn id="10" name="Complete (%)"/>
    <tableColumn id="11" name="Work (h)">
      <calculatedColumnFormula>IF(tblJobs[[#This Row],[Job]]="","",tblJobs[[#This Row],[Setup (h)]]+tblJobs[[#This Row],[Qty (pcs)]]*tblJobs[[#This Row],[Cycle (min/pc)]]/60)</calculatedColumnFormula>
    </tableColumn>
    <tableColumn id="12" name="Usable (h/day)">
      <calculatedColumnFormula>IF(tblJobs[[#This Row],[Job]]="","",IFERROR(INDEX(tblMachines[Usable (h/day)],MATCH(tblJobs[[#This Row],[Machine]],tblMachines[Machine],0)),""))</calculatedColumnFormula>
    </tableColumn>
    <tableColumn id="13" name="Days (working)">
      <calculatedColumnFormula>IF(tblJobs[[#This Row],[Job]]="","",IF(N(tblJobs[[#This Row],[Usable (h/day)]])&gt;0,tblJobs[[#This Row],[Work (h)]]/tblJobs[[#This Row],[Usable (h/day)]],""))</calculatedColumnFormula>
    </tableColumn>
    <tableColumn id="14" name="End">
      <calculatedColumnFormula>IF(tblJobs[[#This Row],[Job]]="","",IF(tblJobs[[#This Row],[Days (working)]]="","",WORKDAY(tblJobs[[#This Row],[Start]],MAX(1,ROUNDUP(tblJobs[[#This Row],[Days (working)]],0))-1,tblHolidays[Date])))</calculatedColumnFormula>
    </tableColumn>
    <tableColumn id="15" name="Slack (days)">
      <calculatedColumnFormula>IF(tblJobs[[#This Row],[Job]]="","",IF(tblJobs[[#This Row],[End]]="","",IF(tblJobs[[#This Row],[Due]]&gt;=tblJobs[[#This Row],[End]],NETWORKDAYS(tblJobs[[#This Row],[End]],tblJobs[[#This Row],[Due]],tblHolidays[Date])-1,-(NETWORKDAYS(tblJobs[[#This Row],[Due]],tblJobs[[#This Row],[End]],tblHolidays[Date])-1))))</calculatedColumnFormula>
    </tableColumn>
    <tableColumn id="16" name="On time">
      <calculatedColumnFormula>IF(tblJobs[[#This Row],[Job]]="","",IF(tblJobs[[#This Row],[End]]="","",IF(tblJobs[[#This Row],[End]]&lt;=tblJobs[[#This Row],[Due]],"Yes","No")))</calculatedColumnFormula>
    </tableColumn>
    <tableColumn id="17" name="Progress">
      <calculatedColumnFormula>IF(tblJobs[[#This Row],[Job]]="","",IF(tblJobs[[#This Row],[End]]="","",IF(tblJobs[[#This Row],[Complete (%)]]&gt;=1,"Complete",IF(tblJobs[[#This Row],[End]]&lt;AsOf,"Overdue",IF(tblJobs[[#This Row],[Start]]&lt;=AsOf,"In progress","Not started")))))</calculatedColumnFormula>
    </tableColumn>
    <tableColumn id="18" name="Check">
      <calculatedColumnFormula>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calculatedColumnFormula>
    </tableColumn>
    <tableColumn id="19" name="Notes"/>
  </tableColumns>
  <tableStyleInfo name="TableStyleLight1" showFirstColumn="0" showLastColumn="0" showRowStripes="0" showColumnStripes="0"/>
</table>
</file>

<file path=xl/tables/table4.xml><?xml version="1.0" encoding="utf-8"?>
<table xmlns="http://schemas.openxmlformats.org/spreadsheetml/2006/main" id="4" name="tblVerifyHolidays" displayName="tblVerifyHolidays" ref="B52:C53" totalsRowShown="0">
  <tableColumns count="2">
    <tableColumn id="1" name="Date"/>
    <tableColumn id="2" name="Name"/>
  </tableColumns>
  <tableStyleInfo name="TableStyleLight1" showFirstColumn="0" showLastColumn="0" showRowStripes="0" showColumnStripes="0"/>
</table>
</file>

<file path=xl/tables/table5.xml><?xml version="1.0" encoding="utf-8"?>
<table xmlns="http://schemas.openxmlformats.org/spreadsheetml/2006/main" id="5" name="tblVerifyMachines" displayName="tblVerifyMachines" ref="B56:G58" totalsRowShown="0">
  <tableColumns count="6">
    <tableColumn id="1" name="Machine"/>
    <tableColumn id="2" name="Description"/>
    <tableColumn id="3" name="Hours per day (h)"/>
    <tableColumn id="4" name="Availability (%)"/>
    <tableColumn id="5" name="Efficiency (%)"/>
    <tableColumn id="6" name="Usable (h/day)">
      <calculatedColumnFormula>tblVerifyMachines[[#This Row],[Hours per day (h)]]*tblVerifyMachines[[#This Row],[Availability (%)]]*tblVerifyMachines[[#This Row],[Efficiency (%)]]</calculatedColumnFormula>
    </tableColumn>
  </tableColumns>
  <tableStyleInfo name="TableStyleLight1" showFirstColumn="0" showLastColumn="0" showRowStripes="0" showColumnStripes="0"/>
</table>
</file>

<file path=xl/tables/table6.xml><?xml version="1.0" encoding="utf-8"?>
<table xmlns="http://schemas.openxmlformats.org/spreadsheetml/2006/main" id="6" name="tblVerifyJobs" displayName="tblVerifyJobs" ref="B61:T66" totalsRowShown="0">
  <tableColumns count="19">
    <tableColumn id="1" name="Job"/>
    <tableColumn id="2" name="Customer"/>
    <tableColumn id="3" name="Part"/>
    <tableColumn id="4" name="Machine"/>
    <tableColumn id="5" name="Qty (pcs)"/>
    <tableColumn id="6" name="Setup (h)"/>
    <tableColumn id="7" name="Cycle (min/pc)"/>
    <tableColumn id="8" name="Start"/>
    <tableColumn id="9" name="Due"/>
    <tableColumn id="10" name="Complete (%)"/>
    <tableColumn id="11" name="Work (h)">
      <calculatedColumnFormula>IF(tblVerifyJobs[[#This Row],[Job]]="","",tblVerifyJobs[[#This Row],[Setup (h)]]+tblVerifyJobs[[#This Row],[Qty (pcs)]]*tblVerifyJobs[[#This Row],[Cycle (min/pc)]]/60)</calculatedColumnFormula>
    </tableColumn>
    <tableColumn id="12" name="Usable (h/day)"/>
    <tableColumn id="13" name="Days (working)">
      <calculatedColumnFormula>IF(tblVerifyJobs[[#This Row],[Job]]="","",IF(N(tblVerifyJobs[[#This Row],[Usable (h/day)]])&gt;0,tblVerifyJobs[[#This Row],[Work (h)]]/tblVerifyJobs[[#This Row],[Usable (h/day)]],""))</calculatedColumnFormula>
    </tableColumn>
    <tableColumn id="14" name="End">
      <calculatedColumnFormula>IF(tblVerifyJobs[[#This Row],[Job]]="","",IF(tblVerifyJobs[[#This Row],[Days (working)]]="","",WORKDAY(tblVerifyJobs[[#This Row],[Start]],MAX(1,ROUNDUP(tblVerifyJobs[[#This Row],[Days (working)]],0))-1,tblVerifyHolidays[Date])))</calculatedColumnFormula>
    </tableColumn>
    <tableColumn id="15" name="Slack (days)">
      <calculatedColumnFormula>IF(tblVerifyJobs[[#This Row],[Job]]="","",IF(tblVerifyJobs[[#This Row],[End]]="","",IF(tblVerifyJobs[[#This Row],[Due]]&gt;=tblVerifyJobs[[#This Row],[End]],NETWORKDAYS(tblVerifyJobs[[#This Row],[End]],tblVerifyJobs[[#This Row],[Due]],tblVerifyHolidays[Date])-1,-(NETWORKDAYS(tblVerifyJobs[[#This Row],[Due]],tblVerifyJobs[[#This Row],[End]],tblVerifyHolidays[Date])-1))))</calculatedColumnFormula>
    </tableColumn>
    <tableColumn id="16" name="On time">
      <calculatedColumnFormula>IF(tblVerifyJobs[[#This Row],[Job]]="","",IF(tblVerifyJobs[[#This Row],[End]]="","",IF(tblVerifyJobs[[#This Row],[End]]&lt;=tblVerifyJobs[[#This Row],[Due]],"Yes","No")))</calculatedColumnFormula>
    </tableColumn>
    <tableColumn id="17" name="Progress">
      <calculatedColumnFormula>IF(tblVerifyJobs[[#This Row],[Job]]="","",IF(tblVerifyJobs[[#This Row],[End]]="","",IF(tblVerifyJobs[[#This Row],[Complete (%)]]&gt;=1,"Complete",IF(tblVerifyJobs[[#This Row],[End]]&lt;$E$46,"Overdue",IF(tblVerifyJobs[[#This Row],[Start]]&lt;=$E$46,"In progress","Not started")))))</calculatedColumnFormula>
    </tableColumn>
    <tableColumn id="18" name="Check">
      <calculatedColumnFormula>IF(tblVerifyJobs[[#This Row],[Job]]="","",IF(tblVerifyJobs[[#This Row],[Machine]]="","Missing machine",IF(tblVerifyJobs[[#This Row],[Qty (pcs)]]="","Missing qty",IF(tblVerifyJobs[[#This Row],[Start]]="","Missing start",IF(tblVerifyJobs[[#This Row],[Due]]="","Missing due",IF(tblVerifyJobs[[#This Row],[Usable (h/day)]]="","Machine not on Setup list",IF(COUNTIF(tblVerifyJobs[Job],tblVerifyJobs[[#This Row],[Job]])&gt;1,"Duplicate job number",IF(tblVerifyJobs[[#This Row],[Due]]&lt;tblVerifyJobs[[#This Row],[Start]],"Due date before start",IF(tblVerifyJobs[[#This Row],[Start]]&lt;$E$45,"Starts before the plan start",IF(NETWORKDAYS(tblVerifyJobs[[#This Row],[Start]],tblVerifyJobs[[#This Row],[Start]],tblVerifyHolidays[Date])=0,"Starts on a non-working day",IF(AND(tblVerifyJobs[[#This Row],[End]]&lt;&gt;"",COUNTIFS(tblVerifyJobs[Machine],tblVerifyJobs[[#This Row],[Machine]],tblVerifyJobs[Start],"&lt;="&amp;tblVerifyJobs[[#This Row],[End]],tblVerifyJobs[End],"&gt;="&amp;tblVerifyJobs[[#This Row],[Start]])&gt;1),"Overlaps another job on this machine","OK")))))))))))</calculatedColumnFormula>
    </tableColumn>
    <tableColumn id="1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schedule" TargetMode="External"/><Relationship Id="rId2" Type="http://schemas.openxmlformats.org/officeDocument/2006/relationships/hyperlink" Target="https://www.mfgcalcs.com/calculators/advanced-planning-scheduling-aps/finite-capacity-load?utm_source=mfgcalcs-template&amp;utm_medium=xlsx&amp;utm_campaign=production-schedule" TargetMode="External"/><Relationship Id="rId3" Type="http://schemas.openxmlformats.org/officeDocument/2006/relationships/hyperlink" Target="https://www.mfgcalcs.com/templates/production-schedule?utm_source=mfgcalcs-template&amp;utm_medium=xlsx&amp;utm_campaign=production-schedule" TargetMode="External"/><Relationship Id="rId4" Type="http://schemas.openxmlformats.org/officeDocument/2006/relationships/hyperlink" Target="https://www.mfgcalcs.com/templates?utm_source=mfgcalcs-template&amp;utm_medium=xlsx&amp;utm_campaign=production-schedul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schedule"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schedule"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schedul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schedule"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schedule" TargetMode="External"/><Relationship Id="rId2" Type="http://schemas.openxmlformats.org/officeDocument/2006/relationships/hyperlink" Target="https://www.mfgcalcs.com/calculators/advanced-planning-scheduling-aps/finite-capacity-load?utm_source=mfgcalcs-template&amp;utm_medium=xlsx&amp;utm_campaign=production-schedul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duction-schedule"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29 of 29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Schedule!A1" tooltip="Go to Schedule" display="Schedule"/>
    <hyperlink ref="C23" location="Timeline!A1" tooltip="Go to Timeline" display="Timeline"/>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Production Schedule Gantt&amp;R&amp;8&amp;A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H29"/>
  <sheetViews>
    <sheetView showGridLines="0" workbookViewId="0"/>
  </sheetViews>
  <sheetFormatPr defaultRowHeight="15"/>
  <cols>
    <col min="1" max="1" width="2.7109375" customWidth="1"/>
    <col min="2" max="2" width="16.7109375" customWidth="1"/>
    <col min="3" max="3" width="30.7109375" customWidth="1"/>
    <col min="4" max="7" width="14.7109375" customWidth="1"/>
    <col min="8" max="8" width="12.7109375" customWidth="1"/>
  </cols>
  <sheetData>
    <row r="1" spans="1:8" ht="30" customHeight="1">
      <c r="A1" s="1" t="s">
        <v>0</v>
      </c>
      <c r="B1" s="1"/>
      <c r="C1" s="1"/>
      <c r="D1" s="1"/>
      <c r="E1" s="1"/>
      <c r="F1" s="1"/>
      <c r="G1" s="1"/>
      <c r="H1" s="1"/>
    </row>
    <row r="2" spans="1:8" ht="21" customHeight="1">
      <c r="B2" s="2" t="s">
        <v>20</v>
      </c>
      <c r="C2" s="2"/>
      <c r="D2" s="2"/>
      <c r="E2" s="2"/>
      <c r="F2" s="2"/>
      <c r="G2" s="2"/>
      <c r="H2" s="3" t="s">
        <v>2</v>
      </c>
    </row>
    <row r="3" spans="1:8" ht="6" customHeight="1"/>
    <row r="4" spans="1:8" ht="21" customHeight="1">
      <c r="B4" s="8" t="s">
        <v>72</v>
      </c>
      <c r="C4" s="8"/>
      <c r="D4" s="8"/>
      <c r="E4" s="8"/>
      <c r="F4" s="8"/>
      <c r="G4" s="8"/>
      <c r="H4" s="8"/>
    </row>
    <row r="5" spans="1:8" ht="5" customHeight="1"/>
    <row r="6" spans="1:8">
      <c r="B6" s="27" t="s">
        <v>73</v>
      </c>
      <c r="C6" s="27"/>
      <c r="D6" s="28" t="s">
        <v>74</v>
      </c>
      <c r="E6" s="28"/>
    </row>
    <row r="7" spans="1:8">
      <c r="B7" s="27" t="s">
        <v>75</v>
      </c>
      <c r="C7" s="27"/>
      <c r="D7" s="29">
        <v>46328</v>
      </c>
      <c r="E7" s="7"/>
    </row>
    <row r="8" spans="1:8">
      <c r="B8" s="27" t="s">
        <v>76</v>
      </c>
      <c r="C8" s="27"/>
      <c r="D8" s="30">
        <v>20</v>
      </c>
      <c r="E8" s="7" t="s">
        <v>77</v>
      </c>
    </row>
    <row r="9" spans="1:8">
      <c r="B9" s="27" t="s">
        <v>78</v>
      </c>
      <c r="C9" s="27"/>
      <c r="D9" s="31">
        <f>WORKDAY(WORKDAY(PlanStart-1,1,tblHolidays[Date]),HorizonDays-1,tblHolidays[Date])</f>
        <v>46356</v>
      </c>
      <c r="E9" s="7"/>
    </row>
    <row r="10" spans="1:8">
      <c r="B10" s="27" t="s">
        <v>79</v>
      </c>
      <c r="C10" s="27"/>
      <c r="D10" s="29">
        <v>46337</v>
      </c>
      <c r="E10" s="7"/>
    </row>
    <row r="11" spans="1:8">
      <c r="B11" s="27" t="s">
        <v>80</v>
      </c>
      <c r="C11" s="27"/>
      <c r="D11" s="32">
        <v>0.85</v>
      </c>
      <c r="E11" s="7"/>
    </row>
    <row r="12" spans="1:8">
      <c r="B12" s="27" t="s">
        <v>81</v>
      </c>
      <c r="C12" s="27"/>
      <c r="D12" s="32">
        <v>1</v>
      </c>
      <c r="E12" s="7"/>
    </row>
    <row r="14" spans="1:8" ht="21" customHeight="1">
      <c r="B14" s="8" t="s">
        <v>82</v>
      </c>
      <c r="C14" s="8"/>
      <c r="D14" s="8"/>
      <c r="E14" s="8"/>
      <c r="F14" s="8"/>
      <c r="G14" s="8"/>
      <c r="H14" s="8"/>
    </row>
    <row r="15" spans="1:8" ht="5" customHeight="1"/>
    <row r="16" spans="1:8" ht="26.76" customHeight="1">
      <c r="B16" s="21" t="s">
        <v>83</v>
      </c>
      <c r="C16" s="21"/>
      <c r="D16" s="21"/>
      <c r="E16" s="21"/>
      <c r="F16" s="21"/>
      <c r="G16" s="21"/>
      <c r="H16" s="21"/>
    </row>
    <row r="17" spans="2:8">
      <c r="B17" s="33" t="s">
        <v>84</v>
      </c>
      <c r="C17" s="33"/>
      <c r="D17" s="33"/>
      <c r="E17" s="33"/>
      <c r="F17" s="33"/>
      <c r="G17" s="33"/>
    </row>
    <row r="18" spans="2:8" ht="32" customHeight="1">
      <c r="B18" s="34" t="s">
        <v>64</v>
      </c>
      <c r="C18" s="34" t="s">
        <v>65</v>
      </c>
      <c r="D18" s="34" t="s">
        <v>66</v>
      </c>
      <c r="E18" s="34" t="s">
        <v>67</v>
      </c>
      <c r="F18" s="34" t="s">
        <v>68</v>
      </c>
      <c r="G18" s="34" t="s">
        <v>69</v>
      </c>
    </row>
    <row r="19" spans="2:8">
      <c r="B19" s="28" t="s">
        <v>85</v>
      </c>
      <c r="C19" s="28" t="s">
        <v>86</v>
      </c>
      <c r="D19" s="35">
        <v>16</v>
      </c>
      <c r="E19" s="32">
        <v>0.9</v>
      </c>
      <c r="F19" s="32">
        <v>0.85</v>
      </c>
      <c r="G19" s="36">
        <f>tblMachines[[#This Row],[Hours per day (h)]]*tblMachines[[#This Row],[Availability (%)]]*tblMachines[[#This Row],[Efficiency (%)]]</f>
        <v>12.24</v>
      </c>
    </row>
    <row r="20" spans="2:8">
      <c r="B20" s="28" t="s">
        <v>87</v>
      </c>
      <c r="C20" s="28" t="s">
        <v>86</v>
      </c>
      <c r="D20" s="35">
        <v>16</v>
      </c>
      <c r="E20" s="32">
        <v>0.88</v>
      </c>
      <c r="F20" s="32">
        <v>0.85</v>
      </c>
      <c r="G20" s="36">
        <f>tblMachines[[#This Row],[Hours per day (h)]]*tblMachines[[#This Row],[Availability (%)]]*tblMachines[[#This Row],[Efficiency (%)]]</f>
        <v>11.968</v>
      </c>
    </row>
    <row r="21" spans="2:8">
      <c r="B21" s="28" t="s">
        <v>88</v>
      </c>
      <c r="C21" s="28" t="s">
        <v>89</v>
      </c>
      <c r="D21" s="35">
        <v>22</v>
      </c>
      <c r="E21" s="32">
        <v>0.92</v>
      </c>
      <c r="F21" s="32">
        <v>0.88</v>
      </c>
      <c r="G21" s="36">
        <f>tblMachines[[#This Row],[Hours per day (h)]]*tblMachines[[#This Row],[Availability (%)]]*tblMachines[[#This Row],[Efficiency (%)]]</f>
        <v>17.8112</v>
      </c>
    </row>
    <row r="22" spans="2:8">
      <c r="B22" s="28" t="s">
        <v>90</v>
      </c>
      <c r="C22" s="28" t="s">
        <v>91</v>
      </c>
      <c r="D22" s="35">
        <v>8</v>
      </c>
      <c r="E22" s="32">
        <v>0.9</v>
      </c>
      <c r="F22" s="32">
        <v>0.9</v>
      </c>
      <c r="G22" s="36">
        <f>tblMachines[[#This Row],[Hours per day (h)]]*tblMachines[[#This Row],[Availability (%)]]*tblMachines[[#This Row],[Efficiency (%)]]</f>
        <v>6.48</v>
      </c>
    </row>
    <row r="24" spans="2:8" ht="21" customHeight="1">
      <c r="B24" s="8" t="s">
        <v>92</v>
      </c>
      <c r="C24" s="8"/>
      <c r="D24" s="8"/>
      <c r="E24" s="8"/>
      <c r="F24" s="8"/>
      <c r="G24" s="8"/>
      <c r="H24" s="8"/>
    </row>
    <row r="25" spans="2:8" ht="5" customHeight="1"/>
    <row r="26" spans="2:8">
      <c r="B26" s="21" t="s">
        <v>93</v>
      </c>
      <c r="C26" s="21"/>
      <c r="D26" s="21"/>
      <c r="E26" s="21"/>
      <c r="F26" s="21"/>
      <c r="G26" s="21"/>
      <c r="H26" s="21"/>
    </row>
    <row r="27" spans="2:8">
      <c r="B27" s="33" t="s">
        <v>94</v>
      </c>
      <c r="C27" s="33"/>
    </row>
    <row r="28" spans="2:8" ht="20" customHeight="1">
      <c r="B28" s="34" t="s">
        <v>70</v>
      </c>
      <c r="C28" s="34" t="s">
        <v>71</v>
      </c>
    </row>
    <row r="29" spans="2:8">
      <c r="B29" s="29">
        <v>46346</v>
      </c>
      <c r="C29" s="28" t="s">
        <v>95</v>
      </c>
    </row>
  </sheetData>
  <mergeCells count="17">
    <mergeCell ref="A1:H1"/>
    <mergeCell ref="B2:G2"/>
    <mergeCell ref="B4:H4"/>
    <mergeCell ref="B6:C6"/>
    <mergeCell ref="D6:E6"/>
    <mergeCell ref="B7:C7"/>
    <mergeCell ref="B8:C8"/>
    <mergeCell ref="B9:C9"/>
    <mergeCell ref="B10:C10"/>
    <mergeCell ref="B11:C11"/>
    <mergeCell ref="B12:C12"/>
    <mergeCell ref="B14:H14"/>
    <mergeCell ref="B16:H16"/>
    <mergeCell ref="B17:G17"/>
    <mergeCell ref="B24:H24"/>
    <mergeCell ref="B26:H26"/>
    <mergeCell ref="B27:C27"/>
  </mergeCells>
  <dataValidations count="13">
    <dataValidation type="textLength" allowBlank="1" showInputMessage="1" showErrorMessage="1" errorTitle="Check this entry" error="Text up to 80 characters." promptTitle="Plant or shop name" prompt="Shown on the Dashboard. Text up to 80 characters." sqref="D6">
      <formula1>0</formula1>
      <formula2>80</formula2>
    </dataValidation>
    <dataValidation type="date" allowBlank="1" showInputMessage="1" showErrorMessage="1" errorTitle="Check this entry" error="Enter a date between 01 Jan 2000 and 31 Dec 2100." promptTitle="Plan starts" prompt="First day of the plan. The Gantt measures every job from this date. Enter a date between 01 Jan 2000 and 31 Dec 2100." sqref="D7">
      <formula1>36526</formula1>
      <formula2>73415</formula2>
    </dataValidation>
    <dataValidation type="whole" allowBlank="1" showInputMessage="1" showErrorMessage="1" errorTitle="Check this entry" error="Enter a whole number from 1 to 60." promptTitle="Plan horizon" prompt="Working days the plan covers. Machine capacity on the Dashboard is usable hours per day x this number. The Timeline sheet shows 20 working days. Enter a whole number from 1 to 60." sqref="D8">
      <formula1>1</formula1>
      <formula2>60</formula2>
    </dataValidation>
    <dataValidation type="date" allowBlank="1" showInputMessage="1" showErrorMessage="1" errorTitle="Check this entry" error="Enter a date between 01 Jan 2000 and 31 Dec 2100." promptTitle="Status as of" prompt="The date progress is judged against. A typed date, not TODAY, so the file never changes by itself: update it when you update percent complete. Enter a date between 01 Jan 2000 and 31 Dec 2100." sqref="D10">
      <formula1>36526</formula1>
      <formula2>73415</formula2>
    </dataValidation>
    <dataValidation type="decimal" allowBlank="1" showInputMessage="1" showErrorMessage="1" errorTitle="Check this entry" error="Enter a percentage from 0% to 200% (type 85% or 0.85)." promptTitle="Near capacity from" prompt="Machine load (scheduled hours / usable hours) from which the Dashboard says Near capacity. Your own threshold. Enter a percentage from 0% to 200% (type 85% or 0.85)." sqref="D11">
      <formula1>0</formula1>
      <formula2>2</formula2>
    </dataValidation>
    <dataValidation type="decimal" allowBlank="1" showInputMessage="1" showErrorMessage="1" errorTitle="Check this entry" error="Enter a percentage from 0% to 300% (type 85% or 0.85)." promptTitle="Over capacity above" prompt="Machine load above which the Dashboard says Over capacity. 100% means more hours scheduled than the machine can deliver. Enter a percentage from 0% to 300% (type 85% or 0.85)." sqref="D12">
      <formula1>0</formula1>
      <formula2>3</formula2>
    </dataValidation>
    <dataValidation type="textLength" allowBlank="1" showInputMessage="1" showErrorMessage="1" errorTitle="Check this entry" error="Text up to 40 characters." promptTitle="Machine" prompt="Text up to 40 characters." sqref="B19:B122">
      <formula1>0</formula1>
      <formula2>40</formula2>
    </dataValidation>
    <dataValidation type="textLength" allowBlank="1" showInputMessage="1" showErrorMessage="1" errorTitle="Check this entry" error="Text up to 120 characters." promptTitle="Description" prompt="Text up to 120 characters." sqref="C19:C122">
      <formula1>0</formula1>
      <formula2>120</formula2>
    </dataValidation>
    <dataValidation type="decimal" allowBlank="1" showInputMessage="1" showErrorMessage="1" errorTitle="Check this entry" error="Enter a number from 0.5 to 24." promptTitle="Hours per day (h)" prompt="Scheduled hours per working day: shifts x paid hours minus breaks. Enter a number from 0.5 to 24." sqref="D19:D122">
      <formula1>0.5</formula1>
      <formula2>24</formula2>
    </dataValidation>
    <dataValidation type="decimal" allowBlank="1" showInputMessage="1" showErrorMessage="1" errorTitle="Check this entry" error="Enter a percentage from 1% to 100% (type 85% or 0.85)." promptTitle="Availability (%)" prompt="Share of scheduled hours the machine is up and able to run. Enter a percentage from 1% to 100% (type 85% or 0.85)." sqref="E19:E122">
      <formula1>0.01</formula1>
      <formula2>1</formula2>
    </dataValidation>
    <dataValidation type="decimal" allowBlank="1" showInputMessage="1" showErrorMessage="1" errorTitle="Check this entry" error="Enter a percentage from 1% to 150% (type 85% or 0.85)." promptTitle="Efficiency (%)" prompt="Share of the planned rate the machine actually achieves when running (speed and small stops). Enter a percentage from 1% to 150% (type 85% or 0.85)." sqref="F19:F122">
      <formula1>0.01</formula1>
      <formula2>1.5</formula2>
    </dataValidation>
    <dataValidation type="date" allowBlank="1" showInputMessage="1" showErrorMessage="1" errorTitle="Check this entry" error="Enter a date between 01 Jan 2000 and 31 Dec 2100." promptTitle="Date" prompt="Enter a date between 01 Jan 2000 and 31 Dec 2100." sqref="B29:B129">
      <formula1>36526</formula1>
      <formula2>73415</formula2>
    </dataValidation>
    <dataValidation type="textLength" allowBlank="1" showInputMessage="1" showErrorMessage="1" errorTitle="Check this entry" error="Text up to 80 characters." promptTitle="Name" prompt="Text up to 80 characters." sqref="C29:C129">
      <formula1>0</formula1>
      <formula2>80</formula2>
    </dataValidation>
  </dataValidations>
  <hyperlinks>
    <hyperlink ref="H2" r:id="rId1" tooltip="Free manufacturing calculators and templates"/>
  </hyperlinks>
  <pageMargins left="0.4" right="0.4" top="0.7" bottom="0.65" header="0.3" footer="0.3"/>
  <pageSetup fitToHeight="0" orientation="landscape"/>
  <headerFooter>
    <oddHeader>&amp;L&amp;8MFG Calcs - Production Schedule Gantt&amp;R&amp;8&amp;A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T21"/>
  <sheetViews>
    <sheetView workbookViewId="0">
      <pane xSplit="2" ySplit="5" topLeftCell="C6" activePane="bottomRight" state="frozen"/>
      <selection pane="topRight" activeCell="C1" sqref="C1"/>
      <selection pane="bottomLeft" activeCell="A6" sqref="A6"/>
      <selection pane="bottomRight"/>
    </sheetView>
  </sheetViews>
  <sheetFormatPr defaultRowHeight="15"/>
  <cols>
    <col min="1" max="1" width="2.7109375" customWidth="1"/>
    <col min="2" max="2" width="9.28515625" customWidth="1"/>
    <col min="3" max="4" width="19.7109375" customWidth="1"/>
    <col min="5" max="5" width="9.7109375" customWidth="1"/>
    <col min="6" max="6" width="8.28515625" customWidth="1"/>
    <col min="7" max="7" width="7.7109375" customWidth="1"/>
    <col min="8" max="8" width="8.7109375" customWidth="1"/>
    <col min="9" max="10" width="11.28515625" customWidth="1"/>
    <col min="11" max="11" width="9.7109375" customWidth="1"/>
    <col min="12" max="12" width="8.7109375" customWidth="1"/>
    <col min="13" max="14" width="9.28515625" customWidth="1"/>
    <col min="15" max="15" width="11.28515625" customWidth="1"/>
    <col min="16" max="16" width="8.28515625" customWidth="1"/>
    <col min="17" max="17" width="7.7109375" customWidth="1"/>
    <col min="18" max="18" width="11.28515625" customWidth="1"/>
    <col min="19" max="19" width="24.7109375" customWidth="1"/>
    <col min="20" max="20" width="26.7109375" customWidth="1"/>
  </cols>
  <sheetData>
    <row r="1" spans="1:20" ht="30" customHeight="1">
      <c r="A1" s="1" t="s">
        <v>0</v>
      </c>
      <c r="B1" s="1"/>
      <c r="C1" s="1"/>
      <c r="D1" s="1"/>
      <c r="E1" s="1"/>
      <c r="F1" s="1"/>
      <c r="G1" s="1"/>
      <c r="H1" s="1"/>
      <c r="I1" s="1"/>
      <c r="J1" s="1"/>
      <c r="K1" s="1"/>
      <c r="L1" s="1"/>
      <c r="M1" s="1"/>
      <c r="N1" s="1"/>
      <c r="O1" s="1"/>
      <c r="P1" s="1"/>
      <c r="Q1" s="1"/>
      <c r="R1" s="1"/>
      <c r="S1" s="1"/>
      <c r="T1" s="1"/>
    </row>
    <row r="2" spans="1:20" ht="21" customHeight="1">
      <c r="B2" s="2" t="s">
        <v>22</v>
      </c>
      <c r="C2" s="2"/>
      <c r="D2" s="2"/>
      <c r="E2" s="2"/>
      <c r="F2" s="2"/>
      <c r="G2" s="2"/>
      <c r="H2" s="2"/>
      <c r="I2" s="2"/>
      <c r="J2" s="2"/>
      <c r="K2" s="2"/>
      <c r="L2" s="2"/>
      <c r="M2" s="2"/>
      <c r="N2" s="2"/>
      <c r="O2" s="2"/>
      <c r="P2" s="2"/>
      <c r="Q2" s="2"/>
      <c r="R2" s="2"/>
      <c r="S2" s="2"/>
      <c r="T2" s="3" t="s">
        <v>2</v>
      </c>
    </row>
    <row r="3" spans="1:20" ht="6" customHeight="1"/>
    <row r="4" spans="1:20" ht="18" customHeight="1">
      <c r="B4" s="37" t="s">
        <v>113</v>
      </c>
      <c r="C4" s="37"/>
      <c r="D4" s="37"/>
      <c r="E4" s="37"/>
      <c r="F4" s="37"/>
      <c r="G4" s="37"/>
      <c r="H4" s="37"/>
      <c r="I4" s="37"/>
      <c r="J4" s="37"/>
      <c r="K4" s="37"/>
      <c r="L4" s="37"/>
      <c r="M4" s="37"/>
      <c r="N4" s="37"/>
      <c r="O4" s="37"/>
      <c r="P4" s="37"/>
      <c r="Q4" s="37"/>
      <c r="R4" s="37"/>
      <c r="S4" s="37"/>
      <c r="T4" s="37"/>
    </row>
    <row r="5" spans="1:20" ht="32" customHeight="1">
      <c r="B5" s="34" t="s">
        <v>96</v>
      </c>
      <c r="C5" s="34" t="s">
        <v>97</v>
      </c>
      <c r="D5" s="34" t="s">
        <v>98</v>
      </c>
      <c r="E5" s="34" t="s">
        <v>64</v>
      </c>
      <c r="F5" s="34" t="s">
        <v>99</v>
      </c>
      <c r="G5" s="34" t="s">
        <v>100</v>
      </c>
      <c r="H5" s="34" t="s">
        <v>101</v>
      </c>
      <c r="I5" s="34" t="s">
        <v>102</v>
      </c>
      <c r="J5" s="34" t="s">
        <v>103</v>
      </c>
      <c r="K5" s="34" t="s">
        <v>104</v>
      </c>
      <c r="L5" s="34" t="s">
        <v>105</v>
      </c>
      <c r="M5" s="34" t="s">
        <v>69</v>
      </c>
      <c r="N5" s="34" t="s">
        <v>106</v>
      </c>
      <c r="O5" s="34" t="s">
        <v>107</v>
      </c>
      <c r="P5" s="34" t="s">
        <v>108</v>
      </c>
      <c r="Q5" s="34" t="s">
        <v>109</v>
      </c>
      <c r="R5" s="34" t="s">
        <v>110</v>
      </c>
      <c r="S5" s="34" t="s">
        <v>111</v>
      </c>
      <c r="T5" s="34" t="s">
        <v>112</v>
      </c>
    </row>
    <row r="6" spans="1:20">
      <c r="B6" s="28" t="s">
        <v>114</v>
      </c>
      <c r="C6" s="28" t="s">
        <v>115</v>
      </c>
      <c r="D6" s="28" t="s">
        <v>116</v>
      </c>
      <c r="E6" s="28" t="s">
        <v>85</v>
      </c>
      <c r="F6" s="30">
        <v>120</v>
      </c>
      <c r="G6" s="35">
        <v>3</v>
      </c>
      <c r="H6" s="38">
        <v>18</v>
      </c>
      <c r="I6" s="29">
        <v>46328</v>
      </c>
      <c r="J6" s="29">
        <v>46336</v>
      </c>
      <c r="K6" s="32">
        <v>1</v>
      </c>
      <c r="L6" s="39">
        <f>IF(tblJobs[[#This Row],[Job]]="","",tblJobs[[#This Row],[Setup (h)]]+tblJobs[[#This Row],[Qty (pcs)]]*tblJobs[[#This Row],[Cycle (min/pc)]]/60)</f>
        <v>39</v>
      </c>
      <c r="M6" s="36">
        <f>IF(tblJobs[[#This Row],[Job]]="","",IFERROR(INDEX(tblMachines[Usable (h/day)],MATCH(tblJobs[[#This Row],[Machine]],tblMachines[Machine],0)),""))</f>
        <v>12.24</v>
      </c>
      <c r="N6" s="39">
        <f>IF(tblJobs[[#This Row],[Job]]="","",IF(N(tblJobs[[#This Row],[Usable (h/day)]])&gt;0,tblJobs[[#This Row],[Work (h)]]/tblJobs[[#This Row],[Usable (h/day)]],""))</f>
        <v>3.18627450980392</v>
      </c>
      <c r="O6" s="31">
        <f>IF(tblJobs[[#This Row],[Job]]="","",IF(tblJobs[[#This Row],[Days (working)]]="","",WORKDAY(tblJobs[[#This Row],[Start]],MAX(1,ROUNDUP(tblJobs[[#This Row],[Days (working)]],0))-1,tblHolidays[Date])))</f>
        <v>46331</v>
      </c>
      <c r="P6" s="40">
        <f>IF(tblJobs[[#This Row],[Job]]="","",IF(tblJobs[[#This Row],[End]]="","",IF(tblJobs[[#This Row],[Due]]&gt;=tblJobs[[#This Row],[End]],NETWORKDAYS(tblJobs[[#This Row],[End]],tblJobs[[#This Row],[Due]],tblHolidays[Date])-1,-(NETWORKDAYS(tblJobs[[#This Row],[Due]],tblJobs[[#This Row],[End]],tblHolidays[Date])-1))))</f>
        <v>3</v>
      </c>
      <c r="Q6" s="41" t="str">
        <f>IF(tblJobs[[#This Row],[Job]]="","",IF(tblJobs[[#This Row],[End]]="","",IF(tblJobs[[#This Row],[End]]&lt;=tblJobs[[#This Row],[Due]],"Yes","No")))</f>
        <v>Yes</v>
      </c>
      <c r="R6" s="41" t="str">
        <f>IF(tblJobs[[#This Row],[Job]]="","",IF(tblJobs[[#This Row],[End]]="","",IF(tblJobs[[#This Row],[Complete (%)]]&gt;=1,"Complete",IF(tblJobs[[#This Row],[End]]&lt;AsOf,"Overdue",IF(tblJobs[[#This Row],[Start]]&lt;=AsOf,"In progress","Not started")))))</f>
        <v>Complete</v>
      </c>
      <c r="S6"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6" s="28" t="s">
        <v>117</v>
      </c>
    </row>
    <row r="7" spans="1:20">
      <c r="B7" s="28" t="s">
        <v>118</v>
      </c>
      <c r="C7" s="28" t="s">
        <v>119</v>
      </c>
      <c r="D7" s="28" t="s">
        <v>120</v>
      </c>
      <c r="E7" s="28" t="s">
        <v>85</v>
      </c>
      <c r="F7" s="30">
        <v>300</v>
      </c>
      <c r="G7" s="35">
        <v>2.5</v>
      </c>
      <c r="H7" s="38">
        <v>8.5</v>
      </c>
      <c r="I7" s="29">
        <v>46332</v>
      </c>
      <c r="J7" s="29">
        <v>46339</v>
      </c>
      <c r="K7" s="32">
        <v>0.75</v>
      </c>
      <c r="L7" s="39">
        <f>IF(tblJobs[[#This Row],[Job]]="","",tblJobs[[#This Row],[Setup (h)]]+tblJobs[[#This Row],[Qty (pcs)]]*tblJobs[[#This Row],[Cycle (min/pc)]]/60)</f>
        <v>45</v>
      </c>
      <c r="M7" s="36">
        <f>IF(tblJobs[[#This Row],[Job]]="","",IFERROR(INDEX(tblMachines[Usable (h/day)],MATCH(tblJobs[[#This Row],[Machine]],tblMachines[Machine],0)),""))</f>
        <v>12.24</v>
      </c>
      <c r="N7" s="39">
        <f>IF(tblJobs[[#This Row],[Job]]="","",IF(N(tblJobs[[#This Row],[Usable (h/day)]])&gt;0,tblJobs[[#This Row],[Work (h)]]/tblJobs[[#This Row],[Usable (h/day)]],""))</f>
        <v>3.67647058823529</v>
      </c>
      <c r="O7" s="31">
        <f>IF(tblJobs[[#This Row],[Job]]="","",IF(tblJobs[[#This Row],[Days (working)]]="","",WORKDAY(tblJobs[[#This Row],[Start]],MAX(1,ROUNDUP(tblJobs[[#This Row],[Days (working)]],0))-1,tblHolidays[Date])))</f>
        <v>46337</v>
      </c>
      <c r="P7" s="40">
        <f>IF(tblJobs[[#This Row],[Job]]="","",IF(tblJobs[[#This Row],[End]]="","",IF(tblJobs[[#This Row],[Due]]&gt;=tblJobs[[#This Row],[End]],NETWORKDAYS(tblJobs[[#This Row],[End]],tblJobs[[#This Row],[Due]],tblHolidays[Date])-1,-(NETWORKDAYS(tblJobs[[#This Row],[Due]],tblJobs[[#This Row],[End]],tblHolidays[Date])-1))))</f>
        <v>2</v>
      </c>
      <c r="Q7" s="41" t="str">
        <f>IF(tblJobs[[#This Row],[Job]]="","",IF(tblJobs[[#This Row],[End]]="","",IF(tblJobs[[#This Row],[End]]&lt;=tblJobs[[#This Row],[Due]],"Yes","No")))</f>
        <v>Yes</v>
      </c>
      <c r="R7" s="41" t="str">
        <f>IF(tblJobs[[#This Row],[Job]]="","",IF(tblJobs[[#This Row],[End]]="","",IF(tblJobs[[#This Row],[Complete (%)]]&gt;=1,"Complete",IF(tblJobs[[#This Row],[End]]&lt;AsOf,"Overdue",IF(tblJobs[[#This Row],[Start]]&lt;=AsOf,"In progress","Not started")))))</f>
        <v>In progress</v>
      </c>
      <c r="S7"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7" s="28" t="s">
        <v>117</v>
      </c>
    </row>
    <row r="8" spans="1:20">
      <c r="B8" s="28" t="s">
        <v>121</v>
      </c>
      <c r="C8" s="28" t="s">
        <v>122</v>
      </c>
      <c r="D8" s="28" t="s">
        <v>123</v>
      </c>
      <c r="E8" s="28" t="s">
        <v>85</v>
      </c>
      <c r="F8" s="30">
        <v>600</v>
      </c>
      <c r="G8" s="35">
        <v>2</v>
      </c>
      <c r="H8" s="38">
        <v>4.2</v>
      </c>
      <c r="I8" s="29">
        <v>46338</v>
      </c>
      <c r="J8" s="29">
        <v>46350</v>
      </c>
      <c r="K8" s="32">
        <v>0</v>
      </c>
      <c r="L8" s="39">
        <f>IF(tblJobs[[#This Row],[Job]]="","",tblJobs[[#This Row],[Setup (h)]]+tblJobs[[#This Row],[Qty (pcs)]]*tblJobs[[#This Row],[Cycle (min/pc)]]/60)</f>
        <v>44</v>
      </c>
      <c r="M8" s="36">
        <f>IF(tblJobs[[#This Row],[Job]]="","",IFERROR(INDEX(tblMachines[Usable (h/day)],MATCH(tblJobs[[#This Row],[Machine]],tblMachines[Machine],0)),""))</f>
        <v>12.24</v>
      </c>
      <c r="N8" s="39">
        <f>IF(tblJobs[[#This Row],[Job]]="","",IF(N(tblJobs[[#This Row],[Usable (h/day)]])&gt;0,tblJobs[[#This Row],[Work (h)]]/tblJobs[[#This Row],[Usable (h/day)]],""))</f>
        <v>3.59477124183007</v>
      </c>
      <c r="O8" s="31">
        <f>IF(tblJobs[[#This Row],[Job]]="","",IF(tblJobs[[#This Row],[Days (working)]]="","",WORKDAY(tblJobs[[#This Row],[Start]],MAX(1,ROUNDUP(tblJobs[[#This Row],[Days (working)]],0))-1,tblHolidays[Date])))</f>
        <v>46343</v>
      </c>
      <c r="P8" s="40">
        <f>IF(tblJobs[[#This Row],[Job]]="","",IF(tblJobs[[#This Row],[End]]="","",IF(tblJobs[[#This Row],[Due]]&gt;=tblJobs[[#This Row],[End]],NETWORKDAYS(tblJobs[[#This Row],[End]],tblJobs[[#This Row],[Due]],tblHolidays[Date])-1,-(NETWORKDAYS(tblJobs[[#This Row],[Due]],tblJobs[[#This Row],[End]],tblHolidays[Date])-1))))</f>
        <v>4</v>
      </c>
      <c r="Q8" s="41" t="str">
        <f>IF(tblJobs[[#This Row],[Job]]="","",IF(tblJobs[[#This Row],[End]]="","",IF(tblJobs[[#This Row],[End]]&lt;=tblJobs[[#This Row],[Due]],"Yes","No")))</f>
        <v>Yes</v>
      </c>
      <c r="R8" s="41" t="str">
        <f>IF(tblJobs[[#This Row],[Job]]="","",IF(tblJobs[[#This Row],[End]]="","",IF(tblJobs[[#This Row],[Complete (%)]]&gt;=1,"Complete",IF(tblJobs[[#This Row],[End]]&lt;AsOf,"Overdue",IF(tblJobs[[#This Row],[Start]]&lt;=AsOf,"In progress","Not started")))))</f>
        <v>Not started</v>
      </c>
      <c r="S8"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8" s="28" t="s">
        <v>117</v>
      </c>
    </row>
    <row r="9" spans="1:20">
      <c r="B9" s="28" t="s">
        <v>124</v>
      </c>
      <c r="C9" s="28" t="s">
        <v>115</v>
      </c>
      <c r="D9" s="28" t="s">
        <v>125</v>
      </c>
      <c r="E9" s="28" t="s">
        <v>85</v>
      </c>
      <c r="F9" s="30">
        <v>240</v>
      </c>
      <c r="G9" s="35">
        <v>1.5</v>
      </c>
      <c r="H9" s="38">
        <v>9</v>
      </c>
      <c r="I9" s="29">
        <v>46344</v>
      </c>
      <c r="J9" s="29">
        <v>46352</v>
      </c>
      <c r="K9" s="32">
        <v>0</v>
      </c>
      <c r="L9" s="39">
        <f>IF(tblJobs[[#This Row],[Job]]="","",tblJobs[[#This Row],[Setup (h)]]+tblJobs[[#This Row],[Qty (pcs)]]*tblJobs[[#This Row],[Cycle (min/pc)]]/60)</f>
        <v>37.5</v>
      </c>
      <c r="M9" s="36">
        <f>IF(tblJobs[[#This Row],[Job]]="","",IFERROR(INDEX(tblMachines[Usable (h/day)],MATCH(tblJobs[[#This Row],[Machine]],tblMachines[Machine],0)),""))</f>
        <v>12.24</v>
      </c>
      <c r="N9" s="39">
        <f>IF(tblJobs[[#This Row],[Job]]="","",IF(N(tblJobs[[#This Row],[Usable (h/day)]])&gt;0,tblJobs[[#This Row],[Work (h)]]/tblJobs[[#This Row],[Usable (h/day)]],""))</f>
        <v>3.06372549019608</v>
      </c>
      <c r="O9" s="31">
        <f>IF(tblJobs[[#This Row],[Job]]="","",IF(tblJobs[[#This Row],[Days (working)]]="","",WORKDAY(tblJobs[[#This Row],[Start]],MAX(1,ROUNDUP(tblJobs[[#This Row],[Days (working)]],0))-1,tblHolidays[Date])))</f>
        <v>46350</v>
      </c>
      <c r="P9" s="40">
        <f>IF(tblJobs[[#This Row],[Job]]="","",IF(tblJobs[[#This Row],[End]]="","",IF(tblJobs[[#This Row],[Due]]&gt;=tblJobs[[#This Row],[End]],NETWORKDAYS(tblJobs[[#This Row],[End]],tblJobs[[#This Row],[Due]],tblHolidays[Date])-1,-(NETWORKDAYS(tblJobs[[#This Row],[Due]],tblJobs[[#This Row],[End]],tblHolidays[Date])-1))))</f>
        <v>2</v>
      </c>
      <c r="Q9" s="41" t="str">
        <f>IF(tblJobs[[#This Row],[Job]]="","",IF(tblJobs[[#This Row],[End]]="","",IF(tblJobs[[#This Row],[End]]&lt;=tblJobs[[#This Row],[Due]],"Yes","No")))</f>
        <v>Yes</v>
      </c>
      <c r="R9" s="41" t="str">
        <f>IF(tblJobs[[#This Row],[Job]]="","",IF(tblJobs[[#This Row],[End]]="","",IF(tblJobs[[#This Row],[Complete (%)]]&gt;=1,"Complete",IF(tblJobs[[#This Row],[End]]&lt;AsOf,"Overdue",IF(tblJobs[[#This Row],[Start]]&lt;=AsOf,"In progress","Not started")))))</f>
        <v>Not started</v>
      </c>
      <c r="S9"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9" s="28" t="s">
        <v>117</v>
      </c>
    </row>
    <row r="10" spans="1:20">
      <c r="B10" s="28" t="s">
        <v>126</v>
      </c>
      <c r="C10" s="28" t="s">
        <v>127</v>
      </c>
      <c r="D10" s="28" t="s">
        <v>128</v>
      </c>
      <c r="E10" s="28" t="s">
        <v>87</v>
      </c>
      <c r="F10" s="30">
        <v>400</v>
      </c>
      <c r="G10" s="35">
        <v>2</v>
      </c>
      <c r="H10" s="38">
        <v>6</v>
      </c>
      <c r="I10" s="29">
        <v>46328</v>
      </c>
      <c r="J10" s="29">
        <v>46337</v>
      </c>
      <c r="K10" s="32">
        <v>0.95</v>
      </c>
      <c r="L10" s="39">
        <f>IF(tblJobs[[#This Row],[Job]]="","",tblJobs[[#This Row],[Setup (h)]]+tblJobs[[#This Row],[Qty (pcs)]]*tblJobs[[#This Row],[Cycle (min/pc)]]/60)</f>
        <v>42</v>
      </c>
      <c r="M10" s="36">
        <f>IF(tblJobs[[#This Row],[Job]]="","",IFERROR(INDEX(tblMachines[Usable (h/day)],MATCH(tblJobs[[#This Row],[Machine]],tblMachines[Machine],0)),""))</f>
        <v>11.968</v>
      </c>
      <c r="N10" s="39">
        <f>IF(tblJobs[[#This Row],[Job]]="","",IF(N(tblJobs[[#This Row],[Usable (h/day)]])&gt;0,tblJobs[[#This Row],[Work (h)]]/tblJobs[[#This Row],[Usable (h/day)]],""))</f>
        <v>3.50935828877005</v>
      </c>
      <c r="O10" s="31">
        <f>IF(tblJobs[[#This Row],[Job]]="","",IF(tblJobs[[#This Row],[Days (working)]]="","",WORKDAY(tblJobs[[#This Row],[Start]],MAX(1,ROUNDUP(tblJobs[[#This Row],[Days (working)]],0))-1,tblHolidays[Date])))</f>
        <v>46331</v>
      </c>
      <c r="P10" s="40">
        <f>IF(tblJobs[[#This Row],[Job]]="","",IF(tblJobs[[#This Row],[End]]="","",IF(tblJobs[[#This Row],[Due]]&gt;=tblJobs[[#This Row],[End]],NETWORKDAYS(tblJobs[[#This Row],[End]],tblJobs[[#This Row],[Due]],tblHolidays[Date])-1,-(NETWORKDAYS(tblJobs[[#This Row],[Due]],tblJobs[[#This Row],[End]],tblHolidays[Date])-1))))</f>
        <v>4</v>
      </c>
      <c r="Q10" s="41" t="str">
        <f>IF(tblJobs[[#This Row],[Job]]="","",IF(tblJobs[[#This Row],[End]]="","",IF(tblJobs[[#This Row],[End]]&lt;=tblJobs[[#This Row],[Due]],"Yes","No")))</f>
        <v>Yes</v>
      </c>
      <c r="R10" s="41" t="str">
        <f>IF(tblJobs[[#This Row],[Job]]="","",IF(tblJobs[[#This Row],[End]]="","",IF(tblJobs[[#This Row],[Complete (%)]]&gt;=1,"Complete",IF(tblJobs[[#This Row],[End]]&lt;AsOf,"Overdue",IF(tblJobs[[#This Row],[Start]]&lt;=AsOf,"In progress","Not started")))))</f>
        <v>Overdue</v>
      </c>
      <c r="S10"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0" s="28" t="s">
        <v>129</v>
      </c>
    </row>
    <row r="11" spans="1:20">
      <c r="B11" s="28" t="s">
        <v>130</v>
      </c>
      <c r="C11" s="28" t="s">
        <v>119</v>
      </c>
      <c r="D11" s="28" t="s">
        <v>131</v>
      </c>
      <c r="E11" s="28" t="s">
        <v>87</v>
      </c>
      <c r="F11" s="30">
        <v>300</v>
      </c>
      <c r="G11" s="35">
        <v>2</v>
      </c>
      <c r="H11" s="38">
        <v>7.5</v>
      </c>
      <c r="I11" s="29">
        <v>46332</v>
      </c>
      <c r="J11" s="29">
        <v>46342</v>
      </c>
      <c r="K11" s="32">
        <v>0.75</v>
      </c>
      <c r="L11" s="39">
        <f>IF(tblJobs[[#This Row],[Job]]="","",tblJobs[[#This Row],[Setup (h)]]+tblJobs[[#This Row],[Qty (pcs)]]*tblJobs[[#This Row],[Cycle (min/pc)]]/60)</f>
        <v>39.5</v>
      </c>
      <c r="M11" s="36">
        <f>IF(tblJobs[[#This Row],[Job]]="","",IFERROR(INDEX(tblMachines[Usable (h/day)],MATCH(tblJobs[[#This Row],[Machine]],tblMachines[Machine],0)),""))</f>
        <v>11.968</v>
      </c>
      <c r="N11" s="39">
        <f>IF(tblJobs[[#This Row],[Job]]="","",IF(N(tblJobs[[#This Row],[Usable (h/day)]])&gt;0,tblJobs[[#This Row],[Work (h)]]/tblJobs[[#This Row],[Usable (h/day)]],""))</f>
        <v>3.3004679144385</v>
      </c>
      <c r="O11" s="31">
        <f>IF(tblJobs[[#This Row],[Job]]="","",IF(tblJobs[[#This Row],[Days (working)]]="","",WORKDAY(tblJobs[[#This Row],[Start]],MAX(1,ROUNDUP(tblJobs[[#This Row],[Days (working)]],0))-1,tblHolidays[Date])))</f>
        <v>46337</v>
      </c>
      <c r="P11" s="40">
        <f>IF(tblJobs[[#This Row],[Job]]="","",IF(tblJobs[[#This Row],[End]]="","",IF(tblJobs[[#This Row],[Due]]&gt;=tblJobs[[#This Row],[End]],NETWORKDAYS(tblJobs[[#This Row],[End]],tblJobs[[#This Row],[Due]],tblHolidays[Date])-1,-(NETWORKDAYS(tblJobs[[#This Row],[Due]],tblJobs[[#This Row],[End]],tblHolidays[Date])-1))))</f>
        <v>3</v>
      </c>
      <c r="Q11" s="41" t="str">
        <f>IF(tblJobs[[#This Row],[Job]]="","",IF(tblJobs[[#This Row],[End]]="","",IF(tblJobs[[#This Row],[End]]&lt;=tblJobs[[#This Row],[Due]],"Yes","No")))</f>
        <v>Yes</v>
      </c>
      <c r="R11" s="41" t="str">
        <f>IF(tblJobs[[#This Row],[Job]]="","",IF(tblJobs[[#This Row],[End]]="","",IF(tblJobs[[#This Row],[Complete (%)]]&gt;=1,"Complete",IF(tblJobs[[#This Row],[End]]&lt;AsOf,"Overdue",IF(tblJobs[[#This Row],[Start]]&lt;=AsOf,"In progress","Not started")))))</f>
        <v>In progress</v>
      </c>
      <c r="S11"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1" s="28" t="s">
        <v>117</v>
      </c>
    </row>
    <row r="12" spans="1:20">
      <c r="B12" s="28" t="s">
        <v>132</v>
      </c>
      <c r="C12" s="28" t="s">
        <v>127</v>
      </c>
      <c r="D12" s="28" t="s">
        <v>133</v>
      </c>
      <c r="E12" s="28" t="s">
        <v>87</v>
      </c>
      <c r="F12" s="30">
        <v>150</v>
      </c>
      <c r="G12" s="35">
        <v>3</v>
      </c>
      <c r="H12" s="38">
        <v>16</v>
      </c>
      <c r="I12" s="29">
        <v>46338</v>
      </c>
      <c r="J12" s="29">
        <v>46345</v>
      </c>
      <c r="K12" s="32">
        <v>0</v>
      </c>
      <c r="L12" s="39">
        <f>IF(tblJobs[[#This Row],[Job]]="","",tblJobs[[#This Row],[Setup (h)]]+tblJobs[[#This Row],[Qty (pcs)]]*tblJobs[[#This Row],[Cycle (min/pc)]]/60)</f>
        <v>43</v>
      </c>
      <c r="M12" s="36">
        <f>IF(tblJobs[[#This Row],[Job]]="","",IFERROR(INDEX(tblMachines[Usable (h/day)],MATCH(tblJobs[[#This Row],[Machine]],tblMachines[Machine],0)),""))</f>
        <v>11.968</v>
      </c>
      <c r="N12" s="39">
        <f>IF(tblJobs[[#This Row],[Job]]="","",IF(N(tblJobs[[#This Row],[Usable (h/day)]])&gt;0,tblJobs[[#This Row],[Work (h)]]/tblJobs[[#This Row],[Usable (h/day)]],""))</f>
        <v>3.59291443850267</v>
      </c>
      <c r="O12" s="31">
        <f>IF(tblJobs[[#This Row],[Job]]="","",IF(tblJobs[[#This Row],[Days (working)]]="","",WORKDAY(tblJobs[[#This Row],[Start]],MAX(1,ROUNDUP(tblJobs[[#This Row],[Days (working)]],0))-1,tblHolidays[Date])))</f>
        <v>46343</v>
      </c>
      <c r="P12" s="40">
        <f>IF(tblJobs[[#This Row],[Job]]="","",IF(tblJobs[[#This Row],[End]]="","",IF(tblJobs[[#This Row],[Due]]&gt;=tblJobs[[#This Row],[End]],NETWORKDAYS(tblJobs[[#This Row],[End]],tblJobs[[#This Row],[Due]],tblHolidays[Date])-1,-(NETWORKDAYS(tblJobs[[#This Row],[Due]],tblJobs[[#This Row],[End]],tblHolidays[Date])-1))))</f>
        <v>2</v>
      </c>
      <c r="Q12" s="41" t="str">
        <f>IF(tblJobs[[#This Row],[Job]]="","",IF(tblJobs[[#This Row],[End]]="","",IF(tblJobs[[#This Row],[End]]&lt;=tblJobs[[#This Row],[Due]],"Yes","No")))</f>
        <v>Yes</v>
      </c>
      <c r="R12" s="41" t="str">
        <f>IF(tblJobs[[#This Row],[Job]]="","",IF(tblJobs[[#This Row],[End]]="","",IF(tblJobs[[#This Row],[Complete (%)]]&gt;=1,"Complete",IF(tblJobs[[#This Row],[End]]&lt;AsOf,"Overdue",IF(tblJobs[[#This Row],[Start]]&lt;=AsOf,"In progress","Not started")))))</f>
        <v>Not started</v>
      </c>
      <c r="S12"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2" s="28" t="s">
        <v>117</v>
      </c>
    </row>
    <row r="13" spans="1:20">
      <c r="B13" s="28" t="s">
        <v>134</v>
      </c>
      <c r="C13" s="28" t="s">
        <v>122</v>
      </c>
      <c r="D13" s="28" t="s">
        <v>135</v>
      </c>
      <c r="E13" s="28" t="s">
        <v>87</v>
      </c>
      <c r="F13" s="30">
        <v>800</v>
      </c>
      <c r="G13" s="35">
        <v>1</v>
      </c>
      <c r="H13" s="38">
        <v>2.4</v>
      </c>
      <c r="I13" s="29">
        <v>46344</v>
      </c>
      <c r="J13" s="29">
        <v>46352</v>
      </c>
      <c r="K13" s="32">
        <v>0</v>
      </c>
      <c r="L13" s="39">
        <f>IF(tblJobs[[#This Row],[Job]]="","",tblJobs[[#This Row],[Setup (h)]]+tblJobs[[#This Row],[Qty (pcs)]]*tblJobs[[#This Row],[Cycle (min/pc)]]/60)</f>
        <v>33</v>
      </c>
      <c r="M13" s="36">
        <f>IF(tblJobs[[#This Row],[Job]]="","",IFERROR(INDEX(tblMachines[Usable (h/day)],MATCH(tblJobs[[#This Row],[Machine]],tblMachines[Machine],0)),""))</f>
        <v>11.968</v>
      </c>
      <c r="N13" s="39">
        <f>IF(tblJobs[[#This Row],[Job]]="","",IF(N(tblJobs[[#This Row],[Usable (h/day)]])&gt;0,tblJobs[[#This Row],[Work (h)]]/tblJobs[[#This Row],[Usable (h/day)]],""))</f>
        <v>2.75735294117647</v>
      </c>
      <c r="O13" s="31">
        <f>IF(tblJobs[[#This Row],[Job]]="","",IF(tblJobs[[#This Row],[Days (working)]]="","",WORKDAY(tblJobs[[#This Row],[Start]],MAX(1,ROUNDUP(tblJobs[[#This Row],[Days (working)]],0))-1,tblHolidays[Date])))</f>
        <v>46349</v>
      </c>
      <c r="P13" s="40">
        <f>IF(tblJobs[[#This Row],[Job]]="","",IF(tblJobs[[#This Row],[End]]="","",IF(tblJobs[[#This Row],[Due]]&gt;=tblJobs[[#This Row],[End]],NETWORKDAYS(tblJobs[[#This Row],[End]],tblJobs[[#This Row],[Due]],tblHolidays[Date])-1,-(NETWORKDAYS(tblJobs[[#This Row],[Due]],tblJobs[[#This Row],[End]],tblHolidays[Date])-1))))</f>
        <v>3</v>
      </c>
      <c r="Q13" s="41" t="str">
        <f>IF(tblJobs[[#This Row],[Job]]="","",IF(tblJobs[[#This Row],[End]]="","",IF(tblJobs[[#This Row],[End]]&lt;=tblJobs[[#This Row],[Due]],"Yes","No")))</f>
        <v>Yes</v>
      </c>
      <c r="R13" s="41" t="str">
        <f>IF(tblJobs[[#This Row],[Job]]="","",IF(tblJobs[[#This Row],[End]]="","",IF(tblJobs[[#This Row],[Complete (%)]]&gt;=1,"Complete",IF(tblJobs[[#This Row],[End]]&lt;AsOf,"Overdue",IF(tblJobs[[#This Row],[Start]]&lt;=AsOf,"In progress","Not started")))))</f>
        <v>Not started</v>
      </c>
      <c r="S13"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3" s="28" t="s">
        <v>117</v>
      </c>
    </row>
    <row r="14" spans="1:20">
      <c r="B14" s="28" t="s">
        <v>136</v>
      </c>
      <c r="C14" s="28" t="s">
        <v>115</v>
      </c>
      <c r="D14" s="28" t="s">
        <v>137</v>
      </c>
      <c r="E14" s="28" t="s">
        <v>88</v>
      </c>
      <c r="F14" s="30">
        <v>80</v>
      </c>
      <c r="G14" s="35">
        <v>4</v>
      </c>
      <c r="H14" s="38">
        <v>55</v>
      </c>
      <c r="I14" s="29">
        <v>46328</v>
      </c>
      <c r="J14" s="29">
        <v>46336</v>
      </c>
      <c r="K14" s="32">
        <v>1</v>
      </c>
      <c r="L14" s="39">
        <f>IF(tblJobs[[#This Row],[Job]]="","",tblJobs[[#This Row],[Setup (h)]]+tblJobs[[#This Row],[Qty (pcs)]]*tblJobs[[#This Row],[Cycle (min/pc)]]/60)</f>
        <v>77.3333333333333</v>
      </c>
      <c r="M14" s="36">
        <f>IF(tblJobs[[#This Row],[Job]]="","",IFERROR(INDEX(tblMachines[Usable (h/day)],MATCH(tblJobs[[#This Row],[Machine]],tblMachines[Machine],0)),""))</f>
        <v>17.8112</v>
      </c>
      <c r="N14" s="39">
        <f>IF(tblJobs[[#This Row],[Job]]="","",IF(N(tblJobs[[#This Row],[Usable (h/day)]])&gt;0,tblJobs[[#This Row],[Work (h)]]/tblJobs[[#This Row],[Usable (h/day)]],""))</f>
        <v>4.34183734578991</v>
      </c>
      <c r="O14" s="31">
        <f>IF(tblJobs[[#This Row],[Job]]="","",IF(tblJobs[[#This Row],[Days (working)]]="","",WORKDAY(tblJobs[[#This Row],[Start]],MAX(1,ROUNDUP(tblJobs[[#This Row],[Days (working)]],0))-1,tblHolidays[Date])))</f>
        <v>46332</v>
      </c>
      <c r="P14" s="40">
        <f>IF(tblJobs[[#This Row],[Job]]="","",IF(tblJobs[[#This Row],[End]]="","",IF(tblJobs[[#This Row],[Due]]&gt;=tblJobs[[#This Row],[End]],NETWORKDAYS(tblJobs[[#This Row],[End]],tblJobs[[#This Row],[Due]],tblHolidays[Date])-1,-(NETWORKDAYS(tblJobs[[#This Row],[Due]],tblJobs[[#This Row],[End]],tblHolidays[Date])-1))))</f>
        <v>2</v>
      </c>
      <c r="Q14" s="41" t="str">
        <f>IF(tblJobs[[#This Row],[Job]]="","",IF(tblJobs[[#This Row],[End]]="","",IF(tblJobs[[#This Row],[End]]&lt;=tblJobs[[#This Row],[Due]],"Yes","No")))</f>
        <v>Yes</v>
      </c>
      <c r="R14" s="41" t="str">
        <f>IF(tblJobs[[#This Row],[Job]]="","",IF(tblJobs[[#This Row],[End]]="","",IF(tblJobs[[#This Row],[Complete (%)]]&gt;=1,"Complete",IF(tblJobs[[#This Row],[End]]&lt;AsOf,"Overdue",IF(tblJobs[[#This Row],[Start]]&lt;=AsOf,"In progress","Not started")))))</f>
        <v>Complete</v>
      </c>
      <c r="S14"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4" s="28" t="s">
        <v>117</v>
      </c>
    </row>
    <row r="15" spans="1:20">
      <c r="B15" s="28" t="s">
        <v>138</v>
      </c>
      <c r="C15" s="28" t="s">
        <v>139</v>
      </c>
      <c r="D15" s="28" t="s">
        <v>140</v>
      </c>
      <c r="E15" s="28" t="s">
        <v>88</v>
      </c>
      <c r="F15" s="30">
        <v>200</v>
      </c>
      <c r="G15" s="35">
        <v>3.5</v>
      </c>
      <c r="H15" s="38">
        <v>21</v>
      </c>
      <c r="I15" s="29">
        <v>46335</v>
      </c>
      <c r="J15" s="29">
        <v>46344</v>
      </c>
      <c r="K15" s="32">
        <v>0.4</v>
      </c>
      <c r="L15" s="39">
        <f>IF(tblJobs[[#This Row],[Job]]="","",tblJobs[[#This Row],[Setup (h)]]+tblJobs[[#This Row],[Qty (pcs)]]*tblJobs[[#This Row],[Cycle (min/pc)]]/60)</f>
        <v>73.5</v>
      </c>
      <c r="M15" s="36">
        <f>IF(tblJobs[[#This Row],[Job]]="","",IFERROR(INDEX(tblMachines[Usable (h/day)],MATCH(tblJobs[[#This Row],[Machine]],tblMachines[Machine],0)),""))</f>
        <v>17.8112</v>
      </c>
      <c r="N15" s="39">
        <f>IF(tblJobs[[#This Row],[Job]]="","",IF(N(tblJobs[[#This Row],[Usable (h/day)]])&gt;0,tblJobs[[#This Row],[Work (h)]]/tblJobs[[#This Row],[Usable (h/day)]],""))</f>
        <v>4.12661696011498</v>
      </c>
      <c r="O15" s="31">
        <f>IF(tblJobs[[#This Row],[Job]]="","",IF(tblJobs[[#This Row],[Days (working)]]="","",WORKDAY(tblJobs[[#This Row],[Start]],MAX(1,ROUNDUP(tblJobs[[#This Row],[Days (working)]],0))-1,tblHolidays[Date])))</f>
        <v>46339</v>
      </c>
      <c r="P15" s="40">
        <f>IF(tblJobs[[#This Row],[Job]]="","",IF(tblJobs[[#This Row],[End]]="","",IF(tblJobs[[#This Row],[Due]]&gt;=tblJobs[[#This Row],[End]],NETWORKDAYS(tblJobs[[#This Row],[End]],tblJobs[[#This Row],[Due]],tblHolidays[Date])-1,-(NETWORKDAYS(tblJobs[[#This Row],[Due]],tblJobs[[#This Row],[End]],tblHolidays[Date])-1))))</f>
        <v>3</v>
      </c>
      <c r="Q15" s="41" t="str">
        <f>IF(tblJobs[[#This Row],[Job]]="","",IF(tblJobs[[#This Row],[End]]="","",IF(tblJobs[[#This Row],[End]]&lt;=tblJobs[[#This Row],[Due]],"Yes","No")))</f>
        <v>Yes</v>
      </c>
      <c r="R15" s="41" t="str">
        <f>IF(tblJobs[[#This Row],[Job]]="","",IF(tblJobs[[#This Row],[End]]="","",IF(tblJobs[[#This Row],[Complete (%)]]&gt;=1,"Complete",IF(tblJobs[[#This Row],[End]]&lt;AsOf,"Overdue",IF(tblJobs[[#This Row],[Start]]&lt;=AsOf,"In progress","Not started")))))</f>
        <v>In progress</v>
      </c>
      <c r="S15"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5" s="28" t="s">
        <v>117</v>
      </c>
    </row>
    <row r="16" spans="1:20">
      <c r="B16" s="28" t="s">
        <v>141</v>
      </c>
      <c r="C16" s="28" t="s">
        <v>139</v>
      </c>
      <c r="D16" s="28" t="s">
        <v>142</v>
      </c>
      <c r="E16" s="28" t="s">
        <v>88</v>
      </c>
      <c r="F16" s="30">
        <v>150</v>
      </c>
      <c r="G16" s="35">
        <v>3.5</v>
      </c>
      <c r="H16" s="38">
        <v>27</v>
      </c>
      <c r="I16" s="29">
        <v>46342</v>
      </c>
      <c r="J16" s="29">
        <v>46350</v>
      </c>
      <c r="K16" s="32">
        <v>0</v>
      </c>
      <c r="L16" s="39">
        <f>IF(tblJobs[[#This Row],[Job]]="","",tblJobs[[#This Row],[Setup (h)]]+tblJobs[[#This Row],[Qty (pcs)]]*tblJobs[[#This Row],[Cycle (min/pc)]]/60)</f>
        <v>71</v>
      </c>
      <c r="M16" s="36">
        <f>IF(tblJobs[[#This Row],[Job]]="","",IFERROR(INDEX(tblMachines[Usable (h/day)],MATCH(tblJobs[[#This Row],[Machine]],tblMachines[Machine],0)),""))</f>
        <v>17.8112</v>
      </c>
      <c r="N16" s="39">
        <f>IF(tblJobs[[#This Row],[Job]]="","",IF(N(tblJobs[[#This Row],[Usable (h/day)]])&gt;0,tblJobs[[#This Row],[Work (h)]]/tblJobs[[#This Row],[Usable (h/day)]],""))</f>
        <v>3.98625583902264</v>
      </c>
      <c r="O16" s="31">
        <f>IF(tblJobs[[#This Row],[Job]]="","",IF(tblJobs[[#This Row],[Days (working)]]="","",WORKDAY(tblJobs[[#This Row],[Start]],MAX(1,ROUNDUP(tblJobs[[#This Row],[Days (working)]],0))-1,tblHolidays[Date])))</f>
        <v>46345</v>
      </c>
      <c r="P16" s="40">
        <f>IF(tblJobs[[#This Row],[Job]]="","",IF(tblJobs[[#This Row],[End]]="","",IF(tblJobs[[#This Row],[Due]]&gt;=tblJobs[[#This Row],[End]],NETWORKDAYS(tblJobs[[#This Row],[End]],tblJobs[[#This Row],[Due]],tblHolidays[Date])-1,-(NETWORKDAYS(tblJobs[[#This Row],[Due]],tblJobs[[#This Row],[End]],tblHolidays[Date])-1))))</f>
        <v>2</v>
      </c>
      <c r="Q16" s="41" t="str">
        <f>IF(tblJobs[[#This Row],[Job]]="","",IF(tblJobs[[#This Row],[End]]="","",IF(tblJobs[[#This Row],[End]]&lt;=tblJobs[[#This Row],[Due]],"Yes","No")))</f>
        <v>Yes</v>
      </c>
      <c r="R16" s="41" t="str">
        <f>IF(tblJobs[[#This Row],[Job]]="","",IF(tblJobs[[#This Row],[End]]="","",IF(tblJobs[[#This Row],[Complete (%)]]&gt;=1,"Complete",IF(tblJobs[[#This Row],[End]]&lt;AsOf,"Overdue",IF(tblJobs[[#This Row],[Start]]&lt;=AsOf,"In progress","Not started")))))</f>
        <v>Not started</v>
      </c>
      <c r="S16"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6" s="28" t="s">
        <v>117</v>
      </c>
    </row>
    <row r="17" spans="2:20">
      <c r="B17" s="28" t="s">
        <v>143</v>
      </c>
      <c r="C17" s="28" t="s">
        <v>127</v>
      </c>
      <c r="D17" s="28" t="s">
        <v>144</v>
      </c>
      <c r="E17" s="28" t="s">
        <v>88</v>
      </c>
      <c r="F17" s="30">
        <v>40</v>
      </c>
      <c r="G17" s="35">
        <v>5</v>
      </c>
      <c r="H17" s="38">
        <v>75</v>
      </c>
      <c r="I17" s="29">
        <v>46349</v>
      </c>
      <c r="J17" s="29">
        <v>46356</v>
      </c>
      <c r="K17" s="32">
        <v>0</v>
      </c>
      <c r="L17" s="39">
        <f>IF(tblJobs[[#This Row],[Job]]="","",tblJobs[[#This Row],[Setup (h)]]+tblJobs[[#This Row],[Qty (pcs)]]*tblJobs[[#This Row],[Cycle (min/pc)]]/60)</f>
        <v>55</v>
      </c>
      <c r="M17" s="36">
        <f>IF(tblJobs[[#This Row],[Job]]="","",IFERROR(INDEX(tblMachines[Usable (h/day)],MATCH(tblJobs[[#This Row],[Machine]],tblMachines[Machine],0)),""))</f>
        <v>17.8112</v>
      </c>
      <c r="N17" s="39">
        <f>IF(tblJobs[[#This Row],[Job]]="","",IF(N(tblJobs[[#This Row],[Usable (h/day)]])&gt;0,tblJobs[[#This Row],[Work (h)]]/tblJobs[[#This Row],[Usable (h/day)]],""))</f>
        <v>3.08794466403162</v>
      </c>
      <c r="O17" s="31">
        <f>IF(tblJobs[[#This Row],[Job]]="","",IF(tblJobs[[#This Row],[Days (working)]]="","",WORKDAY(tblJobs[[#This Row],[Start]],MAX(1,ROUNDUP(tblJobs[[#This Row],[Days (working)]],0))-1,tblHolidays[Date])))</f>
        <v>46352</v>
      </c>
      <c r="P17" s="40">
        <f>IF(tblJobs[[#This Row],[Job]]="","",IF(tblJobs[[#This Row],[End]]="","",IF(tblJobs[[#This Row],[Due]]&gt;=tblJobs[[#This Row],[End]],NETWORKDAYS(tblJobs[[#This Row],[End]],tblJobs[[#This Row],[Due]],tblHolidays[Date])-1,-(NETWORKDAYS(tblJobs[[#This Row],[Due]],tblJobs[[#This Row],[End]],tblHolidays[Date])-1))))</f>
        <v>2</v>
      </c>
      <c r="Q17" s="41" t="str">
        <f>IF(tblJobs[[#This Row],[Job]]="","",IF(tblJobs[[#This Row],[End]]="","",IF(tblJobs[[#This Row],[End]]&lt;=tblJobs[[#This Row],[Due]],"Yes","No")))</f>
        <v>Yes</v>
      </c>
      <c r="R17" s="41" t="str">
        <f>IF(tblJobs[[#This Row],[Job]]="","",IF(tblJobs[[#This Row],[End]]="","",IF(tblJobs[[#This Row],[Complete (%)]]&gt;=1,"Complete",IF(tblJobs[[#This Row],[End]]&lt;AsOf,"Overdue",IF(tblJobs[[#This Row],[Start]]&lt;=AsOf,"In progress","Not started")))))</f>
        <v>Not started</v>
      </c>
      <c r="S17"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7" s="28" t="s">
        <v>145</v>
      </c>
    </row>
    <row r="18" spans="2:20">
      <c r="B18" s="28" t="s">
        <v>146</v>
      </c>
      <c r="C18" s="28" t="s">
        <v>119</v>
      </c>
      <c r="D18" s="28" t="s">
        <v>147</v>
      </c>
      <c r="E18" s="28" t="s">
        <v>90</v>
      </c>
      <c r="F18" s="30">
        <v>600</v>
      </c>
      <c r="G18" s="35">
        <v>1.5</v>
      </c>
      <c r="H18" s="38">
        <v>3.2</v>
      </c>
      <c r="I18" s="29">
        <v>46328</v>
      </c>
      <c r="J18" s="29">
        <v>46337</v>
      </c>
      <c r="K18" s="32">
        <v>1</v>
      </c>
      <c r="L18" s="39">
        <f>IF(tblJobs[[#This Row],[Job]]="","",tblJobs[[#This Row],[Setup (h)]]+tblJobs[[#This Row],[Qty (pcs)]]*tblJobs[[#This Row],[Cycle (min/pc)]]/60)</f>
        <v>33.5</v>
      </c>
      <c r="M18" s="36">
        <f>IF(tblJobs[[#This Row],[Job]]="","",IFERROR(INDEX(tblMachines[Usable (h/day)],MATCH(tblJobs[[#This Row],[Machine]],tblMachines[Machine],0)),""))</f>
        <v>6.48</v>
      </c>
      <c r="N18" s="39">
        <f>IF(tblJobs[[#This Row],[Job]]="","",IF(N(tblJobs[[#This Row],[Usable (h/day)]])&gt;0,tblJobs[[#This Row],[Work (h)]]/tblJobs[[#This Row],[Usable (h/day)]],""))</f>
        <v>5.16975308641975</v>
      </c>
      <c r="O18" s="31">
        <f>IF(tblJobs[[#This Row],[Job]]="","",IF(tblJobs[[#This Row],[Days (working)]]="","",WORKDAY(tblJobs[[#This Row],[Start]],MAX(1,ROUNDUP(tblJobs[[#This Row],[Days (working)]],0))-1,tblHolidays[Date])))</f>
        <v>46335</v>
      </c>
      <c r="P18" s="40">
        <f>IF(tblJobs[[#This Row],[Job]]="","",IF(tblJobs[[#This Row],[End]]="","",IF(tblJobs[[#This Row],[Due]]&gt;=tblJobs[[#This Row],[End]],NETWORKDAYS(tblJobs[[#This Row],[End]],tblJobs[[#This Row],[Due]],tblHolidays[Date])-1,-(NETWORKDAYS(tblJobs[[#This Row],[Due]],tblJobs[[#This Row],[End]],tblHolidays[Date])-1))))</f>
        <v>2</v>
      </c>
      <c r="Q18" s="41" t="str">
        <f>IF(tblJobs[[#This Row],[Job]]="","",IF(tblJobs[[#This Row],[End]]="","",IF(tblJobs[[#This Row],[End]]&lt;=tblJobs[[#This Row],[Due]],"Yes","No")))</f>
        <v>Yes</v>
      </c>
      <c r="R18" s="41" t="str">
        <f>IF(tblJobs[[#This Row],[Job]]="","",IF(tblJobs[[#This Row],[End]]="","",IF(tblJobs[[#This Row],[Complete (%)]]&gt;=1,"Complete",IF(tblJobs[[#This Row],[End]]&lt;AsOf,"Overdue",IF(tblJobs[[#This Row],[Start]]&lt;=AsOf,"In progress","Not started")))))</f>
        <v>Complete</v>
      </c>
      <c r="S18"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8" s="28" t="s">
        <v>117</v>
      </c>
    </row>
    <row r="19" spans="2:20">
      <c r="B19" s="28" t="s">
        <v>148</v>
      </c>
      <c r="C19" s="28" t="s">
        <v>139</v>
      </c>
      <c r="D19" s="28" t="s">
        <v>149</v>
      </c>
      <c r="E19" s="28" t="s">
        <v>90</v>
      </c>
      <c r="F19" s="30">
        <v>1200</v>
      </c>
      <c r="G19" s="35">
        <v>1</v>
      </c>
      <c r="H19" s="38">
        <v>1.8</v>
      </c>
      <c r="I19" s="29">
        <v>46336</v>
      </c>
      <c r="J19" s="29">
        <v>46345</v>
      </c>
      <c r="K19" s="32">
        <v>0.15</v>
      </c>
      <c r="L19" s="39">
        <f>IF(tblJobs[[#This Row],[Job]]="","",tblJobs[[#This Row],[Setup (h)]]+tblJobs[[#This Row],[Qty (pcs)]]*tblJobs[[#This Row],[Cycle (min/pc)]]/60)</f>
        <v>37</v>
      </c>
      <c r="M19" s="36">
        <f>IF(tblJobs[[#This Row],[Job]]="","",IFERROR(INDEX(tblMachines[Usable (h/day)],MATCH(tblJobs[[#This Row],[Machine]],tblMachines[Machine],0)),""))</f>
        <v>6.48</v>
      </c>
      <c r="N19" s="39">
        <f>IF(tblJobs[[#This Row],[Job]]="","",IF(N(tblJobs[[#This Row],[Usable (h/day)]])&gt;0,tblJobs[[#This Row],[Work (h)]]/tblJobs[[#This Row],[Usable (h/day)]],""))</f>
        <v>5.70987654320988</v>
      </c>
      <c r="O19" s="31">
        <f>IF(tblJobs[[#This Row],[Job]]="","",IF(tblJobs[[#This Row],[Days (working)]]="","",WORKDAY(tblJobs[[#This Row],[Start]],MAX(1,ROUNDUP(tblJobs[[#This Row],[Days (working)]],0))-1,tblHolidays[Date])))</f>
        <v>46343</v>
      </c>
      <c r="P19" s="40">
        <f>IF(tblJobs[[#This Row],[Job]]="","",IF(tblJobs[[#This Row],[End]]="","",IF(tblJobs[[#This Row],[Due]]&gt;=tblJobs[[#This Row],[End]],NETWORKDAYS(tblJobs[[#This Row],[End]],tblJobs[[#This Row],[Due]],tblHolidays[Date])-1,-(NETWORKDAYS(tblJobs[[#This Row],[Due]],tblJobs[[#This Row],[End]],tblHolidays[Date])-1))))</f>
        <v>2</v>
      </c>
      <c r="Q19" s="41" t="str">
        <f>IF(tblJobs[[#This Row],[Job]]="","",IF(tblJobs[[#This Row],[End]]="","",IF(tblJobs[[#This Row],[End]]&lt;=tblJobs[[#This Row],[Due]],"Yes","No")))</f>
        <v>Yes</v>
      </c>
      <c r="R19" s="41" t="str">
        <f>IF(tblJobs[[#This Row],[Job]]="","",IF(tblJobs[[#This Row],[End]]="","",IF(tblJobs[[#This Row],[Complete (%)]]&gt;=1,"Complete",IF(tblJobs[[#This Row],[End]]&lt;AsOf,"Overdue",IF(tblJobs[[#This Row],[Start]]&lt;=AsOf,"In progress","Not started")))))</f>
        <v>In progress</v>
      </c>
      <c r="S19"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19" s="28" t="s">
        <v>117</v>
      </c>
    </row>
    <row r="20" spans="2:20">
      <c r="B20" s="28" t="s">
        <v>150</v>
      </c>
      <c r="C20" s="28" t="s">
        <v>115</v>
      </c>
      <c r="D20" s="28" t="s">
        <v>151</v>
      </c>
      <c r="E20" s="28" t="s">
        <v>90</v>
      </c>
      <c r="F20" s="30">
        <v>250</v>
      </c>
      <c r="G20" s="35">
        <v>2</v>
      </c>
      <c r="H20" s="38">
        <v>9.5</v>
      </c>
      <c r="I20" s="29">
        <v>46344</v>
      </c>
      <c r="J20" s="29">
        <v>46356</v>
      </c>
      <c r="K20" s="32">
        <v>0</v>
      </c>
      <c r="L20" s="39">
        <f>IF(tblJobs[[#This Row],[Job]]="","",tblJobs[[#This Row],[Setup (h)]]+tblJobs[[#This Row],[Qty (pcs)]]*tblJobs[[#This Row],[Cycle (min/pc)]]/60)</f>
        <v>41.5833333333333</v>
      </c>
      <c r="M20" s="36">
        <f>IF(tblJobs[[#This Row],[Job]]="","",IFERROR(INDEX(tblMachines[Usable (h/day)],MATCH(tblJobs[[#This Row],[Machine]],tblMachines[Machine],0)),""))</f>
        <v>6.48</v>
      </c>
      <c r="N20" s="39">
        <f>IF(tblJobs[[#This Row],[Job]]="","",IF(N(tblJobs[[#This Row],[Usable (h/day)]])&gt;0,tblJobs[[#This Row],[Work (h)]]/tblJobs[[#This Row],[Usable (h/day)]],""))</f>
        <v>6.41718106995885</v>
      </c>
      <c r="O20" s="31">
        <f>IF(tblJobs[[#This Row],[Job]]="","",IF(tblJobs[[#This Row],[Days (working)]]="","",WORKDAY(tblJobs[[#This Row],[Start]],MAX(1,ROUNDUP(tblJobs[[#This Row],[Days (working)]],0))-1,tblHolidays[Date])))</f>
        <v>46353</v>
      </c>
      <c r="P20" s="40">
        <f>IF(tblJobs[[#This Row],[Job]]="","",IF(tblJobs[[#This Row],[End]]="","",IF(tblJobs[[#This Row],[Due]]&gt;=tblJobs[[#This Row],[End]],NETWORKDAYS(tblJobs[[#This Row],[End]],tblJobs[[#This Row],[Due]],tblHolidays[Date])-1,-(NETWORKDAYS(tblJobs[[#This Row],[Due]],tblJobs[[#This Row],[End]],tblHolidays[Date])-1))))</f>
        <v>1</v>
      </c>
      <c r="Q20" s="41" t="str">
        <f>IF(tblJobs[[#This Row],[Job]]="","",IF(tblJobs[[#This Row],[End]]="","",IF(tblJobs[[#This Row],[End]]&lt;=tblJobs[[#This Row],[Due]],"Yes","No")))</f>
        <v>Yes</v>
      </c>
      <c r="R20" s="41" t="str">
        <f>IF(tblJobs[[#This Row],[Job]]="","",IF(tblJobs[[#This Row],[End]]="","",IF(tblJobs[[#This Row],[Complete (%)]]&gt;=1,"Complete",IF(tblJobs[[#This Row],[End]]&lt;AsOf,"Overdue",IF(tblJobs[[#This Row],[Start]]&lt;=AsOf,"In progress","Not started")))))</f>
        <v>Not started</v>
      </c>
      <c r="S20"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20" s="28" t="s">
        <v>152</v>
      </c>
    </row>
    <row r="21" spans="2:20">
      <c r="B21" s="28" t="s">
        <v>153</v>
      </c>
      <c r="C21" s="28" t="s">
        <v>122</v>
      </c>
      <c r="D21" s="28" t="s">
        <v>154</v>
      </c>
      <c r="E21" s="28" t="s">
        <v>90</v>
      </c>
      <c r="F21" s="30">
        <v>400</v>
      </c>
      <c r="G21" s="35">
        <v>1.5</v>
      </c>
      <c r="H21" s="38">
        <v>5</v>
      </c>
      <c r="I21" s="29">
        <v>46356</v>
      </c>
      <c r="J21" s="29">
        <v>46358</v>
      </c>
      <c r="K21" s="32">
        <v>0</v>
      </c>
      <c r="L21" s="39">
        <f>IF(tblJobs[[#This Row],[Job]]="","",tblJobs[[#This Row],[Setup (h)]]+tblJobs[[#This Row],[Qty (pcs)]]*tblJobs[[#This Row],[Cycle (min/pc)]]/60)</f>
        <v>34.8333333333333</v>
      </c>
      <c r="M21" s="36">
        <f>IF(tblJobs[[#This Row],[Job]]="","",IFERROR(INDEX(tblMachines[Usable (h/day)],MATCH(tblJobs[[#This Row],[Machine]],tblMachines[Machine],0)),""))</f>
        <v>6.48</v>
      </c>
      <c r="N21" s="39">
        <f>IF(tblJobs[[#This Row],[Job]]="","",IF(N(tblJobs[[#This Row],[Usable (h/day)]])&gt;0,tblJobs[[#This Row],[Work (h)]]/tblJobs[[#This Row],[Usable (h/day)]],""))</f>
        <v>5.37551440329218</v>
      </c>
      <c r="O21" s="31">
        <f>IF(tblJobs[[#This Row],[Job]]="","",IF(tblJobs[[#This Row],[Days (working)]]="","",WORKDAY(tblJobs[[#This Row],[Start]],MAX(1,ROUNDUP(tblJobs[[#This Row],[Days (working)]],0))-1,tblHolidays[Date])))</f>
        <v>46363</v>
      </c>
      <c r="P21" s="40">
        <f>IF(tblJobs[[#This Row],[Job]]="","",IF(tblJobs[[#This Row],[End]]="","",IF(tblJobs[[#This Row],[Due]]&gt;=tblJobs[[#This Row],[End]],NETWORKDAYS(tblJobs[[#This Row],[End]],tblJobs[[#This Row],[Due]],tblHolidays[Date])-1,-(NETWORKDAYS(tblJobs[[#This Row],[Due]],tblJobs[[#This Row],[End]],tblHolidays[Date])-1))))</f>
        <v>-3</v>
      </c>
      <c r="Q21" s="41" t="str">
        <f>IF(tblJobs[[#This Row],[Job]]="","",IF(tblJobs[[#This Row],[End]]="","",IF(tblJobs[[#This Row],[End]]&lt;=tblJobs[[#This Row],[Due]],"Yes","No")))</f>
        <v>No</v>
      </c>
      <c r="R21" s="41" t="str">
        <f>IF(tblJobs[[#This Row],[Job]]="","",IF(tblJobs[[#This Row],[End]]="","",IF(tblJobs[[#This Row],[Complete (%)]]&gt;=1,"Complete",IF(tblJobs[[#This Row],[End]]&lt;AsOf,"Overdue",IF(tblJobs[[#This Row],[Start]]&lt;=AsOf,"In progress","Not started")))))</f>
        <v>Not started</v>
      </c>
      <c r="S21" s="42" t="str">
        <f>IF(tblJobs[[#This Row],[Job]]="","",IF(tblJobs[[#This Row],[Machine]]="","Missing machine",IF(tblJobs[[#This Row],[Qty (pcs)]]="","Missing qty",IF(tblJobs[[#This Row],[Start]]="","Missing start",IF(tblJobs[[#This Row],[Due]]="","Missing due",IF(tblJobs[[#This Row],[Usable (h/day)]]="","Machine not on Setup list",IF(COUNTIF(tblJobs[Job],tblJobs[[#This Row],[Job]])&gt;1,"Duplicate job number",IF(tblJobs[[#This Row],[Due]]&lt;tblJobs[[#This Row],[Start]],"Due date before start",IF(tblJobs[[#This Row],[Start]]&lt;PlanStart,"Starts before the plan start",IF(NETWORKDAYS(tblJobs[[#This Row],[Start]],tblJobs[[#This Row],[Start]],tblHolidays[Date])=0,"Starts on a non-working day",IF(AND(tblJobs[[#This Row],[End]]&lt;&gt;"",COUNTIFS(tblJobs[Machine],tblJobs[[#This Row],[Machine]],tblJobs[Start],"&lt;="&amp;tblJobs[[#This Row],[End]],tblJobs[End],"&gt;="&amp;tblJobs[[#This Row],[Start]])&gt;1),"Overlaps another job on this machine","OK")))))))))))</f>
        <v>OK</v>
      </c>
      <c r="T21" s="28" t="s">
        <v>155</v>
      </c>
    </row>
  </sheetData>
  <mergeCells count="3">
    <mergeCell ref="A1:T1"/>
    <mergeCell ref="B2:S2"/>
    <mergeCell ref="B4:T4"/>
  </mergeCells>
  <conditionalFormatting sqref="S6:S521">
    <cfRule type="expression" dxfId="3" priority="1">
      <formula>$S6="OK"</formula>
    </cfRule>
    <cfRule type="expression" dxfId="1" priority="2">
      <formula>AND($S6&lt;&gt;"",$S6&lt;&gt;"OK")</formula>
    </cfRule>
  </conditionalFormatting>
  <dataValidations count="11">
    <dataValidation type="textLength" allowBlank="1" showInputMessage="1" showErrorMessage="1" errorTitle="Check this entry" error="Text up to 30 characters." promptTitle="Job" prompt="Text up to 30 characters." sqref="B6:B521">
      <formula1>0</formula1>
      <formula2>30</formula2>
    </dataValidation>
    <dataValidation type="textLength" allowBlank="1" showInputMessage="1" showErrorMessage="1" errorTitle="Check this entry" error="Text up to 60 characters." promptTitle="Customer" prompt="Text up to 60 characters." sqref="C6:C521">
      <formula1>0</formula1>
      <formula2>60</formula2>
    </dataValidation>
    <dataValidation type="textLength" allowBlank="1" showInputMessage="1" showErrorMessage="1" errorTitle="Check this entry" error="Text up to 60 characters." promptTitle="Part" prompt="Text up to 60 characters." sqref="D6:D521">
      <formula1>0</formula1>
      <formula2>60</formula2>
    </dataValidation>
    <dataValidation type="list" allowBlank="1" showInputMessage="1" showErrorMessage="1" errorTitle="Check this entry" error="Pick from the list (edit the list on Setup: Machines)." promptTitle="Machine" prompt="Pick from the list (edit the list on Setup: Machines)." sqref="E6:E521">
      <formula1>Machines</formula1>
    </dataValidation>
    <dataValidation type="whole" allowBlank="1" showInputMessage="1" showErrorMessage="1" errorTitle="Check this entry" error="Enter a whole number from 0 to 10,000,000." promptTitle="Qty (pcs)" prompt="Pieces to make on this machine. Enter a whole number from 0 to 10,000,000." sqref="F6:F521">
      <formula1>0</formula1>
      <formula2>10000000</formula2>
    </dataValidation>
    <dataValidation type="decimal" allowBlank="1" showInputMessage="1" showErrorMessage="1" errorTitle="Check this entry" error="Enter a number from 0 to 1,000." promptTitle="Setup (h)" prompt="Setup and first-off approval for this job, in hours. Enter a number from 0 to 1,000." sqref="G6:G521">
      <formula1>0</formula1>
      <formula2>1000</formula2>
    </dataValidation>
    <dataValidation type="decimal" allowBlank="1" showInputMessage="1" showErrorMessage="1" errorTitle="Check this entry" error="Enter a number from 0 to 10,000." promptTitle="Cycle (min/pc)" prompt="Planned run time per piece in minutes (the standard, not a best case). Enter a number from 0 to 10,000." sqref="H6:H521">
      <formula1>0</formula1>
      <formula2>10000</formula2>
    </dataValidation>
    <dataValidation type="date" allowBlank="1" showInputMessage="1" showErrorMessage="1" errorTitle="Check this entry" error="Enter a date between 01 Jan 2000 and 31 Dec 2100." promptTitle="Start" prompt="First working day of the job on this machine. Enter a date between 01 Jan 2000 and 31 Dec 2100." sqref="I6:I521">
      <formula1>36526</formula1>
      <formula2>73415</formula2>
    </dataValidation>
    <dataValidation type="date" allowBlank="1" showInputMessage="1" showErrorMessage="1" errorTitle="Check this entry" error="Enter a date between 01 Jan 2000 and 31 Dec 2100." promptTitle="Due" prompt="Date the job must be finished on this machine (ship or hand-on date). Enter a date between 01 Jan 2000 and 31 Dec 2100." sqref="J6:J521">
      <formula1>36526</formula1>
      <formula2>73415</formula2>
    </dataValidation>
    <dataValidation type="decimal" allowBlank="1" showInputMessage="1" showErrorMessage="1" errorTitle="Check this entry" error="Enter a percentage from 0% to 100% (type 85% or 0.85)." promptTitle="Complete (%)" prompt="Share of the job finished as of the status date on Setup. Enter a percentage from 0% to 100% (type 85% or 0.85)." sqref="K6:K521">
      <formula1>0</formula1>
      <formula2>1</formula2>
    </dataValidation>
    <dataValidation type="textLength" allowBlank="1" showInputMessage="1" showErrorMessage="1" errorTitle="Check this entry" error="Text up to 255 characters." promptTitle="Notes" prompt="Text up to 255 characters." sqref="T6:T521">
      <formula1>0</formula1>
      <formula2>255</formula2>
    </dataValidation>
  </dataValidations>
  <hyperlinks>
    <hyperlink ref="T2" r:id="rId1" tooltip="Free manufacturing calculators and templates"/>
  </hyperlinks>
  <pageMargins left="0.4" right="0.4" top="0.7" bottom="0.65" header="0.3" footer="0.3"/>
  <pageSetup fitToHeight="0" orientation="landscape"/>
  <headerFooter>
    <oddHeader>&amp;L&amp;8MFG Calcs - Production Schedule Gantt&amp;R&amp;8&amp;A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V22"/>
  <sheetViews>
    <sheetView workbookViewId="0"/>
  </sheetViews>
  <sheetFormatPr defaultRowHeight="15"/>
  <cols>
    <col min="1" max="1" width="2.7109375" customWidth="1"/>
    <col min="2" max="2" width="22.7109375" customWidth="1"/>
    <col min="3" max="22" width="7.2851562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24</v>
      </c>
      <c r="C2" s="2"/>
      <c r="D2" s="2"/>
      <c r="E2" s="2"/>
      <c r="F2" s="2"/>
      <c r="G2" s="2"/>
      <c r="H2" s="2"/>
      <c r="I2" s="2"/>
      <c r="J2" s="2"/>
      <c r="K2" s="2"/>
      <c r="L2" s="2"/>
      <c r="M2" s="2"/>
      <c r="N2" s="2"/>
      <c r="O2" s="2"/>
      <c r="P2" s="2"/>
      <c r="Q2" s="2"/>
      <c r="R2" s="2"/>
      <c r="S2" s="2"/>
      <c r="T2" s="2"/>
      <c r="U2" s="3" t="s">
        <v>2</v>
      </c>
      <c r="V2" s="3"/>
    </row>
    <row r="3" spans="1:22" ht="6" customHeight="1"/>
    <row r="4" spans="1:22" ht="26.76" customHeight="1">
      <c r="B4" s="21" t="s">
        <v>156</v>
      </c>
      <c r="C4" s="21"/>
      <c r="D4" s="21"/>
      <c r="E4" s="21"/>
      <c r="F4" s="21"/>
      <c r="G4" s="21"/>
      <c r="H4" s="21"/>
      <c r="I4" s="21"/>
      <c r="J4" s="21"/>
      <c r="K4" s="21"/>
      <c r="L4" s="21"/>
      <c r="M4" s="21"/>
      <c r="N4" s="21"/>
      <c r="O4" s="21"/>
      <c r="P4" s="21"/>
      <c r="Q4" s="21"/>
      <c r="R4" s="21"/>
      <c r="S4" s="21"/>
      <c r="T4" s="21"/>
      <c r="U4" s="21"/>
      <c r="V4" s="21"/>
    </row>
    <row r="5" spans="1:22">
      <c r="B5" s="33" t="s">
        <v>157</v>
      </c>
      <c r="C5" s="33"/>
      <c r="D5" s="33"/>
      <c r="E5" s="33"/>
      <c r="F5" s="33"/>
      <c r="G5" s="33"/>
      <c r="H5" s="33"/>
      <c r="I5" s="33"/>
      <c r="J5" s="33"/>
      <c r="K5" s="33"/>
      <c r="L5" s="33"/>
      <c r="M5" s="33"/>
      <c r="N5" s="33"/>
      <c r="O5" s="33"/>
      <c r="P5" s="33"/>
      <c r="Q5" s="33"/>
      <c r="R5" s="33"/>
      <c r="S5" s="33"/>
      <c r="T5" s="33"/>
      <c r="U5" s="33"/>
      <c r="V5" s="33"/>
    </row>
    <row r="6" spans="1:22">
      <c r="B6" s="43" t="s">
        <v>158</v>
      </c>
      <c r="C6" s="44">
        <f>WORKDAY(PlanStart-1,1,tblHolidays[Date])</f>
        <v>46328</v>
      </c>
      <c r="D6" s="44">
        <f>WORKDAY($C$6,1,tblHolidays[Date])</f>
        <v>46329</v>
      </c>
      <c r="E6" s="44">
        <f>WORKDAY($D$6,1,tblHolidays[Date])</f>
        <v>46330</v>
      </c>
      <c r="F6" s="44">
        <f>WORKDAY($E$6,1,tblHolidays[Date])</f>
        <v>46331</v>
      </c>
      <c r="G6" s="44">
        <f>WORKDAY($F$6,1,tblHolidays[Date])</f>
        <v>46332</v>
      </c>
      <c r="H6" s="44">
        <f>WORKDAY($G$6,1,tblHolidays[Date])</f>
        <v>46335</v>
      </c>
      <c r="I6" s="44">
        <f>WORKDAY($H$6,1,tblHolidays[Date])</f>
        <v>46336</v>
      </c>
      <c r="J6" s="44">
        <f>WORKDAY($I$6,1,tblHolidays[Date])</f>
        <v>46337</v>
      </c>
      <c r="K6" s="44">
        <f>WORKDAY($J$6,1,tblHolidays[Date])</f>
        <v>46338</v>
      </c>
      <c r="L6" s="44">
        <f>WORKDAY($K$6,1,tblHolidays[Date])</f>
        <v>46339</v>
      </c>
      <c r="M6" s="44">
        <f>WORKDAY($L$6,1,tblHolidays[Date])</f>
        <v>46342</v>
      </c>
      <c r="N6" s="44">
        <f>WORKDAY($M$6,1,tblHolidays[Date])</f>
        <v>46343</v>
      </c>
      <c r="O6" s="44">
        <f>WORKDAY($N$6,1,tblHolidays[Date])</f>
        <v>46344</v>
      </c>
      <c r="P6" s="44">
        <f>WORKDAY($O$6,1,tblHolidays[Date])</f>
        <v>46345</v>
      </c>
      <c r="Q6" s="44">
        <f>WORKDAY($P$6,1,tblHolidays[Date])</f>
        <v>46349</v>
      </c>
      <c r="R6" s="44">
        <f>WORKDAY($Q$6,1,tblHolidays[Date])</f>
        <v>46350</v>
      </c>
      <c r="S6" s="44">
        <f>WORKDAY($R$6,1,tblHolidays[Date])</f>
        <v>46351</v>
      </c>
      <c r="T6" s="44">
        <f>WORKDAY($S$6,1,tblHolidays[Date])</f>
        <v>46352</v>
      </c>
      <c r="U6" s="44">
        <f>WORKDAY($T$6,1,tblHolidays[Date])</f>
        <v>46353</v>
      </c>
      <c r="V6" s="44">
        <f>WORKDAY($U$6,1,tblHolidays[Date])</f>
        <v>46356</v>
      </c>
    </row>
    <row r="7" spans="1:22">
      <c r="B7" s="45" t="str">
        <f>IFERROR(IF(INDEX(tblJobs[Job],1)="","",INDEX(tblJobs[Job],1)&amp;" ("&amp;INDEX(tblJobs[Machine],1)&amp;")"),"")</f>
        <v>J-4101 (VMC-1)</v>
      </c>
      <c r="C7" s="46">
        <f>IF(OR($B$7="",$C$6=""),"",IF(AND($C$6&gt;=INDEX(tblJobs[Start],1),$C$6&lt;=INDEX(tblJobs[End],1)),IF($C$6&lt;INDEX(tblJobs[Start],1)+(INDEX(tblJobs[End],1)-INDEX(tblJobs[Start],1)+1)*INDEX(tblJobs[Complete (%)],1),2,1),""))</f>
        <v>2</v>
      </c>
      <c r="D7" s="46">
        <f>IF(OR($B$7="",$D$6=""),"",IF(AND($D$6&gt;=INDEX(tblJobs[Start],1),$D$6&lt;=INDEX(tblJobs[End],1)),IF($D$6&lt;INDEX(tblJobs[Start],1)+(INDEX(tblJobs[End],1)-INDEX(tblJobs[Start],1)+1)*INDEX(tblJobs[Complete (%)],1),2,1),""))</f>
        <v>2</v>
      </c>
      <c r="E7" s="46">
        <f>IF(OR($B$7="",$E$6=""),"",IF(AND($E$6&gt;=INDEX(tblJobs[Start],1),$E$6&lt;=INDEX(tblJobs[End],1)),IF($E$6&lt;INDEX(tblJobs[Start],1)+(INDEX(tblJobs[End],1)-INDEX(tblJobs[Start],1)+1)*INDEX(tblJobs[Complete (%)],1),2,1),""))</f>
        <v>2</v>
      </c>
      <c r="F7" s="46">
        <f>IF(OR($B$7="",$F$6=""),"",IF(AND($F$6&gt;=INDEX(tblJobs[Start],1),$F$6&lt;=INDEX(tblJobs[End],1)),IF($F$6&lt;INDEX(tblJobs[Start],1)+(INDEX(tblJobs[End],1)-INDEX(tblJobs[Start],1)+1)*INDEX(tblJobs[Complete (%)],1),2,1),""))</f>
        <v>2</v>
      </c>
      <c r="G7" s="46">
        <f>IF(OR($B$7="",$G$6=""),"",IF(AND($G$6&gt;=INDEX(tblJobs[Start],1),$G$6&lt;=INDEX(tblJobs[End],1)),IF($G$6&lt;INDEX(tblJobs[Start],1)+(INDEX(tblJobs[End],1)-INDEX(tblJobs[Start],1)+1)*INDEX(tblJobs[Complete (%)],1),2,1),""))</f>
        <v/>
      </c>
      <c r="H7" s="46">
        <f>IF(OR($B$7="",$H$6=""),"",IF(AND($H$6&gt;=INDEX(tblJobs[Start],1),$H$6&lt;=INDEX(tblJobs[End],1)),IF($H$6&lt;INDEX(tblJobs[Start],1)+(INDEX(tblJobs[End],1)-INDEX(tblJobs[Start],1)+1)*INDEX(tblJobs[Complete (%)],1),2,1),""))</f>
        <v/>
      </c>
      <c r="I7" s="46">
        <f>IF(OR($B$7="",$I$6=""),"",IF(AND($I$6&gt;=INDEX(tblJobs[Start],1),$I$6&lt;=INDEX(tblJobs[End],1)),IF($I$6&lt;INDEX(tblJobs[Start],1)+(INDEX(tblJobs[End],1)-INDEX(tblJobs[Start],1)+1)*INDEX(tblJobs[Complete (%)],1),2,1),""))</f>
        <v/>
      </c>
      <c r="J7" s="46">
        <f>IF(OR($B$7="",$J$6=""),"",IF(AND($J$6&gt;=INDEX(tblJobs[Start],1),$J$6&lt;=INDEX(tblJobs[End],1)),IF($J$6&lt;INDEX(tblJobs[Start],1)+(INDEX(tblJobs[End],1)-INDEX(tblJobs[Start],1)+1)*INDEX(tblJobs[Complete (%)],1),2,1),""))</f>
        <v/>
      </c>
      <c r="K7" s="46">
        <f>IF(OR($B$7="",$K$6=""),"",IF(AND($K$6&gt;=INDEX(tblJobs[Start],1),$K$6&lt;=INDEX(tblJobs[End],1)),IF($K$6&lt;INDEX(tblJobs[Start],1)+(INDEX(tblJobs[End],1)-INDEX(tblJobs[Start],1)+1)*INDEX(tblJobs[Complete (%)],1),2,1),""))</f>
        <v/>
      </c>
      <c r="L7" s="46">
        <f>IF(OR($B$7="",$L$6=""),"",IF(AND($L$6&gt;=INDEX(tblJobs[Start],1),$L$6&lt;=INDEX(tblJobs[End],1)),IF($L$6&lt;INDEX(tblJobs[Start],1)+(INDEX(tblJobs[End],1)-INDEX(tblJobs[Start],1)+1)*INDEX(tblJobs[Complete (%)],1),2,1),""))</f>
        <v/>
      </c>
      <c r="M7" s="46">
        <f>IF(OR($B$7="",$M$6=""),"",IF(AND($M$6&gt;=INDEX(tblJobs[Start],1),$M$6&lt;=INDEX(tblJobs[End],1)),IF($M$6&lt;INDEX(tblJobs[Start],1)+(INDEX(tblJobs[End],1)-INDEX(tblJobs[Start],1)+1)*INDEX(tblJobs[Complete (%)],1),2,1),""))</f>
        <v/>
      </c>
      <c r="N7" s="46">
        <f>IF(OR($B$7="",$N$6=""),"",IF(AND($N$6&gt;=INDEX(tblJobs[Start],1),$N$6&lt;=INDEX(tblJobs[End],1)),IF($N$6&lt;INDEX(tblJobs[Start],1)+(INDEX(tblJobs[End],1)-INDEX(tblJobs[Start],1)+1)*INDEX(tblJobs[Complete (%)],1),2,1),""))</f>
        <v/>
      </c>
      <c r="O7" s="46">
        <f>IF(OR($B$7="",$O$6=""),"",IF(AND($O$6&gt;=INDEX(tblJobs[Start],1),$O$6&lt;=INDEX(tblJobs[End],1)),IF($O$6&lt;INDEX(tblJobs[Start],1)+(INDEX(tblJobs[End],1)-INDEX(tblJobs[Start],1)+1)*INDEX(tblJobs[Complete (%)],1),2,1),""))</f>
        <v/>
      </c>
      <c r="P7" s="46">
        <f>IF(OR($B$7="",$P$6=""),"",IF(AND($P$6&gt;=INDEX(tblJobs[Start],1),$P$6&lt;=INDEX(tblJobs[End],1)),IF($P$6&lt;INDEX(tblJobs[Start],1)+(INDEX(tblJobs[End],1)-INDEX(tblJobs[Start],1)+1)*INDEX(tblJobs[Complete (%)],1),2,1),""))</f>
        <v/>
      </c>
      <c r="Q7" s="46">
        <f>IF(OR($B$7="",$Q$6=""),"",IF(AND($Q$6&gt;=INDEX(tblJobs[Start],1),$Q$6&lt;=INDEX(tblJobs[End],1)),IF($Q$6&lt;INDEX(tblJobs[Start],1)+(INDEX(tblJobs[End],1)-INDEX(tblJobs[Start],1)+1)*INDEX(tblJobs[Complete (%)],1),2,1),""))</f>
        <v/>
      </c>
      <c r="R7" s="46">
        <f>IF(OR($B$7="",$R$6=""),"",IF(AND($R$6&gt;=INDEX(tblJobs[Start],1),$R$6&lt;=INDEX(tblJobs[End],1)),IF($R$6&lt;INDEX(tblJobs[Start],1)+(INDEX(tblJobs[End],1)-INDEX(tblJobs[Start],1)+1)*INDEX(tblJobs[Complete (%)],1),2,1),""))</f>
        <v/>
      </c>
      <c r="S7" s="46">
        <f>IF(OR($B$7="",$S$6=""),"",IF(AND($S$6&gt;=INDEX(tblJobs[Start],1),$S$6&lt;=INDEX(tblJobs[End],1)),IF($S$6&lt;INDEX(tblJobs[Start],1)+(INDEX(tblJobs[End],1)-INDEX(tblJobs[Start],1)+1)*INDEX(tblJobs[Complete (%)],1),2,1),""))</f>
        <v/>
      </c>
      <c r="T7" s="46">
        <f>IF(OR($B$7="",$T$6=""),"",IF(AND($T$6&gt;=INDEX(tblJobs[Start],1),$T$6&lt;=INDEX(tblJobs[End],1)),IF($T$6&lt;INDEX(tblJobs[Start],1)+(INDEX(tblJobs[End],1)-INDEX(tblJobs[Start],1)+1)*INDEX(tblJobs[Complete (%)],1),2,1),""))</f>
        <v/>
      </c>
      <c r="U7" s="46">
        <f>IF(OR($B$7="",$U$6=""),"",IF(AND($U$6&gt;=INDEX(tblJobs[Start],1),$U$6&lt;=INDEX(tblJobs[End],1)),IF($U$6&lt;INDEX(tblJobs[Start],1)+(INDEX(tblJobs[End],1)-INDEX(tblJobs[Start],1)+1)*INDEX(tblJobs[Complete (%)],1),2,1),""))</f>
        <v/>
      </c>
      <c r="V7" s="46">
        <f>IF(OR($B$7="",$V$6=""),"",IF(AND($V$6&gt;=INDEX(tblJobs[Start],1),$V$6&lt;=INDEX(tblJobs[End],1)),IF($V$6&lt;INDEX(tblJobs[Start],1)+(INDEX(tblJobs[End],1)-INDEX(tblJobs[Start],1)+1)*INDEX(tblJobs[Complete (%)],1),2,1),""))</f>
        <v/>
      </c>
    </row>
    <row r="8" spans="1:22">
      <c r="B8" s="45" t="str">
        <f>IFERROR(IF(INDEX(tblJobs[Job],2)="","",INDEX(tblJobs[Job],2)&amp;" ("&amp;INDEX(tblJobs[Machine],2)&amp;")"),"")</f>
        <v>J-4105 (VMC-1)</v>
      </c>
      <c r="C8" s="46">
        <f>IF(OR($B$8="",$C$6=""),"",IF(AND($C$6&gt;=INDEX(tblJobs[Start],2),$C$6&lt;=INDEX(tblJobs[End],2)),IF($C$6&lt;INDEX(tblJobs[Start],2)+(INDEX(tblJobs[End],2)-INDEX(tblJobs[Start],2)+1)*INDEX(tblJobs[Complete (%)],2),2,1),""))</f>
        <v/>
      </c>
      <c r="D8" s="46">
        <f>IF(OR($B$8="",$D$6=""),"",IF(AND($D$6&gt;=INDEX(tblJobs[Start],2),$D$6&lt;=INDEX(tblJobs[End],2)),IF($D$6&lt;INDEX(tblJobs[Start],2)+(INDEX(tblJobs[End],2)-INDEX(tblJobs[Start],2)+1)*INDEX(tblJobs[Complete (%)],2),2,1),""))</f>
        <v/>
      </c>
      <c r="E8" s="46">
        <f>IF(OR($B$8="",$E$6=""),"",IF(AND($E$6&gt;=INDEX(tblJobs[Start],2),$E$6&lt;=INDEX(tblJobs[End],2)),IF($E$6&lt;INDEX(tblJobs[Start],2)+(INDEX(tblJobs[End],2)-INDEX(tblJobs[Start],2)+1)*INDEX(tblJobs[Complete (%)],2),2,1),""))</f>
        <v/>
      </c>
      <c r="F8" s="46">
        <f>IF(OR($B$8="",$F$6=""),"",IF(AND($F$6&gt;=INDEX(tblJobs[Start],2),$F$6&lt;=INDEX(tblJobs[End],2)),IF($F$6&lt;INDEX(tblJobs[Start],2)+(INDEX(tblJobs[End],2)-INDEX(tblJobs[Start],2)+1)*INDEX(tblJobs[Complete (%)],2),2,1),""))</f>
        <v/>
      </c>
      <c r="G8" s="46">
        <f>IF(OR($B$8="",$G$6=""),"",IF(AND($G$6&gt;=INDEX(tblJobs[Start],2),$G$6&lt;=INDEX(tblJobs[End],2)),IF($G$6&lt;INDEX(tblJobs[Start],2)+(INDEX(tblJobs[End],2)-INDEX(tblJobs[Start],2)+1)*INDEX(tblJobs[Complete (%)],2),2,1),""))</f>
        <v>2</v>
      </c>
      <c r="H8" s="46">
        <f>IF(OR($B$8="",$H$6=""),"",IF(AND($H$6&gt;=INDEX(tblJobs[Start],2),$H$6&lt;=INDEX(tblJobs[End],2)),IF($H$6&lt;INDEX(tblJobs[Start],2)+(INDEX(tblJobs[End],2)-INDEX(tblJobs[Start],2)+1)*INDEX(tblJobs[Complete (%)],2),2,1),""))</f>
        <v>2</v>
      </c>
      <c r="I8" s="46">
        <f>IF(OR($B$8="",$I$6=""),"",IF(AND($I$6&gt;=INDEX(tblJobs[Start],2),$I$6&lt;=INDEX(tblJobs[End],2)),IF($I$6&lt;INDEX(tblJobs[Start],2)+(INDEX(tblJobs[End],2)-INDEX(tblJobs[Start],2)+1)*INDEX(tblJobs[Complete (%)],2),2,1),""))</f>
        <v>2</v>
      </c>
      <c r="J8" s="46">
        <f>IF(OR($B$8="",$J$6=""),"",IF(AND($J$6&gt;=INDEX(tblJobs[Start],2),$J$6&lt;=INDEX(tblJobs[End],2)),IF($J$6&lt;INDEX(tblJobs[Start],2)+(INDEX(tblJobs[End],2)-INDEX(tblJobs[Start],2)+1)*INDEX(tblJobs[Complete (%)],2),2,1),""))</f>
        <v>1</v>
      </c>
      <c r="K8" s="46">
        <f>IF(OR($B$8="",$K$6=""),"",IF(AND($K$6&gt;=INDEX(tblJobs[Start],2),$K$6&lt;=INDEX(tblJobs[End],2)),IF($K$6&lt;INDEX(tblJobs[Start],2)+(INDEX(tblJobs[End],2)-INDEX(tblJobs[Start],2)+1)*INDEX(tblJobs[Complete (%)],2),2,1),""))</f>
        <v/>
      </c>
      <c r="L8" s="46">
        <f>IF(OR($B$8="",$L$6=""),"",IF(AND($L$6&gt;=INDEX(tblJobs[Start],2),$L$6&lt;=INDEX(tblJobs[End],2)),IF($L$6&lt;INDEX(tblJobs[Start],2)+(INDEX(tblJobs[End],2)-INDEX(tblJobs[Start],2)+1)*INDEX(tblJobs[Complete (%)],2),2,1),""))</f>
        <v/>
      </c>
      <c r="M8" s="46">
        <f>IF(OR($B$8="",$M$6=""),"",IF(AND($M$6&gt;=INDEX(tblJobs[Start],2),$M$6&lt;=INDEX(tblJobs[End],2)),IF($M$6&lt;INDEX(tblJobs[Start],2)+(INDEX(tblJobs[End],2)-INDEX(tblJobs[Start],2)+1)*INDEX(tblJobs[Complete (%)],2),2,1),""))</f>
        <v/>
      </c>
      <c r="N8" s="46">
        <f>IF(OR($B$8="",$N$6=""),"",IF(AND($N$6&gt;=INDEX(tblJobs[Start],2),$N$6&lt;=INDEX(tblJobs[End],2)),IF($N$6&lt;INDEX(tblJobs[Start],2)+(INDEX(tblJobs[End],2)-INDEX(tblJobs[Start],2)+1)*INDEX(tblJobs[Complete (%)],2),2,1),""))</f>
        <v/>
      </c>
      <c r="O8" s="46">
        <f>IF(OR($B$8="",$O$6=""),"",IF(AND($O$6&gt;=INDEX(tblJobs[Start],2),$O$6&lt;=INDEX(tblJobs[End],2)),IF($O$6&lt;INDEX(tblJobs[Start],2)+(INDEX(tblJobs[End],2)-INDEX(tblJobs[Start],2)+1)*INDEX(tblJobs[Complete (%)],2),2,1),""))</f>
        <v/>
      </c>
      <c r="P8" s="46">
        <f>IF(OR($B$8="",$P$6=""),"",IF(AND($P$6&gt;=INDEX(tblJobs[Start],2),$P$6&lt;=INDEX(tblJobs[End],2)),IF($P$6&lt;INDEX(tblJobs[Start],2)+(INDEX(tblJobs[End],2)-INDEX(tblJobs[Start],2)+1)*INDEX(tblJobs[Complete (%)],2),2,1),""))</f>
        <v/>
      </c>
      <c r="Q8" s="46">
        <f>IF(OR($B$8="",$Q$6=""),"",IF(AND($Q$6&gt;=INDEX(tblJobs[Start],2),$Q$6&lt;=INDEX(tblJobs[End],2)),IF($Q$6&lt;INDEX(tblJobs[Start],2)+(INDEX(tblJobs[End],2)-INDEX(tblJobs[Start],2)+1)*INDEX(tblJobs[Complete (%)],2),2,1),""))</f>
        <v/>
      </c>
      <c r="R8" s="46">
        <f>IF(OR($B$8="",$R$6=""),"",IF(AND($R$6&gt;=INDEX(tblJobs[Start],2),$R$6&lt;=INDEX(tblJobs[End],2)),IF($R$6&lt;INDEX(tblJobs[Start],2)+(INDEX(tblJobs[End],2)-INDEX(tblJobs[Start],2)+1)*INDEX(tblJobs[Complete (%)],2),2,1),""))</f>
        <v/>
      </c>
      <c r="S8" s="46">
        <f>IF(OR($B$8="",$S$6=""),"",IF(AND($S$6&gt;=INDEX(tblJobs[Start],2),$S$6&lt;=INDEX(tblJobs[End],2)),IF($S$6&lt;INDEX(tblJobs[Start],2)+(INDEX(tblJobs[End],2)-INDEX(tblJobs[Start],2)+1)*INDEX(tblJobs[Complete (%)],2),2,1),""))</f>
        <v/>
      </c>
      <c r="T8" s="46">
        <f>IF(OR($B$8="",$T$6=""),"",IF(AND($T$6&gt;=INDEX(tblJobs[Start],2),$T$6&lt;=INDEX(tblJobs[End],2)),IF($T$6&lt;INDEX(tblJobs[Start],2)+(INDEX(tblJobs[End],2)-INDEX(tblJobs[Start],2)+1)*INDEX(tblJobs[Complete (%)],2),2,1),""))</f>
        <v/>
      </c>
      <c r="U8" s="46">
        <f>IF(OR($B$8="",$U$6=""),"",IF(AND($U$6&gt;=INDEX(tblJobs[Start],2),$U$6&lt;=INDEX(tblJobs[End],2)),IF($U$6&lt;INDEX(tblJobs[Start],2)+(INDEX(tblJobs[End],2)-INDEX(tblJobs[Start],2)+1)*INDEX(tblJobs[Complete (%)],2),2,1),""))</f>
        <v/>
      </c>
      <c r="V8" s="46">
        <f>IF(OR($B$8="",$V$6=""),"",IF(AND($V$6&gt;=INDEX(tblJobs[Start],2),$V$6&lt;=INDEX(tblJobs[End],2)),IF($V$6&lt;INDEX(tblJobs[Start],2)+(INDEX(tblJobs[End],2)-INDEX(tblJobs[Start],2)+1)*INDEX(tblJobs[Complete (%)],2),2,1),""))</f>
        <v/>
      </c>
    </row>
    <row r="9" spans="1:22">
      <c r="B9" s="45" t="str">
        <f>IFERROR(IF(INDEX(tblJobs[Job],3)="","",INDEX(tblJobs[Job],3)&amp;" ("&amp;INDEX(tblJobs[Machine],3)&amp;")"),"")</f>
        <v>J-4109 (VMC-1)</v>
      </c>
      <c r="C9" s="46">
        <f>IF(OR($B$9="",$C$6=""),"",IF(AND($C$6&gt;=INDEX(tblJobs[Start],3),$C$6&lt;=INDEX(tblJobs[End],3)),IF($C$6&lt;INDEX(tblJobs[Start],3)+(INDEX(tblJobs[End],3)-INDEX(tblJobs[Start],3)+1)*INDEX(tblJobs[Complete (%)],3),2,1),""))</f>
        <v/>
      </c>
      <c r="D9" s="46">
        <f>IF(OR($B$9="",$D$6=""),"",IF(AND($D$6&gt;=INDEX(tblJobs[Start],3),$D$6&lt;=INDEX(tblJobs[End],3)),IF($D$6&lt;INDEX(tblJobs[Start],3)+(INDEX(tblJobs[End],3)-INDEX(tblJobs[Start],3)+1)*INDEX(tblJobs[Complete (%)],3),2,1),""))</f>
        <v/>
      </c>
      <c r="E9" s="46">
        <f>IF(OR($B$9="",$E$6=""),"",IF(AND($E$6&gt;=INDEX(tblJobs[Start],3),$E$6&lt;=INDEX(tblJobs[End],3)),IF($E$6&lt;INDEX(tblJobs[Start],3)+(INDEX(tblJobs[End],3)-INDEX(tblJobs[Start],3)+1)*INDEX(tblJobs[Complete (%)],3),2,1),""))</f>
        <v/>
      </c>
      <c r="F9" s="46">
        <f>IF(OR($B$9="",$F$6=""),"",IF(AND($F$6&gt;=INDEX(tblJobs[Start],3),$F$6&lt;=INDEX(tblJobs[End],3)),IF($F$6&lt;INDEX(tblJobs[Start],3)+(INDEX(tblJobs[End],3)-INDEX(tblJobs[Start],3)+1)*INDEX(tblJobs[Complete (%)],3),2,1),""))</f>
        <v/>
      </c>
      <c r="G9" s="46">
        <f>IF(OR($B$9="",$G$6=""),"",IF(AND($G$6&gt;=INDEX(tblJobs[Start],3),$G$6&lt;=INDEX(tblJobs[End],3)),IF($G$6&lt;INDEX(tblJobs[Start],3)+(INDEX(tblJobs[End],3)-INDEX(tblJobs[Start],3)+1)*INDEX(tblJobs[Complete (%)],3),2,1),""))</f>
        <v/>
      </c>
      <c r="H9" s="46">
        <f>IF(OR($B$9="",$H$6=""),"",IF(AND($H$6&gt;=INDEX(tblJobs[Start],3),$H$6&lt;=INDEX(tblJobs[End],3)),IF($H$6&lt;INDEX(tblJobs[Start],3)+(INDEX(tblJobs[End],3)-INDEX(tblJobs[Start],3)+1)*INDEX(tblJobs[Complete (%)],3),2,1),""))</f>
        <v/>
      </c>
      <c r="I9" s="46">
        <f>IF(OR($B$9="",$I$6=""),"",IF(AND($I$6&gt;=INDEX(tblJobs[Start],3),$I$6&lt;=INDEX(tblJobs[End],3)),IF($I$6&lt;INDEX(tblJobs[Start],3)+(INDEX(tblJobs[End],3)-INDEX(tblJobs[Start],3)+1)*INDEX(tblJobs[Complete (%)],3),2,1),""))</f>
        <v/>
      </c>
      <c r="J9" s="46">
        <f>IF(OR($B$9="",$J$6=""),"",IF(AND($J$6&gt;=INDEX(tblJobs[Start],3),$J$6&lt;=INDEX(tblJobs[End],3)),IF($J$6&lt;INDEX(tblJobs[Start],3)+(INDEX(tblJobs[End],3)-INDEX(tblJobs[Start],3)+1)*INDEX(tblJobs[Complete (%)],3),2,1),""))</f>
        <v/>
      </c>
      <c r="K9" s="46">
        <f>IF(OR($B$9="",$K$6=""),"",IF(AND($K$6&gt;=INDEX(tblJobs[Start],3),$K$6&lt;=INDEX(tblJobs[End],3)),IF($K$6&lt;INDEX(tblJobs[Start],3)+(INDEX(tblJobs[End],3)-INDEX(tblJobs[Start],3)+1)*INDEX(tblJobs[Complete (%)],3),2,1),""))</f>
        <v>1</v>
      </c>
      <c r="L9" s="46">
        <f>IF(OR($B$9="",$L$6=""),"",IF(AND($L$6&gt;=INDEX(tblJobs[Start],3),$L$6&lt;=INDEX(tblJobs[End],3)),IF($L$6&lt;INDEX(tblJobs[Start],3)+(INDEX(tblJobs[End],3)-INDEX(tblJobs[Start],3)+1)*INDEX(tblJobs[Complete (%)],3),2,1),""))</f>
        <v>1</v>
      </c>
      <c r="M9" s="46">
        <f>IF(OR($B$9="",$M$6=""),"",IF(AND($M$6&gt;=INDEX(tblJobs[Start],3),$M$6&lt;=INDEX(tblJobs[End],3)),IF($M$6&lt;INDEX(tblJobs[Start],3)+(INDEX(tblJobs[End],3)-INDEX(tblJobs[Start],3)+1)*INDEX(tblJobs[Complete (%)],3),2,1),""))</f>
        <v>1</v>
      </c>
      <c r="N9" s="46">
        <f>IF(OR($B$9="",$N$6=""),"",IF(AND($N$6&gt;=INDEX(tblJobs[Start],3),$N$6&lt;=INDEX(tblJobs[End],3)),IF($N$6&lt;INDEX(tblJobs[Start],3)+(INDEX(tblJobs[End],3)-INDEX(tblJobs[Start],3)+1)*INDEX(tblJobs[Complete (%)],3),2,1),""))</f>
        <v>1</v>
      </c>
      <c r="O9" s="46">
        <f>IF(OR($B$9="",$O$6=""),"",IF(AND($O$6&gt;=INDEX(tblJobs[Start],3),$O$6&lt;=INDEX(tblJobs[End],3)),IF($O$6&lt;INDEX(tblJobs[Start],3)+(INDEX(tblJobs[End],3)-INDEX(tblJobs[Start],3)+1)*INDEX(tblJobs[Complete (%)],3),2,1),""))</f>
        <v/>
      </c>
      <c r="P9" s="46">
        <f>IF(OR($B$9="",$P$6=""),"",IF(AND($P$6&gt;=INDEX(tblJobs[Start],3),$P$6&lt;=INDEX(tblJobs[End],3)),IF($P$6&lt;INDEX(tblJobs[Start],3)+(INDEX(tblJobs[End],3)-INDEX(tblJobs[Start],3)+1)*INDEX(tblJobs[Complete (%)],3),2,1),""))</f>
        <v/>
      </c>
      <c r="Q9" s="46">
        <f>IF(OR($B$9="",$Q$6=""),"",IF(AND($Q$6&gt;=INDEX(tblJobs[Start],3),$Q$6&lt;=INDEX(tblJobs[End],3)),IF($Q$6&lt;INDEX(tblJobs[Start],3)+(INDEX(tblJobs[End],3)-INDEX(tblJobs[Start],3)+1)*INDEX(tblJobs[Complete (%)],3),2,1),""))</f>
        <v/>
      </c>
      <c r="R9" s="46">
        <f>IF(OR($B$9="",$R$6=""),"",IF(AND($R$6&gt;=INDEX(tblJobs[Start],3),$R$6&lt;=INDEX(tblJobs[End],3)),IF($R$6&lt;INDEX(tblJobs[Start],3)+(INDEX(tblJobs[End],3)-INDEX(tblJobs[Start],3)+1)*INDEX(tblJobs[Complete (%)],3),2,1),""))</f>
        <v/>
      </c>
      <c r="S9" s="46">
        <f>IF(OR($B$9="",$S$6=""),"",IF(AND($S$6&gt;=INDEX(tblJobs[Start],3),$S$6&lt;=INDEX(tblJobs[End],3)),IF($S$6&lt;INDEX(tblJobs[Start],3)+(INDEX(tblJobs[End],3)-INDEX(tblJobs[Start],3)+1)*INDEX(tblJobs[Complete (%)],3),2,1),""))</f>
        <v/>
      </c>
      <c r="T9" s="46">
        <f>IF(OR($B$9="",$T$6=""),"",IF(AND($T$6&gt;=INDEX(tblJobs[Start],3),$T$6&lt;=INDEX(tblJobs[End],3)),IF($T$6&lt;INDEX(tblJobs[Start],3)+(INDEX(tblJobs[End],3)-INDEX(tblJobs[Start],3)+1)*INDEX(tblJobs[Complete (%)],3),2,1),""))</f>
        <v/>
      </c>
      <c r="U9" s="46">
        <f>IF(OR($B$9="",$U$6=""),"",IF(AND($U$6&gt;=INDEX(tblJobs[Start],3),$U$6&lt;=INDEX(tblJobs[End],3)),IF($U$6&lt;INDEX(tblJobs[Start],3)+(INDEX(tblJobs[End],3)-INDEX(tblJobs[Start],3)+1)*INDEX(tblJobs[Complete (%)],3),2,1),""))</f>
        <v/>
      </c>
      <c r="V9" s="46">
        <f>IF(OR($B$9="",$V$6=""),"",IF(AND($V$6&gt;=INDEX(tblJobs[Start],3),$V$6&lt;=INDEX(tblJobs[End],3)),IF($V$6&lt;INDEX(tblJobs[Start],3)+(INDEX(tblJobs[End],3)-INDEX(tblJobs[Start],3)+1)*INDEX(tblJobs[Complete (%)],3),2,1),""))</f>
        <v/>
      </c>
    </row>
    <row r="10" spans="1:22">
      <c r="B10" s="45" t="str">
        <f>IFERROR(IF(INDEX(tblJobs[Job],4)="","",INDEX(tblJobs[Job],4)&amp;" ("&amp;INDEX(tblJobs[Machine],4)&amp;")"),"")</f>
        <v>J-4113 (VMC-1)</v>
      </c>
      <c r="C10" s="46">
        <f>IF(OR($B$10="",$C$6=""),"",IF(AND($C$6&gt;=INDEX(tblJobs[Start],4),$C$6&lt;=INDEX(tblJobs[End],4)),IF($C$6&lt;INDEX(tblJobs[Start],4)+(INDEX(tblJobs[End],4)-INDEX(tblJobs[Start],4)+1)*INDEX(tblJobs[Complete (%)],4),2,1),""))</f>
        <v/>
      </c>
      <c r="D10" s="46">
        <f>IF(OR($B$10="",$D$6=""),"",IF(AND($D$6&gt;=INDEX(tblJobs[Start],4),$D$6&lt;=INDEX(tblJobs[End],4)),IF($D$6&lt;INDEX(tblJobs[Start],4)+(INDEX(tblJobs[End],4)-INDEX(tblJobs[Start],4)+1)*INDEX(tblJobs[Complete (%)],4),2,1),""))</f>
        <v/>
      </c>
      <c r="E10" s="46">
        <f>IF(OR($B$10="",$E$6=""),"",IF(AND($E$6&gt;=INDEX(tblJobs[Start],4),$E$6&lt;=INDEX(tblJobs[End],4)),IF($E$6&lt;INDEX(tblJobs[Start],4)+(INDEX(tblJobs[End],4)-INDEX(tblJobs[Start],4)+1)*INDEX(tblJobs[Complete (%)],4),2,1),""))</f>
        <v/>
      </c>
      <c r="F10" s="46">
        <f>IF(OR($B$10="",$F$6=""),"",IF(AND($F$6&gt;=INDEX(tblJobs[Start],4),$F$6&lt;=INDEX(tblJobs[End],4)),IF($F$6&lt;INDEX(tblJobs[Start],4)+(INDEX(tblJobs[End],4)-INDEX(tblJobs[Start],4)+1)*INDEX(tblJobs[Complete (%)],4),2,1),""))</f>
        <v/>
      </c>
      <c r="G10" s="46">
        <f>IF(OR($B$10="",$G$6=""),"",IF(AND($G$6&gt;=INDEX(tblJobs[Start],4),$G$6&lt;=INDEX(tblJobs[End],4)),IF($G$6&lt;INDEX(tblJobs[Start],4)+(INDEX(tblJobs[End],4)-INDEX(tblJobs[Start],4)+1)*INDEX(tblJobs[Complete (%)],4),2,1),""))</f>
        <v/>
      </c>
      <c r="H10" s="46">
        <f>IF(OR($B$10="",$H$6=""),"",IF(AND($H$6&gt;=INDEX(tblJobs[Start],4),$H$6&lt;=INDEX(tblJobs[End],4)),IF($H$6&lt;INDEX(tblJobs[Start],4)+(INDEX(tblJobs[End],4)-INDEX(tblJobs[Start],4)+1)*INDEX(tblJobs[Complete (%)],4),2,1),""))</f>
        <v/>
      </c>
      <c r="I10" s="46">
        <f>IF(OR($B$10="",$I$6=""),"",IF(AND($I$6&gt;=INDEX(tblJobs[Start],4),$I$6&lt;=INDEX(tblJobs[End],4)),IF($I$6&lt;INDEX(tblJobs[Start],4)+(INDEX(tblJobs[End],4)-INDEX(tblJobs[Start],4)+1)*INDEX(tblJobs[Complete (%)],4),2,1),""))</f>
        <v/>
      </c>
      <c r="J10" s="46">
        <f>IF(OR($B$10="",$J$6=""),"",IF(AND($J$6&gt;=INDEX(tblJobs[Start],4),$J$6&lt;=INDEX(tblJobs[End],4)),IF($J$6&lt;INDEX(tblJobs[Start],4)+(INDEX(tblJobs[End],4)-INDEX(tblJobs[Start],4)+1)*INDEX(tblJobs[Complete (%)],4),2,1),""))</f>
        <v/>
      </c>
      <c r="K10" s="46">
        <f>IF(OR($B$10="",$K$6=""),"",IF(AND($K$6&gt;=INDEX(tblJobs[Start],4),$K$6&lt;=INDEX(tblJobs[End],4)),IF($K$6&lt;INDEX(tblJobs[Start],4)+(INDEX(tblJobs[End],4)-INDEX(tblJobs[Start],4)+1)*INDEX(tblJobs[Complete (%)],4),2,1),""))</f>
        <v/>
      </c>
      <c r="L10" s="46">
        <f>IF(OR($B$10="",$L$6=""),"",IF(AND($L$6&gt;=INDEX(tblJobs[Start],4),$L$6&lt;=INDEX(tblJobs[End],4)),IF($L$6&lt;INDEX(tblJobs[Start],4)+(INDEX(tblJobs[End],4)-INDEX(tblJobs[Start],4)+1)*INDEX(tblJobs[Complete (%)],4),2,1),""))</f>
        <v/>
      </c>
      <c r="M10" s="46">
        <f>IF(OR($B$10="",$M$6=""),"",IF(AND($M$6&gt;=INDEX(tblJobs[Start],4),$M$6&lt;=INDEX(tblJobs[End],4)),IF($M$6&lt;INDEX(tblJobs[Start],4)+(INDEX(tblJobs[End],4)-INDEX(tblJobs[Start],4)+1)*INDEX(tblJobs[Complete (%)],4),2,1),""))</f>
        <v/>
      </c>
      <c r="N10" s="46">
        <f>IF(OR($B$10="",$N$6=""),"",IF(AND($N$6&gt;=INDEX(tblJobs[Start],4),$N$6&lt;=INDEX(tblJobs[End],4)),IF($N$6&lt;INDEX(tblJobs[Start],4)+(INDEX(tblJobs[End],4)-INDEX(tblJobs[Start],4)+1)*INDEX(tblJobs[Complete (%)],4),2,1),""))</f>
        <v/>
      </c>
      <c r="O10" s="46">
        <f>IF(OR($B$10="",$O$6=""),"",IF(AND($O$6&gt;=INDEX(tblJobs[Start],4),$O$6&lt;=INDEX(tblJobs[End],4)),IF($O$6&lt;INDEX(tblJobs[Start],4)+(INDEX(tblJobs[End],4)-INDEX(tblJobs[Start],4)+1)*INDEX(tblJobs[Complete (%)],4),2,1),""))</f>
        <v>1</v>
      </c>
      <c r="P10" s="46">
        <f>IF(OR($B$10="",$P$6=""),"",IF(AND($P$6&gt;=INDEX(tblJobs[Start],4),$P$6&lt;=INDEX(tblJobs[End],4)),IF($P$6&lt;INDEX(tblJobs[Start],4)+(INDEX(tblJobs[End],4)-INDEX(tblJobs[Start],4)+1)*INDEX(tblJobs[Complete (%)],4),2,1),""))</f>
        <v>1</v>
      </c>
      <c r="Q10" s="46">
        <f>IF(OR($B$10="",$Q$6=""),"",IF(AND($Q$6&gt;=INDEX(tblJobs[Start],4),$Q$6&lt;=INDEX(tblJobs[End],4)),IF($Q$6&lt;INDEX(tblJobs[Start],4)+(INDEX(tblJobs[End],4)-INDEX(tblJobs[Start],4)+1)*INDEX(tblJobs[Complete (%)],4),2,1),""))</f>
        <v>1</v>
      </c>
      <c r="R10" s="46">
        <f>IF(OR($B$10="",$R$6=""),"",IF(AND($R$6&gt;=INDEX(tblJobs[Start],4),$R$6&lt;=INDEX(tblJobs[End],4)),IF($R$6&lt;INDEX(tblJobs[Start],4)+(INDEX(tblJobs[End],4)-INDEX(tblJobs[Start],4)+1)*INDEX(tblJobs[Complete (%)],4),2,1),""))</f>
        <v>1</v>
      </c>
      <c r="S10" s="46">
        <f>IF(OR($B$10="",$S$6=""),"",IF(AND($S$6&gt;=INDEX(tblJobs[Start],4),$S$6&lt;=INDEX(tblJobs[End],4)),IF($S$6&lt;INDEX(tblJobs[Start],4)+(INDEX(tblJobs[End],4)-INDEX(tblJobs[Start],4)+1)*INDEX(tblJobs[Complete (%)],4),2,1),""))</f>
        <v/>
      </c>
      <c r="T10" s="46">
        <f>IF(OR($B$10="",$T$6=""),"",IF(AND($T$6&gt;=INDEX(tblJobs[Start],4),$T$6&lt;=INDEX(tblJobs[End],4)),IF($T$6&lt;INDEX(tblJobs[Start],4)+(INDEX(tblJobs[End],4)-INDEX(tblJobs[Start],4)+1)*INDEX(tblJobs[Complete (%)],4),2,1),""))</f>
        <v/>
      </c>
      <c r="U10" s="46">
        <f>IF(OR($B$10="",$U$6=""),"",IF(AND($U$6&gt;=INDEX(tblJobs[Start],4),$U$6&lt;=INDEX(tblJobs[End],4)),IF($U$6&lt;INDEX(tblJobs[Start],4)+(INDEX(tblJobs[End],4)-INDEX(tblJobs[Start],4)+1)*INDEX(tblJobs[Complete (%)],4),2,1),""))</f>
        <v/>
      </c>
      <c r="V10" s="46">
        <f>IF(OR($B$10="",$V$6=""),"",IF(AND($V$6&gt;=INDEX(tblJobs[Start],4),$V$6&lt;=INDEX(tblJobs[End],4)),IF($V$6&lt;INDEX(tblJobs[Start],4)+(INDEX(tblJobs[End],4)-INDEX(tblJobs[Start],4)+1)*INDEX(tblJobs[Complete (%)],4),2,1),""))</f>
        <v/>
      </c>
    </row>
    <row r="11" spans="1:22">
      <c r="B11" s="45" t="str">
        <f>IFERROR(IF(INDEX(tblJobs[Job],5)="","",INDEX(tblJobs[Job],5)&amp;" ("&amp;INDEX(tblJobs[Machine],5)&amp;")"),"")</f>
        <v>J-4102 (VMC-2)</v>
      </c>
      <c r="C11" s="46">
        <f>IF(OR($B$11="",$C$6=""),"",IF(AND($C$6&gt;=INDEX(tblJobs[Start],5),$C$6&lt;=INDEX(tblJobs[End],5)),IF($C$6&lt;INDEX(tblJobs[Start],5)+(INDEX(tblJobs[End],5)-INDEX(tblJobs[Start],5)+1)*INDEX(tblJobs[Complete (%)],5),2,1),""))</f>
        <v>2</v>
      </c>
      <c r="D11" s="46">
        <f>IF(OR($B$11="",$D$6=""),"",IF(AND($D$6&gt;=INDEX(tblJobs[Start],5),$D$6&lt;=INDEX(tblJobs[End],5)),IF($D$6&lt;INDEX(tblJobs[Start],5)+(INDEX(tblJobs[End],5)-INDEX(tblJobs[Start],5)+1)*INDEX(tblJobs[Complete (%)],5),2,1),""))</f>
        <v>2</v>
      </c>
      <c r="E11" s="46">
        <f>IF(OR($B$11="",$E$6=""),"",IF(AND($E$6&gt;=INDEX(tblJobs[Start],5),$E$6&lt;=INDEX(tblJobs[End],5)),IF($E$6&lt;INDEX(tblJobs[Start],5)+(INDEX(tblJobs[End],5)-INDEX(tblJobs[Start],5)+1)*INDEX(tblJobs[Complete (%)],5),2,1),""))</f>
        <v>2</v>
      </c>
      <c r="F11" s="46">
        <f>IF(OR($B$11="",$F$6=""),"",IF(AND($F$6&gt;=INDEX(tblJobs[Start],5),$F$6&lt;=INDEX(tblJobs[End],5)),IF($F$6&lt;INDEX(tblJobs[Start],5)+(INDEX(tblJobs[End],5)-INDEX(tblJobs[Start],5)+1)*INDEX(tblJobs[Complete (%)],5),2,1),""))</f>
        <v>2</v>
      </c>
      <c r="G11" s="46">
        <f>IF(OR($B$11="",$G$6=""),"",IF(AND($G$6&gt;=INDEX(tblJobs[Start],5),$G$6&lt;=INDEX(tblJobs[End],5)),IF($G$6&lt;INDEX(tblJobs[Start],5)+(INDEX(tblJobs[End],5)-INDEX(tblJobs[Start],5)+1)*INDEX(tblJobs[Complete (%)],5),2,1),""))</f>
        <v/>
      </c>
      <c r="H11" s="46">
        <f>IF(OR($B$11="",$H$6=""),"",IF(AND($H$6&gt;=INDEX(tblJobs[Start],5),$H$6&lt;=INDEX(tblJobs[End],5)),IF($H$6&lt;INDEX(tblJobs[Start],5)+(INDEX(tblJobs[End],5)-INDEX(tblJobs[Start],5)+1)*INDEX(tblJobs[Complete (%)],5),2,1),""))</f>
        <v/>
      </c>
      <c r="I11" s="46">
        <f>IF(OR($B$11="",$I$6=""),"",IF(AND($I$6&gt;=INDEX(tblJobs[Start],5),$I$6&lt;=INDEX(tblJobs[End],5)),IF($I$6&lt;INDEX(tblJobs[Start],5)+(INDEX(tblJobs[End],5)-INDEX(tblJobs[Start],5)+1)*INDEX(tblJobs[Complete (%)],5),2,1),""))</f>
        <v/>
      </c>
      <c r="J11" s="46">
        <f>IF(OR($B$11="",$J$6=""),"",IF(AND($J$6&gt;=INDEX(tblJobs[Start],5),$J$6&lt;=INDEX(tblJobs[End],5)),IF($J$6&lt;INDEX(tblJobs[Start],5)+(INDEX(tblJobs[End],5)-INDEX(tblJobs[Start],5)+1)*INDEX(tblJobs[Complete (%)],5),2,1),""))</f>
        <v/>
      </c>
      <c r="K11" s="46">
        <f>IF(OR($B$11="",$K$6=""),"",IF(AND($K$6&gt;=INDEX(tblJobs[Start],5),$K$6&lt;=INDEX(tblJobs[End],5)),IF($K$6&lt;INDEX(tblJobs[Start],5)+(INDEX(tblJobs[End],5)-INDEX(tblJobs[Start],5)+1)*INDEX(tblJobs[Complete (%)],5),2,1),""))</f>
        <v/>
      </c>
      <c r="L11" s="46">
        <f>IF(OR($B$11="",$L$6=""),"",IF(AND($L$6&gt;=INDEX(tblJobs[Start],5),$L$6&lt;=INDEX(tblJobs[End],5)),IF($L$6&lt;INDEX(tblJobs[Start],5)+(INDEX(tblJobs[End],5)-INDEX(tblJobs[Start],5)+1)*INDEX(tblJobs[Complete (%)],5),2,1),""))</f>
        <v/>
      </c>
      <c r="M11" s="46">
        <f>IF(OR($B$11="",$M$6=""),"",IF(AND($M$6&gt;=INDEX(tblJobs[Start],5),$M$6&lt;=INDEX(tblJobs[End],5)),IF($M$6&lt;INDEX(tblJobs[Start],5)+(INDEX(tblJobs[End],5)-INDEX(tblJobs[Start],5)+1)*INDEX(tblJobs[Complete (%)],5),2,1),""))</f>
        <v/>
      </c>
      <c r="N11" s="46">
        <f>IF(OR($B$11="",$N$6=""),"",IF(AND($N$6&gt;=INDEX(tblJobs[Start],5),$N$6&lt;=INDEX(tblJobs[End],5)),IF($N$6&lt;INDEX(tblJobs[Start],5)+(INDEX(tblJobs[End],5)-INDEX(tblJobs[Start],5)+1)*INDEX(tblJobs[Complete (%)],5),2,1),""))</f>
        <v/>
      </c>
      <c r="O11" s="46">
        <f>IF(OR($B$11="",$O$6=""),"",IF(AND($O$6&gt;=INDEX(tblJobs[Start],5),$O$6&lt;=INDEX(tblJobs[End],5)),IF($O$6&lt;INDEX(tblJobs[Start],5)+(INDEX(tblJobs[End],5)-INDEX(tblJobs[Start],5)+1)*INDEX(tblJobs[Complete (%)],5),2,1),""))</f>
        <v/>
      </c>
      <c r="P11" s="46">
        <f>IF(OR($B$11="",$P$6=""),"",IF(AND($P$6&gt;=INDEX(tblJobs[Start],5),$P$6&lt;=INDEX(tblJobs[End],5)),IF($P$6&lt;INDEX(tblJobs[Start],5)+(INDEX(tblJobs[End],5)-INDEX(tblJobs[Start],5)+1)*INDEX(tblJobs[Complete (%)],5),2,1),""))</f>
        <v/>
      </c>
      <c r="Q11" s="46">
        <f>IF(OR($B$11="",$Q$6=""),"",IF(AND($Q$6&gt;=INDEX(tblJobs[Start],5),$Q$6&lt;=INDEX(tblJobs[End],5)),IF($Q$6&lt;INDEX(tblJobs[Start],5)+(INDEX(tblJobs[End],5)-INDEX(tblJobs[Start],5)+1)*INDEX(tblJobs[Complete (%)],5),2,1),""))</f>
        <v/>
      </c>
      <c r="R11" s="46">
        <f>IF(OR($B$11="",$R$6=""),"",IF(AND($R$6&gt;=INDEX(tblJobs[Start],5),$R$6&lt;=INDEX(tblJobs[End],5)),IF($R$6&lt;INDEX(tblJobs[Start],5)+(INDEX(tblJobs[End],5)-INDEX(tblJobs[Start],5)+1)*INDEX(tblJobs[Complete (%)],5),2,1),""))</f>
        <v/>
      </c>
      <c r="S11" s="46">
        <f>IF(OR($B$11="",$S$6=""),"",IF(AND($S$6&gt;=INDEX(tblJobs[Start],5),$S$6&lt;=INDEX(tblJobs[End],5)),IF($S$6&lt;INDEX(tblJobs[Start],5)+(INDEX(tblJobs[End],5)-INDEX(tblJobs[Start],5)+1)*INDEX(tblJobs[Complete (%)],5),2,1),""))</f>
        <v/>
      </c>
      <c r="T11" s="46">
        <f>IF(OR($B$11="",$T$6=""),"",IF(AND($T$6&gt;=INDEX(tblJobs[Start],5),$T$6&lt;=INDEX(tblJobs[End],5)),IF($T$6&lt;INDEX(tblJobs[Start],5)+(INDEX(tblJobs[End],5)-INDEX(tblJobs[Start],5)+1)*INDEX(tblJobs[Complete (%)],5),2,1),""))</f>
        <v/>
      </c>
      <c r="U11" s="46">
        <f>IF(OR($B$11="",$U$6=""),"",IF(AND($U$6&gt;=INDEX(tblJobs[Start],5),$U$6&lt;=INDEX(tblJobs[End],5)),IF($U$6&lt;INDEX(tblJobs[Start],5)+(INDEX(tblJobs[End],5)-INDEX(tblJobs[Start],5)+1)*INDEX(tblJobs[Complete (%)],5),2,1),""))</f>
        <v/>
      </c>
      <c r="V11" s="46">
        <f>IF(OR($B$11="",$V$6=""),"",IF(AND($V$6&gt;=INDEX(tblJobs[Start],5),$V$6&lt;=INDEX(tblJobs[End],5)),IF($V$6&lt;INDEX(tblJobs[Start],5)+(INDEX(tblJobs[End],5)-INDEX(tblJobs[Start],5)+1)*INDEX(tblJobs[Complete (%)],5),2,1),""))</f>
        <v/>
      </c>
    </row>
    <row r="12" spans="1:22">
      <c r="B12" s="45" t="str">
        <f>IFERROR(IF(INDEX(tblJobs[Job],6)="","",INDEX(tblJobs[Job],6)&amp;" ("&amp;INDEX(tblJobs[Machine],6)&amp;")"),"")</f>
        <v>J-4106 (VMC-2)</v>
      </c>
      <c r="C12" s="46">
        <f>IF(OR($B$12="",$C$6=""),"",IF(AND($C$6&gt;=INDEX(tblJobs[Start],6),$C$6&lt;=INDEX(tblJobs[End],6)),IF($C$6&lt;INDEX(tblJobs[Start],6)+(INDEX(tblJobs[End],6)-INDEX(tblJobs[Start],6)+1)*INDEX(tblJobs[Complete (%)],6),2,1),""))</f>
        <v/>
      </c>
      <c r="D12" s="46">
        <f>IF(OR($B$12="",$D$6=""),"",IF(AND($D$6&gt;=INDEX(tblJobs[Start],6),$D$6&lt;=INDEX(tblJobs[End],6)),IF($D$6&lt;INDEX(tblJobs[Start],6)+(INDEX(tblJobs[End],6)-INDEX(tblJobs[Start],6)+1)*INDEX(tblJobs[Complete (%)],6),2,1),""))</f>
        <v/>
      </c>
      <c r="E12" s="46">
        <f>IF(OR($B$12="",$E$6=""),"",IF(AND($E$6&gt;=INDEX(tblJobs[Start],6),$E$6&lt;=INDEX(tblJobs[End],6)),IF($E$6&lt;INDEX(tblJobs[Start],6)+(INDEX(tblJobs[End],6)-INDEX(tblJobs[Start],6)+1)*INDEX(tblJobs[Complete (%)],6),2,1),""))</f>
        <v/>
      </c>
      <c r="F12" s="46">
        <f>IF(OR($B$12="",$F$6=""),"",IF(AND($F$6&gt;=INDEX(tblJobs[Start],6),$F$6&lt;=INDEX(tblJobs[End],6)),IF($F$6&lt;INDEX(tblJobs[Start],6)+(INDEX(tblJobs[End],6)-INDEX(tblJobs[Start],6)+1)*INDEX(tblJobs[Complete (%)],6),2,1),""))</f>
        <v/>
      </c>
      <c r="G12" s="46">
        <f>IF(OR($B$12="",$G$6=""),"",IF(AND($G$6&gt;=INDEX(tblJobs[Start],6),$G$6&lt;=INDEX(tblJobs[End],6)),IF($G$6&lt;INDEX(tblJobs[Start],6)+(INDEX(tblJobs[End],6)-INDEX(tblJobs[Start],6)+1)*INDEX(tblJobs[Complete (%)],6),2,1),""))</f>
        <v>2</v>
      </c>
      <c r="H12" s="46">
        <f>IF(OR($B$12="",$H$6=""),"",IF(AND($H$6&gt;=INDEX(tblJobs[Start],6),$H$6&lt;=INDEX(tblJobs[End],6)),IF($H$6&lt;INDEX(tblJobs[Start],6)+(INDEX(tblJobs[End],6)-INDEX(tblJobs[Start],6)+1)*INDEX(tblJobs[Complete (%)],6),2,1),""))</f>
        <v>2</v>
      </c>
      <c r="I12" s="46">
        <f>IF(OR($B$12="",$I$6=""),"",IF(AND($I$6&gt;=INDEX(tblJobs[Start],6),$I$6&lt;=INDEX(tblJobs[End],6)),IF($I$6&lt;INDEX(tblJobs[Start],6)+(INDEX(tblJobs[End],6)-INDEX(tblJobs[Start],6)+1)*INDEX(tblJobs[Complete (%)],6),2,1),""))</f>
        <v>2</v>
      </c>
      <c r="J12" s="46">
        <f>IF(OR($B$12="",$J$6=""),"",IF(AND($J$6&gt;=INDEX(tblJobs[Start],6),$J$6&lt;=INDEX(tblJobs[End],6)),IF($J$6&lt;INDEX(tblJobs[Start],6)+(INDEX(tblJobs[End],6)-INDEX(tblJobs[Start],6)+1)*INDEX(tblJobs[Complete (%)],6),2,1),""))</f>
        <v>1</v>
      </c>
      <c r="K12" s="46">
        <f>IF(OR($B$12="",$K$6=""),"",IF(AND($K$6&gt;=INDEX(tblJobs[Start],6),$K$6&lt;=INDEX(tblJobs[End],6)),IF($K$6&lt;INDEX(tblJobs[Start],6)+(INDEX(tblJobs[End],6)-INDEX(tblJobs[Start],6)+1)*INDEX(tblJobs[Complete (%)],6),2,1),""))</f>
        <v/>
      </c>
      <c r="L12" s="46">
        <f>IF(OR($B$12="",$L$6=""),"",IF(AND($L$6&gt;=INDEX(tblJobs[Start],6),$L$6&lt;=INDEX(tblJobs[End],6)),IF($L$6&lt;INDEX(tblJobs[Start],6)+(INDEX(tblJobs[End],6)-INDEX(tblJobs[Start],6)+1)*INDEX(tblJobs[Complete (%)],6),2,1),""))</f>
        <v/>
      </c>
      <c r="M12" s="46">
        <f>IF(OR($B$12="",$M$6=""),"",IF(AND($M$6&gt;=INDEX(tblJobs[Start],6),$M$6&lt;=INDEX(tblJobs[End],6)),IF($M$6&lt;INDEX(tblJobs[Start],6)+(INDEX(tblJobs[End],6)-INDEX(tblJobs[Start],6)+1)*INDEX(tblJobs[Complete (%)],6),2,1),""))</f>
        <v/>
      </c>
      <c r="N12" s="46">
        <f>IF(OR($B$12="",$N$6=""),"",IF(AND($N$6&gt;=INDEX(tblJobs[Start],6),$N$6&lt;=INDEX(tblJobs[End],6)),IF($N$6&lt;INDEX(tblJobs[Start],6)+(INDEX(tblJobs[End],6)-INDEX(tblJobs[Start],6)+1)*INDEX(tblJobs[Complete (%)],6),2,1),""))</f>
        <v/>
      </c>
      <c r="O12" s="46">
        <f>IF(OR($B$12="",$O$6=""),"",IF(AND($O$6&gt;=INDEX(tblJobs[Start],6),$O$6&lt;=INDEX(tblJobs[End],6)),IF($O$6&lt;INDEX(tblJobs[Start],6)+(INDEX(tblJobs[End],6)-INDEX(tblJobs[Start],6)+1)*INDEX(tblJobs[Complete (%)],6),2,1),""))</f>
        <v/>
      </c>
      <c r="P12" s="46">
        <f>IF(OR($B$12="",$P$6=""),"",IF(AND($P$6&gt;=INDEX(tblJobs[Start],6),$P$6&lt;=INDEX(tblJobs[End],6)),IF($P$6&lt;INDEX(tblJobs[Start],6)+(INDEX(tblJobs[End],6)-INDEX(tblJobs[Start],6)+1)*INDEX(tblJobs[Complete (%)],6),2,1),""))</f>
        <v/>
      </c>
      <c r="Q12" s="46">
        <f>IF(OR($B$12="",$Q$6=""),"",IF(AND($Q$6&gt;=INDEX(tblJobs[Start],6),$Q$6&lt;=INDEX(tblJobs[End],6)),IF($Q$6&lt;INDEX(tblJobs[Start],6)+(INDEX(tblJobs[End],6)-INDEX(tblJobs[Start],6)+1)*INDEX(tblJobs[Complete (%)],6),2,1),""))</f>
        <v/>
      </c>
      <c r="R12" s="46">
        <f>IF(OR($B$12="",$R$6=""),"",IF(AND($R$6&gt;=INDEX(tblJobs[Start],6),$R$6&lt;=INDEX(tblJobs[End],6)),IF($R$6&lt;INDEX(tblJobs[Start],6)+(INDEX(tblJobs[End],6)-INDEX(tblJobs[Start],6)+1)*INDEX(tblJobs[Complete (%)],6),2,1),""))</f>
        <v/>
      </c>
      <c r="S12" s="46">
        <f>IF(OR($B$12="",$S$6=""),"",IF(AND($S$6&gt;=INDEX(tblJobs[Start],6),$S$6&lt;=INDEX(tblJobs[End],6)),IF($S$6&lt;INDEX(tblJobs[Start],6)+(INDEX(tblJobs[End],6)-INDEX(tblJobs[Start],6)+1)*INDEX(tblJobs[Complete (%)],6),2,1),""))</f>
        <v/>
      </c>
      <c r="T12" s="46">
        <f>IF(OR($B$12="",$T$6=""),"",IF(AND($T$6&gt;=INDEX(tblJobs[Start],6),$T$6&lt;=INDEX(tblJobs[End],6)),IF($T$6&lt;INDEX(tblJobs[Start],6)+(INDEX(tblJobs[End],6)-INDEX(tblJobs[Start],6)+1)*INDEX(tblJobs[Complete (%)],6),2,1),""))</f>
        <v/>
      </c>
      <c r="U12" s="46">
        <f>IF(OR($B$12="",$U$6=""),"",IF(AND($U$6&gt;=INDEX(tblJobs[Start],6),$U$6&lt;=INDEX(tblJobs[End],6)),IF($U$6&lt;INDEX(tblJobs[Start],6)+(INDEX(tblJobs[End],6)-INDEX(tblJobs[Start],6)+1)*INDEX(tblJobs[Complete (%)],6),2,1),""))</f>
        <v/>
      </c>
      <c r="V12" s="46">
        <f>IF(OR($B$12="",$V$6=""),"",IF(AND($V$6&gt;=INDEX(tblJobs[Start],6),$V$6&lt;=INDEX(tblJobs[End],6)),IF($V$6&lt;INDEX(tblJobs[Start],6)+(INDEX(tblJobs[End],6)-INDEX(tblJobs[Start],6)+1)*INDEX(tblJobs[Complete (%)],6),2,1),""))</f>
        <v/>
      </c>
    </row>
    <row r="13" spans="1:22">
      <c r="B13" s="45" t="str">
        <f>IFERROR(IF(INDEX(tblJobs[Job],7)="","",INDEX(tblJobs[Job],7)&amp;" ("&amp;INDEX(tblJobs[Machine],7)&amp;")"),"")</f>
        <v>J-4110 (VMC-2)</v>
      </c>
      <c r="C13" s="46">
        <f>IF(OR($B$13="",$C$6=""),"",IF(AND($C$6&gt;=INDEX(tblJobs[Start],7),$C$6&lt;=INDEX(tblJobs[End],7)),IF($C$6&lt;INDEX(tblJobs[Start],7)+(INDEX(tblJobs[End],7)-INDEX(tblJobs[Start],7)+1)*INDEX(tblJobs[Complete (%)],7),2,1),""))</f>
        <v/>
      </c>
      <c r="D13" s="46">
        <f>IF(OR($B$13="",$D$6=""),"",IF(AND($D$6&gt;=INDEX(tblJobs[Start],7),$D$6&lt;=INDEX(tblJobs[End],7)),IF($D$6&lt;INDEX(tblJobs[Start],7)+(INDEX(tblJobs[End],7)-INDEX(tblJobs[Start],7)+1)*INDEX(tblJobs[Complete (%)],7),2,1),""))</f>
        <v/>
      </c>
      <c r="E13" s="46">
        <f>IF(OR($B$13="",$E$6=""),"",IF(AND($E$6&gt;=INDEX(tblJobs[Start],7),$E$6&lt;=INDEX(tblJobs[End],7)),IF($E$6&lt;INDEX(tblJobs[Start],7)+(INDEX(tblJobs[End],7)-INDEX(tblJobs[Start],7)+1)*INDEX(tblJobs[Complete (%)],7),2,1),""))</f>
        <v/>
      </c>
      <c r="F13" s="46">
        <f>IF(OR($B$13="",$F$6=""),"",IF(AND($F$6&gt;=INDEX(tblJobs[Start],7),$F$6&lt;=INDEX(tblJobs[End],7)),IF($F$6&lt;INDEX(tblJobs[Start],7)+(INDEX(tblJobs[End],7)-INDEX(tblJobs[Start],7)+1)*INDEX(tblJobs[Complete (%)],7),2,1),""))</f>
        <v/>
      </c>
      <c r="G13" s="46">
        <f>IF(OR($B$13="",$G$6=""),"",IF(AND($G$6&gt;=INDEX(tblJobs[Start],7),$G$6&lt;=INDEX(tblJobs[End],7)),IF($G$6&lt;INDEX(tblJobs[Start],7)+(INDEX(tblJobs[End],7)-INDEX(tblJobs[Start],7)+1)*INDEX(tblJobs[Complete (%)],7),2,1),""))</f>
        <v/>
      </c>
      <c r="H13" s="46">
        <f>IF(OR($B$13="",$H$6=""),"",IF(AND($H$6&gt;=INDEX(tblJobs[Start],7),$H$6&lt;=INDEX(tblJobs[End],7)),IF($H$6&lt;INDEX(tblJobs[Start],7)+(INDEX(tblJobs[End],7)-INDEX(tblJobs[Start],7)+1)*INDEX(tblJobs[Complete (%)],7),2,1),""))</f>
        <v/>
      </c>
      <c r="I13" s="46">
        <f>IF(OR($B$13="",$I$6=""),"",IF(AND($I$6&gt;=INDEX(tblJobs[Start],7),$I$6&lt;=INDEX(tblJobs[End],7)),IF($I$6&lt;INDEX(tblJobs[Start],7)+(INDEX(tblJobs[End],7)-INDEX(tblJobs[Start],7)+1)*INDEX(tblJobs[Complete (%)],7),2,1),""))</f>
        <v/>
      </c>
      <c r="J13" s="46">
        <f>IF(OR($B$13="",$J$6=""),"",IF(AND($J$6&gt;=INDEX(tblJobs[Start],7),$J$6&lt;=INDEX(tblJobs[End],7)),IF($J$6&lt;INDEX(tblJobs[Start],7)+(INDEX(tblJobs[End],7)-INDEX(tblJobs[Start],7)+1)*INDEX(tblJobs[Complete (%)],7),2,1),""))</f>
        <v/>
      </c>
      <c r="K13" s="46">
        <f>IF(OR($B$13="",$K$6=""),"",IF(AND($K$6&gt;=INDEX(tblJobs[Start],7),$K$6&lt;=INDEX(tblJobs[End],7)),IF($K$6&lt;INDEX(tblJobs[Start],7)+(INDEX(tblJobs[End],7)-INDEX(tblJobs[Start],7)+1)*INDEX(tblJobs[Complete (%)],7),2,1),""))</f>
        <v>1</v>
      </c>
      <c r="L13" s="46">
        <f>IF(OR($B$13="",$L$6=""),"",IF(AND($L$6&gt;=INDEX(tblJobs[Start],7),$L$6&lt;=INDEX(tblJobs[End],7)),IF($L$6&lt;INDEX(tblJobs[Start],7)+(INDEX(tblJobs[End],7)-INDEX(tblJobs[Start],7)+1)*INDEX(tblJobs[Complete (%)],7),2,1),""))</f>
        <v>1</v>
      </c>
      <c r="M13" s="46">
        <f>IF(OR($B$13="",$M$6=""),"",IF(AND($M$6&gt;=INDEX(tblJobs[Start],7),$M$6&lt;=INDEX(tblJobs[End],7)),IF($M$6&lt;INDEX(tblJobs[Start],7)+(INDEX(tblJobs[End],7)-INDEX(tblJobs[Start],7)+1)*INDEX(tblJobs[Complete (%)],7),2,1),""))</f>
        <v>1</v>
      </c>
      <c r="N13" s="46">
        <f>IF(OR($B$13="",$N$6=""),"",IF(AND($N$6&gt;=INDEX(tblJobs[Start],7),$N$6&lt;=INDEX(tblJobs[End],7)),IF($N$6&lt;INDEX(tblJobs[Start],7)+(INDEX(tblJobs[End],7)-INDEX(tblJobs[Start],7)+1)*INDEX(tblJobs[Complete (%)],7),2,1),""))</f>
        <v>1</v>
      </c>
      <c r="O13" s="46">
        <f>IF(OR($B$13="",$O$6=""),"",IF(AND($O$6&gt;=INDEX(tblJobs[Start],7),$O$6&lt;=INDEX(tblJobs[End],7)),IF($O$6&lt;INDEX(tblJobs[Start],7)+(INDEX(tblJobs[End],7)-INDEX(tblJobs[Start],7)+1)*INDEX(tblJobs[Complete (%)],7),2,1),""))</f>
        <v/>
      </c>
      <c r="P13" s="46">
        <f>IF(OR($B$13="",$P$6=""),"",IF(AND($P$6&gt;=INDEX(tblJobs[Start],7),$P$6&lt;=INDEX(tblJobs[End],7)),IF($P$6&lt;INDEX(tblJobs[Start],7)+(INDEX(tblJobs[End],7)-INDEX(tblJobs[Start],7)+1)*INDEX(tblJobs[Complete (%)],7),2,1),""))</f>
        <v/>
      </c>
      <c r="Q13" s="46">
        <f>IF(OR($B$13="",$Q$6=""),"",IF(AND($Q$6&gt;=INDEX(tblJobs[Start],7),$Q$6&lt;=INDEX(tblJobs[End],7)),IF($Q$6&lt;INDEX(tblJobs[Start],7)+(INDEX(tblJobs[End],7)-INDEX(tblJobs[Start],7)+1)*INDEX(tblJobs[Complete (%)],7),2,1),""))</f>
        <v/>
      </c>
      <c r="R13" s="46">
        <f>IF(OR($B$13="",$R$6=""),"",IF(AND($R$6&gt;=INDEX(tblJobs[Start],7),$R$6&lt;=INDEX(tblJobs[End],7)),IF($R$6&lt;INDEX(tblJobs[Start],7)+(INDEX(tblJobs[End],7)-INDEX(tblJobs[Start],7)+1)*INDEX(tblJobs[Complete (%)],7),2,1),""))</f>
        <v/>
      </c>
      <c r="S13" s="46">
        <f>IF(OR($B$13="",$S$6=""),"",IF(AND($S$6&gt;=INDEX(tblJobs[Start],7),$S$6&lt;=INDEX(tblJobs[End],7)),IF($S$6&lt;INDEX(tblJobs[Start],7)+(INDEX(tblJobs[End],7)-INDEX(tblJobs[Start],7)+1)*INDEX(tblJobs[Complete (%)],7),2,1),""))</f>
        <v/>
      </c>
      <c r="T13" s="46">
        <f>IF(OR($B$13="",$T$6=""),"",IF(AND($T$6&gt;=INDEX(tblJobs[Start],7),$T$6&lt;=INDEX(tblJobs[End],7)),IF($T$6&lt;INDEX(tblJobs[Start],7)+(INDEX(tblJobs[End],7)-INDEX(tblJobs[Start],7)+1)*INDEX(tblJobs[Complete (%)],7),2,1),""))</f>
        <v/>
      </c>
      <c r="U13" s="46">
        <f>IF(OR($B$13="",$U$6=""),"",IF(AND($U$6&gt;=INDEX(tblJobs[Start],7),$U$6&lt;=INDEX(tblJobs[End],7)),IF($U$6&lt;INDEX(tblJobs[Start],7)+(INDEX(tblJobs[End],7)-INDEX(tblJobs[Start],7)+1)*INDEX(tblJobs[Complete (%)],7),2,1),""))</f>
        <v/>
      </c>
      <c r="V13" s="46">
        <f>IF(OR($B$13="",$V$6=""),"",IF(AND($V$6&gt;=INDEX(tblJobs[Start],7),$V$6&lt;=INDEX(tblJobs[End],7)),IF($V$6&lt;INDEX(tblJobs[Start],7)+(INDEX(tblJobs[End],7)-INDEX(tblJobs[Start],7)+1)*INDEX(tblJobs[Complete (%)],7),2,1),""))</f>
        <v/>
      </c>
    </row>
    <row r="14" spans="1:22">
      <c r="B14" s="45" t="str">
        <f>IFERROR(IF(INDEX(tblJobs[Job],8)="","",INDEX(tblJobs[Job],8)&amp;" ("&amp;INDEX(tblJobs[Machine],8)&amp;")"),"")</f>
        <v>J-4114 (VMC-2)</v>
      </c>
      <c r="C14" s="46">
        <f>IF(OR($B$14="",$C$6=""),"",IF(AND($C$6&gt;=INDEX(tblJobs[Start],8),$C$6&lt;=INDEX(tblJobs[End],8)),IF($C$6&lt;INDEX(tblJobs[Start],8)+(INDEX(tblJobs[End],8)-INDEX(tblJobs[Start],8)+1)*INDEX(tblJobs[Complete (%)],8),2,1),""))</f>
        <v/>
      </c>
      <c r="D14" s="46">
        <f>IF(OR($B$14="",$D$6=""),"",IF(AND($D$6&gt;=INDEX(tblJobs[Start],8),$D$6&lt;=INDEX(tblJobs[End],8)),IF($D$6&lt;INDEX(tblJobs[Start],8)+(INDEX(tblJobs[End],8)-INDEX(tblJobs[Start],8)+1)*INDEX(tblJobs[Complete (%)],8),2,1),""))</f>
        <v/>
      </c>
      <c r="E14" s="46">
        <f>IF(OR($B$14="",$E$6=""),"",IF(AND($E$6&gt;=INDEX(tblJobs[Start],8),$E$6&lt;=INDEX(tblJobs[End],8)),IF($E$6&lt;INDEX(tblJobs[Start],8)+(INDEX(tblJobs[End],8)-INDEX(tblJobs[Start],8)+1)*INDEX(tblJobs[Complete (%)],8),2,1),""))</f>
        <v/>
      </c>
      <c r="F14" s="46">
        <f>IF(OR($B$14="",$F$6=""),"",IF(AND($F$6&gt;=INDEX(tblJobs[Start],8),$F$6&lt;=INDEX(tblJobs[End],8)),IF($F$6&lt;INDEX(tblJobs[Start],8)+(INDEX(tblJobs[End],8)-INDEX(tblJobs[Start],8)+1)*INDEX(tblJobs[Complete (%)],8),2,1),""))</f>
        <v/>
      </c>
      <c r="G14" s="46">
        <f>IF(OR($B$14="",$G$6=""),"",IF(AND($G$6&gt;=INDEX(tblJobs[Start],8),$G$6&lt;=INDEX(tblJobs[End],8)),IF($G$6&lt;INDEX(tblJobs[Start],8)+(INDEX(tblJobs[End],8)-INDEX(tblJobs[Start],8)+1)*INDEX(tblJobs[Complete (%)],8),2,1),""))</f>
        <v/>
      </c>
      <c r="H14" s="46">
        <f>IF(OR($B$14="",$H$6=""),"",IF(AND($H$6&gt;=INDEX(tblJobs[Start],8),$H$6&lt;=INDEX(tblJobs[End],8)),IF($H$6&lt;INDEX(tblJobs[Start],8)+(INDEX(tblJobs[End],8)-INDEX(tblJobs[Start],8)+1)*INDEX(tblJobs[Complete (%)],8),2,1),""))</f>
        <v/>
      </c>
      <c r="I14" s="46">
        <f>IF(OR($B$14="",$I$6=""),"",IF(AND($I$6&gt;=INDEX(tblJobs[Start],8),$I$6&lt;=INDEX(tblJobs[End],8)),IF($I$6&lt;INDEX(tblJobs[Start],8)+(INDEX(tblJobs[End],8)-INDEX(tblJobs[Start],8)+1)*INDEX(tblJobs[Complete (%)],8),2,1),""))</f>
        <v/>
      </c>
      <c r="J14" s="46">
        <f>IF(OR($B$14="",$J$6=""),"",IF(AND($J$6&gt;=INDEX(tblJobs[Start],8),$J$6&lt;=INDEX(tblJobs[End],8)),IF($J$6&lt;INDEX(tblJobs[Start],8)+(INDEX(tblJobs[End],8)-INDEX(tblJobs[Start],8)+1)*INDEX(tblJobs[Complete (%)],8),2,1),""))</f>
        <v/>
      </c>
      <c r="K14" s="46">
        <f>IF(OR($B$14="",$K$6=""),"",IF(AND($K$6&gt;=INDEX(tblJobs[Start],8),$K$6&lt;=INDEX(tblJobs[End],8)),IF($K$6&lt;INDEX(tblJobs[Start],8)+(INDEX(tblJobs[End],8)-INDEX(tblJobs[Start],8)+1)*INDEX(tblJobs[Complete (%)],8),2,1),""))</f>
        <v/>
      </c>
      <c r="L14" s="46">
        <f>IF(OR($B$14="",$L$6=""),"",IF(AND($L$6&gt;=INDEX(tblJobs[Start],8),$L$6&lt;=INDEX(tblJobs[End],8)),IF($L$6&lt;INDEX(tblJobs[Start],8)+(INDEX(tblJobs[End],8)-INDEX(tblJobs[Start],8)+1)*INDEX(tblJobs[Complete (%)],8),2,1),""))</f>
        <v/>
      </c>
      <c r="M14" s="46">
        <f>IF(OR($B$14="",$M$6=""),"",IF(AND($M$6&gt;=INDEX(tblJobs[Start],8),$M$6&lt;=INDEX(tblJobs[End],8)),IF($M$6&lt;INDEX(tblJobs[Start],8)+(INDEX(tblJobs[End],8)-INDEX(tblJobs[Start],8)+1)*INDEX(tblJobs[Complete (%)],8),2,1),""))</f>
        <v/>
      </c>
      <c r="N14" s="46">
        <f>IF(OR($B$14="",$N$6=""),"",IF(AND($N$6&gt;=INDEX(tblJobs[Start],8),$N$6&lt;=INDEX(tblJobs[End],8)),IF($N$6&lt;INDEX(tblJobs[Start],8)+(INDEX(tblJobs[End],8)-INDEX(tblJobs[Start],8)+1)*INDEX(tblJobs[Complete (%)],8),2,1),""))</f>
        <v/>
      </c>
      <c r="O14" s="46">
        <f>IF(OR($B$14="",$O$6=""),"",IF(AND($O$6&gt;=INDEX(tblJobs[Start],8),$O$6&lt;=INDEX(tblJobs[End],8)),IF($O$6&lt;INDEX(tblJobs[Start],8)+(INDEX(tblJobs[End],8)-INDEX(tblJobs[Start],8)+1)*INDEX(tblJobs[Complete (%)],8),2,1),""))</f>
        <v>1</v>
      </c>
      <c r="P14" s="46">
        <f>IF(OR($B$14="",$P$6=""),"",IF(AND($P$6&gt;=INDEX(tblJobs[Start],8),$P$6&lt;=INDEX(tblJobs[End],8)),IF($P$6&lt;INDEX(tblJobs[Start],8)+(INDEX(tblJobs[End],8)-INDEX(tblJobs[Start],8)+1)*INDEX(tblJobs[Complete (%)],8),2,1),""))</f>
        <v>1</v>
      </c>
      <c r="Q14" s="46">
        <f>IF(OR($B$14="",$Q$6=""),"",IF(AND($Q$6&gt;=INDEX(tblJobs[Start],8),$Q$6&lt;=INDEX(tblJobs[End],8)),IF($Q$6&lt;INDEX(tblJobs[Start],8)+(INDEX(tblJobs[End],8)-INDEX(tblJobs[Start],8)+1)*INDEX(tblJobs[Complete (%)],8),2,1),""))</f>
        <v>1</v>
      </c>
      <c r="R14" s="46">
        <f>IF(OR($B$14="",$R$6=""),"",IF(AND($R$6&gt;=INDEX(tblJobs[Start],8),$R$6&lt;=INDEX(tblJobs[End],8)),IF($R$6&lt;INDEX(tblJobs[Start],8)+(INDEX(tblJobs[End],8)-INDEX(tblJobs[Start],8)+1)*INDEX(tblJobs[Complete (%)],8),2,1),""))</f>
        <v/>
      </c>
      <c r="S14" s="46">
        <f>IF(OR($B$14="",$S$6=""),"",IF(AND($S$6&gt;=INDEX(tblJobs[Start],8),$S$6&lt;=INDEX(tblJobs[End],8)),IF($S$6&lt;INDEX(tblJobs[Start],8)+(INDEX(tblJobs[End],8)-INDEX(tblJobs[Start],8)+1)*INDEX(tblJobs[Complete (%)],8),2,1),""))</f>
        <v/>
      </c>
      <c r="T14" s="46">
        <f>IF(OR($B$14="",$T$6=""),"",IF(AND($T$6&gt;=INDEX(tblJobs[Start],8),$T$6&lt;=INDEX(tblJobs[End],8)),IF($T$6&lt;INDEX(tblJobs[Start],8)+(INDEX(tblJobs[End],8)-INDEX(tblJobs[Start],8)+1)*INDEX(tblJobs[Complete (%)],8),2,1),""))</f>
        <v/>
      </c>
      <c r="U14" s="46">
        <f>IF(OR($B$14="",$U$6=""),"",IF(AND($U$6&gt;=INDEX(tblJobs[Start],8),$U$6&lt;=INDEX(tblJobs[End],8)),IF($U$6&lt;INDEX(tblJobs[Start],8)+(INDEX(tblJobs[End],8)-INDEX(tblJobs[Start],8)+1)*INDEX(tblJobs[Complete (%)],8),2,1),""))</f>
        <v/>
      </c>
      <c r="V14" s="46">
        <f>IF(OR($B$14="",$V$6=""),"",IF(AND($V$6&gt;=INDEX(tblJobs[Start],8),$V$6&lt;=INDEX(tblJobs[End],8)),IF($V$6&lt;INDEX(tblJobs[Start],8)+(INDEX(tblJobs[End],8)-INDEX(tblJobs[Start],8)+1)*INDEX(tblJobs[Complete (%)],8),2,1),""))</f>
        <v/>
      </c>
    </row>
    <row r="15" spans="1:22">
      <c r="B15" s="45" t="str">
        <f>IFERROR(IF(INDEX(tblJobs[Job],9)="","",INDEX(tblJobs[Job],9)&amp;" ("&amp;INDEX(tblJobs[Machine],9)&amp;")"),"")</f>
        <v>J-4103 (HMC-1)</v>
      </c>
      <c r="C15" s="46">
        <f>IF(OR($B$15="",$C$6=""),"",IF(AND($C$6&gt;=INDEX(tblJobs[Start],9),$C$6&lt;=INDEX(tblJobs[End],9)),IF($C$6&lt;INDEX(tblJobs[Start],9)+(INDEX(tblJobs[End],9)-INDEX(tblJobs[Start],9)+1)*INDEX(tblJobs[Complete (%)],9),2,1),""))</f>
        <v>2</v>
      </c>
      <c r="D15" s="46">
        <f>IF(OR($B$15="",$D$6=""),"",IF(AND($D$6&gt;=INDEX(tblJobs[Start],9),$D$6&lt;=INDEX(tblJobs[End],9)),IF($D$6&lt;INDEX(tblJobs[Start],9)+(INDEX(tblJobs[End],9)-INDEX(tblJobs[Start],9)+1)*INDEX(tblJobs[Complete (%)],9),2,1),""))</f>
        <v>2</v>
      </c>
      <c r="E15" s="46">
        <f>IF(OR($B$15="",$E$6=""),"",IF(AND($E$6&gt;=INDEX(tblJobs[Start],9),$E$6&lt;=INDEX(tblJobs[End],9)),IF($E$6&lt;INDEX(tblJobs[Start],9)+(INDEX(tblJobs[End],9)-INDEX(tblJobs[Start],9)+1)*INDEX(tblJobs[Complete (%)],9),2,1),""))</f>
        <v>2</v>
      </c>
      <c r="F15" s="46">
        <f>IF(OR($B$15="",$F$6=""),"",IF(AND($F$6&gt;=INDEX(tblJobs[Start],9),$F$6&lt;=INDEX(tblJobs[End],9)),IF($F$6&lt;INDEX(tblJobs[Start],9)+(INDEX(tblJobs[End],9)-INDEX(tblJobs[Start],9)+1)*INDEX(tblJobs[Complete (%)],9),2,1),""))</f>
        <v>2</v>
      </c>
      <c r="G15" s="46">
        <f>IF(OR($B$15="",$G$6=""),"",IF(AND($G$6&gt;=INDEX(tblJobs[Start],9),$G$6&lt;=INDEX(tblJobs[End],9)),IF($G$6&lt;INDEX(tblJobs[Start],9)+(INDEX(tblJobs[End],9)-INDEX(tblJobs[Start],9)+1)*INDEX(tblJobs[Complete (%)],9),2,1),""))</f>
        <v>2</v>
      </c>
      <c r="H15" s="46">
        <f>IF(OR($B$15="",$H$6=""),"",IF(AND($H$6&gt;=INDEX(tblJobs[Start],9),$H$6&lt;=INDEX(tblJobs[End],9)),IF($H$6&lt;INDEX(tblJobs[Start],9)+(INDEX(tblJobs[End],9)-INDEX(tblJobs[Start],9)+1)*INDEX(tblJobs[Complete (%)],9),2,1),""))</f>
        <v/>
      </c>
      <c r="I15" s="46">
        <f>IF(OR($B$15="",$I$6=""),"",IF(AND($I$6&gt;=INDEX(tblJobs[Start],9),$I$6&lt;=INDEX(tblJobs[End],9)),IF($I$6&lt;INDEX(tblJobs[Start],9)+(INDEX(tblJobs[End],9)-INDEX(tblJobs[Start],9)+1)*INDEX(tblJobs[Complete (%)],9),2,1),""))</f>
        <v/>
      </c>
      <c r="J15" s="46">
        <f>IF(OR($B$15="",$J$6=""),"",IF(AND($J$6&gt;=INDEX(tblJobs[Start],9),$J$6&lt;=INDEX(tblJobs[End],9)),IF($J$6&lt;INDEX(tblJobs[Start],9)+(INDEX(tblJobs[End],9)-INDEX(tblJobs[Start],9)+1)*INDEX(tblJobs[Complete (%)],9),2,1),""))</f>
        <v/>
      </c>
      <c r="K15" s="46">
        <f>IF(OR($B$15="",$K$6=""),"",IF(AND($K$6&gt;=INDEX(tblJobs[Start],9),$K$6&lt;=INDEX(tblJobs[End],9)),IF($K$6&lt;INDEX(tblJobs[Start],9)+(INDEX(tblJobs[End],9)-INDEX(tblJobs[Start],9)+1)*INDEX(tblJobs[Complete (%)],9),2,1),""))</f>
        <v/>
      </c>
      <c r="L15" s="46">
        <f>IF(OR($B$15="",$L$6=""),"",IF(AND($L$6&gt;=INDEX(tblJobs[Start],9),$L$6&lt;=INDEX(tblJobs[End],9)),IF($L$6&lt;INDEX(tblJobs[Start],9)+(INDEX(tblJobs[End],9)-INDEX(tblJobs[Start],9)+1)*INDEX(tblJobs[Complete (%)],9),2,1),""))</f>
        <v/>
      </c>
      <c r="M15" s="46">
        <f>IF(OR($B$15="",$M$6=""),"",IF(AND($M$6&gt;=INDEX(tblJobs[Start],9),$M$6&lt;=INDEX(tblJobs[End],9)),IF($M$6&lt;INDEX(tblJobs[Start],9)+(INDEX(tblJobs[End],9)-INDEX(tblJobs[Start],9)+1)*INDEX(tblJobs[Complete (%)],9),2,1),""))</f>
        <v/>
      </c>
      <c r="N15" s="46">
        <f>IF(OR($B$15="",$N$6=""),"",IF(AND($N$6&gt;=INDEX(tblJobs[Start],9),$N$6&lt;=INDEX(tblJobs[End],9)),IF($N$6&lt;INDEX(tblJobs[Start],9)+(INDEX(tblJobs[End],9)-INDEX(tblJobs[Start],9)+1)*INDEX(tblJobs[Complete (%)],9),2,1),""))</f>
        <v/>
      </c>
      <c r="O15" s="46">
        <f>IF(OR($B$15="",$O$6=""),"",IF(AND($O$6&gt;=INDEX(tblJobs[Start],9),$O$6&lt;=INDEX(tblJobs[End],9)),IF($O$6&lt;INDEX(tblJobs[Start],9)+(INDEX(tblJobs[End],9)-INDEX(tblJobs[Start],9)+1)*INDEX(tblJobs[Complete (%)],9),2,1),""))</f>
        <v/>
      </c>
      <c r="P15" s="46">
        <f>IF(OR($B$15="",$P$6=""),"",IF(AND($P$6&gt;=INDEX(tblJobs[Start],9),$P$6&lt;=INDEX(tblJobs[End],9)),IF($P$6&lt;INDEX(tblJobs[Start],9)+(INDEX(tblJobs[End],9)-INDEX(tblJobs[Start],9)+1)*INDEX(tblJobs[Complete (%)],9),2,1),""))</f>
        <v/>
      </c>
      <c r="Q15" s="46">
        <f>IF(OR($B$15="",$Q$6=""),"",IF(AND($Q$6&gt;=INDEX(tblJobs[Start],9),$Q$6&lt;=INDEX(tblJobs[End],9)),IF($Q$6&lt;INDEX(tblJobs[Start],9)+(INDEX(tblJobs[End],9)-INDEX(tblJobs[Start],9)+1)*INDEX(tblJobs[Complete (%)],9),2,1),""))</f>
        <v/>
      </c>
      <c r="R15" s="46">
        <f>IF(OR($B$15="",$R$6=""),"",IF(AND($R$6&gt;=INDEX(tblJobs[Start],9),$R$6&lt;=INDEX(tblJobs[End],9)),IF($R$6&lt;INDEX(tblJobs[Start],9)+(INDEX(tblJobs[End],9)-INDEX(tblJobs[Start],9)+1)*INDEX(tblJobs[Complete (%)],9),2,1),""))</f>
        <v/>
      </c>
      <c r="S15" s="46">
        <f>IF(OR($B$15="",$S$6=""),"",IF(AND($S$6&gt;=INDEX(tblJobs[Start],9),$S$6&lt;=INDEX(tblJobs[End],9)),IF($S$6&lt;INDEX(tblJobs[Start],9)+(INDEX(tblJobs[End],9)-INDEX(tblJobs[Start],9)+1)*INDEX(tblJobs[Complete (%)],9),2,1),""))</f>
        <v/>
      </c>
      <c r="T15" s="46">
        <f>IF(OR($B$15="",$T$6=""),"",IF(AND($T$6&gt;=INDEX(tblJobs[Start],9),$T$6&lt;=INDEX(tblJobs[End],9)),IF($T$6&lt;INDEX(tblJobs[Start],9)+(INDEX(tblJobs[End],9)-INDEX(tblJobs[Start],9)+1)*INDEX(tblJobs[Complete (%)],9),2,1),""))</f>
        <v/>
      </c>
      <c r="U15" s="46">
        <f>IF(OR($B$15="",$U$6=""),"",IF(AND($U$6&gt;=INDEX(tblJobs[Start],9),$U$6&lt;=INDEX(tblJobs[End],9)),IF($U$6&lt;INDEX(tblJobs[Start],9)+(INDEX(tblJobs[End],9)-INDEX(tblJobs[Start],9)+1)*INDEX(tblJobs[Complete (%)],9),2,1),""))</f>
        <v/>
      </c>
      <c r="V15" s="46">
        <f>IF(OR($B$15="",$V$6=""),"",IF(AND($V$6&gt;=INDEX(tblJobs[Start],9),$V$6&lt;=INDEX(tblJobs[End],9)),IF($V$6&lt;INDEX(tblJobs[Start],9)+(INDEX(tblJobs[End],9)-INDEX(tblJobs[Start],9)+1)*INDEX(tblJobs[Complete (%)],9),2,1),""))</f>
        <v/>
      </c>
    </row>
    <row r="16" spans="1:22">
      <c r="B16" s="45" t="str">
        <f>IFERROR(IF(INDEX(tblJobs[Job],10)="","",INDEX(tblJobs[Job],10)&amp;" ("&amp;INDEX(tblJobs[Machine],10)&amp;")"),"")</f>
        <v>J-4107 (HMC-1)</v>
      </c>
      <c r="C16" s="46">
        <f>IF(OR($B$16="",$C$6=""),"",IF(AND($C$6&gt;=INDEX(tblJobs[Start],10),$C$6&lt;=INDEX(tblJobs[End],10)),IF($C$6&lt;INDEX(tblJobs[Start],10)+(INDEX(tblJobs[End],10)-INDEX(tblJobs[Start],10)+1)*INDEX(tblJobs[Complete (%)],10),2,1),""))</f>
        <v/>
      </c>
      <c r="D16" s="46">
        <f>IF(OR($B$16="",$D$6=""),"",IF(AND($D$6&gt;=INDEX(tblJobs[Start],10),$D$6&lt;=INDEX(tblJobs[End],10)),IF($D$6&lt;INDEX(tblJobs[Start],10)+(INDEX(tblJobs[End],10)-INDEX(tblJobs[Start],10)+1)*INDEX(tblJobs[Complete (%)],10),2,1),""))</f>
        <v/>
      </c>
      <c r="E16" s="46">
        <f>IF(OR($B$16="",$E$6=""),"",IF(AND($E$6&gt;=INDEX(tblJobs[Start],10),$E$6&lt;=INDEX(tblJobs[End],10)),IF($E$6&lt;INDEX(tblJobs[Start],10)+(INDEX(tblJobs[End],10)-INDEX(tblJobs[Start],10)+1)*INDEX(tblJobs[Complete (%)],10),2,1),""))</f>
        <v/>
      </c>
      <c r="F16" s="46">
        <f>IF(OR($B$16="",$F$6=""),"",IF(AND($F$6&gt;=INDEX(tblJobs[Start],10),$F$6&lt;=INDEX(tblJobs[End],10)),IF($F$6&lt;INDEX(tblJobs[Start],10)+(INDEX(tblJobs[End],10)-INDEX(tblJobs[Start],10)+1)*INDEX(tblJobs[Complete (%)],10),2,1),""))</f>
        <v/>
      </c>
      <c r="G16" s="46">
        <f>IF(OR($B$16="",$G$6=""),"",IF(AND($G$6&gt;=INDEX(tblJobs[Start],10),$G$6&lt;=INDEX(tblJobs[End],10)),IF($G$6&lt;INDEX(tblJobs[Start],10)+(INDEX(tblJobs[End],10)-INDEX(tblJobs[Start],10)+1)*INDEX(tblJobs[Complete (%)],10),2,1),""))</f>
        <v/>
      </c>
      <c r="H16" s="46">
        <f>IF(OR($B$16="",$H$6=""),"",IF(AND($H$6&gt;=INDEX(tblJobs[Start],10),$H$6&lt;=INDEX(tblJobs[End],10)),IF($H$6&lt;INDEX(tblJobs[Start],10)+(INDEX(tblJobs[End],10)-INDEX(tblJobs[Start],10)+1)*INDEX(tblJobs[Complete (%)],10),2,1),""))</f>
        <v>2</v>
      </c>
      <c r="I16" s="46">
        <f>IF(OR($B$16="",$I$6=""),"",IF(AND($I$6&gt;=INDEX(tblJobs[Start],10),$I$6&lt;=INDEX(tblJobs[End],10)),IF($I$6&lt;INDEX(tblJobs[Start],10)+(INDEX(tblJobs[End],10)-INDEX(tblJobs[Start],10)+1)*INDEX(tblJobs[Complete (%)],10),2,1),""))</f>
        <v>2</v>
      </c>
      <c r="J16" s="46">
        <f>IF(OR($B$16="",$J$6=""),"",IF(AND($J$6&gt;=INDEX(tblJobs[Start],10),$J$6&lt;=INDEX(tblJobs[End],10)),IF($J$6&lt;INDEX(tblJobs[Start],10)+(INDEX(tblJobs[End],10)-INDEX(tblJobs[Start],10)+1)*INDEX(tblJobs[Complete (%)],10),2,1),""))</f>
        <v>1</v>
      </c>
      <c r="K16" s="46">
        <f>IF(OR($B$16="",$K$6=""),"",IF(AND($K$6&gt;=INDEX(tblJobs[Start],10),$K$6&lt;=INDEX(tblJobs[End],10)),IF($K$6&lt;INDEX(tblJobs[Start],10)+(INDEX(tblJobs[End],10)-INDEX(tblJobs[Start],10)+1)*INDEX(tblJobs[Complete (%)],10),2,1),""))</f>
        <v>1</v>
      </c>
      <c r="L16" s="46">
        <f>IF(OR($B$16="",$L$6=""),"",IF(AND($L$6&gt;=INDEX(tblJobs[Start],10),$L$6&lt;=INDEX(tblJobs[End],10)),IF($L$6&lt;INDEX(tblJobs[Start],10)+(INDEX(tblJobs[End],10)-INDEX(tblJobs[Start],10)+1)*INDEX(tblJobs[Complete (%)],10),2,1),""))</f>
        <v>1</v>
      </c>
      <c r="M16" s="46">
        <f>IF(OR($B$16="",$M$6=""),"",IF(AND($M$6&gt;=INDEX(tblJobs[Start],10),$M$6&lt;=INDEX(tblJobs[End],10)),IF($M$6&lt;INDEX(tblJobs[Start],10)+(INDEX(tblJobs[End],10)-INDEX(tblJobs[Start],10)+1)*INDEX(tblJobs[Complete (%)],10),2,1),""))</f>
        <v/>
      </c>
      <c r="N16" s="46">
        <f>IF(OR($B$16="",$N$6=""),"",IF(AND($N$6&gt;=INDEX(tblJobs[Start],10),$N$6&lt;=INDEX(tblJobs[End],10)),IF($N$6&lt;INDEX(tblJobs[Start],10)+(INDEX(tblJobs[End],10)-INDEX(tblJobs[Start],10)+1)*INDEX(tblJobs[Complete (%)],10),2,1),""))</f>
        <v/>
      </c>
      <c r="O16" s="46">
        <f>IF(OR($B$16="",$O$6=""),"",IF(AND($O$6&gt;=INDEX(tblJobs[Start],10),$O$6&lt;=INDEX(tblJobs[End],10)),IF($O$6&lt;INDEX(tblJobs[Start],10)+(INDEX(tblJobs[End],10)-INDEX(tblJobs[Start],10)+1)*INDEX(tblJobs[Complete (%)],10),2,1),""))</f>
        <v/>
      </c>
      <c r="P16" s="46">
        <f>IF(OR($B$16="",$P$6=""),"",IF(AND($P$6&gt;=INDEX(tblJobs[Start],10),$P$6&lt;=INDEX(tblJobs[End],10)),IF($P$6&lt;INDEX(tblJobs[Start],10)+(INDEX(tblJobs[End],10)-INDEX(tblJobs[Start],10)+1)*INDEX(tblJobs[Complete (%)],10),2,1),""))</f>
        <v/>
      </c>
      <c r="Q16" s="46">
        <f>IF(OR($B$16="",$Q$6=""),"",IF(AND($Q$6&gt;=INDEX(tblJobs[Start],10),$Q$6&lt;=INDEX(tblJobs[End],10)),IF($Q$6&lt;INDEX(tblJobs[Start],10)+(INDEX(tblJobs[End],10)-INDEX(tblJobs[Start],10)+1)*INDEX(tblJobs[Complete (%)],10),2,1),""))</f>
        <v/>
      </c>
      <c r="R16" s="46">
        <f>IF(OR($B$16="",$R$6=""),"",IF(AND($R$6&gt;=INDEX(tblJobs[Start],10),$R$6&lt;=INDEX(tblJobs[End],10)),IF($R$6&lt;INDEX(tblJobs[Start],10)+(INDEX(tblJobs[End],10)-INDEX(tblJobs[Start],10)+1)*INDEX(tblJobs[Complete (%)],10),2,1),""))</f>
        <v/>
      </c>
      <c r="S16" s="46">
        <f>IF(OR($B$16="",$S$6=""),"",IF(AND($S$6&gt;=INDEX(tblJobs[Start],10),$S$6&lt;=INDEX(tblJobs[End],10)),IF($S$6&lt;INDEX(tblJobs[Start],10)+(INDEX(tblJobs[End],10)-INDEX(tblJobs[Start],10)+1)*INDEX(tblJobs[Complete (%)],10),2,1),""))</f>
        <v/>
      </c>
      <c r="T16" s="46">
        <f>IF(OR($B$16="",$T$6=""),"",IF(AND($T$6&gt;=INDEX(tblJobs[Start],10),$T$6&lt;=INDEX(tblJobs[End],10)),IF($T$6&lt;INDEX(tblJobs[Start],10)+(INDEX(tblJobs[End],10)-INDEX(tblJobs[Start],10)+1)*INDEX(tblJobs[Complete (%)],10),2,1),""))</f>
        <v/>
      </c>
      <c r="U16" s="46">
        <f>IF(OR($B$16="",$U$6=""),"",IF(AND($U$6&gt;=INDEX(tblJobs[Start],10),$U$6&lt;=INDEX(tblJobs[End],10)),IF($U$6&lt;INDEX(tblJobs[Start],10)+(INDEX(tblJobs[End],10)-INDEX(tblJobs[Start],10)+1)*INDEX(tblJobs[Complete (%)],10),2,1),""))</f>
        <v/>
      </c>
      <c r="V16" s="46">
        <f>IF(OR($B$16="",$V$6=""),"",IF(AND($V$6&gt;=INDEX(tblJobs[Start],10),$V$6&lt;=INDEX(tblJobs[End],10)),IF($V$6&lt;INDEX(tblJobs[Start],10)+(INDEX(tblJobs[End],10)-INDEX(tblJobs[Start],10)+1)*INDEX(tblJobs[Complete (%)],10),2,1),""))</f>
        <v/>
      </c>
    </row>
    <row r="17" spans="2:22">
      <c r="B17" s="45" t="str">
        <f>IFERROR(IF(INDEX(tblJobs[Job],11)="","",INDEX(tblJobs[Job],11)&amp;" ("&amp;INDEX(tblJobs[Machine],11)&amp;")"),"")</f>
        <v>J-4111 (HMC-1)</v>
      </c>
      <c r="C17" s="46">
        <f>IF(OR($B$17="",$C$6=""),"",IF(AND($C$6&gt;=INDEX(tblJobs[Start],11),$C$6&lt;=INDEX(tblJobs[End],11)),IF($C$6&lt;INDEX(tblJobs[Start],11)+(INDEX(tblJobs[End],11)-INDEX(tblJobs[Start],11)+1)*INDEX(tblJobs[Complete (%)],11),2,1),""))</f>
        <v/>
      </c>
      <c r="D17" s="46">
        <f>IF(OR($B$17="",$D$6=""),"",IF(AND($D$6&gt;=INDEX(tblJobs[Start],11),$D$6&lt;=INDEX(tblJobs[End],11)),IF($D$6&lt;INDEX(tblJobs[Start],11)+(INDEX(tblJobs[End],11)-INDEX(tblJobs[Start],11)+1)*INDEX(tblJobs[Complete (%)],11),2,1),""))</f>
        <v/>
      </c>
      <c r="E17" s="46">
        <f>IF(OR($B$17="",$E$6=""),"",IF(AND($E$6&gt;=INDEX(tblJobs[Start],11),$E$6&lt;=INDEX(tblJobs[End],11)),IF($E$6&lt;INDEX(tblJobs[Start],11)+(INDEX(tblJobs[End],11)-INDEX(tblJobs[Start],11)+1)*INDEX(tblJobs[Complete (%)],11),2,1),""))</f>
        <v/>
      </c>
      <c r="F17" s="46">
        <f>IF(OR($B$17="",$F$6=""),"",IF(AND($F$6&gt;=INDEX(tblJobs[Start],11),$F$6&lt;=INDEX(tblJobs[End],11)),IF($F$6&lt;INDEX(tblJobs[Start],11)+(INDEX(tblJobs[End],11)-INDEX(tblJobs[Start],11)+1)*INDEX(tblJobs[Complete (%)],11),2,1),""))</f>
        <v/>
      </c>
      <c r="G17" s="46">
        <f>IF(OR($B$17="",$G$6=""),"",IF(AND($G$6&gt;=INDEX(tblJobs[Start],11),$G$6&lt;=INDEX(tblJobs[End],11)),IF($G$6&lt;INDEX(tblJobs[Start],11)+(INDEX(tblJobs[End],11)-INDEX(tblJobs[Start],11)+1)*INDEX(tblJobs[Complete (%)],11),2,1),""))</f>
        <v/>
      </c>
      <c r="H17" s="46">
        <f>IF(OR($B$17="",$H$6=""),"",IF(AND($H$6&gt;=INDEX(tblJobs[Start],11),$H$6&lt;=INDEX(tblJobs[End],11)),IF($H$6&lt;INDEX(tblJobs[Start],11)+(INDEX(tblJobs[End],11)-INDEX(tblJobs[Start],11)+1)*INDEX(tblJobs[Complete (%)],11),2,1),""))</f>
        <v/>
      </c>
      <c r="I17" s="46">
        <f>IF(OR($B$17="",$I$6=""),"",IF(AND($I$6&gt;=INDEX(tblJobs[Start],11),$I$6&lt;=INDEX(tblJobs[End],11)),IF($I$6&lt;INDEX(tblJobs[Start],11)+(INDEX(tblJobs[End],11)-INDEX(tblJobs[Start],11)+1)*INDEX(tblJobs[Complete (%)],11),2,1),""))</f>
        <v/>
      </c>
      <c r="J17" s="46">
        <f>IF(OR($B$17="",$J$6=""),"",IF(AND($J$6&gt;=INDEX(tblJobs[Start],11),$J$6&lt;=INDEX(tblJobs[End],11)),IF($J$6&lt;INDEX(tblJobs[Start],11)+(INDEX(tblJobs[End],11)-INDEX(tblJobs[Start],11)+1)*INDEX(tblJobs[Complete (%)],11),2,1),""))</f>
        <v/>
      </c>
      <c r="K17" s="46">
        <f>IF(OR($B$17="",$K$6=""),"",IF(AND($K$6&gt;=INDEX(tblJobs[Start],11),$K$6&lt;=INDEX(tblJobs[End],11)),IF($K$6&lt;INDEX(tblJobs[Start],11)+(INDEX(tblJobs[End],11)-INDEX(tblJobs[Start],11)+1)*INDEX(tblJobs[Complete (%)],11),2,1),""))</f>
        <v/>
      </c>
      <c r="L17" s="46">
        <f>IF(OR($B$17="",$L$6=""),"",IF(AND($L$6&gt;=INDEX(tblJobs[Start],11),$L$6&lt;=INDEX(tblJobs[End],11)),IF($L$6&lt;INDEX(tblJobs[Start],11)+(INDEX(tblJobs[End],11)-INDEX(tblJobs[Start],11)+1)*INDEX(tblJobs[Complete (%)],11),2,1),""))</f>
        <v/>
      </c>
      <c r="M17" s="46">
        <f>IF(OR($B$17="",$M$6=""),"",IF(AND($M$6&gt;=INDEX(tblJobs[Start],11),$M$6&lt;=INDEX(tblJobs[End],11)),IF($M$6&lt;INDEX(tblJobs[Start],11)+(INDEX(tblJobs[End],11)-INDEX(tblJobs[Start],11)+1)*INDEX(tblJobs[Complete (%)],11),2,1),""))</f>
        <v>1</v>
      </c>
      <c r="N17" s="46">
        <f>IF(OR($B$17="",$N$6=""),"",IF(AND($N$6&gt;=INDEX(tblJobs[Start],11),$N$6&lt;=INDEX(tblJobs[End],11)),IF($N$6&lt;INDEX(tblJobs[Start],11)+(INDEX(tblJobs[End],11)-INDEX(tblJobs[Start],11)+1)*INDEX(tblJobs[Complete (%)],11),2,1),""))</f>
        <v>1</v>
      </c>
      <c r="O17" s="46">
        <f>IF(OR($B$17="",$O$6=""),"",IF(AND($O$6&gt;=INDEX(tblJobs[Start],11),$O$6&lt;=INDEX(tblJobs[End],11)),IF($O$6&lt;INDEX(tblJobs[Start],11)+(INDEX(tblJobs[End],11)-INDEX(tblJobs[Start],11)+1)*INDEX(tblJobs[Complete (%)],11),2,1),""))</f>
        <v>1</v>
      </c>
      <c r="P17" s="46">
        <f>IF(OR($B$17="",$P$6=""),"",IF(AND($P$6&gt;=INDEX(tblJobs[Start],11),$P$6&lt;=INDEX(tblJobs[End],11)),IF($P$6&lt;INDEX(tblJobs[Start],11)+(INDEX(tblJobs[End],11)-INDEX(tblJobs[Start],11)+1)*INDEX(tblJobs[Complete (%)],11),2,1),""))</f>
        <v>1</v>
      </c>
      <c r="Q17" s="46">
        <f>IF(OR($B$17="",$Q$6=""),"",IF(AND($Q$6&gt;=INDEX(tblJobs[Start],11),$Q$6&lt;=INDEX(tblJobs[End],11)),IF($Q$6&lt;INDEX(tblJobs[Start],11)+(INDEX(tblJobs[End],11)-INDEX(tblJobs[Start],11)+1)*INDEX(tblJobs[Complete (%)],11),2,1),""))</f>
        <v/>
      </c>
      <c r="R17" s="46">
        <f>IF(OR($B$17="",$R$6=""),"",IF(AND($R$6&gt;=INDEX(tblJobs[Start],11),$R$6&lt;=INDEX(tblJobs[End],11)),IF($R$6&lt;INDEX(tblJobs[Start],11)+(INDEX(tblJobs[End],11)-INDEX(tblJobs[Start],11)+1)*INDEX(tblJobs[Complete (%)],11),2,1),""))</f>
        <v/>
      </c>
      <c r="S17" s="46">
        <f>IF(OR($B$17="",$S$6=""),"",IF(AND($S$6&gt;=INDEX(tblJobs[Start],11),$S$6&lt;=INDEX(tblJobs[End],11)),IF($S$6&lt;INDEX(tblJobs[Start],11)+(INDEX(tblJobs[End],11)-INDEX(tblJobs[Start],11)+1)*INDEX(tblJobs[Complete (%)],11),2,1),""))</f>
        <v/>
      </c>
      <c r="T17" s="46">
        <f>IF(OR($B$17="",$T$6=""),"",IF(AND($T$6&gt;=INDEX(tblJobs[Start],11),$T$6&lt;=INDEX(tblJobs[End],11)),IF($T$6&lt;INDEX(tblJobs[Start],11)+(INDEX(tblJobs[End],11)-INDEX(tblJobs[Start],11)+1)*INDEX(tblJobs[Complete (%)],11),2,1),""))</f>
        <v/>
      </c>
      <c r="U17" s="46">
        <f>IF(OR($B$17="",$U$6=""),"",IF(AND($U$6&gt;=INDEX(tblJobs[Start],11),$U$6&lt;=INDEX(tblJobs[End],11)),IF($U$6&lt;INDEX(tblJobs[Start],11)+(INDEX(tblJobs[End],11)-INDEX(tblJobs[Start],11)+1)*INDEX(tblJobs[Complete (%)],11),2,1),""))</f>
        <v/>
      </c>
      <c r="V17" s="46">
        <f>IF(OR($B$17="",$V$6=""),"",IF(AND($V$6&gt;=INDEX(tblJobs[Start],11),$V$6&lt;=INDEX(tblJobs[End],11)),IF($V$6&lt;INDEX(tblJobs[Start],11)+(INDEX(tblJobs[End],11)-INDEX(tblJobs[Start],11)+1)*INDEX(tblJobs[Complete (%)],11),2,1),""))</f>
        <v/>
      </c>
    </row>
    <row r="18" spans="2:22">
      <c r="B18" s="45" t="str">
        <f>IFERROR(IF(INDEX(tblJobs[Job],12)="","",INDEX(tblJobs[Job],12)&amp;" ("&amp;INDEX(tblJobs[Machine],12)&amp;")"),"")</f>
        <v>J-4115 (HMC-1)</v>
      </c>
      <c r="C18" s="46">
        <f>IF(OR($B$18="",$C$6=""),"",IF(AND($C$6&gt;=INDEX(tblJobs[Start],12),$C$6&lt;=INDEX(tblJobs[End],12)),IF($C$6&lt;INDEX(tblJobs[Start],12)+(INDEX(tblJobs[End],12)-INDEX(tblJobs[Start],12)+1)*INDEX(tblJobs[Complete (%)],12),2,1),""))</f>
        <v/>
      </c>
      <c r="D18" s="46">
        <f>IF(OR($B$18="",$D$6=""),"",IF(AND($D$6&gt;=INDEX(tblJobs[Start],12),$D$6&lt;=INDEX(tblJobs[End],12)),IF($D$6&lt;INDEX(tblJobs[Start],12)+(INDEX(tblJobs[End],12)-INDEX(tblJobs[Start],12)+1)*INDEX(tblJobs[Complete (%)],12),2,1),""))</f>
        <v/>
      </c>
      <c r="E18" s="46">
        <f>IF(OR($B$18="",$E$6=""),"",IF(AND($E$6&gt;=INDEX(tblJobs[Start],12),$E$6&lt;=INDEX(tblJobs[End],12)),IF($E$6&lt;INDEX(tblJobs[Start],12)+(INDEX(tblJobs[End],12)-INDEX(tblJobs[Start],12)+1)*INDEX(tblJobs[Complete (%)],12),2,1),""))</f>
        <v/>
      </c>
      <c r="F18" s="46">
        <f>IF(OR($B$18="",$F$6=""),"",IF(AND($F$6&gt;=INDEX(tblJobs[Start],12),$F$6&lt;=INDEX(tblJobs[End],12)),IF($F$6&lt;INDEX(tblJobs[Start],12)+(INDEX(tblJobs[End],12)-INDEX(tblJobs[Start],12)+1)*INDEX(tblJobs[Complete (%)],12),2,1),""))</f>
        <v/>
      </c>
      <c r="G18" s="46">
        <f>IF(OR($B$18="",$G$6=""),"",IF(AND($G$6&gt;=INDEX(tblJobs[Start],12),$G$6&lt;=INDEX(tblJobs[End],12)),IF($G$6&lt;INDEX(tblJobs[Start],12)+(INDEX(tblJobs[End],12)-INDEX(tblJobs[Start],12)+1)*INDEX(tblJobs[Complete (%)],12),2,1),""))</f>
        <v/>
      </c>
      <c r="H18" s="46">
        <f>IF(OR($B$18="",$H$6=""),"",IF(AND($H$6&gt;=INDEX(tblJobs[Start],12),$H$6&lt;=INDEX(tblJobs[End],12)),IF($H$6&lt;INDEX(tblJobs[Start],12)+(INDEX(tblJobs[End],12)-INDEX(tblJobs[Start],12)+1)*INDEX(tblJobs[Complete (%)],12),2,1),""))</f>
        <v/>
      </c>
      <c r="I18" s="46">
        <f>IF(OR($B$18="",$I$6=""),"",IF(AND($I$6&gt;=INDEX(tblJobs[Start],12),$I$6&lt;=INDEX(tblJobs[End],12)),IF($I$6&lt;INDEX(tblJobs[Start],12)+(INDEX(tblJobs[End],12)-INDEX(tblJobs[Start],12)+1)*INDEX(tblJobs[Complete (%)],12),2,1),""))</f>
        <v/>
      </c>
      <c r="J18" s="46">
        <f>IF(OR($B$18="",$J$6=""),"",IF(AND($J$6&gt;=INDEX(tblJobs[Start],12),$J$6&lt;=INDEX(tblJobs[End],12)),IF($J$6&lt;INDEX(tblJobs[Start],12)+(INDEX(tblJobs[End],12)-INDEX(tblJobs[Start],12)+1)*INDEX(tblJobs[Complete (%)],12),2,1),""))</f>
        <v/>
      </c>
      <c r="K18" s="46">
        <f>IF(OR($B$18="",$K$6=""),"",IF(AND($K$6&gt;=INDEX(tblJobs[Start],12),$K$6&lt;=INDEX(tblJobs[End],12)),IF($K$6&lt;INDEX(tblJobs[Start],12)+(INDEX(tblJobs[End],12)-INDEX(tblJobs[Start],12)+1)*INDEX(tblJobs[Complete (%)],12),2,1),""))</f>
        <v/>
      </c>
      <c r="L18" s="46">
        <f>IF(OR($B$18="",$L$6=""),"",IF(AND($L$6&gt;=INDEX(tblJobs[Start],12),$L$6&lt;=INDEX(tblJobs[End],12)),IF($L$6&lt;INDEX(tblJobs[Start],12)+(INDEX(tblJobs[End],12)-INDEX(tblJobs[Start],12)+1)*INDEX(tblJobs[Complete (%)],12),2,1),""))</f>
        <v/>
      </c>
      <c r="M18" s="46">
        <f>IF(OR($B$18="",$M$6=""),"",IF(AND($M$6&gt;=INDEX(tblJobs[Start],12),$M$6&lt;=INDEX(tblJobs[End],12)),IF($M$6&lt;INDEX(tblJobs[Start],12)+(INDEX(tblJobs[End],12)-INDEX(tblJobs[Start],12)+1)*INDEX(tblJobs[Complete (%)],12),2,1),""))</f>
        <v/>
      </c>
      <c r="N18" s="46">
        <f>IF(OR($B$18="",$N$6=""),"",IF(AND($N$6&gt;=INDEX(tblJobs[Start],12),$N$6&lt;=INDEX(tblJobs[End],12)),IF($N$6&lt;INDEX(tblJobs[Start],12)+(INDEX(tblJobs[End],12)-INDEX(tblJobs[Start],12)+1)*INDEX(tblJobs[Complete (%)],12),2,1),""))</f>
        <v/>
      </c>
      <c r="O18" s="46">
        <f>IF(OR($B$18="",$O$6=""),"",IF(AND($O$6&gt;=INDEX(tblJobs[Start],12),$O$6&lt;=INDEX(tblJobs[End],12)),IF($O$6&lt;INDEX(tblJobs[Start],12)+(INDEX(tblJobs[End],12)-INDEX(tblJobs[Start],12)+1)*INDEX(tblJobs[Complete (%)],12),2,1),""))</f>
        <v/>
      </c>
      <c r="P18" s="46">
        <f>IF(OR($B$18="",$P$6=""),"",IF(AND($P$6&gt;=INDEX(tblJobs[Start],12),$P$6&lt;=INDEX(tblJobs[End],12)),IF($P$6&lt;INDEX(tblJobs[Start],12)+(INDEX(tblJobs[End],12)-INDEX(tblJobs[Start],12)+1)*INDEX(tblJobs[Complete (%)],12),2,1),""))</f>
        <v/>
      </c>
      <c r="Q18" s="46">
        <f>IF(OR($B$18="",$Q$6=""),"",IF(AND($Q$6&gt;=INDEX(tblJobs[Start],12),$Q$6&lt;=INDEX(tblJobs[End],12)),IF($Q$6&lt;INDEX(tblJobs[Start],12)+(INDEX(tblJobs[End],12)-INDEX(tblJobs[Start],12)+1)*INDEX(tblJobs[Complete (%)],12),2,1),""))</f>
        <v>1</v>
      </c>
      <c r="R18" s="46">
        <f>IF(OR($B$18="",$R$6=""),"",IF(AND($R$6&gt;=INDEX(tblJobs[Start],12),$R$6&lt;=INDEX(tblJobs[End],12)),IF($R$6&lt;INDEX(tblJobs[Start],12)+(INDEX(tblJobs[End],12)-INDEX(tblJobs[Start],12)+1)*INDEX(tblJobs[Complete (%)],12),2,1),""))</f>
        <v>1</v>
      </c>
      <c r="S18" s="46">
        <f>IF(OR($B$18="",$S$6=""),"",IF(AND($S$6&gt;=INDEX(tblJobs[Start],12),$S$6&lt;=INDEX(tblJobs[End],12)),IF($S$6&lt;INDEX(tblJobs[Start],12)+(INDEX(tblJobs[End],12)-INDEX(tblJobs[Start],12)+1)*INDEX(tblJobs[Complete (%)],12),2,1),""))</f>
        <v>1</v>
      </c>
      <c r="T18" s="46">
        <f>IF(OR($B$18="",$T$6=""),"",IF(AND($T$6&gt;=INDEX(tblJobs[Start],12),$T$6&lt;=INDEX(tblJobs[End],12)),IF($T$6&lt;INDEX(tblJobs[Start],12)+(INDEX(tblJobs[End],12)-INDEX(tblJobs[Start],12)+1)*INDEX(tblJobs[Complete (%)],12),2,1),""))</f>
        <v>1</v>
      </c>
      <c r="U18" s="46">
        <f>IF(OR($B$18="",$U$6=""),"",IF(AND($U$6&gt;=INDEX(tblJobs[Start],12),$U$6&lt;=INDEX(tblJobs[End],12)),IF($U$6&lt;INDEX(tblJobs[Start],12)+(INDEX(tblJobs[End],12)-INDEX(tblJobs[Start],12)+1)*INDEX(tblJobs[Complete (%)],12),2,1),""))</f>
        <v/>
      </c>
      <c r="V18" s="46">
        <f>IF(OR($B$18="",$V$6=""),"",IF(AND($V$6&gt;=INDEX(tblJobs[Start],12),$V$6&lt;=INDEX(tblJobs[End],12)),IF($V$6&lt;INDEX(tblJobs[Start],12)+(INDEX(tblJobs[End],12)-INDEX(tblJobs[Start],12)+1)*INDEX(tblJobs[Complete (%)],12),2,1),""))</f>
        <v/>
      </c>
    </row>
    <row r="19" spans="2:22">
      <c r="B19" s="45" t="str">
        <f>IFERROR(IF(INDEX(tblJobs[Job],13)="","",INDEX(tblJobs[Job],13)&amp;" ("&amp;INDEX(tblJobs[Machine],13)&amp;")"),"")</f>
        <v>J-4104 (LATHE-1)</v>
      </c>
      <c r="C19" s="46">
        <f>IF(OR($B$19="",$C$6=""),"",IF(AND($C$6&gt;=INDEX(tblJobs[Start],13),$C$6&lt;=INDEX(tblJobs[End],13)),IF($C$6&lt;INDEX(tblJobs[Start],13)+(INDEX(tblJobs[End],13)-INDEX(tblJobs[Start],13)+1)*INDEX(tblJobs[Complete (%)],13),2,1),""))</f>
        <v>2</v>
      </c>
      <c r="D19" s="46">
        <f>IF(OR($B$19="",$D$6=""),"",IF(AND($D$6&gt;=INDEX(tblJobs[Start],13),$D$6&lt;=INDEX(tblJobs[End],13)),IF($D$6&lt;INDEX(tblJobs[Start],13)+(INDEX(tblJobs[End],13)-INDEX(tblJobs[Start],13)+1)*INDEX(tblJobs[Complete (%)],13),2,1),""))</f>
        <v>2</v>
      </c>
      <c r="E19" s="46">
        <f>IF(OR($B$19="",$E$6=""),"",IF(AND($E$6&gt;=INDEX(tblJobs[Start],13),$E$6&lt;=INDEX(tblJobs[End],13)),IF($E$6&lt;INDEX(tblJobs[Start],13)+(INDEX(tblJobs[End],13)-INDEX(tblJobs[Start],13)+1)*INDEX(tblJobs[Complete (%)],13),2,1),""))</f>
        <v>2</v>
      </c>
      <c r="F19" s="46">
        <f>IF(OR($B$19="",$F$6=""),"",IF(AND($F$6&gt;=INDEX(tblJobs[Start],13),$F$6&lt;=INDEX(tblJobs[End],13)),IF($F$6&lt;INDEX(tblJobs[Start],13)+(INDEX(tblJobs[End],13)-INDEX(tblJobs[Start],13)+1)*INDEX(tblJobs[Complete (%)],13),2,1),""))</f>
        <v>2</v>
      </c>
      <c r="G19" s="46">
        <f>IF(OR($B$19="",$G$6=""),"",IF(AND($G$6&gt;=INDEX(tblJobs[Start],13),$G$6&lt;=INDEX(tblJobs[End],13)),IF($G$6&lt;INDEX(tblJobs[Start],13)+(INDEX(tblJobs[End],13)-INDEX(tblJobs[Start],13)+1)*INDEX(tblJobs[Complete (%)],13),2,1),""))</f>
        <v>2</v>
      </c>
      <c r="H19" s="46">
        <f>IF(OR($B$19="",$H$6=""),"",IF(AND($H$6&gt;=INDEX(tblJobs[Start],13),$H$6&lt;=INDEX(tblJobs[End],13)),IF($H$6&lt;INDEX(tblJobs[Start],13)+(INDEX(tblJobs[End],13)-INDEX(tblJobs[Start],13)+1)*INDEX(tblJobs[Complete (%)],13),2,1),""))</f>
        <v>2</v>
      </c>
      <c r="I19" s="46">
        <f>IF(OR($B$19="",$I$6=""),"",IF(AND($I$6&gt;=INDEX(tblJobs[Start],13),$I$6&lt;=INDEX(tblJobs[End],13)),IF($I$6&lt;INDEX(tblJobs[Start],13)+(INDEX(tblJobs[End],13)-INDEX(tblJobs[Start],13)+1)*INDEX(tblJobs[Complete (%)],13),2,1),""))</f>
        <v/>
      </c>
      <c r="J19" s="46">
        <f>IF(OR($B$19="",$J$6=""),"",IF(AND($J$6&gt;=INDEX(tblJobs[Start],13),$J$6&lt;=INDEX(tblJobs[End],13)),IF($J$6&lt;INDEX(tblJobs[Start],13)+(INDEX(tblJobs[End],13)-INDEX(tblJobs[Start],13)+1)*INDEX(tblJobs[Complete (%)],13),2,1),""))</f>
        <v/>
      </c>
      <c r="K19" s="46">
        <f>IF(OR($B$19="",$K$6=""),"",IF(AND($K$6&gt;=INDEX(tblJobs[Start],13),$K$6&lt;=INDEX(tblJobs[End],13)),IF($K$6&lt;INDEX(tblJobs[Start],13)+(INDEX(tblJobs[End],13)-INDEX(tblJobs[Start],13)+1)*INDEX(tblJobs[Complete (%)],13),2,1),""))</f>
        <v/>
      </c>
      <c r="L19" s="46">
        <f>IF(OR($B$19="",$L$6=""),"",IF(AND($L$6&gt;=INDEX(tblJobs[Start],13),$L$6&lt;=INDEX(tblJobs[End],13)),IF($L$6&lt;INDEX(tblJobs[Start],13)+(INDEX(tblJobs[End],13)-INDEX(tblJobs[Start],13)+1)*INDEX(tblJobs[Complete (%)],13),2,1),""))</f>
        <v/>
      </c>
      <c r="M19" s="46">
        <f>IF(OR($B$19="",$M$6=""),"",IF(AND($M$6&gt;=INDEX(tblJobs[Start],13),$M$6&lt;=INDEX(tblJobs[End],13)),IF($M$6&lt;INDEX(tblJobs[Start],13)+(INDEX(tblJobs[End],13)-INDEX(tblJobs[Start],13)+1)*INDEX(tblJobs[Complete (%)],13),2,1),""))</f>
        <v/>
      </c>
      <c r="N19" s="46">
        <f>IF(OR($B$19="",$N$6=""),"",IF(AND($N$6&gt;=INDEX(tblJobs[Start],13),$N$6&lt;=INDEX(tblJobs[End],13)),IF($N$6&lt;INDEX(tblJobs[Start],13)+(INDEX(tblJobs[End],13)-INDEX(tblJobs[Start],13)+1)*INDEX(tblJobs[Complete (%)],13),2,1),""))</f>
        <v/>
      </c>
      <c r="O19" s="46">
        <f>IF(OR($B$19="",$O$6=""),"",IF(AND($O$6&gt;=INDEX(tblJobs[Start],13),$O$6&lt;=INDEX(tblJobs[End],13)),IF($O$6&lt;INDEX(tblJobs[Start],13)+(INDEX(tblJobs[End],13)-INDEX(tblJobs[Start],13)+1)*INDEX(tblJobs[Complete (%)],13),2,1),""))</f>
        <v/>
      </c>
      <c r="P19" s="46">
        <f>IF(OR($B$19="",$P$6=""),"",IF(AND($P$6&gt;=INDEX(tblJobs[Start],13),$P$6&lt;=INDEX(tblJobs[End],13)),IF($P$6&lt;INDEX(tblJobs[Start],13)+(INDEX(tblJobs[End],13)-INDEX(tblJobs[Start],13)+1)*INDEX(tblJobs[Complete (%)],13),2,1),""))</f>
        <v/>
      </c>
      <c r="Q19" s="46">
        <f>IF(OR($B$19="",$Q$6=""),"",IF(AND($Q$6&gt;=INDEX(tblJobs[Start],13),$Q$6&lt;=INDEX(tblJobs[End],13)),IF($Q$6&lt;INDEX(tblJobs[Start],13)+(INDEX(tblJobs[End],13)-INDEX(tblJobs[Start],13)+1)*INDEX(tblJobs[Complete (%)],13),2,1),""))</f>
        <v/>
      </c>
      <c r="R19" s="46">
        <f>IF(OR($B$19="",$R$6=""),"",IF(AND($R$6&gt;=INDEX(tblJobs[Start],13),$R$6&lt;=INDEX(tblJobs[End],13)),IF($R$6&lt;INDEX(tblJobs[Start],13)+(INDEX(tblJobs[End],13)-INDEX(tblJobs[Start],13)+1)*INDEX(tblJobs[Complete (%)],13),2,1),""))</f>
        <v/>
      </c>
      <c r="S19" s="46">
        <f>IF(OR($B$19="",$S$6=""),"",IF(AND($S$6&gt;=INDEX(tblJobs[Start],13),$S$6&lt;=INDEX(tblJobs[End],13)),IF($S$6&lt;INDEX(tblJobs[Start],13)+(INDEX(tblJobs[End],13)-INDEX(tblJobs[Start],13)+1)*INDEX(tblJobs[Complete (%)],13),2,1),""))</f>
        <v/>
      </c>
      <c r="T19" s="46">
        <f>IF(OR($B$19="",$T$6=""),"",IF(AND($T$6&gt;=INDEX(tblJobs[Start],13),$T$6&lt;=INDEX(tblJobs[End],13)),IF($T$6&lt;INDEX(tblJobs[Start],13)+(INDEX(tblJobs[End],13)-INDEX(tblJobs[Start],13)+1)*INDEX(tblJobs[Complete (%)],13),2,1),""))</f>
        <v/>
      </c>
      <c r="U19" s="46">
        <f>IF(OR($B$19="",$U$6=""),"",IF(AND($U$6&gt;=INDEX(tblJobs[Start],13),$U$6&lt;=INDEX(tblJobs[End],13)),IF($U$6&lt;INDEX(tblJobs[Start],13)+(INDEX(tblJobs[End],13)-INDEX(tblJobs[Start],13)+1)*INDEX(tblJobs[Complete (%)],13),2,1),""))</f>
        <v/>
      </c>
      <c r="V19" s="46">
        <f>IF(OR($B$19="",$V$6=""),"",IF(AND($V$6&gt;=INDEX(tblJobs[Start],13),$V$6&lt;=INDEX(tblJobs[End],13)),IF($V$6&lt;INDEX(tblJobs[Start],13)+(INDEX(tblJobs[End],13)-INDEX(tblJobs[Start],13)+1)*INDEX(tblJobs[Complete (%)],13),2,1),""))</f>
        <v/>
      </c>
    </row>
    <row r="20" spans="2:22">
      <c r="B20" s="45" t="str">
        <f>IFERROR(IF(INDEX(tblJobs[Job],14)="","",INDEX(tblJobs[Job],14)&amp;" ("&amp;INDEX(tblJobs[Machine],14)&amp;")"),"")</f>
        <v>J-4108 (LATHE-1)</v>
      </c>
      <c r="C20" s="46">
        <f>IF(OR($B$20="",$C$6=""),"",IF(AND($C$6&gt;=INDEX(tblJobs[Start],14),$C$6&lt;=INDEX(tblJobs[End],14)),IF($C$6&lt;INDEX(tblJobs[Start],14)+(INDEX(tblJobs[End],14)-INDEX(tblJobs[Start],14)+1)*INDEX(tblJobs[Complete (%)],14),2,1),""))</f>
        <v/>
      </c>
      <c r="D20" s="46">
        <f>IF(OR($B$20="",$D$6=""),"",IF(AND($D$6&gt;=INDEX(tblJobs[Start],14),$D$6&lt;=INDEX(tblJobs[End],14)),IF($D$6&lt;INDEX(tblJobs[Start],14)+(INDEX(tblJobs[End],14)-INDEX(tblJobs[Start],14)+1)*INDEX(tblJobs[Complete (%)],14),2,1),""))</f>
        <v/>
      </c>
      <c r="E20" s="46">
        <f>IF(OR($B$20="",$E$6=""),"",IF(AND($E$6&gt;=INDEX(tblJobs[Start],14),$E$6&lt;=INDEX(tblJobs[End],14)),IF($E$6&lt;INDEX(tblJobs[Start],14)+(INDEX(tblJobs[End],14)-INDEX(tblJobs[Start],14)+1)*INDEX(tblJobs[Complete (%)],14),2,1),""))</f>
        <v/>
      </c>
      <c r="F20" s="46">
        <f>IF(OR($B$20="",$F$6=""),"",IF(AND($F$6&gt;=INDEX(tblJobs[Start],14),$F$6&lt;=INDEX(tblJobs[End],14)),IF($F$6&lt;INDEX(tblJobs[Start],14)+(INDEX(tblJobs[End],14)-INDEX(tblJobs[Start],14)+1)*INDEX(tblJobs[Complete (%)],14),2,1),""))</f>
        <v/>
      </c>
      <c r="G20" s="46">
        <f>IF(OR($B$20="",$G$6=""),"",IF(AND($G$6&gt;=INDEX(tblJobs[Start],14),$G$6&lt;=INDEX(tblJobs[End],14)),IF($G$6&lt;INDEX(tblJobs[Start],14)+(INDEX(tblJobs[End],14)-INDEX(tblJobs[Start],14)+1)*INDEX(tblJobs[Complete (%)],14),2,1),""))</f>
        <v/>
      </c>
      <c r="H20" s="46">
        <f>IF(OR($B$20="",$H$6=""),"",IF(AND($H$6&gt;=INDEX(tblJobs[Start],14),$H$6&lt;=INDEX(tblJobs[End],14)),IF($H$6&lt;INDEX(tblJobs[Start],14)+(INDEX(tblJobs[End],14)-INDEX(tblJobs[Start],14)+1)*INDEX(tblJobs[Complete (%)],14),2,1),""))</f>
        <v/>
      </c>
      <c r="I20" s="46">
        <f>IF(OR($B$20="",$I$6=""),"",IF(AND($I$6&gt;=INDEX(tblJobs[Start],14),$I$6&lt;=INDEX(tblJobs[End],14)),IF($I$6&lt;INDEX(tblJobs[Start],14)+(INDEX(tblJobs[End],14)-INDEX(tblJobs[Start],14)+1)*INDEX(tblJobs[Complete (%)],14),2,1),""))</f>
        <v>2</v>
      </c>
      <c r="J20" s="46">
        <f>IF(OR($B$20="",$J$6=""),"",IF(AND($J$6&gt;=INDEX(tblJobs[Start],14),$J$6&lt;=INDEX(tblJobs[End],14)),IF($J$6&lt;INDEX(tblJobs[Start],14)+(INDEX(tblJobs[End],14)-INDEX(tblJobs[Start],14)+1)*INDEX(tblJobs[Complete (%)],14),2,1),""))</f>
        <v>2</v>
      </c>
      <c r="K20" s="46">
        <f>IF(OR($B$20="",$K$6=""),"",IF(AND($K$6&gt;=INDEX(tblJobs[Start],14),$K$6&lt;=INDEX(tblJobs[End],14)),IF($K$6&lt;INDEX(tblJobs[Start],14)+(INDEX(tblJobs[End],14)-INDEX(tblJobs[Start],14)+1)*INDEX(tblJobs[Complete (%)],14),2,1),""))</f>
        <v>1</v>
      </c>
      <c r="L20" s="46">
        <f>IF(OR($B$20="",$L$6=""),"",IF(AND($L$6&gt;=INDEX(tblJobs[Start],14),$L$6&lt;=INDEX(tblJobs[End],14)),IF($L$6&lt;INDEX(tblJobs[Start],14)+(INDEX(tblJobs[End],14)-INDEX(tblJobs[Start],14)+1)*INDEX(tblJobs[Complete (%)],14),2,1),""))</f>
        <v>1</v>
      </c>
      <c r="M20" s="46">
        <f>IF(OR($B$20="",$M$6=""),"",IF(AND($M$6&gt;=INDEX(tblJobs[Start],14),$M$6&lt;=INDEX(tblJobs[End],14)),IF($M$6&lt;INDEX(tblJobs[Start],14)+(INDEX(tblJobs[End],14)-INDEX(tblJobs[Start],14)+1)*INDEX(tblJobs[Complete (%)],14),2,1),""))</f>
        <v>1</v>
      </c>
      <c r="N20" s="46">
        <f>IF(OR($B$20="",$N$6=""),"",IF(AND($N$6&gt;=INDEX(tblJobs[Start],14),$N$6&lt;=INDEX(tblJobs[End],14)),IF($N$6&lt;INDEX(tblJobs[Start],14)+(INDEX(tblJobs[End],14)-INDEX(tblJobs[Start],14)+1)*INDEX(tblJobs[Complete (%)],14),2,1),""))</f>
        <v>1</v>
      </c>
      <c r="O20" s="46">
        <f>IF(OR($B$20="",$O$6=""),"",IF(AND($O$6&gt;=INDEX(tblJobs[Start],14),$O$6&lt;=INDEX(tblJobs[End],14)),IF($O$6&lt;INDEX(tblJobs[Start],14)+(INDEX(tblJobs[End],14)-INDEX(tblJobs[Start],14)+1)*INDEX(tblJobs[Complete (%)],14),2,1),""))</f>
        <v/>
      </c>
      <c r="P20" s="46">
        <f>IF(OR($B$20="",$P$6=""),"",IF(AND($P$6&gt;=INDEX(tblJobs[Start],14),$P$6&lt;=INDEX(tblJobs[End],14)),IF($P$6&lt;INDEX(tblJobs[Start],14)+(INDEX(tblJobs[End],14)-INDEX(tblJobs[Start],14)+1)*INDEX(tblJobs[Complete (%)],14),2,1),""))</f>
        <v/>
      </c>
      <c r="Q20" s="46">
        <f>IF(OR($B$20="",$Q$6=""),"",IF(AND($Q$6&gt;=INDEX(tblJobs[Start],14),$Q$6&lt;=INDEX(tblJobs[End],14)),IF($Q$6&lt;INDEX(tblJobs[Start],14)+(INDEX(tblJobs[End],14)-INDEX(tblJobs[Start],14)+1)*INDEX(tblJobs[Complete (%)],14),2,1),""))</f>
        <v/>
      </c>
      <c r="R20" s="46">
        <f>IF(OR($B$20="",$R$6=""),"",IF(AND($R$6&gt;=INDEX(tblJobs[Start],14),$R$6&lt;=INDEX(tblJobs[End],14)),IF($R$6&lt;INDEX(tblJobs[Start],14)+(INDEX(tblJobs[End],14)-INDEX(tblJobs[Start],14)+1)*INDEX(tblJobs[Complete (%)],14),2,1),""))</f>
        <v/>
      </c>
      <c r="S20" s="46">
        <f>IF(OR($B$20="",$S$6=""),"",IF(AND($S$6&gt;=INDEX(tblJobs[Start],14),$S$6&lt;=INDEX(tblJobs[End],14)),IF($S$6&lt;INDEX(tblJobs[Start],14)+(INDEX(tblJobs[End],14)-INDEX(tblJobs[Start],14)+1)*INDEX(tblJobs[Complete (%)],14),2,1),""))</f>
        <v/>
      </c>
      <c r="T20" s="46">
        <f>IF(OR($B$20="",$T$6=""),"",IF(AND($T$6&gt;=INDEX(tblJobs[Start],14),$T$6&lt;=INDEX(tblJobs[End],14)),IF($T$6&lt;INDEX(tblJobs[Start],14)+(INDEX(tblJobs[End],14)-INDEX(tblJobs[Start],14)+1)*INDEX(tblJobs[Complete (%)],14),2,1),""))</f>
        <v/>
      </c>
      <c r="U20" s="46">
        <f>IF(OR($B$20="",$U$6=""),"",IF(AND($U$6&gt;=INDEX(tblJobs[Start],14),$U$6&lt;=INDEX(tblJobs[End],14)),IF($U$6&lt;INDEX(tblJobs[Start],14)+(INDEX(tblJobs[End],14)-INDEX(tblJobs[Start],14)+1)*INDEX(tblJobs[Complete (%)],14),2,1),""))</f>
        <v/>
      </c>
      <c r="V20" s="46">
        <f>IF(OR($B$20="",$V$6=""),"",IF(AND($V$6&gt;=INDEX(tblJobs[Start],14),$V$6&lt;=INDEX(tblJobs[End],14)),IF($V$6&lt;INDEX(tblJobs[Start],14)+(INDEX(tblJobs[End],14)-INDEX(tblJobs[Start],14)+1)*INDEX(tblJobs[Complete (%)],14),2,1),""))</f>
        <v/>
      </c>
    </row>
    <row r="21" spans="2:22">
      <c r="B21" s="45" t="str">
        <f>IFERROR(IF(INDEX(tblJobs[Job],15)="","",INDEX(tblJobs[Job],15)&amp;" ("&amp;INDEX(tblJobs[Machine],15)&amp;")"),"")</f>
        <v>J-4112 (LATHE-1)</v>
      </c>
      <c r="C21" s="46">
        <f>IF(OR($B$21="",$C$6=""),"",IF(AND($C$6&gt;=INDEX(tblJobs[Start],15),$C$6&lt;=INDEX(tblJobs[End],15)),IF($C$6&lt;INDEX(tblJobs[Start],15)+(INDEX(tblJobs[End],15)-INDEX(tblJobs[Start],15)+1)*INDEX(tblJobs[Complete (%)],15),2,1),""))</f>
        <v/>
      </c>
      <c r="D21" s="46">
        <f>IF(OR($B$21="",$D$6=""),"",IF(AND($D$6&gt;=INDEX(tblJobs[Start],15),$D$6&lt;=INDEX(tblJobs[End],15)),IF($D$6&lt;INDEX(tblJobs[Start],15)+(INDEX(tblJobs[End],15)-INDEX(tblJobs[Start],15)+1)*INDEX(tblJobs[Complete (%)],15),2,1),""))</f>
        <v/>
      </c>
      <c r="E21" s="46">
        <f>IF(OR($B$21="",$E$6=""),"",IF(AND($E$6&gt;=INDEX(tblJobs[Start],15),$E$6&lt;=INDEX(tblJobs[End],15)),IF($E$6&lt;INDEX(tblJobs[Start],15)+(INDEX(tblJobs[End],15)-INDEX(tblJobs[Start],15)+1)*INDEX(tblJobs[Complete (%)],15),2,1),""))</f>
        <v/>
      </c>
      <c r="F21" s="46">
        <f>IF(OR($B$21="",$F$6=""),"",IF(AND($F$6&gt;=INDEX(tblJobs[Start],15),$F$6&lt;=INDEX(tblJobs[End],15)),IF($F$6&lt;INDEX(tblJobs[Start],15)+(INDEX(tblJobs[End],15)-INDEX(tblJobs[Start],15)+1)*INDEX(tblJobs[Complete (%)],15),2,1),""))</f>
        <v/>
      </c>
      <c r="G21" s="46">
        <f>IF(OR($B$21="",$G$6=""),"",IF(AND($G$6&gt;=INDEX(tblJobs[Start],15),$G$6&lt;=INDEX(tblJobs[End],15)),IF($G$6&lt;INDEX(tblJobs[Start],15)+(INDEX(tblJobs[End],15)-INDEX(tblJobs[Start],15)+1)*INDEX(tblJobs[Complete (%)],15),2,1),""))</f>
        <v/>
      </c>
      <c r="H21" s="46">
        <f>IF(OR($B$21="",$H$6=""),"",IF(AND($H$6&gt;=INDEX(tblJobs[Start],15),$H$6&lt;=INDEX(tblJobs[End],15)),IF($H$6&lt;INDEX(tblJobs[Start],15)+(INDEX(tblJobs[End],15)-INDEX(tblJobs[Start],15)+1)*INDEX(tblJobs[Complete (%)],15),2,1),""))</f>
        <v/>
      </c>
      <c r="I21" s="46">
        <f>IF(OR($B$21="",$I$6=""),"",IF(AND($I$6&gt;=INDEX(tblJobs[Start],15),$I$6&lt;=INDEX(tblJobs[End],15)),IF($I$6&lt;INDEX(tblJobs[Start],15)+(INDEX(tblJobs[End],15)-INDEX(tblJobs[Start],15)+1)*INDEX(tblJobs[Complete (%)],15),2,1),""))</f>
        <v/>
      </c>
      <c r="J21" s="46">
        <f>IF(OR($B$21="",$J$6=""),"",IF(AND($J$6&gt;=INDEX(tblJobs[Start],15),$J$6&lt;=INDEX(tblJobs[End],15)),IF($J$6&lt;INDEX(tblJobs[Start],15)+(INDEX(tblJobs[End],15)-INDEX(tblJobs[Start],15)+1)*INDEX(tblJobs[Complete (%)],15),2,1),""))</f>
        <v/>
      </c>
      <c r="K21" s="46">
        <f>IF(OR($B$21="",$K$6=""),"",IF(AND($K$6&gt;=INDEX(tblJobs[Start],15),$K$6&lt;=INDEX(tblJobs[End],15)),IF($K$6&lt;INDEX(tblJobs[Start],15)+(INDEX(tblJobs[End],15)-INDEX(tblJobs[Start],15)+1)*INDEX(tblJobs[Complete (%)],15),2,1),""))</f>
        <v/>
      </c>
      <c r="L21" s="46">
        <f>IF(OR($B$21="",$L$6=""),"",IF(AND($L$6&gt;=INDEX(tblJobs[Start],15),$L$6&lt;=INDEX(tblJobs[End],15)),IF($L$6&lt;INDEX(tblJobs[Start],15)+(INDEX(tblJobs[End],15)-INDEX(tblJobs[Start],15)+1)*INDEX(tblJobs[Complete (%)],15),2,1),""))</f>
        <v/>
      </c>
      <c r="M21" s="46">
        <f>IF(OR($B$21="",$M$6=""),"",IF(AND($M$6&gt;=INDEX(tblJobs[Start],15),$M$6&lt;=INDEX(tblJobs[End],15)),IF($M$6&lt;INDEX(tblJobs[Start],15)+(INDEX(tblJobs[End],15)-INDEX(tblJobs[Start],15)+1)*INDEX(tblJobs[Complete (%)],15),2,1),""))</f>
        <v/>
      </c>
      <c r="N21" s="46">
        <f>IF(OR($B$21="",$N$6=""),"",IF(AND($N$6&gt;=INDEX(tblJobs[Start],15),$N$6&lt;=INDEX(tblJobs[End],15)),IF($N$6&lt;INDEX(tblJobs[Start],15)+(INDEX(tblJobs[End],15)-INDEX(tblJobs[Start],15)+1)*INDEX(tblJobs[Complete (%)],15),2,1),""))</f>
        <v/>
      </c>
      <c r="O21" s="46">
        <f>IF(OR($B$21="",$O$6=""),"",IF(AND($O$6&gt;=INDEX(tblJobs[Start],15),$O$6&lt;=INDEX(tblJobs[End],15)),IF($O$6&lt;INDEX(tblJobs[Start],15)+(INDEX(tblJobs[End],15)-INDEX(tblJobs[Start],15)+1)*INDEX(tblJobs[Complete (%)],15),2,1),""))</f>
        <v>1</v>
      </c>
      <c r="P21" s="46">
        <f>IF(OR($B$21="",$P$6=""),"",IF(AND($P$6&gt;=INDEX(tblJobs[Start],15),$P$6&lt;=INDEX(tblJobs[End],15)),IF($P$6&lt;INDEX(tblJobs[Start],15)+(INDEX(tblJobs[End],15)-INDEX(tblJobs[Start],15)+1)*INDEX(tblJobs[Complete (%)],15),2,1),""))</f>
        <v>1</v>
      </c>
      <c r="Q21" s="46">
        <f>IF(OR($B$21="",$Q$6=""),"",IF(AND($Q$6&gt;=INDEX(tblJobs[Start],15),$Q$6&lt;=INDEX(tblJobs[End],15)),IF($Q$6&lt;INDEX(tblJobs[Start],15)+(INDEX(tblJobs[End],15)-INDEX(tblJobs[Start],15)+1)*INDEX(tblJobs[Complete (%)],15),2,1),""))</f>
        <v>1</v>
      </c>
      <c r="R21" s="46">
        <f>IF(OR($B$21="",$R$6=""),"",IF(AND($R$6&gt;=INDEX(tblJobs[Start],15),$R$6&lt;=INDEX(tblJobs[End],15)),IF($R$6&lt;INDEX(tblJobs[Start],15)+(INDEX(tblJobs[End],15)-INDEX(tblJobs[Start],15)+1)*INDEX(tblJobs[Complete (%)],15),2,1),""))</f>
        <v>1</v>
      </c>
      <c r="S21" s="46">
        <f>IF(OR($B$21="",$S$6=""),"",IF(AND($S$6&gt;=INDEX(tblJobs[Start],15),$S$6&lt;=INDEX(tblJobs[End],15)),IF($S$6&lt;INDEX(tblJobs[Start],15)+(INDEX(tblJobs[End],15)-INDEX(tblJobs[Start],15)+1)*INDEX(tblJobs[Complete (%)],15),2,1),""))</f>
        <v>1</v>
      </c>
      <c r="T21" s="46">
        <f>IF(OR($B$21="",$T$6=""),"",IF(AND($T$6&gt;=INDEX(tblJobs[Start],15),$T$6&lt;=INDEX(tblJobs[End],15)),IF($T$6&lt;INDEX(tblJobs[Start],15)+(INDEX(tblJobs[End],15)-INDEX(tblJobs[Start],15)+1)*INDEX(tblJobs[Complete (%)],15),2,1),""))</f>
        <v>1</v>
      </c>
      <c r="U21" s="46">
        <f>IF(OR($B$21="",$U$6=""),"",IF(AND($U$6&gt;=INDEX(tblJobs[Start],15),$U$6&lt;=INDEX(tblJobs[End],15)),IF($U$6&lt;INDEX(tblJobs[Start],15)+(INDEX(tblJobs[End],15)-INDEX(tblJobs[Start],15)+1)*INDEX(tblJobs[Complete (%)],15),2,1),""))</f>
        <v>1</v>
      </c>
      <c r="V21" s="46">
        <f>IF(OR($B$21="",$V$6=""),"",IF(AND($V$6&gt;=INDEX(tblJobs[Start],15),$V$6&lt;=INDEX(tblJobs[End],15)),IF($V$6&lt;INDEX(tblJobs[Start],15)+(INDEX(tblJobs[End],15)-INDEX(tblJobs[Start],15)+1)*INDEX(tblJobs[Complete (%)],15),2,1),""))</f>
        <v/>
      </c>
    </row>
    <row r="22" spans="2:22">
      <c r="B22" s="45" t="str">
        <f>IFERROR(IF(INDEX(tblJobs[Job],16)="","",INDEX(tblJobs[Job],16)&amp;" ("&amp;INDEX(tblJobs[Machine],16)&amp;")"),"")</f>
        <v>J-4116 (LATHE-1)</v>
      </c>
      <c r="C22" s="46">
        <f>IF(OR($B$22="",$C$6=""),"",IF(AND($C$6&gt;=INDEX(tblJobs[Start],16),$C$6&lt;=INDEX(tblJobs[End],16)),IF($C$6&lt;INDEX(tblJobs[Start],16)+(INDEX(tblJobs[End],16)-INDEX(tblJobs[Start],16)+1)*INDEX(tblJobs[Complete (%)],16),2,1),""))</f>
        <v/>
      </c>
      <c r="D22" s="46">
        <f>IF(OR($B$22="",$D$6=""),"",IF(AND($D$6&gt;=INDEX(tblJobs[Start],16),$D$6&lt;=INDEX(tblJobs[End],16)),IF($D$6&lt;INDEX(tblJobs[Start],16)+(INDEX(tblJobs[End],16)-INDEX(tblJobs[Start],16)+1)*INDEX(tblJobs[Complete (%)],16),2,1),""))</f>
        <v/>
      </c>
      <c r="E22" s="46">
        <f>IF(OR($B$22="",$E$6=""),"",IF(AND($E$6&gt;=INDEX(tblJobs[Start],16),$E$6&lt;=INDEX(tblJobs[End],16)),IF($E$6&lt;INDEX(tblJobs[Start],16)+(INDEX(tblJobs[End],16)-INDEX(tblJobs[Start],16)+1)*INDEX(tblJobs[Complete (%)],16),2,1),""))</f>
        <v/>
      </c>
      <c r="F22" s="46">
        <f>IF(OR($B$22="",$F$6=""),"",IF(AND($F$6&gt;=INDEX(tblJobs[Start],16),$F$6&lt;=INDEX(tblJobs[End],16)),IF($F$6&lt;INDEX(tblJobs[Start],16)+(INDEX(tblJobs[End],16)-INDEX(tblJobs[Start],16)+1)*INDEX(tblJobs[Complete (%)],16),2,1),""))</f>
        <v/>
      </c>
      <c r="G22" s="46">
        <f>IF(OR($B$22="",$G$6=""),"",IF(AND($G$6&gt;=INDEX(tblJobs[Start],16),$G$6&lt;=INDEX(tblJobs[End],16)),IF($G$6&lt;INDEX(tblJobs[Start],16)+(INDEX(tblJobs[End],16)-INDEX(tblJobs[Start],16)+1)*INDEX(tblJobs[Complete (%)],16),2,1),""))</f>
        <v/>
      </c>
      <c r="H22" s="46">
        <f>IF(OR($B$22="",$H$6=""),"",IF(AND($H$6&gt;=INDEX(tblJobs[Start],16),$H$6&lt;=INDEX(tblJobs[End],16)),IF($H$6&lt;INDEX(tblJobs[Start],16)+(INDEX(tblJobs[End],16)-INDEX(tblJobs[Start],16)+1)*INDEX(tblJobs[Complete (%)],16),2,1),""))</f>
        <v/>
      </c>
      <c r="I22" s="46">
        <f>IF(OR($B$22="",$I$6=""),"",IF(AND($I$6&gt;=INDEX(tblJobs[Start],16),$I$6&lt;=INDEX(tblJobs[End],16)),IF($I$6&lt;INDEX(tblJobs[Start],16)+(INDEX(tblJobs[End],16)-INDEX(tblJobs[Start],16)+1)*INDEX(tblJobs[Complete (%)],16),2,1),""))</f>
        <v/>
      </c>
      <c r="J22" s="46">
        <f>IF(OR($B$22="",$J$6=""),"",IF(AND($J$6&gt;=INDEX(tblJobs[Start],16),$J$6&lt;=INDEX(tblJobs[End],16)),IF($J$6&lt;INDEX(tblJobs[Start],16)+(INDEX(tblJobs[End],16)-INDEX(tblJobs[Start],16)+1)*INDEX(tblJobs[Complete (%)],16),2,1),""))</f>
        <v/>
      </c>
      <c r="K22" s="46">
        <f>IF(OR($B$22="",$K$6=""),"",IF(AND($K$6&gt;=INDEX(tblJobs[Start],16),$K$6&lt;=INDEX(tblJobs[End],16)),IF($K$6&lt;INDEX(tblJobs[Start],16)+(INDEX(tblJobs[End],16)-INDEX(tblJobs[Start],16)+1)*INDEX(tblJobs[Complete (%)],16),2,1),""))</f>
        <v/>
      </c>
      <c r="L22" s="46">
        <f>IF(OR($B$22="",$L$6=""),"",IF(AND($L$6&gt;=INDEX(tblJobs[Start],16),$L$6&lt;=INDEX(tblJobs[End],16)),IF($L$6&lt;INDEX(tblJobs[Start],16)+(INDEX(tblJobs[End],16)-INDEX(tblJobs[Start],16)+1)*INDEX(tblJobs[Complete (%)],16),2,1),""))</f>
        <v/>
      </c>
      <c r="M22" s="46">
        <f>IF(OR($B$22="",$M$6=""),"",IF(AND($M$6&gt;=INDEX(tblJobs[Start],16),$M$6&lt;=INDEX(tblJobs[End],16)),IF($M$6&lt;INDEX(tblJobs[Start],16)+(INDEX(tblJobs[End],16)-INDEX(tblJobs[Start],16)+1)*INDEX(tblJobs[Complete (%)],16),2,1),""))</f>
        <v/>
      </c>
      <c r="N22" s="46">
        <f>IF(OR($B$22="",$N$6=""),"",IF(AND($N$6&gt;=INDEX(tblJobs[Start],16),$N$6&lt;=INDEX(tblJobs[End],16)),IF($N$6&lt;INDEX(tblJobs[Start],16)+(INDEX(tblJobs[End],16)-INDEX(tblJobs[Start],16)+1)*INDEX(tblJobs[Complete (%)],16),2,1),""))</f>
        <v/>
      </c>
      <c r="O22" s="46">
        <f>IF(OR($B$22="",$O$6=""),"",IF(AND($O$6&gt;=INDEX(tblJobs[Start],16),$O$6&lt;=INDEX(tblJobs[End],16)),IF($O$6&lt;INDEX(tblJobs[Start],16)+(INDEX(tblJobs[End],16)-INDEX(tblJobs[Start],16)+1)*INDEX(tblJobs[Complete (%)],16),2,1),""))</f>
        <v/>
      </c>
      <c r="P22" s="46">
        <f>IF(OR($B$22="",$P$6=""),"",IF(AND($P$6&gt;=INDEX(tblJobs[Start],16),$P$6&lt;=INDEX(tblJobs[End],16)),IF($P$6&lt;INDEX(tblJobs[Start],16)+(INDEX(tblJobs[End],16)-INDEX(tblJobs[Start],16)+1)*INDEX(tblJobs[Complete (%)],16),2,1),""))</f>
        <v/>
      </c>
      <c r="Q22" s="46">
        <f>IF(OR($B$22="",$Q$6=""),"",IF(AND($Q$6&gt;=INDEX(tblJobs[Start],16),$Q$6&lt;=INDEX(tblJobs[End],16)),IF($Q$6&lt;INDEX(tblJobs[Start],16)+(INDEX(tblJobs[End],16)-INDEX(tblJobs[Start],16)+1)*INDEX(tblJobs[Complete (%)],16),2,1),""))</f>
        <v/>
      </c>
      <c r="R22" s="46">
        <f>IF(OR($B$22="",$R$6=""),"",IF(AND($R$6&gt;=INDEX(tblJobs[Start],16),$R$6&lt;=INDEX(tblJobs[End],16)),IF($R$6&lt;INDEX(tblJobs[Start],16)+(INDEX(tblJobs[End],16)-INDEX(tblJobs[Start],16)+1)*INDEX(tblJobs[Complete (%)],16),2,1),""))</f>
        <v/>
      </c>
      <c r="S22" s="46">
        <f>IF(OR($B$22="",$S$6=""),"",IF(AND($S$6&gt;=INDEX(tblJobs[Start],16),$S$6&lt;=INDEX(tblJobs[End],16)),IF($S$6&lt;INDEX(tblJobs[Start],16)+(INDEX(tblJobs[End],16)-INDEX(tblJobs[Start],16)+1)*INDEX(tblJobs[Complete (%)],16),2,1),""))</f>
        <v/>
      </c>
      <c r="T22" s="46">
        <f>IF(OR($B$22="",$T$6=""),"",IF(AND($T$6&gt;=INDEX(tblJobs[Start],16),$T$6&lt;=INDEX(tblJobs[End],16)),IF($T$6&lt;INDEX(tblJobs[Start],16)+(INDEX(tblJobs[End],16)-INDEX(tblJobs[Start],16)+1)*INDEX(tblJobs[Complete (%)],16),2,1),""))</f>
        <v/>
      </c>
      <c r="U22" s="46">
        <f>IF(OR($B$22="",$U$6=""),"",IF(AND($U$6&gt;=INDEX(tblJobs[Start],16),$U$6&lt;=INDEX(tblJobs[End],16)),IF($U$6&lt;INDEX(tblJobs[Start],16)+(INDEX(tblJobs[End],16)-INDEX(tblJobs[Start],16)+1)*INDEX(tblJobs[Complete (%)],16),2,1),""))</f>
        <v/>
      </c>
      <c r="V22" s="46">
        <f>IF(OR($B$22="",$V$6=""),"",IF(AND($V$6&gt;=INDEX(tblJobs[Start],16),$V$6&lt;=INDEX(tblJobs[End],16)),IF($V$6&lt;INDEX(tblJobs[Start],16)+(INDEX(tblJobs[End],16)-INDEX(tblJobs[Start],16)+1)*INDEX(tblJobs[Complete (%)],16),2,1),""))</f>
        <v>1</v>
      </c>
    </row>
  </sheetData>
  <mergeCells count="5">
    <mergeCell ref="A1:V1"/>
    <mergeCell ref="B2:T2"/>
    <mergeCell ref="U2:V2"/>
    <mergeCell ref="B4:V4"/>
    <mergeCell ref="B5:V5"/>
  </mergeCells>
  <conditionalFormatting sqref="C7:V22">
    <cfRule type="expression" dxfId="4" priority="1">
      <formula>C7=2</formula>
    </cfRule>
    <cfRule type="expression" dxfId="5" priority="2">
      <formula>C7=1</formula>
    </cfRule>
  </conditionalFormatting>
  <hyperlinks>
    <hyperlink ref="U2" r:id="rId1" tooltip="Free manufacturing calculators and templates"/>
  </hyperlinks>
  <pageMargins left="0.4" right="0.4" top="0.7" bottom="0.65" header="0.3" footer="0.3"/>
  <pageSetup fitToHeight="0" orientation="landscape"/>
  <headerFooter>
    <oddHeader>&amp;L&amp;8MFG Calcs - Production Schedule Gantt&amp;R&amp;8&amp;A</oddHeader>
    <oddFooter>&amp;L&amp;8mfgcalcs.com - free manufacturing templates&amp;R&amp;8Page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59"/>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75</v>
      </c>
      <c r="C4" s="31">
        <f>PlanStart</f>
        <v>46328</v>
      </c>
      <c r="D4" s="31"/>
      <c r="F4" s="27" t="s">
        <v>159</v>
      </c>
      <c r="G4" s="31">
        <f>PlanEnd</f>
        <v>46356</v>
      </c>
      <c r="H4" s="31"/>
      <c r="J4" s="27" t="s">
        <v>79</v>
      </c>
      <c r="K4" s="31">
        <f>AsOf</f>
        <v>46337</v>
      </c>
      <c r="L4" s="31"/>
    </row>
    <row r="6" spans="1:12" ht="18" customHeight="1" x14ac:dyDescent="0.25">
      <c r="B6" s="47" t="s">
        <v>160</v>
      </c>
      <c r="C6" s="47"/>
      <c r="D6" s="47" t="s">
        <v>161</v>
      </c>
      <c r="E6" s="47"/>
      <c r="F6" s="47"/>
      <c r="G6" s="47" t="s">
        <v>162</v>
      </c>
      <c r="H6" s="47"/>
      <c r="I6" s="47"/>
      <c r="J6" s="47" t="s">
        <v>163</v>
      </c>
      <c r="K6" s="47"/>
      <c r="L6" s="47"/>
    </row>
    <row r="7" spans="1:12" ht="21" customHeight="1" x14ac:dyDescent="0.25">
      <c r="B7" s="48">
        <f>COUNTIF(tblJobs[Job],"?*")</f>
        <v>16</v>
      </c>
      <c r="C7" s="48"/>
      <c r="D7" s="48">
        <f>COUNTIF(tblJobs[On time],"No")</f>
        <v>1</v>
      </c>
      <c r="E7" s="48"/>
      <c r="F7" s="48"/>
      <c r="G7" s="48">
        <f>COUNTIF(tblJobs[Progress],"Overdue")</f>
        <v>1</v>
      </c>
      <c r="H7" s="48"/>
      <c r="I7" s="48"/>
      <c r="J7" s="49">
        <f>IF(COUNT($F$34:$F$37)=0,"",MAX($F$34:$F$37))</f>
        <v>1.13361625514403</v>
      </c>
      <c r="K7" s="49"/>
      <c r="L7" s="49"/>
    </row>
    <row r="8" spans="1:12" ht="21" customHeight="1" x14ac:dyDescent="0.25">
      <c r="B8" s="48"/>
      <c r="C8" s="48"/>
      <c r="D8" s="48"/>
      <c r="E8" s="48"/>
      <c r="F8" s="48"/>
      <c r="G8" s="48"/>
      <c r="H8" s="48"/>
      <c r="I8" s="48"/>
      <c r="J8" s="49"/>
      <c r="K8" s="49"/>
      <c r="L8" s="49"/>
    </row>
    <row r="9" spans="1:12" x14ac:dyDescent="0.25">
      <c r="B9" s="50" t="s">
        <v>164</v>
      </c>
      <c r="C9" s="50"/>
      <c r="D9" s="51">
        <f>0</f>
        <v>0</v>
      </c>
      <c r="E9" s="51"/>
      <c r="F9" s="51"/>
      <c r="G9" s="51">
        <f>0</f>
        <v>0</v>
      </c>
      <c r="H9" s="51"/>
      <c r="I9" s="51"/>
      <c r="J9" s="52">
        <f>OverAt</f>
        <v>1</v>
      </c>
      <c r="K9" s="52"/>
      <c r="L9" s="52"/>
    </row>
    <row r="10" spans="1:12" ht="18" customHeight="1" x14ac:dyDescent="0.25">
      <c r="B10" s="53"/>
      <c r="C10" s="53"/>
      <c r="D10" s="53" t="str">
        <f>IF(NOT(ISNUMBER(KpiLate)),"No data",IF(KpiLate&lt;=(0),"On target",IF(KpiLate&lt;=(0)*(1+0),"Near target","Above target")))</f>
        <v>Above target</v>
      </c>
      <c r="E10" s="53"/>
      <c r="F10" s="53"/>
      <c r="G10" s="53" t="str">
        <f>IF(NOT(ISNUMBER(KpiBehind)),"No data",IF(KpiBehind&lt;=(0),"On target",IF(KpiBehind&lt;=(0)*(1+0),"Near target","Above target")))</f>
        <v>Above target</v>
      </c>
      <c r="H10" s="53"/>
      <c r="I10" s="53"/>
      <c r="J10" s="53" t="str">
        <f>IF(NOT(ISNUMBER(KpiPeak)),"No data",IF(KpiPeak&lt;=(NearAt),"Under capacity",IF(KpiPeak&lt;=(OverAt),"Near capacity","Over capacity")))</f>
        <v>Over capacity</v>
      </c>
      <c r="K10" s="53"/>
      <c r="L10" s="53"/>
    </row>
    <row r="30" spans="2:12" x14ac:dyDescent="0.25">
      <c r="B30" s="54" t="s">
        <v>165</v>
      </c>
      <c r="C30" s="54"/>
      <c r="D30" s="54"/>
      <c r="E30" s="54"/>
      <c r="F30" s="54"/>
      <c r="G30" s="54"/>
      <c r="H30" s="54" t="s">
        <v>166</v>
      </c>
      <c r="I30" s="54"/>
      <c r="J30" s="54"/>
      <c r="K30" s="54"/>
      <c r="L30" s="54"/>
    </row>
    <row r="32" spans="2:12" x14ac:dyDescent="0.25">
      <c r="B32" s="33" t="s">
        <v>167</v>
      </c>
      <c r="C32" s="33"/>
      <c r="D32" s="33"/>
      <c r="E32" s="33"/>
      <c r="F32" s="33"/>
      <c r="G32" s="33"/>
      <c r="H32" s="33"/>
      <c r="I32" s="33"/>
      <c r="J32" s="33"/>
    </row>
    <row r="33" spans="2:12" ht="32" customHeight="1" x14ac:dyDescent="0.25">
      <c r="B33" s="43" t="s">
        <v>64</v>
      </c>
      <c r="C33" s="34" t="s">
        <v>168</v>
      </c>
      <c r="D33" s="34" t="s">
        <v>169</v>
      </c>
      <c r="E33" s="34" t="s">
        <v>170</v>
      </c>
      <c r="F33" s="34" t="s">
        <v>171</v>
      </c>
      <c r="G33" s="34" t="s">
        <v>172</v>
      </c>
      <c r="H33" s="34" t="s">
        <v>173</v>
      </c>
      <c r="I33" s="34" t="s">
        <v>174</v>
      </c>
      <c r="J33" s="34"/>
    </row>
    <row r="34" spans="2:12" x14ac:dyDescent="0.25">
      <c r="B34" s="45" t="str">
        <f>IFERROR(INDEX(tblMachines[Machine],1)&amp;"","")</f>
        <v>VMC-1</v>
      </c>
      <c r="C34" s="55">
        <f>IF($B$34="","",COUNTIFS(tblJobs[Machine],$B$34))</f>
        <v>4</v>
      </c>
      <c r="D34" s="39">
        <f>IF($B$34="","",SUMIFS(tblJobs[Work (h)],tblJobs[Machine],$B$34))</f>
        <v>165.5</v>
      </c>
      <c r="E34" s="39">
        <f>IF($B$34="","",SUMIFS(tblMachines[Usable (h/day)],tblMachines[Machine],$B$34)*HorizonDays)</f>
        <v>244.8</v>
      </c>
      <c r="F34" s="56">
        <f>IF($B$34="","",IF(($E$34)=0,"",($D$34)/($E$34)))</f>
        <v>0.676062091503268</v>
      </c>
      <c r="G34" s="39">
        <f>IF($B$34="","",IF($E$34="","",MAX(0,$D$34-$E$34)))</f>
        <v>0</v>
      </c>
      <c r="H34" s="55">
        <f>IF($B$34="","",COUNTIFS(tblJobs[Machine],$B$34,tblJobs[On time],"No"))</f>
        <v>0</v>
      </c>
      <c r="I34" s="57" t="str">
        <f>IF($B$34="","",IF($F$34="","",IF($F$34&gt;OverAt,"Over capacity",IF($F$34&gt;=NearAt,"Near capacity","Under capacity"))))</f>
        <v>Under capacity</v>
      </c>
      <c r="J34" s="57"/>
    </row>
    <row r="35" spans="2:12" x14ac:dyDescent="0.25">
      <c r="B35" s="45" t="str">
        <f>IFERROR(INDEX(tblMachines[Machine],2)&amp;"","")</f>
        <v>VMC-2</v>
      </c>
      <c r="C35" s="55">
        <f>IF($B$35="","",COUNTIFS(tblJobs[Machine],$B$35))</f>
        <v>4</v>
      </c>
      <c r="D35" s="39">
        <f>IF($B$35="","",SUMIFS(tblJobs[Work (h)],tblJobs[Machine],$B$35))</f>
        <v>157.5</v>
      </c>
      <c r="E35" s="39">
        <f>IF($B$35="","",SUMIFS(tblMachines[Usable (h/day)],tblMachines[Machine],$B$35)*HorizonDays)</f>
        <v>239.36</v>
      </c>
      <c r="F35" s="56">
        <f>IF($B$35="","",IF(($E$35)=0,"",($D$35)/($E$35)))</f>
        <v>0.658004679144385</v>
      </c>
      <c r="G35" s="39">
        <f>IF($B$35="","",IF($E$35="","",MAX(0,$D$35-$E$35)))</f>
        <v>0</v>
      </c>
      <c r="H35" s="55">
        <f>IF($B$35="","",COUNTIFS(tblJobs[Machine],$B$35,tblJobs[On time],"No"))</f>
        <v>0</v>
      </c>
      <c r="I35" s="57" t="str">
        <f>IF($B$35="","",IF($F$35="","",IF($F$35&gt;OverAt,"Over capacity",IF($F$35&gt;=NearAt,"Near capacity","Under capacity"))))</f>
        <v>Under capacity</v>
      </c>
      <c r="J35" s="57"/>
    </row>
    <row r="36" spans="2:12" x14ac:dyDescent="0.25">
      <c r="B36" s="45" t="str">
        <f>IFERROR(INDEX(tblMachines[Machine],3)&amp;"","")</f>
        <v>HMC-1</v>
      </c>
      <c r="C36" s="55">
        <f>IF($B$36="","",COUNTIFS(tblJobs[Machine],$B$36))</f>
        <v>4</v>
      </c>
      <c r="D36" s="39">
        <f>IF($B$36="","",SUMIFS(tblJobs[Work (h)],tblJobs[Machine],$B$36))</f>
        <v>276.833333333333</v>
      </c>
      <c r="E36" s="39">
        <f>IF($B$36="","",SUMIFS(tblMachines[Usable (h/day)],tblMachines[Machine],$B$36)*HorizonDays)</f>
        <v>356.224</v>
      </c>
      <c r="F36" s="56">
        <f>IF($B$36="","",IF(($E$36)=0,"",($D$36)/($E$36)))</f>
        <v>0.777132740447958</v>
      </c>
      <c r="G36" s="39">
        <f>IF($B$36="","",IF($E$36="","",MAX(0,$D$36-$E$36)))</f>
        <v>0</v>
      </c>
      <c r="H36" s="55">
        <f>IF($B$36="","",COUNTIFS(tblJobs[Machine],$B$36,tblJobs[On time],"No"))</f>
        <v>0</v>
      </c>
      <c r="I36" s="57" t="str">
        <f>IF($B$36="","",IF($F$36="","",IF($F$36&gt;OverAt,"Over capacity",IF($F$36&gt;=NearAt,"Near capacity","Under capacity"))))</f>
        <v>Under capacity</v>
      </c>
      <c r="J36" s="57"/>
    </row>
    <row r="37" spans="2:12" x14ac:dyDescent="0.25">
      <c r="B37" s="45" t="str">
        <f>IFERROR(INDEX(tblMachines[Machine],4)&amp;"","")</f>
        <v>LATHE-1</v>
      </c>
      <c r="C37" s="55">
        <f>IF($B$37="","",COUNTIFS(tblJobs[Machine],$B$37))</f>
        <v>4</v>
      </c>
      <c r="D37" s="39">
        <f>IF($B$37="","",SUMIFS(tblJobs[Work (h)],tblJobs[Machine],$B$37))</f>
        <v>146.916666666667</v>
      </c>
      <c r="E37" s="39">
        <f>IF($B$37="","",SUMIFS(tblMachines[Usable (h/day)],tblMachines[Machine],$B$37)*HorizonDays)</f>
        <v>129.6</v>
      </c>
      <c r="F37" s="56">
        <f>IF($B$37="","",IF(($E$37)=0,"",($D$37)/($E$37)))</f>
        <v>1.13361625514403</v>
      </c>
      <c r="G37" s="39">
        <f>IF($B$37="","",IF($E$37="","",MAX(0,$D$37-$E$37)))</f>
        <v>17.3166666666667</v>
      </c>
      <c r="H37" s="55">
        <f>IF($B$37="","",COUNTIFS(tblJobs[Machine],$B$37,tblJobs[On time],"No"))</f>
        <v>1</v>
      </c>
      <c r="I37" s="57" t="str">
        <f>IF($B$37="","",IF($F$37="","",IF($F$37&gt;OverAt,"Over capacity",IF($F$37&gt;=NearAt,"Near capacity","Under capacity"))))</f>
        <v>Over capacity</v>
      </c>
      <c r="J37" s="57"/>
    </row>
    <row r="39" spans="2:12" x14ac:dyDescent="0.25">
      <c r="B39" s="33" t="s">
        <v>175</v>
      </c>
      <c r="C39" s="33"/>
      <c r="D39" s="33"/>
      <c r="E39" s="33"/>
      <c r="F39" s="33"/>
      <c r="G39" s="33"/>
      <c r="H39" s="33"/>
      <c r="I39" s="33"/>
      <c r="J39" s="33"/>
      <c r="K39" s="33"/>
      <c r="L39" s="33"/>
    </row>
    <row r="40" spans="2:12" ht="32" customHeight="1" x14ac:dyDescent="0.25">
      <c r="B40" s="43" t="s">
        <v>158</v>
      </c>
      <c r="C40" s="34" t="s">
        <v>102</v>
      </c>
      <c r="D40" s="34" t="s">
        <v>107</v>
      </c>
      <c r="E40" s="34" t="s">
        <v>103</v>
      </c>
      <c r="F40" s="34" t="s">
        <v>108</v>
      </c>
      <c r="G40" s="34" t="s">
        <v>176</v>
      </c>
      <c r="H40" s="34" t="s">
        <v>177</v>
      </c>
      <c r="I40" s="34" t="s">
        <v>178</v>
      </c>
      <c r="J40" s="34" t="s">
        <v>109</v>
      </c>
      <c r="K40" s="34" t="s">
        <v>110</v>
      </c>
      <c r="L40" s="34"/>
    </row>
    <row r="41" spans="2:12" x14ac:dyDescent="0.25">
      <c r="B41" s="45" t="str">
        <f>IFERROR(IF(INDEX(tblJobs[Job],1)="","",INDEX(tblJobs[Job],1)&amp;" ("&amp;INDEX(tblJobs[Machine],1)&amp;")"),"")</f>
        <v>J-4101 (VMC-1)</v>
      </c>
      <c r="C41" s="58">
        <f>IF($B$41="","",INDEX(tblJobs[Start],1))</f>
        <v>46328</v>
      </c>
      <c r="D41" s="58">
        <f>IF($B$41="","",INDEX(tblJobs[End],1))</f>
        <v>46331</v>
      </c>
      <c r="E41" s="58">
        <f>IF($B$41="","",INDEX(tblJobs[Due],1))</f>
        <v>46336</v>
      </c>
      <c r="F41" s="40">
        <f>IF($B$41="","",INDEX(tblJobs[Slack (days)],1))</f>
        <v>3</v>
      </c>
      <c r="G41" s="55">
        <f>IF($B$41="","",IF($D$41="","",$C$41-PlanStart))</f>
        <v>0</v>
      </c>
      <c r="H41" s="39">
        <f>IF($B$41="","",IF($D$41="","",($D$41-$C$41+1)*INDEX(tblJobs[Complete (%)],1)))</f>
        <v>4</v>
      </c>
      <c r="I41" s="39">
        <f>IF($B$41="","",IF($D$41="","",$D$41-$C$41+1-$H$41))</f>
        <v>0</v>
      </c>
      <c r="J41" s="57" t="str">
        <f>IF($B$41="","",INDEX(tblJobs[On time],1))</f>
        <v>Yes</v>
      </c>
      <c r="K41" s="57" t="str">
        <f>IF($B$41="","",INDEX(tblJobs[Progress],1))</f>
        <v>Complete</v>
      </c>
      <c r="L41" s="57"/>
    </row>
    <row r="42" spans="2:12" x14ac:dyDescent="0.25">
      <c r="B42" s="45" t="str">
        <f>IFERROR(IF(INDEX(tblJobs[Job],2)="","",INDEX(tblJobs[Job],2)&amp;" ("&amp;INDEX(tblJobs[Machine],2)&amp;")"),"")</f>
        <v>J-4105 (VMC-1)</v>
      </c>
      <c r="C42" s="58">
        <f>IF($B$42="","",INDEX(tblJobs[Start],2))</f>
        <v>46332</v>
      </c>
      <c r="D42" s="58">
        <f>IF($B$42="","",INDEX(tblJobs[End],2))</f>
        <v>46337</v>
      </c>
      <c r="E42" s="58">
        <f>IF($B$42="","",INDEX(tblJobs[Due],2))</f>
        <v>46339</v>
      </c>
      <c r="F42" s="40">
        <f>IF($B$42="","",INDEX(tblJobs[Slack (days)],2))</f>
        <v>2</v>
      </c>
      <c r="G42" s="55">
        <f>IF($B$42="","",IF($D$42="","",$C$42-PlanStart))</f>
        <v>4</v>
      </c>
      <c r="H42" s="39">
        <f>IF($B$42="","",IF($D$42="","",($D$42-$C$42+1)*INDEX(tblJobs[Complete (%)],2)))</f>
        <v>4.5</v>
      </c>
      <c r="I42" s="39">
        <f>IF($B$42="","",IF($D$42="","",$D$42-$C$42+1-$H$42))</f>
        <v>1.5</v>
      </c>
      <c r="J42" s="57" t="str">
        <f>IF($B$42="","",INDEX(tblJobs[On time],2))</f>
        <v>Yes</v>
      </c>
      <c r="K42" s="57" t="str">
        <f>IF($B$42="","",INDEX(tblJobs[Progress],2))</f>
        <v>In progress</v>
      </c>
      <c r="L42" s="57"/>
    </row>
    <row r="43" spans="2:12" x14ac:dyDescent="0.25">
      <c r="B43" s="45" t="str">
        <f>IFERROR(IF(INDEX(tblJobs[Job],3)="","",INDEX(tblJobs[Job],3)&amp;" ("&amp;INDEX(tblJobs[Machine],3)&amp;")"),"")</f>
        <v>J-4109 (VMC-1)</v>
      </c>
      <c r="C43" s="58">
        <f>IF($B$43="","",INDEX(tblJobs[Start],3))</f>
        <v>46338</v>
      </c>
      <c r="D43" s="58">
        <f>IF($B$43="","",INDEX(tblJobs[End],3))</f>
        <v>46343</v>
      </c>
      <c r="E43" s="58">
        <f>IF($B$43="","",INDEX(tblJobs[Due],3))</f>
        <v>46350</v>
      </c>
      <c r="F43" s="40">
        <f>IF($B$43="","",INDEX(tblJobs[Slack (days)],3))</f>
        <v>4</v>
      </c>
      <c r="G43" s="55">
        <f>IF($B$43="","",IF($D$43="","",$C$43-PlanStart))</f>
        <v>10</v>
      </c>
      <c r="H43" s="39">
        <f>IF($B$43="","",IF($D$43="","",($D$43-$C$43+1)*INDEX(tblJobs[Complete (%)],3)))</f>
        <v>0</v>
      </c>
      <c r="I43" s="39">
        <f>IF($B$43="","",IF($D$43="","",$D$43-$C$43+1-$H$43))</f>
        <v>6</v>
      </c>
      <c r="J43" s="57" t="str">
        <f>IF($B$43="","",INDEX(tblJobs[On time],3))</f>
        <v>Yes</v>
      </c>
      <c r="K43" s="57" t="str">
        <f>IF($B$43="","",INDEX(tblJobs[Progress],3))</f>
        <v>Not started</v>
      </c>
      <c r="L43" s="57"/>
    </row>
    <row r="44" spans="2:12" x14ac:dyDescent="0.25">
      <c r="B44" s="45" t="str">
        <f>IFERROR(IF(INDEX(tblJobs[Job],4)="","",INDEX(tblJobs[Job],4)&amp;" ("&amp;INDEX(tblJobs[Machine],4)&amp;")"),"")</f>
        <v>J-4113 (VMC-1)</v>
      </c>
      <c r="C44" s="58">
        <f>IF($B$44="","",INDEX(tblJobs[Start],4))</f>
        <v>46344</v>
      </c>
      <c r="D44" s="58">
        <f>IF($B$44="","",INDEX(tblJobs[End],4))</f>
        <v>46350</v>
      </c>
      <c r="E44" s="58">
        <f>IF($B$44="","",INDEX(tblJobs[Due],4))</f>
        <v>46352</v>
      </c>
      <c r="F44" s="40">
        <f>IF($B$44="","",INDEX(tblJobs[Slack (days)],4))</f>
        <v>2</v>
      </c>
      <c r="G44" s="55">
        <f>IF($B$44="","",IF($D$44="","",$C$44-PlanStart))</f>
        <v>16</v>
      </c>
      <c r="H44" s="39">
        <f>IF($B$44="","",IF($D$44="","",($D$44-$C$44+1)*INDEX(tblJobs[Complete (%)],4)))</f>
        <v>0</v>
      </c>
      <c r="I44" s="39">
        <f>IF($B$44="","",IF($D$44="","",$D$44-$C$44+1-$H$44))</f>
        <v>7</v>
      </c>
      <c r="J44" s="57" t="str">
        <f>IF($B$44="","",INDEX(tblJobs[On time],4))</f>
        <v>Yes</v>
      </c>
      <c r="K44" s="57" t="str">
        <f>IF($B$44="","",INDEX(tblJobs[Progress],4))</f>
        <v>Not started</v>
      </c>
      <c r="L44" s="57"/>
    </row>
    <row r="45" spans="2:12" x14ac:dyDescent="0.25">
      <c r="B45" s="45" t="str">
        <f>IFERROR(IF(INDEX(tblJobs[Job],5)="","",INDEX(tblJobs[Job],5)&amp;" ("&amp;INDEX(tblJobs[Machine],5)&amp;")"),"")</f>
        <v>J-4102 (VMC-2)</v>
      </c>
      <c r="C45" s="58">
        <f>IF($B$45="","",INDEX(tblJobs[Start],5))</f>
        <v>46328</v>
      </c>
      <c r="D45" s="58">
        <f>IF($B$45="","",INDEX(tblJobs[End],5))</f>
        <v>46331</v>
      </c>
      <c r="E45" s="58">
        <f>IF($B$45="","",INDEX(tblJobs[Due],5))</f>
        <v>46337</v>
      </c>
      <c r="F45" s="40">
        <f>IF($B$45="","",INDEX(tblJobs[Slack (days)],5))</f>
        <v>4</v>
      </c>
      <c r="G45" s="55">
        <f>IF($B$45="","",IF($D$45="","",$C$45-PlanStart))</f>
        <v>0</v>
      </c>
      <c r="H45" s="39">
        <f>IF($B$45="","",IF($D$45="","",($D$45-$C$45+1)*INDEX(tblJobs[Complete (%)],5)))</f>
        <v>3.8</v>
      </c>
      <c r="I45" s="39">
        <f>IF($B$45="","",IF($D$45="","",$D$45-$C$45+1-$H$45))</f>
        <v>0.2</v>
      </c>
      <c r="J45" s="57" t="str">
        <f>IF($B$45="","",INDEX(tblJobs[On time],5))</f>
        <v>Yes</v>
      </c>
      <c r="K45" s="57" t="str">
        <f>IF($B$45="","",INDEX(tblJobs[Progress],5))</f>
        <v>Overdue</v>
      </c>
      <c r="L45" s="57"/>
    </row>
    <row r="46" spans="2:12" x14ac:dyDescent="0.25">
      <c r="B46" s="45" t="str">
        <f>IFERROR(IF(INDEX(tblJobs[Job],6)="","",INDEX(tblJobs[Job],6)&amp;" ("&amp;INDEX(tblJobs[Machine],6)&amp;")"),"")</f>
        <v>J-4106 (VMC-2)</v>
      </c>
      <c r="C46" s="58">
        <f>IF($B$46="","",INDEX(tblJobs[Start],6))</f>
        <v>46332</v>
      </c>
      <c r="D46" s="58">
        <f>IF($B$46="","",INDEX(tblJobs[End],6))</f>
        <v>46337</v>
      </c>
      <c r="E46" s="58">
        <f>IF($B$46="","",INDEX(tblJobs[Due],6))</f>
        <v>46342</v>
      </c>
      <c r="F46" s="40">
        <f>IF($B$46="","",INDEX(tblJobs[Slack (days)],6))</f>
        <v>3</v>
      </c>
      <c r="G46" s="55">
        <f>IF($B$46="","",IF($D$46="","",$C$46-PlanStart))</f>
        <v>4</v>
      </c>
      <c r="H46" s="39">
        <f>IF($B$46="","",IF($D$46="","",($D$46-$C$46+1)*INDEX(tblJobs[Complete (%)],6)))</f>
        <v>4.5</v>
      </c>
      <c r="I46" s="39">
        <f>IF($B$46="","",IF($D$46="","",$D$46-$C$46+1-$H$46))</f>
        <v>1.5</v>
      </c>
      <c r="J46" s="57" t="str">
        <f>IF($B$46="","",INDEX(tblJobs[On time],6))</f>
        <v>Yes</v>
      </c>
      <c r="K46" s="57" t="str">
        <f>IF($B$46="","",INDEX(tblJobs[Progress],6))</f>
        <v>In progress</v>
      </c>
      <c r="L46" s="57"/>
    </row>
    <row r="47" spans="2:12" x14ac:dyDescent="0.25">
      <c r="B47" s="45" t="str">
        <f>IFERROR(IF(INDEX(tblJobs[Job],7)="","",INDEX(tblJobs[Job],7)&amp;" ("&amp;INDEX(tblJobs[Machine],7)&amp;")"),"")</f>
        <v>J-4110 (VMC-2)</v>
      </c>
      <c r="C47" s="58">
        <f>IF($B$47="","",INDEX(tblJobs[Start],7))</f>
        <v>46338</v>
      </c>
      <c r="D47" s="58">
        <f>IF($B$47="","",INDEX(tblJobs[End],7))</f>
        <v>46343</v>
      </c>
      <c r="E47" s="58">
        <f>IF($B$47="","",INDEX(tblJobs[Due],7))</f>
        <v>46345</v>
      </c>
      <c r="F47" s="40">
        <f>IF($B$47="","",INDEX(tblJobs[Slack (days)],7))</f>
        <v>2</v>
      </c>
      <c r="G47" s="55">
        <f>IF($B$47="","",IF($D$47="","",$C$47-PlanStart))</f>
        <v>10</v>
      </c>
      <c r="H47" s="39">
        <f>IF($B$47="","",IF($D$47="","",($D$47-$C$47+1)*INDEX(tblJobs[Complete (%)],7)))</f>
        <v>0</v>
      </c>
      <c r="I47" s="39">
        <f>IF($B$47="","",IF($D$47="","",$D$47-$C$47+1-$H$47))</f>
        <v>6</v>
      </c>
      <c r="J47" s="57" t="str">
        <f>IF($B$47="","",INDEX(tblJobs[On time],7))</f>
        <v>Yes</v>
      </c>
      <c r="K47" s="57" t="str">
        <f>IF($B$47="","",INDEX(tblJobs[Progress],7))</f>
        <v>Not started</v>
      </c>
      <c r="L47" s="57"/>
    </row>
    <row r="48" spans="2:12" x14ac:dyDescent="0.25">
      <c r="B48" s="45" t="str">
        <f>IFERROR(IF(INDEX(tblJobs[Job],8)="","",INDEX(tblJobs[Job],8)&amp;" ("&amp;INDEX(tblJobs[Machine],8)&amp;")"),"")</f>
        <v>J-4114 (VMC-2)</v>
      </c>
      <c r="C48" s="58">
        <f>IF($B$48="","",INDEX(tblJobs[Start],8))</f>
        <v>46344</v>
      </c>
      <c r="D48" s="58">
        <f>IF($B$48="","",INDEX(tblJobs[End],8))</f>
        <v>46349</v>
      </c>
      <c r="E48" s="58">
        <f>IF($B$48="","",INDEX(tblJobs[Due],8))</f>
        <v>46352</v>
      </c>
      <c r="F48" s="40">
        <f>IF($B$48="","",INDEX(tblJobs[Slack (days)],8))</f>
        <v>3</v>
      </c>
      <c r="G48" s="55">
        <f>IF($B$48="","",IF($D$48="","",$C$48-PlanStart))</f>
        <v>16</v>
      </c>
      <c r="H48" s="39">
        <f>IF($B$48="","",IF($D$48="","",($D$48-$C$48+1)*INDEX(tblJobs[Complete (%)],8)))</f>
        <v>0</v>
      </c>
      <c r="I48" s="39">
        <f>IF($B$48="","",IF($D$48="","",$D$48-$C$48+1-$H$48))</f>
        <v>6</v>
      </c>
      <c r="J48" s="57" t="str">
        <f>IF($B$48="","",INDEX(tblJobs[On time],8))</f>
        <v>Yes</v>
      </c>
      <c r="K48" s="57" t="str">
        <f>IF($B$48="","",INDEX(tblJobs[Progress],8))</f>
        <v>Not started</v>
      </c>
      <c r="L48" s="57"/>
    </row>
    <row r="49" spans="2:12" x14ac:dyDescent="0.25">
      <c r="B49" s="45" t="str">
        <f>IFERROR(IF(INDEX(tblJobs[Job],9)="","",INDEX(tblJobs[Job],9)&amp;" ("&amp;INDEX(tblJobs[Machine],9)&amp;")"),"")</f>
        <v>J-4103 (HMC-1)</v>
      </c>
      <c r="C49" s="58">
        <f>IF($B$49="","",INDEX(tblJobs[Start],9))</f>
        <v>46328</v>
      </c>
      <c r="D49" s="58">
        <f>IF($B$49="","",INDEX(tblJobs[End],9))</f>
        <v>46332</v>
      </c>
      <c r="E49" s="58">
        <f>IF($B$49="","",INDEX(tblJobs[Due],9))</f>
        <v>46336</v>
      </c>
      <c r="F49" s="40">
        <f>IF($B$49="","",INDEX(tblJobs[Slack (days)],9))</f>
        <v>2</v>
      </c>
      <c r="G49" s="55">
        <f>IF($B$49="","",IF($D$49="","",$C$49-PlanStart))</f>
        <v>0</v>
      </c>
      <c r="H49" s="39">
        <f>IF($B$49="","",IF($D$49="","",($D$49-$C$49+1)*INDEX(tblJobs[Complete (%)],9)))</f>
        <v>5</v>
      </c>
      <c r="I49" s="39">
        <f>IF($B$49="","",IF($D$49="","",$D$49-$C$49+1-$H$49))</f>
        <v>0</v>
      </c>
      <c r="J49" s="57" t="str">
        <f>IF($B$49="","",INDEX(tblJobs[On time],9))</f>
        <v>Yes</v>
      </c>
      <c r="K49" s="57" t="str">
        <f>IF($B$49="","",INDEX(tblJobs[Progress],9))</f>
        <v>Complete</v>
      </c>
      <c r="L49" s="57"/>
    </row>
    <row r="50" spans="2:12" x14ac:dyDescent="0.25">
      <c r="B50" s="45" t="str">
        <f>IFERROR(IF(INDEX(tblJobs[Job],10)="","",INDEX(tblJobs[Job],10)&amp;" ("&amp;INDEX(tblJobs[Machine],10)&amp;")"),"")</f>
        <v>J-4107 (HMC-1)</v>
      </c>
      <c r="C50" s="58">
        <f>IF($B$50="","",INDEX(tblJobs[Start],10))</f>
        <v>46335</v>
      </c>
      <c r="D50" s="58">
        <f>IF($B$50="","",INDEX(tblJobs[End],10))</f>
        <v>46339</v>
      </c>
      <c r="E50" s="58">
        <f>IF($B$50="","",INDEX(tblJobs[Due],10))</f>
        <v>46344</v>
      </c>
      <c r="F50" s="40">
        <f>IF($B$50="","",INDEX(tblJobs[Slack (days)],10))</f>
        <v>3</v>
      </c>
      <c r="G50" s="55">
        <f>IF($B$50="","",IF($D$50="","",$C$50-PlanStart))</f>
        <v>7</v>
      </c>
      <c r="H50" s="39">
        <f>IF($B$50="","",IF($D$50="","",($D$50-$C$50+1)*INDEX(tblJobs[Complete (%)],10)))</f>
        <v>2</v>
      </c>
      <c r="I50" s="39">
        <f>IF($B$50="","",IF($D$50="","",$D$50-$C$50+1-$H$50))</f>
        <v>3</v>
      </c>
      <c r="J50" s="57" t="str">
        <f>IF($B$50="","",INDEX(tblJobs[On time],10))</f>
        <v>Yes</v>
      </c>
      <c r="K50" s="57" t="str">
        <f>IF($B$50="","",INDEX(tblJobs[Progress],10))</f>
        <v>In progress</v>
      </c>
      <c r="L50" s="57"/>
    </row>
    <row r="51" spans="2:12" x14ac:dyDescent="0.25">
      <c r="B51" s="45" t="str">
        <f>IFERROR(IF(INDEX(tblJobs[Job],11)="","",INDEX(tblJobs[Job],11)&amp;" ("&amp;INDEX(tblJobs[Machine],11)&amp;")"),"")</f>
        <v>J-4111 (HMC-1)</v>
      </c>
      <c r="C51" s="58">
        <f>IF($B$51="","",INDEX(tblJobs[Start],11))</f>
        <v>46342</v>
      </c>
      <c r="D51" s="58">
        <f>IF($B$51="","",INDEX(tblJobs[End],11))</f>
        <v>46345</v>
      </c>
      <c r="E51" s="58">
        <f>IF($B$51="","",INDEX(tblJobs[Due],11))</f>
        <v>46350</v>
      </c>
      <c r="F51" s="40">
        <f>IF($B$51="","",INDEX(tblJobs[Slack (days)],11))</f>
        <v>2</v>
      </c>
      <c r="G51" s="55">
        <f>IF($B$51="","",IF($D$51="","",$C$51-PlanStart))</f>
        <v>14</v>
      </c>
      <c r="H51" s="39">
        <f>IF($B$51="","",IF($D$51="","",($D$51-$C$51+1)*INDEX(tblJobs[Complete (%)],11)))</f>
        <v>0</v>
      </c>
      <c r="I51" s="39">
        <f>IF($B$51="","",IF($D$51="","",$D$51-$C$51+1-$H$51))</f>
        <v>4</v>
      </c>
      <c r="J51" s="57" t="str">
        <f>IF($B$51="","",INDEX(tblJobs[On time],11))</f>
        <v>Yes</v>
      </c>
      <c r="K51" s="57" t="str">
        <f>IF($B$51="","",INDEX(tblJobs[Progress],11))</f>
        <v>Not started</v>
      </c>
      <c r="L51" s="57"/>
    </row>
    <row r="52" spans="2:12" x14ac:dyDescent="0.25">
      <c r="B52" s="45" t="str">
        <f>IFERROR(IF(INDEX(tblJobs[Job],12)="","",INDEX(tblJobs[Job],12)&amp;" ("&amp;INDEX(tblJobs[Machine],12)&amp;")"),"")</f>
        <v>J-4115 (HMC-1)</v>
      </c>
      <c r="C52" s="58">
        <f>IF($B$52="","",INDEX(tblJobs[Start],12))</f>
        <v>46349</v>
      </c>
      <c r="D52" s="58">
        <f>IF($B$52="","",INDEX(tblJobs[End],12))</f>
        <v>46352</v>
      </c>
      <c r="E52" s="58">
        <f>IF($B$52="","",INDEX(tblJobs[Due],12))</f>
        <v>46356</v>
      </c>
      <c r="F52" s="40">
        <f>IF($B$52="","",INDEX(tblJobs[Slack (days)],12))</f>
        <v>2</v>
      </c>
      <c r="G52" s="55">
        <f>IF($B$52="","",IF($D$52="","",$C$52-PlanStart))</f>
        <v>21</v>
      </c>
      <c r="H52" s="39">
        <f>IF($B$52="","",IF($D$52="","",($D$52-$C$52+1)*INDEX(tblJobs[Complete (%)],12)))</f>
        <v>0</v>
      </c>
      <c r="I52" s="39">
        <f>IF($B$52="","",IF($D$52="","",$D$52-$C$52+1-$H$52))</f>
        <v>4</v>
      </c>
      <c r="J52" s="57" t="str">
        <f>IF($B$52="","",INDEX(tblJobs[On time],12))</f>
        <v>Yes</v>
      </c>
      <c r="K52" s="57" t="str">
        <f>IF($B$52="","",INDEX(tblJobs[Progress],12))</f>
        <v>Not started</v>
      </c>
      <c r="L52" s="57"/>
    </row>
    <row r="53" spans="2:12" x14ac:dyDescent="0.25">
      <c r="B53" s="45" t="str">
        <f>IFERROR(IF(INDEX(tblJobs[Job],13)="","",INDEX(tblJobs[Job],13)&amp;" ("&amp;INDEX(tblJobs[Machine],13)&amp;")"),"")</f>
        <v>J-4104 (LATHE-1)</v>
      </c>
      <c r="C53" s="58">
        <f>IF($B$53="","",INDEX(tblJobs[Start],13))</f>
        <v>46328</v>
      </c>
      <c r="D53" s="58">
        <f>IF($B$53="","",INDEX(tblJobs[End],13))</f>
        <v>46335</v>
      </c>
      <c r="E53" s="58">
        <f>IF($B$53="","",INDEX(tblJobs[Due],13))</f>
        <v>46337</v>
      </c>
      <c r="F53" s="40">
        <f>IF($B$53="","",INDEX(tblJobs[Slack (days)],13))</f>
        <v>2</v>
      </c>
      <c r="G53" s="55">
        <f>IF($B$53="","",IF($D$53="","",$C$53-PlanStart))</f>
        <v>0</v>
      </c>
      <c r="H53" s="39">
        <f>IF($B$53="","",IF($D$53="","",($D$53-$C$53+1)*INDEX(tblJobs[Complete (%)],13)))</f>
        <v>8</v>
      </c>
      <c r="I53" s="39">
        <f>IF($B$53="","",IF($D$53="","",$D$53-$C$53+1-$H$53))</f>
        <v>0</v>
      </c>
      <c r="J53" s="57" t="str">
        <f>IF($B$53="","",INDEX(tblJobs[On time],13))</f>
        <v>Yes</v>
      </c>
      <c r="K53" s="57" t="str">
        <f>IF($B$53="","",INDEX(tblJobs[Progress],13))</f>
        <v>Complete</v>
      </c>
      <c r="L53" s="57"/>
    </row>
    <row r="54" spans="2:12" x14ac:dyDescent="0.25">
      <c r="B54" s="45" t="str">
        <f>IFERROR(IF(INDEX(tblJobs[Job],14)="","",INDEX(tblJobs[Job],14)&amp;" ("&amp;INDEX(tblJobs[Machine],14)&amp;")"),"")</f>
        <v>J-4108 (LATHE-1)</v>
      </c>
      <c r="C54" s="58">
        <f>IF($B$54="","",INDEX(tblJobs[Start],14))</f>
        <v>46336</v>
      </c>
      <c r="D54" s="58">
        <f>IF($B$54="","",INDEX(tblJobs[End],14))</f>
        <v>46343</v>
      </c>
      <c r="E54" s="58">
        <f>IF($B$54="","",INDEX(tblJobs[Due],14))</f>
        <v>46345</v>
      </c>
      <c r="F54" s="40">
        <f>IF($B$54="","",INDEX(tblJobs[Slack (days)],14))</f>
        <v>2</v>
      </c>
      <c r="G54" s="55">
        <f>IF($B$54="","",IF($D$54="","",$C$54-PlanStart))</f>
        <v>8</v>
      </c>
      <c r="H54" s="39">
        <f>IF($B$54="","",IF($D$54="","",($D$54-$C$54+1)*INDEX(tblJobs[Complete (%)],14)))</f>
        <v>1.2</v>
      </c>
      <c r="I54" s="39">
        <f>IF($B$54="","",IF($D$54="","",$D$54-$C$54+1-$H$54))</f>
        <v>6.8</v>
      </c>
      <c r="J54" s="57" t="str">
        <f>IF($B$54="","",INDEX(tblJobs[On time],14))</f>
        <v>Yes</v>
      </c>
      <c r="K54" s="57" t="str">
        <f>IF($B$54="","",INDEX(tblJobs[Progress],14))</f>
        <v>In progress</v>
      </c>
      <c r="L54" s="57"/>
    </row>
    <row r="55" spans="2:12" x14ac:dyDescent="0.25">
      <c r="B55" s="45" t="str">
        <f>IFERROR(IF(INDEX(tblJobs[Job],15)="","",INDEX(tblJobs[Job],15)&amp;" ("&amp;INDEX(tblJobs[Machine],15)&amp;")"),"")</f>
        <v>J-4112 (LATHE-1)</v>
      </c>
      <c r="C55" s="58">
        <f>IF($B$55="","",INDEX(tblJobs[Start],15))</f>
        <v>46344</v>
      </c>
      <c r="D55" s="58">
        <f>IF($B$55="","",INDEX(tblJobs[End],15))</f>
        <v>46353</v>
      </c>
      <c r="E55" s="58">
        <f>IF($B$55="","",INDEX(tblJobs[Due],15))</f>
        <v>46356</v>
      </c>
      <c r="F55" s="40">
        <f>IF($B$55="","",INDEX(tblJobs[Slack (days)],15))</f>
        <v>1</v>
      </c>
      <c r="G55" s="55">
        <f>IF($B$55="","",IF($D$55="","",$C$55-PlanStart))</f>
        <v>16</v>
      </c>
      <c r="H55" s="39">
        <f>IF($B$55="","",IF($D$55="","",($D$55-$C$55+1)*INDEX(tblJobs[Complete (%)],15)))</f>
        <v>0</v>
      </c>
      <c r="I55" s="39">
        <f>IF($B$55="","",IF($D$55="","",$D$55-$C$55+1-$H$55))</f>
        <v>10</v>
      </c>
      <c r="J55" s="57" t="str">
        <f>IF($B$55="","",INDEX(tblJobs[On time],15))</f>
        <v>Yes</v>
      </c>
      <c r="K55" s="57" t="str">
        <f>IF($B$55="","",INDEX(tblJobs[Progress],15))</f>
        <v>Not started</v>
      </c>
      <c r="L55" s="57"/>
    </row>
    <row r="56" spans="2:12" x14ac:dyDescent="0.25">
      <c r="B56" s="45" t="str">
        <f>IFERROR(IF(INDEX(tblJobs[Job],16)="","",INDEX(tblJobs[Job],16)&amp;" ("&amp;INDEX(tblJobs[Machine],16)&amp;")"),"")</f>
        <v>J-4116 (LATHE-1)</v>
      </c>
      <c r="C56" s="58">
        <f>IF($B$56="","",INDEX(tblJobs[Start],16))</f>
        <v>46356</v>
      </c>
      <c r="D56" s="58">
        <f>IF($B$56="","",INDEX(tblJobs[End],16))</f>
        <v>46363</v>
      </c>
      <c r="E56" s="58">
        <f>IF($B$56="","",INDEX(tblJobs[Due],16))</f>
        <v>46358</v>
      </c>
      <c r="F56" s="40">
        <f>IF($B$56="","",INDEX(tblJobs[Slack (days)],16))</f>
        <v>-3</v>
      </c>
      <c r="G56" s="55">
        <f>IF($B$56="","",IF($D$56="","",$C$56-PlanStart))</f>
        <v>28</v>
      </c>
      <c r="H56" s="39">
        <f>IF($B$56="","",IF($D$56="","",($D$56-$C$56+1)*INDEX(tblJobs[Complete (%)],16)))</f>
        <v>0</v>
      </c>
      <c r="I56" s="39">
        <f>IF($B$56="","",IF($D$56="","",$D$56-$C$56+1-$H$56))</f>
        <v>8</v>
      </c>
      <c r="J56" s="57" t="str">
        <f>IF($B$56="","",INDEX(tblJobs[On time],16))</f>
        <v>No</v>
      </c>
      <c r="K56" s="57" t="str">
        <f>IF($B$56="","",INDEX(tblJobs[Progress],16))</f>
        <v>Not started</v>
      </c>
      <c r="L56" s="57"/>
    </row>
    <row r="57" spans="2:12" ht="8" customHeight="1" x14ac:dyDescent="0.25"/>
    <row r="58" spans="2:12" x14ac:dyDescent="0.25">
      <c r="B58" s="21" t="s">
        <v>179</v>
      </c>
      <c r="C58" s="21"/>
      <c r="D58" s="21"/>
      <c r="E58" s="21"/>
      <c r="F58" s="21"/>
      <c r="G58" s="21"/>
      <c r="H58" s="21"/>
      <c r="I58" s="21"/>
      <c r="J58" s="21"/>
      <c r="K58" s="21"/>
      <c r="L58" s="21"/>
    </row>
    <row r="59" spans="2:12" x14ac:dyDescent="0.25">
      <c r="B59" s="59">
        <f>IF(OR(COUNTIF(tblJobs[Job],"?*")&gt;16,COUNTA(tblMachines[Machine])&gt;4),"The Schedule or the machine list is longer than the Dashboard blocks: some rows are not shown.","")</f>
        <v/>
      </c>
      <c r="C59" s="59"/>
      <c r="D59" s="59"/>
      <c r="E59" s="59"/>
      <c r="F59" s="59"/>
      <c r="G59" s="59"/>
      <c r="H59" s="59"/>
      <c r="I59" s="59"/>
      <c r="J59" s="59"/>
      <c r="K59" s="59"/>
      <c r="L59" s="59"/>
    </row>
  </sheetData>
  <sheetProtection sheet="1" formatColumns="0" formatRows="0"/>
  <mergeCells count="50">
    <mergeCell ref="A1:L1"/>
    <mergeCell ref="B2:J2"/>
    <mergeCell ref="K2:L2"/>
    <mergeCell ref="C4:D4"/>
    <mergeCell ref="G4:H4"/>
    <mergeCell ref="K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30:G30"/>
    <mergeCell ref="H30:L30"/>
    <mergeCell ref="B32:J32"/>
    <mergeCell ref="I33:J33"/>
    <mergeCell ref="I34:J34"/>
    <mergeCell ref="I35:J35"/>
    <mergeCell ref="I36:J36"/>
    <mergeCell ref="I37:J37"/>
    <mergeCell ref="B39:L39"/>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5:L55"/>
    <mergeCell ref="K56:L56"/>
    <mergeCell ref="B58:L58"/>
    <mergeCell ref="B59:L59"/>
  </mergeCells>
  <conditionalFormatting sqref="D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F34:F37">
    <cfRule type="dataBar" priority="61">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G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I34:I37">
    <cfRule type="cellIs" dxfId="0" priority="62" operator="equal">
      <formula>"On target"</formula>
    </cfRule>
    <cfRule type="cellIs" dxfId="0" priority="63" operator="equal">
      <formula>"PASS"</formula>
    </cfRule>
    <cfRule type="cellIs" dxfId="0" priority="64" operator="equal">
      <formula>"OK"</formula>
    </cfRule>
    <cfRule type="cellIs" dxfId="0" priority="65" operator="equal">
      <formula>"Within limits"</formula>
    </cfRule>
    <cfRule type="cellIs" dxfId="0" priority="66" operator="equal">
      <formula>"Under capacity"</formula>
    </cfRule>
    <cfRule type="cellIs" dxfId="0" priority="67" operator="equal">
      <formula>"Complete"</formula>
    </cfRule>
    <cfRule type="cellIs" dxfId="0" priority="68" operator="equal">
      <formula>"Yes"</formula>
    </cfRule>
    <cfRule type="cellIs" dxfId="1" priority="69" operator="equal">
      <formula>"Near target"</formula>
    </cfRule>
    <cfRule type="cellIs" dxfId="1" priority="70" operator="equal">
      <formula>"Check"</formula>
    </cfRule>
    <cfRule type="cellIs" dxfId="1" priority="71" operator="equal">
      <formula>"Due soon"</formula>
    </cfRule>
    <cfRule type="cellIs" dxfId="1" priority="72" operator="equal">
      <formula>"Near capacity"</formula>
    </cfRule>
    <cfRule type="cellIs" dxfId="1" priority="73" operator="equal">
      <formula>"In progress"</formula>
    </cfRule>
    <cfRule type="cellIs" dxfId="1" priority="74" operator="equal">
      <formula>"Partial"</formula>
    </cfRule>
    <cfRule type="cellIs" dxfId="2" priority="75" operator="equal">
      <formula>"Below target"</formula>
    </cfRule>
    <cfRule type="cellIs" dxfId="2" priority="76" operator="equal">
      <formula>"Above target"</formula>
    </cfRule>
    <cfRule type="cellIs" dxfId="2" priority="77" operator="equal">
      <formula>"FAIL"</formula>
    </cfRule>
    <cfRule type="cellIs" dxfId="2" priority="78" operator="equal">
      <formula>"Over capacity"</formula>
    </cfRule>
    <cfRule type="cellIs" dxfId="2" priority="79" operator="equal">
      <formula>"Overdue"</formula>
    </cfRule>
    <cfRule type="cellIs" dxfId="2" priority="80" operator="equal">
      <formula>"Out of limits"</formula>
    </cfRule>
    <cfRule type="cellIs" dxfId="2" priority="81" operator="equal">
      <formula>"No"</formula>
    </cfRule>
  </conditionalFormatting>
  <conditionalFormatting sqref="J10">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J41:J56">
    <cfRule type="cellIs" dxfId="0" priority="82" operator="equal">
      <formula>"On target"</formula>
    </cfRule>
    <cfRule type="cellIs" dxfId="0" priority="83" operator="equal">
      <formula>"PASS"</formula>
    </cfRule>
    <cfRule type="cellIs" dxfId="0" priority="84" operator="equal">
      <formula>"OK"</formula>
    </cfRule>
    <cfRule type="cellIs" dxfId="0" priority="85" operator="equal">
      <formula>"Within limits"</formula>
    </cfRule>
    <cfRule type="cellIs" dxfId="0" priority="86" operator="equal">
      <formula>"Under capacity"</formula>
    </cfRule>
    <cfRule type="cellIs" dxfId="0" priority="87" operator="equal">
      <formula>"Complete"</formula>
    </cfRule>
    <cfRule type="cellIs" dxfId="0" priority="88" operator="equal">
      <formula>"Yes"</formula>
    </cfRule>
    <cfRule type="cellIs" dxfId="1" priority="89" operator="equal">
      <formula>"Near target"</formula>
    </cfRule>
    <cfRule type="cellIs" dxfId="1" priority="90" operator="equal">
      <formula>"Check"</formula>
    </cfRule>
    <cfRule type="cellIs" dxfId="1" priority="91" operator="equal">
      <formula>"Due soon"</formula>
    </cfRule>
    <cfRule type="cellIs" dxfId="1" priority="92" operator="equal">
      <formula>"Near capacity"</formula>
    </cfRule>
    <cfRule type="cellIs" dxfId="1" priority="93" operator="equal">
      <formula>"In progress"</formula>
    </cfRule>
    <cfRule type="cellIs" dxfId="1" priority="94" operator="equal">
      <formula>"Partial"</formula>
    </cfRule>
    <cfRule type="cellIs" dxfId="2" priority="95" operator="equal">
      <formula>"Below target"</formula>
    </cfRule>
    <cfRule type="cellIs" dxfId="2" priority="96" operator="equal">
      <formula>"Above target"</formula>
    </cfRule>
    <cfRule type="cellIs" dxfId="2" priority="97" operator="equal">
      <formula>"FAIL"</formula>
    </cfRule>
    <cfRule type="cellIs" dxfId="2" priority="98" operator="equal">
      <formula>"Over capacity"</formula>
    </cfRule>
    <cfRule type="cellIs" dxfId="2" priority="99" operator="equal">
      <formula>"Overdue"</formula>
    </cfRule>
    <cfRule type="cellIs" dxfId="2" priority="100" operator="equal">
      <formula>"Out of limits"</formula>
    </cfRule>
    <cfRule type="cellIs" dxfId="2" priority="101" operator="equal">
      <formula>"No"</formula>
    </cfRule>
  </conditionalFormatting>
  <conditionalFormatting sqref="K41:K56">
    <cfRule type="cellIs" dxfId="0" priority="102" operator="equal">
      <formula>"On target"</formula>
    </cfRule>
    <cfRule type="cellIs" dxfId="0" priority="103" operator="equal">
      <formula>"PASS"</formula>
    </cfRule>
    <cfRule type="cellIs" dxfId="0" priority="104" operator="equal">
      <formula>"OK"</formula>
    </cfRule>
    <cfRule type="cellIs" dxfId="0" priority="105" operator="equal">
      <formula>"Within limits"</formula>
    </cfRule>
    <cfRule type="cellIs" dxfId="0" priority="106" operator="equal">
      <formula>"Under capacity"</formula>
    </cfRule>
    <cfRule type="cellIs" dxfId="0" priority="107" operator="equal">
      <formula>"Complete"</formula>
    </cfRule>
    <cfRule type="cellIs" dxfId="0" priority="108" operator="equal">
      <formula>"Yes"</formula>
    </cfRule>
    <cfRule type="cellIs" dxfId="1" priority="109" operator="equal">
      <formula>"Near target"</formula>
    </cfRule>
    <cfRule type="cellIs" dxfId="1" priority="110" operator="equal">
      <formula>"Check"</formula>
    </cfRule>
    <cfRule type="cellIs" dxfId="1" priority="111" operator="equal">
      <formula>"Due soon"</formula>
    </cfRule>
    <cfRule type="cellIs" dxfId="1" priority="112" operator="equal">
      <formula>"Near capacity"</formula>
    </cfRule>
    <cfRule type="cellIs" dxfId="1" priority="113" operator="equal">
      <formula>"In progress"</formula>
    </cfRule>
    <cfRule type="cellIs" dxfId="1" priority="114" operator="equal">
      <formula>"Partial"</formula>
    </cfRule>
    <cfRule type="cellIs" dxfId="2" priority="115" operator="equal">
      <formula>"Below target"</formula>
    </cfRule>
    <cfRule type="cellIs" dxfId="2" priority="116" operator="equal">
      <formula>"Above target"</formula>
    </cfRule>
    <cfRule type="cellIs" dxfId="2" priority="117" operator="equal">
      <formula>"FAIL"</formula>
    </cfRule>
    <cfRule type="cellIs" dxfId="2" priority="118" operator="equal">
      <formula>"Over capacity"</formula>
    </cfRule>
    <cfRule type="cellIs" dxfId="2" priority="119" operator="equal">
      <formula>"Overdue"</formula>
    </cfRule>
    <cfRule type="cellIs" dxfId="2" priority="120" operator="equal">
      <formula>"Out of limits"</formula>
    </cfRule>
    <cfRule type="cellIs" dxfId="2" priority="121"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Production Schedule Gantt&amp;R&amp;8&amp;A</oddHeader>
    <oddFooter>&amp;L&amp;8mfgcalcs.com - free manufacturing templates&amp;R&amp;8Page &amp;P of &amp;N</oddFooter>
  </headerFooter>
  <rowBreaks count="2" manualBreakCount="2">
    <brk id="11" max="16383" man="1"/>
    <brk id="38"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F34:F37</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180</v>
      </c>
      <c r="C4" s="8"/>
      <c r="D4" s="8"/>
    </row>
    <row r="5" spans="1:4" ht="5" customHeight="1"/>
    <row r="6" spans="1:4" ht="55.8" customHeight="1">
      <c r="B6" s="10" t="s">
        <v>181</v>
      </c>
      <c r="C6" s="10"/>
      <c r="D6" s="10"/>
    </row>
    <row r="8" spans="1:4" ht="21" customHeight="1">
      <c r="B8" s="8" t="s">
        <v>182</v>
      </c>
      <c r="C8" s="8"/>
      <c r="D8" s="8"/>
    </row>
    <row r="9" spans="1:4" ht="5" customHeight="1"/>
    <row r="10" spans="1:4" ht="20" customHeight="1">
      <c r="B10" s="43" t="s">
        <v>183</v>
      </c>
      <c r="C10" s="43" t="s">
        <v>184</v>
      </c>
      <c r="D10" s="34" t="s">
        <v>185</v>
      </c>
    </row>
    <row r="11" spans="1:4" ht="17.2" customHeight="1">
      <c r="B11" s="60" t="s">
        <v>186</v>
      </c>
      <c r="C11" s="61" t="s">
        <v>187</v>
      </c>
      <c r="D11" s="62" t="s">
        <v>188</v>
      </c>
    </row>
    <row r="12" spans="1:4" ht="17.2" customHeight="1">
      <c r="B12" s="60" t="s">
        <v>189</v>
      </c>
      <c r="C12" s="61" t="s">
        <v>190</v>
      </c>
      <c r="D12" s="62" t="s">
        <v>191</v>
      </c>
    </row>
    <row r="13" spans="1:4" ht="17.2" customHeight="1">
      <c r="B13" s="60" t="s">
        <v>192</v>
      </c>
      <c r="C13" s="61" t="s">
        <v>193</v>
      </c>
      <c r="D13" s="62" t="s">
        <v>77</v>
      </c>
    </row>
    <row r="14" spans="1:4" ht="30.4" customHeight="1">
      <c r="B14" s="60" t="s">
        <v>194</v>
      </c>
      <c r="C14" s="61" t="s">
        <v>195</v>
      </c>
      <c r="D14" s="62" t="s">
        <v>196</v>
      </c>
    </row>
    <row r="15" spans="1:4" ht="43.6" customHeight="1">
      <c r="B15" s="60" t="s">
        <v>197</v>
      </c>
      <c r="C15" s="61" t="s">
        <v>198</v>
      </c>
      <c r="D15" s="62" t="s">
        <v>199</v>
      </c>
    </row>
    <row r="16" spans="1:4" ht="30.4" customHeight="1">
      <c r="B16" s="60" t="s">
        <v>200</v>
      </c>
      <c r="C16" s="61" t="s">
        <v>201</v>
      </c>
      <c r="D16" s="62" t="s">
        <v>77</v>
      </c>
    </row>
    <row r="17" spans="2:4" ht="17.2" customHeight="1">
      <c r="B17" s="60" t="s">
        <v>109</v>
      </c>
      <c r="C17" s="61" t="s">
        <v>202</v>
      </c>
      <c r="D17" s="62" t="s">
        <v>203</v>
      </c>
    </row>
    <row r="18" spans="2:4" ht="30.4" customHeight="1">
      <c r="B18" s="60" t="s">
        <v>110</v>
      </c>
      <c r="C18" s="61" t="s">
        <v>204</v>
      </c>
      <c r="D18" s="62" t="s">
        <v>203</v>
      </c>
    </row>
    <row r="19" spans="2:4" ht="30.4" customHeight="1">
      <c r="B19" s="60" t="s">
        <v>205</v>
      </c>
      <c r="C19" s="61" t="s">
        <v>206</v>
      </c>
      <c r="D19" s="62" t="s">
        <v>196</v>
      </c>
    </row>
    <row r="20" spans="2:4" ht="17.2" customHeight="1">
      <c r="B20" s="60" t="s">
        <v>207</v>
      </c>
      <c r="C20" s="61" t="s">
        <v>208</v>
      </c>
      <c r="D20" s="62" t="s">
        <v>191</v>
      </c>
    </row>
    <row r="21" spans="2:4" ht="43.6" customHeight="1">
      <c r="B21" s="60" t="s">
        <v>209</v>
      </c>
      <c r="C21" s="61" t="s">
        <v>210</v>
      </c>
      <c r="D21" s="62" t="s">
        <v>211</v>
      </c>
    </row>
    <row r="22" spans="2:4" ht="30.4" customHeight="1">
      <c r="B22" s="60" t="s">
        <v>212</v>
      </c>
      <c r="C22" s="61" t="s">
        <v>213</v>
      </c>
      <c r="D22" s="62" t="s">
        <v>203</v>
      </c>
    </row>
    <row r="24" spans="2:4" ht="21" customHeight="1">
      <c r="B24" s="8" t="s">
        <v>214</v>
      </c>
      <c r="C24" s="8"/>
      <c r="D24" s="8"/>
    </row>
    <row r="25" spans="2:4" ht="5" customHeight="1"/>
    <row r="26" spans="2:4" ht="29.4" customHeight="1">
      <c r="B26" s="26" t="s">
        <v>57</v>
      </c>
      <c r="C26" s="10" t="s">
        <v>215</v>
      </c>
      <c r="D26" s="10"/>
    </row>
    <row r="27" spans="2:4" ht="29.4" customHeight="1">
      <c r="B27" s="26" t="s">
        <v>57</v>
      </c>
      <c r="C27" s="10" t="s">
        <v>216</v>
      </c>
      <c r="D27" s="10"/>
    </row>
    <row r="28" spans="2:4" ht="29.4" customHeight="1">
      <c r="B28" s="26" t="s">
        <v>57</v>
      </c>
      <c r="C28" s="10" t="s">
        <v>217</v>
      </c>
      <c r="D28" s="10"/>
    </row>
    <row r="29" spans="2:4" ht="16.2" customHeight="1">
      <c r="B29" s="26" t="s">
        <v>57</v>
      </c>
      <c r="C29" s="10" t="s">
        <v>218</v>
      </c>
      <c r="D29" s="10"/>
    </row>
    <row r="31" spans="2:4" ht="21" customHeight="1">
      <c r="B31" s="8" t="s">
        <v>219</v>
      </c>
      <c r="C31" s="8"/>
      <c r="D31" s="8"/>
    </row>
    <row r="32" spans="2:4" ht="5" customHeight="1"/>
    <row r="33" spans="2:4" ht="29.4" customHeight="1">
      <c r="B33" s="26" t="s">
        <v>57</v>
      </c>
      <c r="C33" s="10" t="s">
        <v>220</v>
      </c>
      <c r="D33" s="10"/>
    </row>
    <row r="34" spans="2:4" ht="29.4" customHeight="1">
      <c r="B34" s="26" t="s">
        <v>57</v>
      </c>
      <c r="C34" s="10" t="s">
        <v>221</v>
      </c>
      <c r="D34" s="10"/>
    </row>
    <row r="35" spans="2:4" ht="42.6" customHeight="1">
      <c r="B35" s="26" t="s">
        <v>57</v>
      </c>
      <c r="C35" s="10" t="s">
        <v>222</v>
      </c>
      <c r="D35" s="10"/>
    </row>
    <row r="36" spans="2:4" ht="16.2" customHeight="1">
      <c r="B36" s="26" t="s">
        <v>57</v>
      </c>
      <c r="C36" s="10" t="s">
        <v>223</v>
      </c>
      <c r="D36" s="10"/>
    </row>
    <row r="38" spans="2:4" ht="21" customHeight="1">
      <c r="B38" s="8" t="s">
        <v>224</v>
      </c>
      <c r="C38" s="8"/>
      <c r="D38" s="8"/>
    </row>
    <row r="39" spans="2:4" ht="5" customHeight="1"/>
    <row r="40" spans="2:4" ht="69" customHeight="1">
      <c r="B40" s="10" t="s">
        <v>225</v>
      </c>
      <c r="C40" s="10"/>
      <c r="D40" s="10"/>
    </row>
    <row r="41" spans="2:4">
      <c r="B41" s="24" t="s">
        <v>226</v>
      </c>
      <c r="C41" s="24"/>
      <c r="D41" s="24"/>
    </row>
    <row r="43" spans="2:4" ht="21" customHeight="1">
      <c r="B43" s="8" t="s">
        <v>44</v>
      </c>
      <c r="C43" s="8"/>
      <c r="D43" s="8"/>
    </row>
    <row r="44" spans="2:4" ht="5" customHeight="1"/>
    <row r="45" spans="2:4" ht="42.6" customHeight="1">
      <c r="B45" s="10" t="s">
        <v>227</v>
      </c>
      <c r="C45" s="10"/>
      <c r="D45" s="10"/>
    </row>
    <row r="47" spans="2:4" ht="21" customHeight="1">
      <c r="B47" s="8" t="s">
        <v>228</v>
      </c>
      <c r="C47" s="8"/>
      <c r="D47" s="8"/>
    </row>
    <row r="48" spans="2:4" ht="5" customHeight="1"/>
    <row r="49" spans="2:4" ht="29.4" customHeight="1">
      <c r="B49" s="26" t="s">
        <v>57</v>
      </c>
      <c r="C49" s="10" t="s">
        <v>229</v>
      </c>
      <c r="D49" s="10"/>
    </row>
    <row r="50" spans="2:4" ht="29.4" customHeight="1">
      <c r="B50" s="26" t="s">
        <v>57</v>
      </c>
      <c r="C50" s="10" t="s">
        <v>230</v>
      </c>
      <c r="D50" s="10"/>
    </row>
    <row r="51" spans="2:4">
      <c r="B51" s="21" t="s">
        <v>231</v>
      </c>
      <c r="C51" s="21"/>
      <c r="D51" s="21"/>
    </row>
    <row r="53" spans="2:4" ht="21" customHeight="1">
      <c r="B53" s="8" t="s">
        <v>232</v>
      </c>
      <c r="C53" s="8"/>
      <c r="D53" s="8"/>
    </row>
    <row r="54" spans="2:4" ht="5" customHeight="1"/>
    <row r="55" spans="2:4">
      <c r="B55" s="43" t="s">
        <v>52</v>
      </c>
      <c r="C55" s="43" t="s">
        <v>233</v>
      </c>
      <c r="D55" s="34" t="s">
        <v>70</v>
      </c>
    </row>
    <row r="56" spans="2:4" ht="16.2" customHeight="1">
      <c r="B56" s="63" t="s">
        <v>234</v>
      </c>
      <c r="C56" s="64" t="s">
        <v>235</v>
      </c>
      <c r="D56" s="65" t="s">
        <v>236</v>
      </c>
    </row>
    <row r="58" spans="2:4">
      <c r="B58" s="21" t="s">
        <v>63</v>
      </c>
      <c r="C58" s="21"/>
      <c r="D58" s="21"/>
    </row>
  </sheetData>
  <sheetProtection sheet="1" formatColumns="0" formatRows="0"/>
  <mergeCells count="26">
    <mergeCell ref="A1:D1"/>
    <mergeCell ref="B2:C2"/>
    <mergeCell ref="B4:D4"/>
    <mergeCell ref="B6:D6"/>
    <mergeCell ref="B8:D8"/>
    <mergeCell ref="B24:D24"/>
    <mergeCell ref="C26:D26"/>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B51:D51"/>
    <mergeCell ref="B53:D53"/>
    <mergeCell ref="B58:D58"/>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Production Schedule Gantt&amp;R&amp;8&amp;A</oddHeader>
    <oddFooter>&amp;L&amp;8mfgcalcs.com - free manufacturing templates&amp;R&amp;8Page &amp;P of &amp;N</oddFooter>
  </headerFooter>
  <rowBreaks count="2" manualBreakCount="2">
    <brk id="23" max="16383" man="1"/>
    <brk id="5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C3440"/>
    <pageSetUpPr fitToPage="1"/>
  </sheetPr>
  <dimension ref="A1:T92"/>
  <sheetViews>
    <sheetView showGridLines="0" workbookViewId="0"/>
  </sheetViews>
  <sheetFormatPr defaultRowHeight="15" x14ac:dyDescent="0.25"/>
  <cols>
    <col min="1" max="1" width="2.7109375" customWidth="1"/>
    <col min="2" max="19" width="12.7109375" customWidth="1"/>
    <col min="20" max="20" width="26.7109375" customWidth="1"/>
  </cols>
  <sheetData>
    <row r="1" spans="1:20" ht="30" customHeight="1" x14ac:dyDescent="0.25">
      <c r="A1" s="1" t="s">
        <v>0</v>
      </c>
      <c r="B1" s="1"/>
      <c r="C1" s="1"/>
      <c r="D1" s="1"/>
      <c r="E1" s="1"/>
      <c r="F1" s="1"/>
      <c r="G1" s="1"/>
      <c r="H1" s="1"/>
      <c r="I1" s="1"/>
      <c r="J1" s="1"/>
      <c r="K1" s="1"/>
      <c r="L1" s="1"/>
      <c r="M1" s="1"/>
      <c r="N1" s="1"/>
      <c r="O1" s="1"/>
      <c r="P1" s="1"/>
      <c r="Q1" s="1"/>
      <c r="R1" s="1"/>
      <c r="S1" s="1"/>
      <c r="T1" s="1"/>
    </row>
    <row r="2" spans="1:20" ht="21" customHeight="1" x14ac:dyDescent="0.25">
      <c r="B2" s="2" t="s">
        <v>30</v>
      </c>
      <c r="C2" s="2"/>
      <c r="D2" s="2"/>
      <c r="E2" s="2"/>
      <c r="F2" s="2"/>
      <c r="G2" s="2"/>
      <c r="H2" s="2"/>
      <c r="I2" s="2"/>
      <c r="J2" s="2"/>
      <c r="K2" s="2"/>
      <c r="L2" s="2"/>
      <c r="M2" s="2"/>
      <c r="N2" s="2"/>
      <c r="O2" s="2"/>
      <c r="P2" s="2"/>
      <c r="Q2" s="2"/>
      <c r="R2" s="2"/>
      <c r="S2" s="2"/>
      <c r="T2" s="3" t="s">
        <v>2</v>
      </c>
    </row>
    <row r="3" spans="1:20" ht="6" customHeight="1" x14ac:dyDescent="0.25"/>
    <row r="4" spans="1:20" ht="30" customHeight="1" x14ac:dyDescent="0.25">
      <c r="B4" s="66" t="s">
        <v>237</v>
      </c>
      <c r="C4" s="66"/>
      <c r="D4" s="22" t="str">
        <f>IF(COUNTIF($K$11:$K$39,"PASS")=29,"PASS","FAIL")</f>
        <v>PASS</v>
      </c>
      <c r="E4" s="22"/>
      <c r="F4" s="23" t="str">
        <f>COUNTIF($K$11:$K$39,"PASS")&amp;" of 29 checks pass"</f>
        <v>29 of 29 checks pass</v>
      </c>
      <c r="G4" s="23"/>
      <c r="H4" s="23"/>
      <c r="I4" s="23"/>
      <c r="J4" s="23"/>
    </row>
    <row r="6" spans="1:20" ht="29.4" customHeight="1" x14ac:dyDescent="0.25">
      <c r="B6" s="10" t="s">
        <v>238</v>
      </c>
      <c r="C6" s="10"/>
      <c r="D6" s="10"/>
      <c r="E6" s="10"/>
      <c r="F6" s="10"/>
      <c r="G6" s="10"/>
      <c r="H6" s="10"/>
      <c r="I6" s="10"/>
      <c r="J6" s="10"/>
      <c r="K6" s="10"/>
      <c r="L6" s="10"/>
    </row>
    <row r="8" spans="1:20" ht="21" customHeight="1" x14ac:dyDescent="0.25">
      <c r="B8" s="8" t="s">
        <v>239</v>
      </c>
      <c r="C8" s="8"/>
      <c r="D8" s="8"/>
      <c r="E8" s="8"/>
      <c r="F8" s="8"/>
      <c r="G8" s="8"/>
      <c r="H8" s="8"/>
      <c r="I8" s="8"/>
      <c r="J8" s="8"/>
      <c r="K8" s="8"/>
      <c r="L8" s="8"/>
    </row>
    <row r="9" spans="1:20" ht="5" customHeight="1" x14ac:dyDescent="0.25"/>
    <row r="10" spans="1:20" ht="30" customHeight="1" x14ac:dyDescent="0.25">
      <c r="B10" s="34" t="s">
        <v>240</v>
      </c>
      <c r="C10" s="43" t="s">
        <v>111</v>
      </c>
      <c r="D10" s="43"/>
      <c r="E10" s="43"/>
      <c r="F10" s="43"/>
      <c r="G10" s="34" t="s">
        <v>241</v>
      </c>
      <c r="H10" s="34" t="s">
        <v>242</v>
      </c>
      <c r="I10" s="34" t="s">
        <v>243</v>
      </c>
      <c r="J10" s="34" t="s">
        <v>244</v>
      </c>
      <c r="K10" s="34" t="s">
        <v>245</v>
      </c>
    </row>
    <row r="11" spans="1:20" ht="16.2" customHeight="1" x14ac:dyDescent="0.25">
      <c r="B11" s="67">
        <v>1</v>
      </c>
      <c r="C11" s="64" t="s">
        <v>246</v>
      </c>
      <c r="D11" s="64"/>
      <c r="E11" s="64"/>
      <c r="F11" s="64"/>
      <c r="G11" s="68">
        <v>12.9536</v>
      </c>
      <c r="H11" s="69">
        <f>$G$57</f>
        <v>12.9536</v>
      </c>
      <c r="I11" s="70">
        <f>IF(AND(ISNUMBER($G$11),ISNUMBER($H$11)),ABS($H$11-$G$11),"")</f>
        <v>0</v>
      </c>
      <c r="J11" s="71">
        <v>1E-09</v>
      </c>
      <c r="K11" s="41" t="str">
        <f>IF(AND(ISNUMBER($G$11),ISNUMBER($H$11)),IF(ABS($H$11-$G$11)&lt;=$J$11,"PASS","FAIL"),"FAIL")</f>
        <v>PASS</v>
      </c>
    </row>
    <row r="12" spans="1:20" ht="16.2" customHeight="1" x14ac:dyDescent="0.25">
      <c r="B12" s="67">
        <v>2</v>
      </c>
      <c r="C12" s="64" t="s">
        <v>247</v>
      </c>
      <c r="D12" s="64"/>
      <c r="E12" s="64"/>
      <c r="F12" s="64"/>
      <c r="G12" s="72">
        <v>12</v>
      </c>
      <c r="H12" s="36">
        <f>$L$62</f>
        <v>12</v>
      </c>
      <c r="I12" s="70">
        <f>IF(AND(ISNUMBER($G$12),ISNUMBER($H$12)),ABS($H$12-$G$12),"")</f>
        <v>0</v>
      </c>
      <c r="J12" s="71">
        <v>1E-09</v>
      </c>
      <c r="K12" s="41" t="str">
        <f>IF(AND(ISNUMBER($G$12),ISNUMBER($H$12)),IF(ABS($H$12-$G$12)&lt;=$J$12,"PASS","FAIL"),"FAIL")</f>
        <v>PASS</v>
      </c>
    </row>
    <row r="13" spans="1:20" ht="16.2" customHeight="1" x14ac:dyDescent="0.25">
      <c r="B13" s="67">
        <v>3</v>
      </c>
      <c r="C13" s="64" t="s">
        <v>248</v>
      </c>
      <c r="D13" s="64"/>
      <c r="E13" s="64"/>
      <c r="F13" s="64"/>
      <c r="G13" s="68">
        <v>0.9263833992094862</v>
      </c>
      <c r="H13" s="69">
        <f>$N$62</f>
        <v>0.926383399209486</v>
      </c>
      <c r="I13" s="70">
        <f>IF(AND(ISNUMBER($G$13),ISNUMBER($H$13)),ABS($H$13-$G$13),"")</f>
        <v>0</v>
      </c>
      <c r="J13" s="71">
        <v>1E-09</v>
      </c>
      <c r="K13" s="41" t="str">
        <f>IF(AND(ISNUMBER($G$13),ISNUMBER($H$13)),IF(ABS($H$13-$G$13)&lt;=$J$13,"PASS","FAIL"),"FAIL")</f>
        <v>PASS</v>
      </c>
    </row>
    <row r="14" spans="1:20" ht="16.2" customHeight="1" x14ac:dyDescent="0.25">
      <c r="B14" s="67">
        <v>4</v>
      </c>
      <c r="C14" s="64" t="s">
        <v>249</v>
      </c>
      <c r="D14" s="64"/>
      <c r="E14" s="64"/>
      <c r="F14" s="64"/>
      <c r="G14" s="73">
        <v>46027</v>
      </c>
      <c r="H14" s="31">
        <f>$O$62</f>
        <v>46027</v>
      </c>
      <c r="I14" s="70">
        <f>IF(AND(ISNUMBER($G$14),ISNUMBER($H$14)),ABS($H$14-$G$14),"")</f>
        <v>0</v>
      </c>
      <c r="J14" s="71">
        <v>1E-09</v>
      </c>
      <c r="K14" s="41" t="str">
        <f>IF(AND(ISNUMBER($G$14),ISNUMBER($H$14)),IF(ABS($H$14-$G$14)&lt;=$J$14,"PASS","FAIL"),"FAIL")</f>
        <v>PASS</v>
      </c>
    </row>
    <row r="15" spans="1:20" ht="16.2" customHeight="1" x14ac:dyDescent="0.25">
      <c r="B15" s="67">
        <v>5</v>
      </c>
      <c r="C15" s="64" t="s">
        <v>250</v>
      </c>
      <c r="D15" s="64"/>
      <c r="E15" s="64"/>
      <c r="F15" s="64"/>
      <c r="G15" s="74">
        <v>2</v>
      </c>
      <c r="H15" s="40">
        <f>$P$62</f>
        <v>2</v>
      </c>
      <c r="I15" s="70">
        <f>IF(AND(ISNUMBER($G$15),ISNUMBER($H$15)),ABS($H$15-$G$15),"")</f>
        <v>0</v>
      </c>
      <c r="J15" s="71">
        <v>1E-09</v>
      </c>
      <c r="K15" s="41" t="str">
        <f>IF(AND(ISNUMBER($G$15),ISNUMBER($H$15)),IF(ABS($H$15-$G$15)&lt;=$J$15,"PASS","FAIL"),"FAIL")</f>
        <v>PASS</v>
      </c>
    </row>
    <row r="16" spans="1:20" ht="16.2" customHeight="1" x14ac:dyDescent="0.25">
      <c r="B16" s="67">
        <v>6</v>
      </c>
      <c r="C16" s="64" t="s">
        <v>251</v>
      </c>
      <c r="D16" s="64"/>
      <c r="E16" s="64"/>
      <c r="F16" s="64"/>
      <c r="G16" s="63" t="s">
        <v>252</v>
      </c>
      <c r="H16" s="57" t="str">
        <f>$Q$62</f>
        <v>Yes</v>
      </c>
      <c r="I16" s="57"/>
      <c r="J16" s="65" t="s">
        <v>253</v>
      </c>
      <c r="K16" s="41" t="str">
        <f>IF($H$16&amp;""=$G$16&amp;"","PASS","FAIL")</f>
        <v>PASS</v>
      </c>
    </row>
    <row r="17" spans="2:11" ht="16.2" customHeight="1" x14ac:dyDescent="0.25">
      <c r="B17" s="67">
        <v>7</v>
      </c>
      <c r="C17" s="64" t="s">
        <v>254</v>
      </c>
      <c r="D17" s="64"/>
      <c r="E17" s="64"/>
      <c r="F17" s="64"/>
      <c r="G17" s="63" t="s">
        <v>255</v>
      </c>
      <c r="H17" s="57" t="str">
        <f>$R$62</f>
        <v>Complete</v>
      </c>
      <c r="I17" s="57"/>
      <c r="J17" s="65" t="s">
        <v>253</v>
      </c>
      <c r="K17" s="41" t="str">
        <f>IF($H$17&amp;""=$G$17&amp;"","PASS","FAIL")</f>
        <v>PASS</v>
      </c>
    </row>
    <row r="18" spans="2:11" ht="16.2" customHeight="1" x14ac:dyDescent="0.25">
      <c r="B18" s="67">
        <v>8</v>
      </c>
      <c r="C18" s="64" t="s">
        <v>256</v>
      </c>
      <c r="D18" s="64"/>
      <c r="E18" s="64"/>
      <c r="F18" s="64"/>
      <c r="G18" s="72">
        <v>33</v>
      </c>
      <c r="H18" s="36">
        <f>$L$63</f>
        <v>33</v>
      </c>
      <c r="I18" s="70">
        <f>IF(AND(ISNUMBER($G$18),ISNUMBER($H$18)),ABS($H$18-$G$18),"")</f>
        <v>0</v>
      </c>
      <c r="J18" s="71">
        <v>1E-09</v>
      </c>
      <c r="K18" s="41" t="str">
        <f>IF(AND(ISNUMBER($G$18),ISNUMBER($H$18)),IF(ABS($H$18-$G$18)&lt;=$J$18,"PASS","FAIL"),"FAIL")</f>
        <v>PASS</v>
      </c>
    </row>
    <row r="19" spans="2:11" ht="16.2" customHeight="1" x14ac:dyDescent="0.25">
      <c r="B19" s="67">
        <v>9</v>
      </c>
      <c r="C19" s="64" t="s">
        <v>257</v>
      </c>
      <c r="D19" s="64"/>
      <c r="E19" s="64"/>
      <c r="F19" s="64"/>
      <c r="G19" s="68">
        <v>2.547554347826087</v>
      </c>
      <c r="H19" s="69">
        <f>$N$63</f>
        <v>2.54755434782609</v>
      </c>
      <c r="I19" s="70">
        <f>IF(AND(ISNUMBER($G$19),ISNUMBER($H$19)),ABS($H$19-$G$19),"")</f>
        <v>0</v>
      </c>
      <c r="J19" s="71">
        <v>1E-09</v>
      </c>
      <c r="K19" s="41" t="str">
        <f>IF(AND(ISNUMBER($G$19),ISNUMBER($H$19)),IF(ABS($H$19-$G$19)&lt;=$J$19,"PASS","FAIL"),"FAIL")</f>
        <v>PASS</v>
      </c>
    </row>
    <row r="20" spans="2:11" ht="16.2" customHeight="1" x14ac:dyDescent="0.25">
      <c r="B20" s="67">
        <v>10</v>
      </c>
      <c r="C20" s="64" t="s">
        <v>258</v>
      </c>
      <c r="D20" s="64"/>
      <c r="E20" s="64"/>
      <c r="F20" s="64"/>
      <c r="G20" s="73">
        <v>46034</v>
      </c>
      <c r="H20" s="31">
        <f>$O$63</f>
        <v>46034</v>
      </c>
      <c r="I20" s="70">
        <f>IF(AND(ISNUMBER($G$20),ISNUMBER($H$20)),ABS($H$20-$G$20),"")</f>
        <v>0</v>
      </c>
      <c r="J20" s="71">
        <v>1E-09</v>
      </c>
      <c r="K20" s="41" t="str">
        <f>IF(AND(ISNUMBER($G$20),ISNUMBER($H$20)),IF(ABS($H$20-$G$20)&lt;=$J$20,"PASS","FAIL"),"FAIL")</f>
        <v>PASS</v>
      </c>
    </row>
    <row r="21" spans="2:11" ht="16.2" customHeight="1" x14ac:dyDescent="0.25">
      <c r="B21" s="67">
        <v>11</v>
      </c>
      <c r="C21" s="64" t="s">
        <v>259</v>
      </c>
      <c r="D21" s="64"/>
      <c r="E21" s="64"/>
      <c r="F21" s="64"/>
      <c r="G21" s="74">
        <v>-1</v>
      </c>
      <c r="H21" s="40">
        <f>$P$63</f>
        <v>-1</v>
      </c>
      <c r="I21" s="70">
        <f>IF(AND(ISNUMBER($G$21),ISNUMBER($H$21)),ABS($H$21-$G$21),"")</f>
        <v>0</v>
      </c>
      <c r="J21" s="71">
        <v>1E-09</v>
      </c>
      <c r="K21" s="41" t="str">
        <f>IF(AND(ISNUMBER($G$21),ISNUMBER($H$21)),IF(ABS($H$21-$G$21)&lt;=$J$21,"PASS","FAIL"),"FAIL")</f>
        <v>PASS</v>
      </c>
    </row>
    <row r="22" spans="2:11" ht="16.2" customHeight="1" x14ac:dyDescent="0.25">
      <c r="B22" s="67">
        <v>12</v>
      </c>
      <c r="C22" s="64" t="s">
        <v>260</v>
      </c>
      <c r="D22" s="64"/>
      <c r="E22" s="64"/>
      <c r="F22" s="64"/>
      <c r="G22" s="63" t="s">
        <v>261</v>
      </c>
      <c r="H22" s="57" t="str">
        <f>$Q$63</f>
        <v>No</v>
      </c>
      <c r="I22" s="57"/>
      <c r="J22" s="65" t="s">
        <v>253</v>
      </c>
      <c r="K22" s="41" t="str">
        <f>IF($H$22&amp;""=$G$22&amp;"","PASS","FAIL")</f>
        <v>PASS</v>
      </c>
    </row>
    <row r="23" spans="2:11" ht="16.2" customHeight="1" x14ac:dyDescent="0.25">
      <c r="B23" s="67">
        <v>13</v>
      </c>
      <c r="C23" s="64" t="s">
        <v>262</v>
      </c>
      <c r="D23" s="64"/>
      <c r="E23" s="64"/>
      <c r="F23" s="64"/>
      <c r="G23" s="63" t="s">
        <v>263</v>
      </c>
      <c r="H23" s="57" t="str">
        <f>$R$63</f>
        <v>Overdue</v>
      </c>
      <c r="I23" s="57"/>
      <c r="J23" s="65" t="s">
        <v>253</v>
      </c>
      <c r="K23" s="41" t="str">
        <f>IF($H$23&amp;""=$G$23&amp;"","PASS","FAIL")</f>
        <v>PASS</v>
      </c>
    </row>
    <row r="24" spans="2:11" ht="16.2" customHeight="1" x14ac:dyDescent="0.25">
      <c r="B24" s="67">
        <v>14</v>
      </c>
      <c r="C24" s="64" t="s">
        <v>264</v>
      </c>
      <c r="D24" s="64"/>
      <c r="E24" s="64"/>
      <c r="F24" s="64"/>
      <c r="G24" s="72">
        <v>11</v>
      </c>
      <c r="H24" s="36">
        <f>$L$64</f>
        <v>11</v>
      </c>
      <c r="I24" s="70">
        <f>IF(AND(ISNUMBER($G$24),ISNUMBER($H$24)),ABS($H$24-$G$24),"")</f>
        <v>0</v>
      </c>
      <c r="J24" s="71">
        <v>1E-09</v>
      </c>
      <c r="K24" s="41" t="str">
        <f>IF(AND(ISNUMBER($G$24),ISNUMBER($H$24)),IF(ABS($H$24-$G$24)&lt;=$J$24,"PASS","FAIL"),"FAIL")</f>
        <v>PASS</v>
      </c>
    </row>
    <row r="25" spans="2:11" ht="16.2" customHeight="1" x14ac:dyDescent="0.25">
      <c r="B25" s="67">
        <v>15</v>
      </c>
      <c r="C25" s="64" t="s">
        <v>265</v>
      </c>
      <c r="D25" s="64"/>
      <c r="E25" s="64"/>
      <c r="F25" s="64"/>
      <c r="G25" s="68">
        <v>1.375</v>
      </c>
      <c r="H25" s="69">
        <f>$N$64</f>
        <v>1.375</v>
      </c>
      <c r="I25" s="70">
        <f>IF(AND(ISNUMBER($G$25),ISNUMBER($H$25)),ABS($H$25-$G$25),"")</f>
        <v>0</v>
      </c>
      <c r="J25" s="71">
        <v>1E-09</v>
      </c>
      <c r="K25" s="41" t="str">
        <f>IF(AND(ISNUMBER($G$25),ISNUMBER($H$25)),IF(ABS($H$25-$G$25)&lt;=$J$25,"PASS","FAIL"),"FAIL")</f>
        <v>PASS</v>
      </c>
    </row>
    <row r="26" spans="2:11" ht="16.2" customHeight="1" x14ac:dyDescent="0.25">
      <c r="B26" s="67">
        <v>16</v>
      </c>
      <c r="C26" s="64" t="s">
        <v>266</v>
      </c>
      <c r="D26" s="64"/>
      <c r="E26" s="64"/>
      <c r="F26" s="64"/>
      <c r="G26" s="73">
        <v>46036</v>
      </c>
      <c r="H26" s="31">
        <f>$O$64</f>
        <v>46036</v>
      </c>
      <c r="I26" s="70">
        <f>IF(AND(ISNUMBER($G$26),ISNUMBER($H$26)),ABS($H$26-$G$26),"")</f>
        <v>0</v>
      </c>
      <c r="J26" s="71">
        <v>1E-09</v>
      </c>
      <c r="K26" s="41" t="str">
        <f>IF(AND(ISNUMBER($G$26),ISNUMBER($H$26)),IF(ABS($H$26-$G$26)&lt;=$J$26,"PASS","FAIL"),"FAIL")</f>
        <v>PASS</v>
      </c>
    </row>
    <row r="27" spans="2:11" ht="16.2" customHeight="1" x14ac:dyDescent="0.25">
      <c r="B27" s="67">
        <v>17</v>
      </c>
      <c r="C27" s="64" t="s">
        <v>267</v>
      </c>
      <c r="D27" s="64"/>
      <c r="E27" s="64"/>
      <c r="F27" s="64"/>
      <c r="G27" s="74">
        <v>4</v>
      </c>
      <c r="H27" s="40">
        <f>$P$64</f>
        <v>4</v>
      </c>
      <c r="I27" s="70">
        <f>IF(AND(ISNUMBER($G$27),ISNUMBER($H$27)),ABS($H$27-$G$27),"")</f>
        <v>0</v>
      </c>
      <c r="J27" s="71">
        <v>1E-09</v>
      </c>
      <c r="K27" s="41" t="str">
        <f>IF(AND(ISNUMBER($G$27),ISNUMBER($H$27)),IF(ABS($H$27-$G$27)&lt;=$J$27,"PASS","FAIL"),"FAIL")</f>
        <v>PASS</v>
      </c>
    </row>
    <row r="28" spans="2:11" ht="16.2" customHeight="1" x14ac:dyDescent="0.25">
      <c r="B28" s="67">
        <v>18</v>
      </c>
      <c r="C28" s="64" t="s">
        <v>268</v>
      </c>
      <c r="D28" s="64"/>
      <c r="E28" s="64"/>
      <c r="F28" s="64"/>
      <c r="G28" s="63" t="s">
        <v>252</v>
      </c>
      <c r="H28" s="57" t="str">
        <f>$Q$64</f>
        <v>Yes</v>
      </c>
      <c r="I28" s="57"/>
      <c r="J28" s="65" t="s">
        <v>253</v>
      </c>
      <c r="K28" s="41" t="str">
        <f>IF($H$28&amp;""=$G$28&amp;"","PASS","FAIL")</f>
        <v>PASS</v>
      </c>
    </row>
    <row r="29" spans="2:11" ht="16.2" customHeight="1" x14ac:dyDescent="0.25">
      <c r="B29" s="67">
        <v>19</v>
      </c>
      <c r="C29" s="64" t="s">
        <v>269</v>
      </c>
      <c r="D29" s="64"/>
      <c r="E29" s="64"/>
      <c r="F29" s="64"/>
      <c r="G29" s="63" t="s">
        <v>270</v>
      </c>
      <c r="H29" s="57" t="str">
        <f>$R$64</f>
        <v>In progress</v>
      </c>
      <c r="I29" s="57"/>
      <c r="J29" s="65" t="s">
        <v>253</v>
      </c>
      <c r="K29" s="41" t="str">
        <f>IF($H$29&amp;""=$G$29&amp;"","PASS","FAIL")</f>
        <v>PASS</v>
      </c>
    </row>
    <row r="30" spans="2:11" ht="16.2" customHeight="1" x14ac:dyDescent="0.25">
      <c r="B30" s="67">
        <v>20</v>
      </c>
      <c r="C30" s="64" t="s">
        <v>271</v>
      </c>
      <c r="D30" s="64"/>
      <c r="E30" s="64"/>
      <c r="F30" s="64"/>
      <c r="G30" s="63" t="s">
        <v>272</v>
      </c>
      <c r="H30" s="57" t="str">
        <f>$S$65</f>
        <v>Overlaps another job on this machine</v>
      </c>
      <c r="I30" s="57"/>
      <c r="J30" s="65" t="s">
        <v>253</v>
      </c>
      <c r="K30" s="41" t="str">
        <f>IF($H$30&amp;""=$G$30&amp;"","PASS","FAIL")</f>
        <v>PASS</v>
      </c>
    </row>
    <row r="31" spans="2:11" ht="16.2" customHeight="1" x14ac:dyDescent="0.25">
      <c r="B31" s="67">
        <v>21</v>
      </c>
      <c r="C31" s="64" t="s">
        <v>273</v>
      </c>
      <c r="D31" s="64"/>
      <c r="E31" s="64"/>
      <c r="F31" s="64"/>
      <c r="G31" s="63" t="s">
        <v>274</v>
      </c>
      <c r="H31" s="57" t="str">
        <f>$S$66</f>
        <v>Starts on a non-working day</v>
      </c>
      <c r="I31" s="57"/>
      <c r="J31" s="65" t="s">
        <v>253</v>
      </c>
      <c r="K31" s="41" t="str">
        <f>IF($H$31&amp;""=$G$31&amp;"","PASS","FAIL")</f>
        <v>PASS</v>
      </c>
    </row>
    <row r="32" spans="2:11" ht="16.2" customHeight="1" x14ac:dyDescent="0.25">
      <c r="B32" s="67">
        <v>22</v>
      </c>
      <c r="C32" s="64" t="s">
        <v>275</v>
      </c>
      <c r="D32" s="64"/>
      <c r="E32" s="64"/>
      <c r="F32" s="64"/>
      <c r="G32" s="75">
        <v>1</v>
      </c>
      <c r="H32" s="55">
        <f>COUNTIF(tblVerifyJobs[On time],"No")</f>
        <v>1</v>
      </c>
      <c r="I32" s="70">
        <f>IF(AND(ISNUMBER($G$32),ISNUMBER($H$32)),ABS($H$32-$G$32),"")</f>
        <v>0</v>
      </c>
      <c r="J32" s="71">
        <v>1E-09</v>
      </c>
      <c r="K32" s="41" t="str">
        <f>IF(AND(ISNUMBER($G$32),ISNUMBER($H$32)),IF(ABS($H$32-$G$32)&lt;=$J$32,"PASS","FAIL"),"FAIL")</f>
        <v>PASS</v>
      </c>
    </row>
    <row r="33" spans="2:12" ht="16.2" customHeight="1" x14ac:dyDescent="0.25">
      <c r="B33" s="67">
        <v>23</v>
      </c>
      <c r="C33" s="64" t="s">
        <v>276</v>
      </c>
      <c r="D33" s="64"/>
      <c r="E33" s="64"/>
      <c r="F33" s="64"/>
      <c r="G33" s="75">
        <v>2</v>
      </c>
      <c r="H33" s="55">
        <f>COUNTIF(tblVerifyJobs[Progress],"Overdue")</f>
        <v>2</v>
      </c>
      <c r="I33" s="70">
        <f>IF(AND(ISNUMBER($G$33),ISNUMBER($H$33)),ABS($H$33-$G$33),"")</f>
        <v>0</v>
      </c>
      <c r="J33" s="71">
        <v>1E-09</v>
      </c>
      <c r="K33" s="41" t="str">
        <f>IF(AND(ISNUMBER($G$33),ISNUMBER($H$33)),IF(ABS($H$33-$G$33)&lt;=$J$33,"PASS","FAIL"),"FAIL")</f>
        <v>PASS</v>
      </c>
    </row>
    <row r="34" spans="2:12" ht="16.2" customHeight="1" x14ac:dyDescent="0.25">
      <c r="B34" s="67">
        <v>24</v>
      </c>
      <c r="C34" s="64" t="s">
        <v>277</v>
      </c>
      <c r="D34" s="64"/>
      <c r="E34" s="64"/>
      <c r="F34" s="64"/>
      <c r="G34" s="72">
        <v>47</v>
      </c>
      <c r="H34" s="36">
        <f>$D$70</f>
        <v>47</v>
      </c>
      <c r="I34" s="70">
        <f>IF(AND(ISNUMBER($G$34),ISNUMBER($H$34)),ABS($H$34-$G$34),"")</f>
        <v>0</v>
      </c>
      <c r="J34" s="71">
        <v>1E-09</v>
      </c>
      <c r="K34" s="41" t="str">
        <f>IF(AND(ISNUMBER($G$34),ISNUMBER($H$34)),IF(ABS($H$34-$G$34)&lt;=$J$34,"PASS","FAIL"),"FAIL")</f>
        <v>PASS</v>
      </c>
    </row>
    <row r="35" spans="2:12" ht="16.2" customHeight="1" x14ac:dyDescent="0.25">
      <c r="B35" s="67">
        <v>25</v>
      </c>
      <c r="C35" s="64" t="s">
        <v>278</v>
      </c>
      <c r="D35" s="64"/>
      <c r="E35" s="64"/>
      <c r="F35" s="64"/>
      <c r="G35" s="76">
        <v>129.536</v>
      </c>
      <c r="H35" s="77">
        <f>$E$70</f>
        <v>129.536</v>
      </c>
      <c r="I35" s="70">
        <f>IF(AND(ISNUMBER($G$35),ISNUMBER($H$35)),ABS($H$35-$G$35),"")</f>
        <v>0</v>
      </c>
      <c r="J35" s="71">
        <v>1E-09</v>
      </c>
      <c r="K35" s="41" t="str">
        <f>IF(AND(ISNUMBER($G$35),ISNUMBER($H$35)),IF(ABS($H$35-$G$35)&lt;=$J$35,"PASS","FAIL"),"FAIL")</f>
        <v>PASS</v>
      </c>
    </row>
    <row r="36" spans="2:12" ht="16.2" customHeight="1" x14ac:dyDescent="0.25">
      <c r="B36" s="67">
        <v>26</v>
      </c>
      <c r="C36" s="64" t="s">
        <v>279</v>
      </c>
      <c r="D36" s="64"/>
      <c r="E36" s="64"/>
      <c r="F36" s="64"/>
      <c r="G36" s="78">
        <v>0.3628334980237154</v>
      </c>
      <c r="H36" s="79">
        <f>$F$70</f>
        <v>0.362833498023715</v>
      </c>
      <c r="I36" s="70">
        <f>IF(AND(ISNUMBER($G$36),ISNUMBER($H$36)),ABS($H$36-$G$36),"")</f>
        <v>0</v>
      </c>
      <c r="J36" s="71">
        <v>1E-09</v>
      </c>
      <c r="K36" s="41" t="str">
        <f>IF(AND(ISNUMBER($G$36),ISNUMBER($H$36)),IF(ABS($H$36-$G$36)&lt;=$J$36,"PASS","FAIL"),"FAIL")</f>
        <v>PASS</v>
      </c>
    </row>
    <row r="37" spans="2:12" ht="16.2" customHeight="1" x14ac:dyDescent="0.25">
      <c r="B37" s="67">
        <v>27</v>
      </c>
      <c r="C37" s="64" t="s">
        <v>280</v>
      </c>
      <c r="D37" s="64"/>
      <c r="E37" s="64"/>
      <c r="F37" s="64"/>
      <c r="G37" s="72">
        <v>3</v>
      </c>
      <c r="H37" s="36">
        <f>$H$78</f>
        <v>3</v>
      </c>
      <c r="I37" s="70">
        <f>IF(AND(ISNUMBER($G$37),ISNUMBER($H$37)),ABS($H$37-$G$37),"")</f>
        <v>0</v>
      </c>
      <c r="J37" s="71">
        <v>1E-09</v>
      </c>
      <c r="K37" s="41" t="str">
        <f>IF(AND(ISNUMBER($G$37),ISNUMBER($H$37)),IF(ABS($H$37-$G$37)&lt;=$J$37,"PASS","FAIL"),"FAIL")</f>
        <v>PASS</v>
      </c>
    </row>
    <row r="38" spans="2:12" ht="16.2" customHeight="1" x14ac:dyDescent="0.25">
      <c r="B38" s="67">
        <v>28</v>
      </c>
      <c r="C38" s="64" t="s">
        <v>281</v>
      </c>
      <c r="D38" s="64"/>
      <c r="E38" s="64"/>
      <c r="F38" s="64"/>
      <c r="G38" s="72">
        <v>3</v>
      </c>
      <c r="H38" s="36">
        <f>$I$78</f>
        <v>3</v>
      </c>
      <c r="I38" s="70">
        <f>IF(AND(ISNUMBER($G$38),ISNUMBER($H$38)),ABS($H$38-$G$38),"")</f>
        <v>0</v>
      </c>
      <c r="J38" s="71">
        <v>1E-09</v>
      </c>
      <c r="K38" s="41" t="str">
        <f>IF(AND(ISNUMBER($G$38),ISNUMBER($H$38)),IF(ABS($H$38-$G$38)&lt;=$J$38,"PASS","FAIL"),"FAIL")</f>
        <v>PASS</v>
      </c>
    </row>
    <row r="39" spans="2:12" ht="16.2" customHeight="1" x14ac:dyDescent="0.25">
      <c r="B39" s="67">
        <v>29</v>
      </c>
      <c r="C39" s="64" t="s">
        <v>282</v>
      </c>
      <c r="D39" s="64"/>
      <c r="E39" s="64"/>
      <c r="F39" s="64"/>
      <c r="G39" s="75">
        <v>8</v>
      </c>
      <c r="H39" s="55">
        <f>$G$79</f>
        <v>8</v>
      </c>
      <c r="I39" s="70">
        <f>IF(AND(ISNUMBER($G$39),ISNUMBER($H$39)),ABS($H$39-$G$39),"")</f>
        <v>0</v>
      </c>
      <c r="J39" s="71">
        <v>1E-09</v>
      </c>
      <c r="K39" s="41" t="str">
        <f>IF(AND(ISNUMBER($G$39),ISNUMBER($H$39)),IF(ABS($H$39-$G$39)&lt;=$J$39,"PASS","FAIL"),"FAIL")</f>
        <v>PASS</v>
      </c>
    </row>
    <row r="41" spans="2:12" ht="21" customHeight="1" x14ac:dyDescent="0.25">
      <c r="B41" s="8" t="s">
        <v>283</v>
      </c>
      <c r="C41" s="8"/>
      <c r="D41" s="8"/>
      <c r="E41" s="8"/>
      <c r="F41" s="8"/>
      <c r="G41" s="8"/>
      <c r="H41" s="8"/>
      <c r="I41" s="8"/>
      <c r="J41" s="8"/>
      <c r="K41" s="8"/>
      <c r="L41" s="8"/>
    </row>
    <row r="42" spans="2:12" ht="5" customHeight="1" x14ac:dyDescent="0.25"/>
    <row r="43" spans="2:12" x14ac:dyDescent="0.25">
      <c r="B43" s="21" t="s">
        <v>284</v>
      </c>
      <c r="C43" s="21"/>
      <c r="D43" s="21"/>
      <c r="E43" s="21"/>
      <c r="F43" s="21"/>
      <c r="G43" s="21"/>
      <c r="H43" s="21"/>
      <c r="I43" s="21"/>
      <c r="J43" s="21"/>
      <c r="K43" s="21"/>
      <c r="L43" s="21"/>
    </row>
    <row r="44" spans="2:12" x14ac:dyDescent="0.25">
      <c r="B44" s="33" t="s">
        <v>285</v>
      </c>
      <c r="C44" s="33"/>
      <c r="D44" s="33"/>
      <c r="E44" s="33"/>
      <c r="F44" s="33"/>
    </row>
    <row r="45" spans="2:12" x14ac:dyDescent="0.25">
      <c r="B45" s="27" t="s">
        <v>286</v>
      </c>
      <c r="C45" s="27"/>
      <c r="D45" s="27"/>
      <c r="E45" s="73">
        <v>46027</v>
      </c>
      <c r="F45" s="7"/>
    </row>
    <row r="46" spans="2:12" x14ac:dyDescent="0.25">
      <c r="B46" s="27" t="s">
        <v>79</v>
      </c>
      <c r="C46" s="27"/>
      <c r="D46" s="27"/>
      <c r="E46" s="73">
        <v>46036</v>
      </c>
      <c r="F46" s="7"/>
    </row>
    <row r="47" spans="2:12" x14ac:dyDescent="0.25">
      <c r="B47" s="27" t="s">
        <v>287</v>
      </c>
      <c r="C47" s="27"/>
      <c r="D47" s="27"/>
      <c r="E47" s="75">
        <v>10</v>
      </c>
      <c r="F47" s="7"/>
    </row>
    <row r="48" spans="2:12" x14ac:dyDescent="0.25">
      <c r="B48" s="27" t="s">
        <v>80</v>
      </c>
      <c r="C48" s="27"/>
      <c r="D48" s="27"/>
      <c r="E48" s="78">
        <v>0.85</v>
      </c>
      <c r="F48" s="7"/>
    </row>
    <row r="49" spans="2:20" x14ac:dyDescent="0.25">
      <c r="B49" s="27" t="s">
        <v>81</v>
      </c>
      <c r="C49" s="27"/>
      <c r="D49" s="27"/>
      <c r="E49" s="78">
        <v>1</v>
      </c>
      <c r="F49" s="7"/>
    </row>
    <row r="51" spans="2:20" x14ac:dyDescent="0.25">
      <c r="B51" s="33" t="s">
        <v>288</v>
      </c>
      <c r="C51" s="33"/>
      <c r="D51" s="33"/>
      <c r="E51" s="33"/>
      <c r="F51" s="33"/>
      <c r="G51" s="33"/>
      <c r="H51" s="33"/>
      <c r="I51" s="33"/>
      <c r="J51" s="33"/>
      <c r="K51" s="33"/>
      <c r="L51" s="33"/>
    </row>
    <row r="52" spans="2:20" ht="20" customHeight="1" x14ac:dyDescent="0.25">
      <c r="B52" s="34" t="s">
        <v>70</v>
      </c>
      <c r="C52" s="34" t="s">
        <v>71</v>
      </c>
    </row>
    <row r="53" spans="2:20" x14ac:dyDescent="0.25">
      <c r="B53" s="73">
        <v>46031</v>
      </c>
      <c r="C53" s="63" t="s">
        <v>289</v>
      </c>
    </row>
    <row r="55" spans="2:20" x14ac:dyDescent="0.25">
      <c r="B55" s="33" t="s">
        <v>290</v>
      </c>
      <c r="C55" s="33"/>
      <c r="D55" s="33"/>
      <c r="E55" s="33"/>
      <c r="F55" s="33"/>
      <c r="G55" s="33"/>
      <c r="H55" s="33"/>
      <c r="I55" s="33"/>
      <c r="J55" s="33"/>
      <c r="K55" s="33"/>
      <c r="L55" s="33"/>
    </row>
    <row r="56" spans="2:20" ht="32" customHeight="1" x14ac:dyDescent="0.25">
      <c r="B56" s="34" t="s">
        <v>64</v>
      </c>
      <c r="C56" s="34" t="s">
        <v>65</v>
      </c>
      <c r="D56" s="34" t="s">
        <v>66</v>
      </c>
      <c r="E56" s="34" t="s">
        <v>67</v>
      </c>
      <c r="F56" s="34" t="s">
        <v>68</v>
      </c>
      <c r="G56" s="34" t="s">
        <v>69</v>
      </c>
    </row>
    <row r="57" spans="2:20" x14ac:dyDescent="0.25">
      <c r="B57" s="63" t="s">
        <v>291</v>
      </c>
      <c r="C57" s="63" t="s">
        <v>292</v>
      </c>
      <c r="D57" s="80">
        <v>16</v>
      </c>
      <c r="E57" s="78">
        <v>0.88</v>
      </c>
      <c r="F57" s="78">
        <v>0.92</v>
      </c>
      <c r="G57" s="36">
        <f>tblVerifyMachines[[#This Row],[Hours per day (h)]]*tblVerifyMachines[[#This Row],[Availability (%)]]*tblVerifyMachines[[#This Row],[Efficiency (%)]]</f>
        <v>12.9536</v>
      </c>
    </row>
    <row r="58" spans="2:20" x14ac:dyDescent="0.25">
      <c r="B58" s="63" t="s">
        <v>293</v>
      </c>
      <c r="C58" s="63" t="s">
        <v>294</v>
      </c>
      <c r="D58" s="80">
        <v>8</v>
      </c>
      <c r="E58" s="78">
        <v>1</v>
      </c>
      <c r="F58" s="78">
        <v>1</v>
      </c>
      <c r="G58" s="36">
        <f>tblVerifyMachines[[#This Row],[Hours per day (h)]]*tblVerifyMachines[[#This Row],[Availability (%)]]*tblVerifyMachines[[#This Row],[Efficiency (%)]]</f>
        <v>8</v>
      </c>
    </row>
    <row r="60" spans="2:20" x14ac:dyDescent="0.25">
      <c r="B60" s="33" t="s">
        <v>295</v>
      </c>
      <c r="C60" s="33"/>
      <c r="D60" s="33"/>
      <c r="E60" s="33"/>
      <c r="F60" s="33"/>
      <c r="G60" s="33"/>
      <c r="H60" s="33"/>
      <c r="I60" s="33"/>
      <c r="J60" s="33"/>
      <c r="K60" s="33"/>
      <c r="L60" s="33"/>
    </row>
    <row r="61" spans="2:20" ht="32" customHeight="1" x14ac:dyDescent="0.25">
      <c r="B61" s="34" t="s">
        <v>96</v>
      </c>
      <c r="C61" s="34" t="s">
        <v>97</v>
      </c>
      <c r="D61" s="34" t="s">
        <v>98</v>
      </c>
      <c r="E61" s="34" t="s">
        <v>64</v>
      </c>
      <c r="F61" s="34" t="s">
        <v>99</v>
      </c>
      <c r="G61" s="34" t="s">
        <v>100</v>
      </c>
      <c r="H61" s="34" t="s">
        <v>101</v>
      </c>
      <c r="I61" s="34" t="s">
        <v>102</v>
      </c>
      <c r="J61" s="34" t="s">
        <v>103</v>
      </c>
      <c r="K61" s="34" t="s">
        <v>104</v>
      </c>
      <c r="L61" s="34" t="s">
        <v>105</v>
      </c>
      <c r="M61" s="34" t="s">
        <v>69</v>
      </c>
      <c r="N61" s="34" t="s">
        <v>106</v>
      </c>
      <c r="O61" s="34" t="s">
        <v>107</v>
      </c>
      <c r="P61" s="34" t="s">
        <v>108</v>
      </c>
      <c r="Q61" s="34" t="s">
        <v>109</v>
      </c>
      <c r="R61" s="34" t="s">
        <v>110</v>
      </c>
      <c r="S61" s="34" t="s">
        <v>111</v>
      </c>
      <c r="T61" s="34" t="s">
        <v>112</v>
      </c>
    </row>
    <row r="62" spans="2:20" x14ac:dyDescent="0.25">
      <c r="B62" s="63" t="s">
        <v>296</v>
      </c>
      <c r="C62" s="63" t="s">
        <v>297</v>
      </c>
      <c r="D62" s="63" t="s">
        <v>298</v>
      </c>
      <c r="E62" s="63" t="s">
        <v>291</v>
      </c>
      <c r="F62" s="75">
        <v>100</v>
      </c>
      <c r="G62" s="80">
        <v>2</v>
      </c>
      <c r="H62" s="72">
        <v>6</v>
      </c>
      <c r="I62" s="73">
        <v>46027</v>
      </c>
      <c r="J62" s="73">
        <v>46029</v>
      </c>
      <c r="K62" s="78">
        <v>1</v>
      </c>
      <c r="L62" s="39">
        <f>IF(tblVerifyJobs[[#This Row],[Job]]="","",tblVerifyJobs[[#This Row],[Setup (h)]]+tblVerifyJobs[[#This Row],[Qty (pcs)]]*tblVerifyJobs[[#This Row],[Cycle (min/pc)]]/60)</f>
        <v>12</v>
      </c>
      <c r="M62" s="72">
        <v>12.9536</v>
      </c>
      <c r="N62" s="39">
        <f>IF(tblVerifyJobs[[#This Row],[Job]]="","",IF(N(tblVerifyJobs[[#This Row],[Usable (h/day)]])&gt;0,tblVerifyJobs[[#This Row],[Work (h)]]/tblVerifyJobs[[#This Row],[Usable (h/day)]],""))</f>
        <v>0.926383399209486</v>
      </c>
      <c r="O62" s="31">
        <f>IF(tblVerifyJobs[[#This Row],[Job]]="","",IF(tblVerifyJobs[[#This Row],[Days (working)]]="","",WORKDAY(tblVerifyJobs[[#This Row],[Start]],MAX(1,ROUNDUP(tblVerifyJobs[[#This Row],[Days (working)]],0))-1,tblVerifyHolidays[Date])))</f>
        <v>46027</v>
      </c>
      <c r="P62" s="40">
        <f>IF(tblVerifyJobs[[#This Row],[Job]]="","",IF(tblVerifyJobs[[#This Row],[End]]="","",IF(tblVerifyJobs[[#This Row],[Due]]&gt;=tblVerifyJobs[[#This Row],[End]],NETWORKDAYS(tblVerifyJobs[[#This Row],[End]],tblVerifyJobs[[#This Row],[Due]],tblVerifyHolidays[Date])-1,-(NETWORKDAYS(tblVerifyJobs[[#This Row],[Due]],tblVerifyJobs[[#This Row],[End]],tblVerifyHolidays[Date])-1))))</f>
        <v>2</v>
      </c>
      <c r="Q62" s="41" t="str">
        <f>IF(tblVerifyJobs[[#This Row],[Job]]="","",IF(tblVerifyJobs[[#This Row],[End]]="","",IF(tblVerifyJobs[[#This Row],[End]]&lt;=tblVerifyJobs[[#This Row],[Due]],"Yes","No")))</f>
        <v>Yes</v>
      </c>
      <c r="R62" s="41" t="str">
        <f>IF(tblVerifyJobs[[#This Row],[Job]]="","",IF(tblVerifyJobs[[#This Row],[End]]="","",IF(tblVerifyJobs[[#This Row],[Complete (%)]]&gt;=1,"Complete",IF(tblVerifyJobs[[#This Row],[End]]&lt;$E$46,"Overdue",IF(tblVerifyJobs[[#This Row],[Start]]&lt;=$E$46,"In progress","Not started")))))</f>
        <v>Complete</v>
      </c>
      <c r="S62" s="42" t="str">
        <f>IF(tblVerifyJobs[[#This Row],[Job]]="","",IF(tblVerifyJobs[[#This Row],[Machine]]="","Missing machine",IF(tblVerifyJobs[[#This Row],[Qty (pcs)]]="","Missing qty",IF(tblVerifyJobs[[#This Row],[Start]]="","Missing start",IF(tblVerifyJobs[[#This Row],[Due]]="","Missing due",IF(tblVerifyJobs[[#This Row],[Usable (h/day)]]="","Machine not on Setup list",IF(COUNTIF(tblVerifyJobs[Job],tblVerifyJobs[[#This Row],[Job]])&gt;1,"Duplicate job number",IF(tblVerifyJobs[[#This Row],[Due]]&lt;tblVerifyJobs[[#This Row],[Start]],"Due date before start",IF(tblVerifyJobs[[#This Row],[Start]]&lt;$E$45,"Starts before the plan start",IF(NETWORKDAYS(tblVerifyJobs[[#This Row],[Start]],tblVerifyJobs[[#This Row],[Start]],tblVerifyHolidays[Date])=0,"Starts on a non-working day",IF(AND(tblVerifyJobs[[#This Row],[End]]&lt;&gt;"",COUNTIFS(tblVerifyJobs[Machine],tblVerifyJobs[[#This Row],[Machine]],tblVerifyJobs[Start],"&lt;="&amp;tblVerifyJobs[[#This Row],[End]],tblVerifyJobs[End],"&gt;="&amp;tblVerifyJobs[[#This Row],[Start]])&gt;1),"Overlaps another job on this machine","OK")))))))))))</f>
        <v>OK</v>
      </c>
      <c r="T62" s="63"/>
    </row>
    <row r="63" spans="2:20" x14ac:dyDescent="0.25">
      <c r="B63" s="63" t="s">
        <v>299</v>
      </c>
      <c r="C63" s="63" t="s">
        <v>297</v>
      </c>
      <c r="D63" s="63" t="s">
        <v>298</v>
      </c>
      <c r="E63" s="63" t="s">
        <v>291</v>
      </c>
      <c r="F63" s="75">
        <v>300</v>
      </c>
      <c r="G63" s="80">
        <v>3</v>
      </c>
      <c r="H63" s="72">
        <v>6</v>
      </c>
      <c r="I63" s="73">
        <v>46029</v>
      </c>
      <c r="J63" s="73">
        <v>46030</v>
      </c>
      <c r="K63" s="78">
        <v>0.5</v>
      </c>
      <c r="L63" s="39">
        <f>IF(tblVerifyJobs[[#This Row],[Job]]="","",tblVerifyJobs[[#This Row],[Setup (h)]]+tblVerifyJobs[[#This Row],[Qty (pcs)]]*tblVerifyJobs[[#This Row],[Cycle (min/pc)]]/60)</f>
        <v>33</v>
      </c>
      <c r="M63" s="72">
        <v>12.9536</v>
      </c>
      <c r="N63" s="39">
        <f>IF(tblVerifyJobs[[#This Row],[Job]]="","",IF(N(tblVerifyJobs[[#This Row],[Usable (h/day)]])&gt;0,tblVerifyJobs[[#This Row],[Work (h)]]/tblVerifyJobs[[#This Row],[Usable (h/day)]],""))</f>
        <v>2.54755434782609</v>
      </c>
      <c r="O63" s="31">
        <f>IF(tblVerifyJobs[[#This Row],[Job]]="","",IF(tblVerifyJobs[[#This Row],[Days (working)]]="","",WORKDAY(tblVerifyJobs[[#This Row],[Start]],MAX(1,ROUNDUP(tblVerifyJobs[[#This Row],[Days (working)]],0))-1,tblVerifyHolidays[Date])))</f>
        <v>46034</v>
      </c>
      <c r="P63" s="40">
        <f>IF(tblVerifyJobs[[#This Row],[Job]]="","",IF(tblVerifyJobs[[#This Row],[End]]="","",IF(tblVerifyJobs[[#This Row],[Due]]&gt;=tblVerifyJobs[[#This Row],[End]],NETWORKDAYS(tblVerifyJobs[[#This Row],[End]],tblVerifyJobs[[#This Row],[Due]],tblVerifyHolidays[Date])-1,-(NETWORKDAYS(tblVerifyJobs[[#This Row],[Due]],tblVerifyJobs[[#This Row],[End]],tblVerifyHolidays[Date])-1))))</f>
        <v>-1</v>
      </c>
      <c r="Q63" s="41" t="str">
        <f>IF(tblVerifyJobs[[#This Row],[Job]]="","",IF(tblVerifyJobs[[#This Row],[End]]="","",IF(tblVerifyJobs[[#This Row],[End]]&lt;=tblVerifyJobs[[#This Row],[Due]],"Yes","No")))</f>
        <v>No</v>
      </c>
      <c r="R63" s="41" t="str">
        <f>IF(tblVerifyJobs[[#This Row],[Job]]="","",IF(tblVerifyJobs[[#This Row],[End]]="","",IF(tblVerifyJobs[[#This Row],[Complete (%)]]&gt;=1,"Complete",IF(tblVerifyJobs[[#This Row],[End]]&lt;$E$46,"Overdue",IF(tblVerifyJobs[[#This Row],[Start]]&lt;=$E$46,"In progress","Not started")))))</f>
        <v>Overdue</v>
      </c>
      <c r="S63" s="42" t="str">
        <f>IF(tblVerifyJobs[[#This Row],[Job]]="","",IF(tblVerifyJobs[[#This Row],[Machine]]="","Missing machine",IF(tblVerifyJobs[[#This Row],[Qty (pcs)]]="","Missing qty",IF(tblVerifyJobs[[#This Row],[Start]]="","Missing start",IF(tblVerifyJobs[[#This Row],[Due]]="","Missing due",IF(tblVerifyJobs[[#This Row],[Usable (h/day)]]="","Machine not on Setup list",IF(COUNTIF(tblVerifyJobs[Job],tblVerifyJobs[[#This Row],[Job]])&gt;1,"Duplicate job number",IF(tblVerifyJobs[[#This Row],[Due]]&lt;tblVerifyJobs[[#This Row],[Start]],"Due date before start",IF(tblVerifyJobs[[#This Row],[Start]]&lt;$E$45,"Starts before the plan start",IF(NETWORKDAYS(tblVerifyJobs[[#This Row],[Start]],tblVerifyJobs[[#This Row],[Start]],tblVerifyHolidays[Date])=0,"Starts on a non-working day",IF(AND(tblVerifyJobs[[#This Row],[End]]&lt;&gt;"",COUNTIFS(tblVerifyJobs[Machine],tblVerifyJobs[[#This Row],[Machine]],tblVerifyJobs[Start],"&lt;="&amp;tblVerifyJobs[[#This Row],[End]],tblVerifyJobs[End],"&gt;="&amp;tblVerifyJobs[[#This Row],[Start]])&gt;1),"Overlaps another job on this machine","OK")))))))))))</f>
        <v>Overlaps another job on this machine</v>
      </c>
      <c r="T63" s="63"/>
    </row>
    <row r="64" spans="2:20" x14ac:dyDescent="0.25">
      <c r="B64" s="63" t="s">
        <v>300</v>
      </c>
      <c r="C64" s="63" t="s">
        <v>297</v>
      </c>
      <c r="D64" s="63" t="s">
        <v>298</v>
      </c>
      <c r="E64" s="63" t="s">
        <v>293</v>
      </c>
      <c r="F64" s="75">
        <v>50</v>
      </c>
      <c r="G64" s="80">
        <v>1</v>
      </c>
      <c r="H64" s="72">
        <v>12</v>
      </c>
      <c r="I64" s="73">
        <v>46035</v>
      </c>
      <c r="J64" s="73">
        <v>46042</v>
      </c>
      <c r="K64" s="78">
        <v>0.25</v>
      </c>
      <c r="L64" s="39">
        <f>IF(tblVerifyJobs[[#This Row],[Job]]="","",tblVerifyJobs[[#This Row],[Setup (h)]]+tblVerifyJobs[[#This Row],[Qty (pcs)]]*tblVerifyJobs[[#This Row],[Cycle (min/pc)]]/60)</f>
        <v>11</v>
      </c>
      <c r="M64" s="72">
        <v>8</v>
      </c>
      <c r="N64" s="39">
        <f>IF(tblVerifyJobs[[#This Row],[Job]]="","",IF(N(tblVerifyJobs[[#This Row],[Usable (h/day)]])&gt;0,tblVerifyJobs[[#This Row],[Work (h)]]/tblVerifyJobs[[#This Row],[Usable (h/day)]],""))</f>
        <v>1.375</v>
      </c>
      <c r="O64" s="31">
        <f>IF(tblVerifyJobs[[#This Row],[Job]]="","",IF(tblVerifyJobs[[#This Row],[Days (working)]]="","",WORKDAY(tblVerifyJobs[[#This Row],[Start]],MAX(1,ROUNDUP(tblVerifyJobs[[#This Row],[Days (working)]],0))-1,tblVerifyHolidays[Date])))</f>
        <v>46036</v>
      </c>
      <c r="P64" s="40">
        <f>IF(tblVerifyJobs[[#This Row],[Job]]="","",IF(tblVerifyJobs[[#This Row],[End]]="","",IF(tblVerifyJobs[[#This Row],[Due]]&gt;=tblVerifyJobs[[#This Row],[End]],NETWORKDAYS(tblVerifyJobs[[#This Row],[End]],tblVerifyJobs[[#This Row],[Due]],tblVerifyHolidays[Date])-1,-(NETWORKDAYS(tblVerifyJobs[[#This Row],[Due]],tblVerifyJobs[[#This Row],[End]],tblVerifyHolidays[Date])-1))))</f>
        <v>4</v>
      </c>
      <c r="Q64" s="41" t="str">
        <f>IF(tblVerifyJobs[[#This Row],[Job]]="","",IF(tblVerifyJobs[[#This Row],[End]]="","",IF(tblVerifyJobs[[#This Row],[End]]&lt;=tblVerifyJobs[[#This Row],[Due]],"Yes","No")))</f>
        <v>Yes</v>
      </c>
      <c r="R64" s="41" t="str">
        <f>IF(tblVerifyJobs[[#This Row],[Job]]="","",IF(tblVerifyJobs[[#This Row],[End]]="","",IF(tblVerifyJobs[[#This Row],[Complete (%)]]&gt;=1,"Complete",IF(tblVerifyJobs[[#This Row],[End]]&lt;$E$46,"Overdue",IF(tblVerifyJobs[[#This Row],[Start]]&lt;=$E$46,"In progress","Not started")))))</f>
        <v>In progress</v>
      </c>
      <c r="S64" s="42" t="str">
        <f>IF(tblVerifyJobs[[#This Row],[Job]]="","",IF(tblVerifyJobs[[#This Row],[Machine]]="","Missing machine",IF(tblVerifyJobs[[#This Row],[Qty (pcs)]]="","Missing qty",IF(tblVerifyJobs[[#This Row],[Start]]="","Missing start",IF(tblVerifyJobs[[#This Row],[Due]]="","Missing due",IF(tblVerifyJobs[[#This Row],[Usable (h/day)]]="","Machine not on Setup list",IF(COUNTIF(tblVerifyJobs[Job],tblVerifyJobs[[#This Row],[Job]])&gt;1,"Duplicate job number",IF(tblVerifyJobs[[#This Row],[Due]]&lt;tblVerifyJobs[[#This Row],[Start]],"Due date before start",IF(tblVerifyJobs[[#This Row],[Start]]&lt;$E$45,"Starts before the plan start",IF(NETWORKDAYS(tblVerifyJobs[[#This Row],[Start]],tblVerifyJobs[[#This Row],[Start]],tblVerifyHolidays[Date])=0,"Starts on a non-working day",IF(AND(tblVerifyJobs[[#This Row],[End]]&lt;&gt;"",COUNTIFS(tblVerifyJobs[Machine],tblVerifyJobs[[#This Row],[Machine]],tblVerifyJobs[Start],"&lt;="&amp;tblVerifyJobs[[#This Row],[End]],tblVerifyJobs[End],"&gt;="&amp;tblVerifyJobs[[#This Row],[Start]])&gt;1),"Overlaps another job on this machine","OK")))))))))))</f>
        <v>OK</v>
      </c>
      <c r="T64" s="63"/>
    </row>
    <row r="65" spans="2:20" x14ac:dyDescent="0.25">
      <c r="B65" s="63" t="s">
        <v>301</v>
      </c>
      <c r="C65" s="63" t="s">
        <v>297</v>
      </c>
      <c r="D65" s="63" t="s">
        <v>298</v>
      </c>
      <c r="E65" s="63" t="s">
        <v>291</v>
      </c>
      <c r="F65" s="75">
        <v>10</v>
      </c>
      <c r="G65" s="80">
        <v>1</v>
      </c>
      <c r="H65" s="72">
        <v>6</v>
      </c>
      <c r="I65" s="73">
        <v>46034</v>
      </c>
      <c r="J65" s="73">
        <v>46035</v>
      </c>
      <c r="K65" s="78">
        <v>0</v>
      </c>
      <c r="L65" s="39">
        <f>IF(tblVerifyJobs[[#This Row],[Job]]="","",tblVerifyJobs[[#This Row],[Setup (h)]]+tblVerifyJobs[[#This Row],[Qty (pcs)]]*tblVerifyJobs[[#This Row],[Cycle (min/pc)]]/60)</f>
        <v>2</v>
      </c>
      <c r="M65" s="72">
        <v>12.9536</v>
      </c>
      <c r="N65" s="39">
        <f>IF(tblVerifyJobs[[#This Row],[Job]]="","",IF(N(tblVerifyJobs[[#This Row],[Usable (h/day)]])&gt;0,tblVerifyJobs[[#This Row],[Work (h)]]/tblVerifyJobs[[#This Row],[Usable (h/day)]],""))</f>
        <v>0.154397233201581</v>
      </c>
      <c r="O65" s="31">
        <f>IF(tblVerifyJobs[[#This Row],[Job]]="","",IF(tblVerifyJobs[[#This Row],[Days (working)]]="","",WORKDAY(tblVerifyJobs[[#This Row],[Start]],MAX(1,ROUNDUP(tblVerifyJobs[[#This Row],[Days (working)]],0))-1,tblVerifyHolidays[Date])))</f>
        <v>46034</v>
      </c>
      <c r="P65" s="40">
        <f>IF(tblVerifyJobs[[#This Row],[Job]]="","",IF(tblVerifyJobs[[#This Row],[End]]="","",IF(tblVerifyJobs[[#This Row],[Due]]&gt;=tblVerifyJobs[[#This Row],[End]],NETWORKDAYS(tblVerifyJobs[[#This Row],[End]],tblVerifyJobs[[#This Row],[Due]],tblVerifyHolidays[Date])-1,-(NETWORKDAYS(tblVerifyJobs[[#This Row],[Due]],tblVerifyJobs[[#This Row],[End]],tblVerifyHolidays[Date])-1))))</f>
        <v>1</v>
      </c>
      <c r="Q65" s="41" t="str">
        <f>IF(tblVerifyJobs[[#This Row],[Job]]="","",IF(tblVerifyJobs[[#This Row],[End]]="","",IF(tblVerifyJobs[[#This Row],[End]]&lt;=tblVerifyJobs[[#This Row],[Due]],"Yes","No")))</f>
        <v>Yes</v>
      </c>
      <c r="R65" s="41" t="str">
        <f>IF(tblVerifyJobs[[#This Row],[Job]]="","",IF(tblVerifyJobs[[#This Row],[End]]="","",IF(tblVerifyJobs[[#This Row],[Complete (%)]]&gt;=1,"Complete",IF(tblVerifyJobs[[#This Row],[End]]&lt;$E$46,"Overdue",IF(tblVerifyJobs[[#This Row],[Start]]&lt;=$E$46,"In progress","Not started")))))</f>
        <v>Overdue</v>
      </c>
      <c r="S65" s="42" t="str">
        <f>IF(tblVerifyJobs[[#This Row],[Job]]="","",IF(tblVerifyJobs[[#This Row],[Machine]]="","Missing machine",IF(tblVerifyJobs[[#This Row],[Qty (pcs)]]="","Missing qty",IF(tblVerifyJobs[[#This Row],[Start]]="","Missing start",IF(tblVerifyJobs[[#This Row],[Due]]="","Missing due",IF(tblVerifyJobs[[#This Row],[Usable (h/day)]]="","Machine not on Setup list",IF(COUNTIF(tblVerifyJobs[Job],tblVerifyJobs[[#This Row],[Job]])&gt;1,"Duplicate job number",IF(tblVerifyJobs[[#This Row],[Due]]&lt;tblVerifyJobs[[#This Row],[Start]],"Due date before start",IF(tblVerifyJobs[[#This Row],[Start]]&lt;$E$45,"Starts before the plan start",IF(NETWORKDAYS(tblVerifyJobs[[#This Row],[Start]],tblVerifyJobs[[#This Row],[Start]],tblVerifyHolidays[Date])=0,"Starts on a non-working day",IF(AND(tblVerifyJobs[[#This Row],[End]]&lt;&gt;"",COUNTIFS(tblVerifyJobs[Machine],tblVerifyJobs[[#This Row],[Machine]],tblVerifyJobs[Start],"&lt;="&amp;tblVerifyJobs[[#This Row],[End]],tblVerifyJobs[End],"&gt;="&amp;tblVerifyJobs[[#This Row],[Start]])&gt;1),"Overlaps another job on this machine","OK")))))))))))</f>
        <v>Overlaps another job on this machine</v>
      </c>
      <c r="T65" s="63"/>
    </row>
    <row r="66" spans="2:20" x14ac:dyDescent="0.25">
      <c r="B66" s="63" t="s">
        <v>302</v>
      </c>
      <c r="C66" s="63" t="s">
        <v>297</v>
      </c>
      <c r="D66" s="63" t="s">
        <v>298</v>
      </c>
      <c r="E66" s="63" t="s">
        <v>293</v>
      </c>
      <c r="F66" s="75">
        <v>20</v>
      </c>
      <c r="G66" s="80">
        <v>0.5</v>
      </c>
      <c r="H66" s="72">
        <v>3</v>
      </c>
      <c r="I66" s="73">
        <v>46039</v>
      </c>
      <c r="J66" s="73">
        <v>46045</v>
      </c>
      <c r="K66" s="78">
        <v>0</v>
      </c>
      <c r="L66" s="39">
        <f>IF(tblVerifyJobs[[#This Row],[Job]]="","",tblVerifyJobs[[#This Row],[Setup (h)]]+tblVerifyJobs[[#This Row],[Qty (pcs)]]*tblVerifyJobs[[#This Row],[Cycle (min/pc)]]/60)</f>
        <v>1.5</v>
      </c>
      <c r="M66" s="72">
        <v>8</v>
      </c>
      <c r="N66" s="39">
        <f>IF(tblVerifyJobs[[#This Row],[Job]]="","",IF(N(tblVerifyJobs[[#This Row],[Usable (h/day)]])&gt;0,tblVerifyJobs[[#This Row],[Work (h)]]/tblVerifyJobs[[#This Row],[Usable (h/day)]],""))</f>
        <v>0.1875</v>
      </c>
      <c r="O66" s="31">
        <f>IF(tblVerifyJobs[[#This Row],[Job]]="","",IF(tblVerifyJobs[[#This Row],[Days (working)]]="","",WORKDAY(tblVerifyJobs[[#This Row],[Start]],MAX(1,ROUNDUP(tblVerifyJobs[[#This Row],[Days (working)]],0))-1,tblVerifyHolidays[Date])))</f>
        <v>46039</v>
      </c>
      <c r="P66" s="40">
        <f>IF(tblVerifyJobs[[#This Row],[Job]]="","",IF(tblVerifyJobs[[#This Row],[End]]="","",IF(tblVerifyJobs[[#This Row],[Due]]&gt;=tblVerifyJobs[[#This Row],[End]],NETWORKDAYS(tblVerifyJobs[[#This Row],[End]],tblVerifyJobs[[#This Row],[Due]],tblVerifyHolidays[Date])-1,-(NETWORKDAYS(tblVerifyJobs[[#This Row],[Due]],tblVerifyJobs[[#This Row],[End]],tblVerifyHolidays[Date])-1))))</f>
        <v>4</v>
      </c>
      <c r="Q66" s="41" t="str">
        <f>IF(tblVerifyJobs[[#This Row],[Job]]="","",IF(tblVerifyJobs[[#This Row],[End]]="","",IF(tblVerifyJobs[[#This Row],[End]]&lt;=tblVerifyJobs[[#This Row],[Due]],"Yes","No")))</f>
        <v>Yes</v>
      </c>
      <c r="R66" s="41" t="str">
        <f>IF(tblVerifyJobs[[#This Row],[Job]]="","",IF(tblVerifyJobs[[#This Row],[End]]="","",IF(tblVerifyJobs[[#This Row],[Complete (%)]]&gt;=1,"Complete",IF(tblVerifyJobs[[#This Row],[End]]&lt;$E$46,"Overdue",IF(tblVerifyJobs[[#This Row],[Start]]&lt;=$E$46,"In progress","Not started")))))</f>
        <v>Not started</v>
      </c>
      <c r="S66" s="42" t="str">
        <f>IF(tblVerifyJobs[[#This Row],[Job]]="","",IF(tblVerifyJobs[[#This Row],[Machine]]="","Missing machine",IF(tblVerifyJobs[[#This Row],[Qty (pcs)]]="","Missing qty",IF(tblVerifyJobs[[#This Row],[Start]]="","Missing start",IF(tblVerifyJobs[[#This Row],[Due]]="","Missing due",IF(tblVerifyJobs[[#This Row],[Usable (h/day)]]="","Machine not on Setup list",IF(COUNTIF(tblVerifyJobs[Job],tblVerifyJobs[[#This Row],[Job]])&gt;1,"Duplicate job number",IF(tblVerifyJobs[[#This Row],[Due]]&lt;tblVerifyJobs[[#This Row],[Start]],"Due date before start",IF(tblVerifyJobs[[#This Row],[Start]]&lt;$E$45,"Starts before the plan start",IF(NETWORKDAYS(tblVerifyJobs[[#This Row],[Start]],tblVerifyJobs[[#This Row],[Start]],tblVerifyHolidays[Date])=0,"Starts on a non-working day",IF(AND(tblVerifyJobs[[#This Row],[End]]&lt;&gt;"",COUNTIFS(tblVerifyJobs[Machine],tblVerifyJobs[[#This Row],[Machine]],tblVerifyJobs[Start],"&lt;="&amp;tblVerifyJobs[[#This Row],[End]],tblVerifyJobs[End],"&gt;="&amp;tblVerifyJobs[[#This Row],[Start]])&gt;1),"Overlaps another job on this machine","OK")))))))))))</f>
        <v>Starts on a non-working day</v>
      </c>
      <c r="T66" s="63"/>
    </row>
    <row r="68" spans="2:20" x14ac:dyDescent="0.25">
      <c r="B68" s="33" t="s">
        <v>303</v>
      </c>
      <c r="C68" s="33"/>
      <c r="D68" s="33"/>
      <c r="E68" s="33"/>
      <c r="F68" s="33"/>
      <c r="G68" s="33"/>
      <c r="H68" s="33"/>
      <c r="I68" s="33"/>
      <c r="J68" s="33"/>
      <c r="K68" s="33"/>
      <c r="L68" s="33"/>
    </row>
    <row r="69" spans="2:20" ht="32" customHeight="1" x14ac:dyDescent="0.25">
      <c r="B69" s="43" t="s">
        <v>64</v>
      </c>
      <c r="C69" s="34" t="s">
        <v>168</v>
      </c>
      <c r="D69" s="34" t="s">
        <v>169</v>
      </c>
      <c r="E69" s="34" t="s">
        <v>170</v>
      </c>
      <c r="F69" s="34" t="s">
        <v>171</v>
      </c>
      <c r="G69" s="34" t="s">
        <v>172</v>
      </c>
      <c r="H69" s="34" t="s">
        <v>173</v>
      </c>
      <c r="I69" s="34" t="s">
        <v>174</v>
      </c>
      <c r="J69" s="34"/>
    </row>
    <row r="70" spans="2:20" x14ac:dyDescent="0.25">
      <c r="B70" s="45" t="str">
        <f>IFERROR(INDEX(tblVerifyMachines[Machine],1)&amp;"","")</f>
        <v>M1</v>
      </c>
      <c r="C70" s="55">
        <f>IF($B$70="","",COUNTIFS(tblVerifyJobs[Machine],$B$70))</f>
        <v>3</v>
      </c>
      <c r="D70" s="39">
        <f>IF($B$70="","",SUMIFS(tblVerifyJobs[Work (h)],tblVerifyJobs[Machine],$B$70))</f>
        <v>47</v>
      </c>
      <c r="E70" s="39">
        <f>IF($B$70="","",SUMIFS(tblVerifyMachines[Usable (h/day)],tblVerifyMachines[Machine],$B$70)*$E$47)</f>
        <v>129.536</v>
      </c>
      <c r="F70" s="56">
        <f>IF($B$70="","",IF(($E$70)=0,"",($D$70)/($E$70)))</f>
        <v>0.362833498023715</v>
      </c>
      <c r="G70" s="39">
        <f>IF($B$70="","",IF($E$70="","",MAX(0,$D$70-$E$70)))</f>
        <v>0</v>
      </c>
      <c r="H70" s="55">
        <f>IF($B$70="","",COUNTIFS(tblVerifyJobs[Machine],$B$70,tblVerifyJobs[On time],"No"))</f>
        <v>1</v>
      </c>
      <c r="I70" s="57" t="str">
        <f>IF($B$70="","",IF($F$70="","",IF($F$70&gt;$E$49,"Over capacity",IF($F$70&gt;=$E$48,"Near capacity","Under capacity"))))</f>
        <v>Under capacity</v>
      </c>
      <c r="J70" s="57"/>
    </row>
    <row r="71" spans="2:20" x14ac:dyDescent="0.25">
      <c r="B71" s="45" t="str">
        <f>IFERROR(INDEX(tblVerifyMachines[Machine],2)&amp;"","")</f>
        <v>M2</v>
      </c>
      <c r="C71" s="55">
        <f>IF($B$71="","",COUNTIFS(tblVerifyJobs[Machine],$B$71))</f>
        <v>2</v>
      </c>
      <c r="D71" s="39">
        <f>IF($B$71="","",SUMIFS(tblVerifyJobs[Work (h)],tblVerifyJobs[Machine],$B$71))</f>
        <v>12.5</v>
      </c>
      <c r="E71" s="39">
        <f>IF($B$71="","",SUMIFS(tblVerifyMachines[Usable (h/day)],tblVerifyMachines[Machine],$B$71)*$E$47)</f>
        <v>80</v>
      </c>
      <c r="F71" s="56">
        <f>IF($B$71="","",IF(($E$71)=0,"",($D$71)/($E$71)))</f>
        <v>0.15625</v>
      </c>
      <c r="G71" s="39">
        <f>IF($B$71="","",IF($E$71="","",MAX(0,$D$71-$E$71)))</f>
        <v>0</v>
      </c>
      <c r="H71" s="55">
        <f>IF($B$71="","",COUNTIFS(tblVerifyJobs[Machine],$B$71,tblVerifyJobs[On time],"No"))</f>
        <v>0</v>
      </c>
      <c r="I71" s="57" t="str">
        <f>IF($B$71="","",IF($F$71="","",IF($F$71&gt;$E$49,"Over capacity",IF($F$71&gt;=$E$48,"Near capacity","Under capacity"))))</f>
        <v>Under capacity</v>
      </c>
      <c r="J71" s="57"/>
    </row>
    <row r="72" spans="2:20" x14ac:dyDescent="0.25">
      <c r="B72" s="45">
        <f>IFERROR(INDEX(tblVerifyMachines[Machine],3)&amp;"","")</f>
        <v/>
      </c>
      <c r="C72" s="55">
        <f>IF($B$72="","",COUNTIFS(tblVerifyJobs[Machine],$B$72))</f>
        <v/>
      </c>
      <c r="D72" s="39">
        <f>IF($B$72="","",SUMIFS(tblVerifyJobs[Work (h)],tblVerifyJobs[Machine],$B$72))</f>
        <v/>
      </c>
      <c r="E72" s="39">
        <f>IF($B$72="","",SUMIFS(tblVerifyMachines[Usable (h/day)],tblVerifyMachines[Machine],$B$72)*$E$47)</f>
        <v/>
      </c>
      <c r="F72" s="56">
        <f>IF($B$72="","",IF(($E$72)=0,"",($D$72)/($E$72)))</f>
        <v/>
      </c>
      <c r="G72" s="39">
        <f>IF($B$72="","",IF($E$72="","",MAX(0,$D$72-$E$72)))</f>
        <v/>
      </c>
      <c r="H72" s="55">
        <f>IF($B$72="","",COUNTIFS(tblVerifyJobs[Machine],$B$72,tblVerifyJobs[On time],"No"))</f>
        <v/>
      </c>
      <c r="I72" s="57">
        <f>IF($B$72="","",IF($F$72="","",IF($F$72&gt;$E$49,"Over capacity",IF($F$72&gt;=$E$48,"Near capacity","Under capacity"))))</f>
        <v/>
      </c>
      <c r="J72" s="57"/>
    </row>
    <row r="73" spans="2:20" x14ac:dyDescent="0.25">
      <c r="B73" s="45">
        <f>IFERROR(INDEX(tblVerifyMachines[Machine],4)&amp;"","")</f>
        <v/>
      </c>
      <c r="C73" s="55">
        <f>IF($B$73="","",COUNTIFS(tblVerifyJobs[Machine],$B$73))</f>
        <v/>
      </c>
      <c r="D73" s="39">
        <f>IF($B$73="","",SUMIFS(tblVerifyJobs[Work (h)],tblVerifyJobs[Machine],$B$73))</f>
        <v/>
      </c>
      <c r="E73" s="39">
        <f>IF($B$73="","",SUMIFS(tblVerifyMachines[Usable (h/day)],tblVerifyMachines[Machine],$B$73)*$E$47)</f>
        <v/>
      </c>
      <c r="F73" s="56">
        <f>IF($B$73="","",IF(($E$73)=0,"",($D$73)/($E$73)))</f>
        <v/>
      </c>
      <c r="G73" s="39">
        <f>IF($B$73="","",IF($E$73="","",MAX(0,$D$73-$E$73)))</f>
        <v/>
      </c>
      <c r="H73" s="55">
        <f>IF($B$73="","",COUNTIFS(tblVerifyJobs[Machine],$B$73,tblVerifyJobs[On time],"No"))</f>
        <v/>
      </c>
      <c r="I73" s="57">
        <f>IF($B$73="","",IF($F$73="","",IF($F$73&gt;$E$49,"Over capacity",IF($F$73&gt;=$E$48,"Near capacity","Under capacity"))))</f>
        <v/>
      </c>
      <c r="J73" s="57"/>
    </row>
    <row r="75" spans="2:20" x14ac:dyDescent="0.25">
      <c r="B75" s="33" t="s">
        <v>304</v>
      </c>
      <c r="C75" s="33"/>
      <c r="D75" s="33"/>
      <c r="E75" s="33"/>
      <c r="F75" s="33"/>
      <c r="G75" s="33"/>
      <c r="H75" s="33"/>
      <c r="I75" s="33"/>
      <c r="J75" s="33"/>
      <c r="K75" s="33"/>
      <c r="L75" s="33"/>
    </row>
    <row r="76" spans="2:20" ht="32" customHeight="1" x14ac:dyDescent="0.25">
      <c r="B76" s="43" t="s">
        <v>158</v>
      </c>
      <c r="C76" s="34" t="s">
        <v>102</v>
      </c>
      <c r="D76" s="34" t="s">
        <v>107</v>
      </c>
      <c r="E76" s="34" t="s">
        <v>103</v>
      </c>
      <c r="F76" s="34" t="s">
        <v>108</v>
      </c>
      <c r="G76" s="34" t="s">
        <v>176</v>
      </c>
      <c r="H76" s="34" t="s">
        <v>177</v>
      </c>
      <c r="I76" s="34" t="s">
        <v>178</v>
      </c>
      <c r="J76" s="34" t="s">
        <v>109</v>
      </c>
      <c r="K76" s="34" t="s">
        <v>110</v>
      </c>
      <c r="L76" s="34"/>
    </row>
    <row r="77" spans="2:20" x14ac:dyDescent="0.25">
      <c r="B77" s="45" t="str">
        <f>IFERROR(IF(INDEX(tblVerifyJobs[Job],1)="","",INDEX(tblVerifyJobs[Job],1)&amp;" ("&amp;INDEX(tblVerifyJobs[Machine],1)&amp;")"),"")</f>
        <v>T1 (M1)</v>
      </c>
      <c r="C77" s="58">
        <f>IF($B$77="","",INDEX(tblVerifyJobs[Start],1))</f>
        <v>46027</v>
      </c>
      <c r="D77" s="58">
        <f>IF($B$77="","",INDEX(tblVerifyJobs[End],1))</f>
        <v>46027</v>
      </c>
      <c r="E77" s="58">
        <f>IF($B$77="","",INDEX(tblVerifyJobs[Due],1))</f>
        <v>46029</v>
      </c>
      <c r="F77" s="40">
        <f>IF($B$77="","",INDEX(tblVerifyJobs[Slack (days)],1))</f>
        <v>2</v>
      </c>
      <c r="G77" s="55">
        <f>IF($B$77="","",IF($D$77="","",$C$77-$E$45))</f>
        <v>0</v>
      </c>
      <c r="H77" s="39">
        <f>IF($B$77="","",IF($D$77="","",($D$77-$C$77+1)*INDEX(tblVerifyJobs[Complete (%)],1)))</f>
        <v>1</v>
      </c>
      <c r="I77" s="39">
        <f>IF($B$77="","",IF($D$77="","",$D$77-$C$77+1-$H$77))</f>
        <v>0</v>
      </c>
      <c r="J77" s="57" t="str">
        <f>IF($B$77="","",INDEX(tblVerifyJobs[On time],1))</f>
        <v>Yes</v>
      </c>
      <c r="K77" s="57" t="str">
        <f>IF($B$77="","",INDEX(tblVerifyJobs[Progress],1))</f>
        <v>Complete</v>
      </c>
      <c r="L77" s="57"/>
    </row>
    <row r="78" spans="2:20" x14ac:dyDescent="0.25">
      <c r="B78" s="45" t="str">
        <f>IFERROR(IF(INDEX(tblVerifyJobs[Job],2)="","",INDEX(tblVerifyJobs[Job],2)&amp;" ("&amp;INDEX(tblVerifyJobs[Machine],2)&amp;")"),"")</f>
        <v>T2 (M1)</v>
      </c>
      <c r="C78" s="58">
        <f>IF($B$78="","",INDEX(tblVerifyJobs[Start],2))</f>
        <v>46029</v>
      </c>
      <c r="D78" s="58">
        <f>IF($B$78="","",INDEX(tblVerifyJobs[End],2))</f>
        <v>46034</v>
      </c>
      <c r="E78" s="58">
        <f>IF($B$78="","",INDEX(tblVerifyJobs[Due],2))</f>
        <v>46030</v>
      </c>
      <c r="F78" s="40">
        <f>IF($B$78="","",INDEX(tblVerifyJobs[Slack (days)],2))</f>
        <v>-1</v>
      </c>
      <c r="G78" s="55">
        <f>IF($B$78="","",IF($D$78="","",$C$78-$E$45))</f>
        <v>2</v>
      </c>
      <c r="H78" s="39">
        <f>IF($B$78="","",IF($D$78="","",($D$78-$C$78+1)*INDEX(tblVerifyJobs[Complete (%)],2)))</f>
        <v>3</v>
      </c>
      <c r="I78" s="39">
        <f>IF($B$78="","",IF($D$78="","",$D$78-$C$78+1-$H$78))</f>
        <v>3</v>
      </c>
      <c r="J78" s="57" t="str">
        <f>IF($B$78="","",INDEX(tblVerifyJobs[On time],2))</f>
        <v>No</v>
      </c>
      <c r="K78" s="57" t="str">
        <f>IF($B$78="","",INDEX(tblVerifyJobs[Progress],2))</f>
        <v>Overdue</v>
      </c>
      <c r="L78" s="57"/>
    </row>
    <row r="79" spans="2:20" x14ac:dyDescent="0.25">
      <c r="B79" s="45" t="str">
        <f>IFERROR(IF(INDEX(tblVerifyJobs[Job],3)="","",INDEX(tblVerifyJobs[Job],3)&amp;" ("&amp;INDEX(tblVerifyJobs[Machine],3)&amp;")"),"")</f>
        <v>T3 (M2)</v>
      </c>
      <c r="C79" s="58">
        <f>IF($B$79="","",INDEX(tblVerifyJobs[Start],3))</f>
        <v>46035</v>
      </c>
      <c r="D79" s="58">
        <f>IF($B$79="","",INDEX(tblVerifyJobs[End],3))</f>
        <v>46036</v>
      </c>
      <c r="E79" s="58">
        <f>IF($B$79="","",INDEX(tblVerifyJobs[Due],3))</f>
        <v>46042</v>
      </c>
      <c r="F79" s="40">
        <f>IF($B$79="","",INDEX(tblVerifyJobs[Slack (days)],3))</f>
        <v>4</v>
      </c>
      <c r="G79" s="55">
        <f>IF($B$79="","",IF($D$79="","",$C$79-$E$45))</f>
        <v>8</v>
      </c>
      <c r="H79" s="39">
        <f>IF($B$79="","",IF($D$79="","",($D$79-$C$79+1)*INDEX(tblVerifyJobs[Complete (%)],3)))</f>
        <v>0.5</v>
      </c>
      <c r="I79" s="39">
        <f>IF($B$79="","",IF($D$79="","",$D$79-$C$79+1-$H$79))</f>
        <v>1.5</v>
      </c>
      <c r="J79" s="57" t="str">
        <f>IF($B$79="","",INDEX(tblVerifyJobs[On time],3))</f>
        <v>Yes</v>
      </c>
      <c r="K79" s="57" t="str">
        <f>IF($B$79="","",INDEX(tblVerifyJobs[Progress],3))</f>
        <v>In progress</v>
      </c>
      <c r="L79" s="57"/>
    </row>
    <row r="80" spans="2:20" x14ac:dyDescent="0.25">
      <c r="B80" s="45" t="str">
        <f>IFERROR(IF(INDEX(tblVerifyJobs[Job],4)="","",INDEX(tblVerifyJobs[Job],4)&amp;" ("&amp;INDEX(tblVerifyJobs[Machine],4)&amp;")"),"")</f>
        <v>T4 (M1)</v>
      </c>
      <c r="C80" s="58">
        <f>IF($B$80="","",INDEX(tblVerifyJobs[Start],4))</f>
        <v>46034</v>
      </c>
      <c r="D80" s="58">
        <f>IF($B$80="","",INDEX(tblVerifyJobs[End],4))</f>
        <v>46034</v>
      </c>
      <c r="E80" s="58">
        <f>IF($B$80="","",INDEX(tblVerifyJobs[Due],4))</f>
        <v>46035</v>
      </c>
      <c r="F80" s="40">
        <f>IF($B$80="","",INDEX(tblVerifyJobs[Slack (days)],4))</f>
        <v>1</v>
      </c>
      <c r="G80" s="55">
        <f>IF($B$80="","",IF($D$80="","",$C$80-$E$45))</f>
        <v>7</v>
      </c>
      <c r="H80" s="39">
        <f>IF($B$80="","",IF($D$80="","",($D$80-$C$80+1)*INDEX(tblVerifyJobs[Complete (%)],4)))</f>
        <v>0</v>
      </c>
      <c r="I80" s="39">
        <f>IF($B$80="","",IF($D$80="","",$D$80-$C$80+1-$H$80))</f>
        <v>1</v>
      </c>
      <c r="J80" s="57" t="str">
        <f>IF($B$80="","",INDEX(tblVerifyJobs[On time],4))</f>
        <v>Yes</v>
      </c>
      <c r="K80" s="57" t="str">
        <f>IF($B$80="","",INDEX(tblVerifyJobs[Progress],4))</f>
        <v>Overdue</v>
      </c>
      <c r="L80" s="57"/>
    </row>
    <row r="81" spans="2:12" x14ac:dyDescent="0.25">
      <c r="B81" s="45" t="str">
        <f>IFERROR(IF(INDEX(tblVerifyJobs[Job],5)="","",INDEX(tblVerifyJobs[Job],5)&amp;" ("&amp;INDEX(tblVerifyJobs[Machine],5)&amp;")"),"")</f>
        <v>T5 (M2)</v>
      </c>
      <c r="C81" s="58">
        <f>IF($B$81="","",INDEX(tblVerifyJobs[Start],5))</f>
        <v>46039</v>
      </c>
      <c r="D81" s="58">
        <f>IF($B$81="","",INDEX(tblVerifyJobs[End],5))</f>
        <v>46039</v>
      </c>
      <c r="E81" s="58">
        <f>IF($B$81="","",INDEX(tblVerifyJobs[Due],5))</f>
        <v>46045</v>
      </c>
      <c r="F81" s="40">
        <f>IF($B$81="","",INDEX(tblVerifyJobs[Slack (days)],5))</f>
        <v>4</v>
      </c>
      <c r="G81" s="55">
        <f>IF($B$81="","",IF($D$81="","",$C$81-$E$45))</f>
        <v>12</v>
      </c>
      <c r="H81" s="39">
        <f>IF($B$81="","",IF($D$81="","",($D$81-$C$81+1)*INDEX(tblVerifyJobs[Complete (%)],5)))</f>
        <v>0</v>
      </c>
      <c r="I81" s="39">
        <f>IF($B$81="","",IF($D$81="","",$D$81-$C$81+1-$H$81))</f>
        <v>1</v>
      </c>
      <c r="J81" s="57" t="str">
        <f>IF($B$81="","",INDEX(tblVerifyJobs[On time],5))</f>
        <v>Yes</v>
      </c>
      <c r="K81" s="57" t="str">
        <f>IF($B$81="","",INDEX(tblVerifyJobs[Progress],5))</f>
        <v>Not started</v>
      </c>
      <c r="L81" s="57"/>
    </row>
    <row r="82" spans="2:12" x14ac:dyDescent="0.25">
      <c r="B82" s="45">
        <f>IFERROR(IF(INDEX(tblVerifyJobs[Job],6)="","",INDEX(tblVerifyJobs[Job],6)&amp;" ("&amp;INDEX(tblVerifyJobs[Machine],6)&amp;")"),"")</f>
        <v/>
      </c>
      <c r="C82" s="58">
        <f>IF($B$82="","",INDEX(tblVerifyJobs[Start],6))</f>
        <v/>
      </c>
      <c r="D82" s="58">
        <f>IF($B$82="","",INDEX(tblVerifyJobs[End],6))</f>
        <v/>
      </c>
      <c r="E82" s="58">
        <f>IF($B$82="","",INDEX(tblVerifyJobs[Due],6))</f>
        <v/>
      </c>
      <c r="F82" s="40">
        <f>IF($B$82="","",INDEX(tblVerifyJobs[Slack (days)],6))</f>
        <v/>
      </c>
      <c r="G82" s="55">
        <f>IF($B$82="","",IF($D$82="","",$C$82-$E$45))</f>
        <v/>
      </c>
      <c r="H82" s="39">
        <f>IF($B$82="","",IF($D$82="","",($D$82-$C$82+1)*INDEX(tblVerifyJobs[Complete (%)],6)))</f>
        <v/>
      </c>
      <c r="I82" s="39">
        <f>IF($B$82="","",IF($D$82="","",$D$82-$C$82+1-$H$82))</f>
        <v/>
      </c>
      <c r="J82" s="57">
        <f>IF($B$82="","",INDEX(tblVerifyJobs[On time],6))</f>
        <v/>
      </c>
      <c r="K82" s="57">
        <f>IF($B$82="","",INDEX(tblVerifyJobs[Progress],6))</f>
        <v/>
      </c>
      <c r="L82" s="57"/>
    </row>
    <row r="83" spans="2:12" x14ac:dyDescent="0.25">
      <c r="B83" s="45">
        <f>IFERROR(IF(INDEX(tblVerifyJobs[Job],7)="","",INDEX(tblVerifyJobs[Job],7)&amp;" ("&amp;INDEX(tblVerifyJobs[Machine],7)&amp;")"),"")</f>
        <v/>
      </c>
      <c r="C83" s="58">
        <f>IF($B$83="","",INDEX(tblVerifyJobs[Start],7))</f>
        <v/>
      </c>
      <c r="D83" s="58">
        <f>IF($B$83="","",INDEX(tblVerifyJobs[End],7))</f>
        <v/>
      </c>
      <c r="E83" s="58">
        <f>IF($B$83="","",INDEX(tblVerifyJobs[Due],7))</f>
        <v/>
      </c>
      <c r="F83" s="40">
        <f>IF($B$83="","",INDEX(tblVerifyJobs[Slack (days)],7))</f>
        <v/>
      </c>
      <c r="G83" s="55">
        <f>IF($B$83="","",IF($D$83="","",$C$83-$E$45))</f>
        <v/>
      </c>
      <c r="H83" s="39">
        <f>IF($B$83="","",IF($D$83="","",($D$83-$C$83+1)*INDEX(tblVerifyJobs[Complete (%)],7)))</f>
        <v/>
      </c>
      <c r="I83" s="39">
        <f>IF($B$83="","",IF($D$83="","",$D$83-$C$83+1-$H$83))</f>
        <v/>
      </c>
      <c r="J83" s="57">
        <f>IF($B$83="","",INDEX(tblVerifyJobs[On time],7))</f>
        <v/>
      </c>
      <c r="K83" s="57">
        <f>IF($B$83="","",INDEX(tblVerifyJobs[Progress],7))</f>
        <v/>
      </c>
      <c r="L83" s="57"/>
    </row>
    <row r="84" spans="2:12" x14ac:dyDescent="0.25">
      <c r="B84" s="45">
        <f>IFERROR(IF(INDEX(tblVerifyJobs[Job],8)="","",INDEX(tblVerifyJobs[Job],8)&amp;" ("&amp;INDEX(tblVerifyJobs[Machine],8)&amp;")"),"")</f>
        <v/>
      </c>
      <c r="C84" s="58">
        <f>IF($B$84="","",INDEX(tblVerifyJobs[Start],8))</f>
        <v/>
      </c>
      <c r="D84" s="58">
        <f>IF($B$84="","",INDEX(tblVerifyJobs[End],8))</f>
        <v/>
      </c>
      <c r="E84" s="58">
        <f>IF($B$84="","",INDEX(tblVerifyJobs[Due],8))</f>
        <v/>
      </c>
      <c r="F84" s="40">
        <f>IF($B$84="","",INDEX(tblVerifyJobs[Slack (days)],8))</f>
        <v/>
      </c>
      <c r="G84" s="55">
        <f>IF($B$84="","",IF($D$84="","",$C$84-$E$45))</f>
        <v/>
      </c>
      <c r="H84" s="39">
        <f>IF($B$84="","",IF($D$84="","",($D$84-$C$84+1)*INDEX(tblVerifyJobs[Complete (%)],8)))</f>
        <v/>
      </c>
      <c r="I84" s="39">
        <f>IF($B$84="","",IF($D$84="","",$D$84-$C$84+1-$H$84))</f>
        <v/>
      </c>
      <c r="J84" s="57">
        <f>IF($B$84="","",INDEX(tblVerifyJobs[On time],8))</f>
        <v/>
      </c>
      <c r="K84" s="57">
        <f>IF($B$84="","",INDEX(tblVerifyJobs[Progress],8))</f>
        <v/>
      </c>
      <c r="L84" s="57"/>
    </row>
    <row r="85" spans="2:12" x14ac:dyDescent="0.25">
      <c r="B85" s="45">
        <f>IFERROR(IF(INDEX(tblVerifyJobs[Job],9)="","",INDEX(tblVerifyJobs[Job],9)&amp;" ("&amp;INDEX(tblVerifyJobs[Machine],9)&amp;")"),"")</f>
        <v/>
      </c>
      <c r="C85" s="58">
        <f>IF($B$85="","",INDEX(tblVerifyJobs[Start],9))</f>
        <v/>
      </c>
      <c r="D85" s="58">
        <f>IF($B$85="","",INDEX(tblVerifyJobs[End],9))</f>
        <v/>
      </c>
      <c r="E85" s="58">
        <f>IF($B$85="","",INDEX(tblVerifyJobs[Due],9))</f>
        <v/>
      </c>
      <c r="F85" s="40">
        <f>IF($B$85="","",INDEX(tblVerifyJobs[Slack (days)],9))</f>
        <v/>
      </c>
      <c r="G85" s="55">
        <f>IF($B$85="","",IF($D$85="","",$C$85-$E$45))</f>
        <v/>
      </c>
      <c r="H85" s="39">
        <f>IF($B$85="","",IF($D$85="","",($D$85-$C$85+1)*INDEX(tblVerifyJobs[Complete (%)],9)))</f>
        <v/>
      </c>
      <c r="I85" s="39">
        <f>IF($B$85="","",IF($D$85="","",$D$85-$C$85+1-$H$85))</f>
        <v/>
      </c>
      <c r="J85" s="57">
        <f>IF($B$85="","",INDEX(tblVerifyJobs[On time],9))</f>
        <v/>
      </c>
      <c r="K85" s="57">
        <f>IF($B$85="","",INDEX(tblVerifyJobs[Progress],9))</f>
        <v/>
      </c>
      <c r="L85" s="57"/>
    </row>
    <row r="86" spans="2:12" x14ac:dyDescent="0.25">
      <c r="B86" s="45">
        <f>IFERROR(IF(INDEX(tblVerifyJobs[Job],10)="","",INDEX(tblVerifyJobs[Job],10)&amp;" ("&amp;INDEX(tblVerifyJobs[Machine],10)&amp;")"),"")</f>
        <v/>
      </c>
      <c r="C86" s="58">
        <f>IF($B$86="","",INDEX(tblVerifyJobs[Start],10))</f>
        <v/>
      </c>
      <c r="D86" s="58">
        <f>IF($B$86="","",INDEX(tblVerifyJobs[End],10))</f>
        <v/>
      </c>
      <c r="E86" s="58">
        <f>IF($B$86="","",INDEX(tblVerifyJobs[Due],10))</f>
        <v/>
      </c>
      <c r="F86" s="40">
        <f>IF($B$86="","",INDEX(tblVerifyJobs[Slack (days)],10))</f>
        <v/>
      </c>
      <c r="G86" s="55">
        <f>IF($B$86="","",IF($D$86="","",$C$86-$E$45))</f>
        <v/>
      </c>
      <c r="H86" s="39">
        <f>IF($B$86="","",IF($D$86="","",($D$86-$C$86+1)*INDEX(tblVerifyJobs[Complete (%)],10)))</f>
        <v/>
      </c>
      <c r="I86" s="39">
        <f>IF($B$86="","",IF($D$86="","",$D$86-$C$86+1-$H$86))</f>
        <v/>
      </c>
      <c r="J86" s="57">
        <f>IF($B$86="","",INDEX(tblVerifyJobs[On time],10))</f>
        <v/>
      </c>
      <c r="K86" s="57">
        <f>IF($B$86="","",INDEX(tblVerifyJobs[Progress],10))</f>
        <v/>
      </c>
      <c r="L86" s="57"/>
    </row>
    <row r="87" spans="2:12" x14ac:dyDescent="0.25">
      <c r="B87" s="45">
        <f>IFERROR(IF(INDEX(tblVerifyJobs[Job],11)="","",INDEX(tblVerifyJobs[Job],11)&amp;" ("&amp;INDEX(tblVerifyJobs[Machine],11)&amp;")"),"")</f>
        <v/>
      </c>
      <c r="C87" s="58">
        <f>IF($B$87="","",INDEX(tblVerifyJobs[Start],11))</f>
        <v/>
      </c>
      <c r="D87" s="58">
        <f>IF($B$87="","",INDEX(tblVerifyJobs[End],11))</f>
        <v/>
      </c>
      <c r="E87" s="58">
        <f>IF($B$87="","",INDEX(tblVerifyJobs[Due],11))</f>
        <v/>
      </c>
      <c r="F87" s="40">
        <f>IF($B$87="","",INDEX(tblVerifyJobs[Slack (days)],11))</f>
        <v/>
      </c>
      <c r="G87" s="55">
        <f>IF($B$87="","",IF($D$87="","",$C$87-$E$45))</f>
        <v/>
      </c>
      <c r="H87" s="39">
        <f>IF($B$87="","",IF($D$87="","",($D$87-$C$87+1)*INDEX(tblVerifyJobs[Complete (%)],11)))</f>
        <v/>
      </c>
      <c r="I87" s="39">
        <f>IF($B$87="","",IF($D$87="","",$D$87-$C$87+1-$H$87))</f>
        <v/>
      </c>
      <c r="J87" s="57">
        <f>IF($B$87="","",INDEX(tblVerifyJobs[On time],11))</f>
        <v/>
      </c>
      <c r="K87" s="57">
        <f>IF($B$87="","",INDEX(tblVerifyJobs[Progress],11))</f>
        <v/>
      </c>
      <c r="L87" s="57"/>
    </row>
    <row r="88" spans="2:12" x14ac:dyDescent="0.25">
      <c r="B88" s="45">
        <f>IFERROR(IF(INDEX(tblVerifyJobs[Job],12)="","",INDEX(tblVerifyJobs[Job],12)&amp;" ("&amp;INDEX(tblVerifyJobs[Machine],12)&amp;")"),"")</f>
        <v/>
      </c>
      <c r="C88" s="58">
        <f>IF($B$88="","",INDEX(tblVerifyJobs[Start],12))</f>
        <v/>
      </c>
      <c r="D88" s="58">
        <f>IF($B$88="","",INDEX(tblVerifyJobs[End],12))</f>
        <v/>
      </c>
      <c r="E88" s="58">
        <f>IF($B$88="","",INDEX(tblVerifyJobs[Due],12))</f>
        <v/>
      </c>
      <c r="F88" s="40">
        <f>IF($B$88="","",INDEX(tblVerifyJobs[Slack (days)],12))</f>
        <v/>
      </c>
      <c r="G88" s="55">
        <f>IF($B$88="","",IF($D$88="","",$C$88-$E$45))</f>
        <v/>
      </c>
      <c r="H88" s="39">
        <f>IF($B$88="","",IF($D$88="","",($D$88-$C$88+1)*INDEX(tblVerifyJobs[Complete (%)],12)))</f>
        <v/>
      </c>
      <c r="I88" s="39">
        <f>IF($B$88="","",IF($D$88="","",$D$88-$C$88+1-$H$88))</f>
        <v/>
      </c>
      <c r="J88" s="57">
        <f>IF($B$88="","",INDEX(tblVerifyJobs[On time],12))</f>
        <v/>
      </c>
      <c r="K88" s="57">
        <f>IF($B$88="","",INDEX(tblVerifyJobs[Progress],12))</f>
        <v/>
      </c>
      <c r="L88" s="57"/>
    </row>
    <row r="89" spans="2:12" x14ac:dyDescent="0.25">
      <c r="B89" s="45">
        <f>IFERROR(IF(INDEX(tblVerifyJobs[Job],13)="","",INDEX(tblVerifyJobs[Job],13)&amp;" ("&amp;INDEX(tblVerifyJobs[Machine],13)&amp;")"),"")</f>
        <v/>
      </c>
      <c r="C89" s="58">
        <f>IF($B$89="","",INDEX(tblVerifyJobs[Start],13))</f>
        <v/>
      </c>
      <c r="D89" s="58">
        <f>IF($B$89="","",INDEX(tblVerifyJobs[End],13))</f>
        <v/>
      </c>
      <c r="E89" s="58">
        <f>IF($B$89="","",INDEX(tblVerifyJobs[Due],13))</f>
        <v/>
      </c>
      <c r="F89" s="40">
        <f>IF($B$89="","",INDEX(tblVerifyJobs[Slack (days)],13))</f>
        <v/>
      </c>
      <c r="G89" s="55">
        <f>IF($B$89="","",IF($D$89="","",$C$89-$E$45))</f>
        <v/>
      </c>
      <c r="H89" s="39">
        <f>IF($B$89="","",IF($D$89="","",($D$89-$C$89+1)*INDEX(tblVerifyJobs[Complete (%)],13)))</f>
        <v/>
      </c>
      <c r="I89" s="39">
        <f>IF($B$89="","",IF($D$89="","",$D$89-$C$89+1-$H$89))</f>
        <v/>
      </c>
      <c r="J89" s="57">
        <f>IF($B$89="","",INDEX(tblVerifyJobs[On time],13))</f>
        <v/>
      </c>
      <c r="K89" s="57">
        <f>IF($B$89="","",INDEX(tblVerifyJobs[Progress],13))</f>
        <v/>
      </c>
      <c r="L89" s="57"/>
    </row>
    <row r="90" spans="2:12" x14ac:dyDescent="0.25">
      <c r="B90" s="45">
        <f>IFERROR(IF(INDEX(tblVerifyJobs[Job],14)="","",INDEX(tblVerifyJobs[Job],14)&amp;" ("&amp;INDEX(tblVerifyJobs[Machine],14)&amp;")"),"")</f>
        <v/>
      </c>
      <c r="C90" s="58">
        <f>IF($B$90="","",INDEX(tblVerifyJobs[Start],14))</f>
        <v/>
      </c>
      <c r="D90" s="58">
        <f>IF($B$90="","",INDEX(tblVerifyJobs[End],14))</f>
        <v/>
      </c>
      <c r="E90" s="58">
        <f>IF($B$90="","",INDEX(tblVerifyJobs[Due],14))</f>
        <v/>
      </c>
      <c r="F90" s="40">
        <f>IF($B$90="","",INDEX(tblVerifyJobs[Slack (days)],14))</f>
        <v/>
      </c>
      <c r="G90" s="55">
        <f>IF($B$90="","",IF($D$90="","",$C$90-$E$45))</f>
        <v/>
      </c>
      <c r="H90" s="39">
        <f>IF($B$90="","",IF($D$90="","",($D$90-$C$90+1)*INDEX(tblVerifyJobs[Complete (%)],14)))</f>
        <v/>
      </c>
      <c r="I90" s="39">
        <f>IF($B$90="","",IF($D$90="","",$D$90-$C$90+1-$H$90))</f>
        <v/>
      </c>
      <c r="J90" s="57">
        <f>IF($B$90="","",INDEX(tblVerifyJobs[On time],14))</f>
        <v/>
      </c>
      <c r="K90" s="57">
        <f>IF($B$90="","",INDEX(tblVerifyJobs[Progress],14))</f>
        <v/>
      </c>
      <c r="L90" s="57"/>
    </row>
    <row r="91" spans="2:12" x14ac:dyDescent="0.25">
      <c r="B91" s="45">
        <f>IFERROR(IF(INDEX(tblVerifyJobs[Job],15)="","",INDEX(tblVerifyJobs[Job],15)&amp;" ("&amp;INDEX(tblVerifyJobs[Machine],15)&amp;")"),"")</f>
        <v/>
      </c>
      <c r="C91" s="58">
        <f>IF($B$91="","",INDEX(tblVerifyJobs[Start],15))</f>
        <v/>
      </c>
      <c r="D91" s="58">
        <f>IF($B$91="","",INDEX(tblVerifyJobs[End],15))</f>
        <v/>
      </c>
      <c r="E91" s="58">
        <f>IF($B$91="","",INDEX(tblVerifyJobs[Due],15))</f>
        <v/>
      </c>
      <c r="F91" s="40">
        <f>IF($B$91="","",INDEX(tblVerifyJobs[Slack (days)],15))</f>
        <v/>
      </c>
      <c r="G91" s="55">
        <f>IF($B$91="","",IF($D$91="","",$C$91-$E$45))</f>
        <v/>
      </c>
      <c r="H91" s="39">
        <f>IF($B$91="","",IF($D$91="","",($D$91-$C$91+1)*INDEX(tblVerifyJobs[Complete (%)],15)))</f>
        <v/>
      </c>
      <c r="I91" s="39">
        <f>IF($B$91="","",IF($D$91="","",$D$91-$C$91+1-$H$91))</f>
        <v/>
      </c>
      <c r="J91" s="57">
        <f>IF($B$91="","",INDEX(tblVerifyJobs[On time],15))</f>
        <v/>
      </c>
      <c r="K91" s="57">
        <f>IF($B$91="","",INDEX(tblVerifyJobs[Progress],15))</f>
        <v/>
      </c>
      <c r="L91" s="57"/>
    </row>
    <row r="92" spans="2:12" x14ac:dyDescent="0.25">
      <c r="B92" s="45">
        <f>IFERROR(IF(INDEX(tblVerifyJobs[Job],16)="","",INDEX(tblVerifyJobs[Job],16)&amp;" ("&amp;INDEX(tblVerifyJobs[Machine],16)&amp;")"),"")</f>
        <v/>
      </c>
      <c r="C92" s="58">
        <f>IF($B$92="","",INDEX(tblVerifyJobs[Start],16))</f>
        <v/>
      </c>
      <c r="D92" s="58">
        <f>IF($B$92="","",INDEX(tblVerifyJobs[End],16))</f>
        <v/>
      </c>
      <c r="E92" s="58">
        <f>IF($B$92="","",INDEX(tblVerifyJobs[Due],16))</f>
        <v/>
      </c>
      <c r="F92" s="40">
        <f>IF($B$92="","",INDEX(tblVerifyJobs[Slack (days)],16))</f>
        <v/>
      </c>
      <c r="G92" s="55">
        <f>IF($B$92="","",IF($D$92="","",$C$92-$E$45))</f>
        <v/>
      </c>
      <c r="H92" s="39">
        <f>IF($B$92="","",IF($D$92="","",($D$92-$C$92+1)*INDEX(tblVerifyJobs[Complete (%)],16)))</f>
        <v/>
      </c>
      <c r="I92" s="39">
        <f>IF($B$92="","",IF($D$92="","",$D$92-$C$92+1-$H$92))</f>
        <v/>
      </c>
      <c r="J92" s="57">
        <f>IF($B$92="","",INDEX(tblVerifyJobs[On time],16))</f>
        <v/>
      </c>
      <c r="K92" s="57">
        <f>IF($B$92="","",INDEX(tblVerifyJobs[Progress],16))</f>
        <v/>
      </c>
      <c r="L92" s="57"/>
    </row>
  </sheetData>
  <sheetProtection sheet="1" formatColumns="0" formatRows="0"/>
  <mergeCells count="72">
    <mergeCell ref="A1:T1"/>
    <mergeCell ref="B2:S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B41:L41"/>
    <mergeCell ref="B43:L43"/>
    <mergeCell ref="B44:F44"/>
    <mergeCell ref="B45:D45"/>
    <mergeCell ref="B46:D46"/>
    <mergeCell ref="B47:D47"/>
    <mergeCell ref="B48:D48"/>
    <mergeCell ref="B49:D49"/>
    <mergeCell ref="B51:L51"/>
    <mergeCell ref="B55:L55"/>
    <mergeCell ref="B60:L60"/>
    <mergeCell ref="B68:L68"/>
    <mergeCell ref="I69:J69"/>
    <mergeCell ref="I70:J70"/>
    <mergeCell ref="I71:J71"/>
    <mergeCell ref="I72:J72"/>
    <mergeCell ref="I73:J73"/>
    <mergeCell ref="B75:L75"/>
    <mergeCell ref="K76:L76"/>
    <mergeCell ref="K77:L77"/>
    <mergeCell ref="K78:L78"/>
    <mergeCell ref="K79:L79"/>
    <mergeCell ref="K80:L80"/>
    <mergeCell ref="K81:L81"/>
    <mergeCell ref="K82:L82"/>
    <mergeCell ref="K83:L83"/>
    <mergeCell ref="K84:L84"/>
    <mergeCell ref="K85:L85"/>
    <mergeCell ref="K86:L86"/>
    <mergeCell ref="K87:L87"/>
    <mergeCell ref="K88:L88"/>
    <mergeCell ref="K89:L89"/>
    <mergeCell ref="K90:L90"/>
    <mergeCell ref="K91:L91"/>
    <mergeCell ref="K92:L9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70:F73">
    <cfRule type="dataBar" priority="43">
      <dataBar>
        <cfvo type="num" val="0"/>
        <cfvo type="max"/>
        <color rgb="FFA8BDF0"/>
      </dataBar>
      <extLst>
        <ext xmlns:x14="http://schemas.microsoft.com/office/spreadsheetml/2009/9/main" uri="{B025F937-C7B1-47D3-B67F-A62EFF666E3E}">
          <x14:id>{DA7ABA51-AAAA-BBBB-0007-000000000001}</x14:id>
        </ext>
      </extLst>
    </cfRule>
  </conditionalFormatting>
  <conditionalFormatting sqref="I70:I73">
    <cfRule type="cellIs" dxfId="0" priority="44" operator="equal">
      <formula>"On target"</formula>
    </cfRule>
    <cfRule type="cellIs" dxfId="0" priority="45" operator="equal">
      <formula>"PASS"</formula>
    </cfRule>
    <cfRule type="cellIs" dxfId="0" priority="46" operator="equal">
      <formula>"OK"</formula>
    </cfRule>
    <cfRule type="cellIs" dxfId="0" priority="47" operator="equal">
      <formula>"Within limits"</formula>
    </cfRule>
    <cfRule type="cellIs" dxfId="0" priority="48" operator="equal">
      <formula>"Under capacity"</formula>
    </cfRule>
    <cfRule type="cellIs" dxfId="0" priority="49" operator="equal">
      <formula>"Complete"</formula>
    </cfRule>
    <cfRule type="cellIs" dxfId="0" priority="50" operator="equal">
      <formula>"Yes"</formula>
    </cfRule>
    <cfRule type="cellIs" dxfId="1" priority="51" operator="equal">
      <formula>"Near target"</formula>
    </cfRule>
    <cfRule type="cellIs" dxfId="1" priority="52" operator="equal">
      <formula>"Check"</formula>
    </cfRule>
    <cfRule type="cellIs" dxfId="1" priority="53" operator="equal">
      <formula>"Due soon"</formula>
    </cfRule>
    <cfRule type="cellIs" dxfId="1" priority="54" operator="equal">
      <formula>"Near capacity"</formula>
    </cfRule>
    <cfRule type="cellIs" dxfId="1" priority="55" operator="equal">
      <formula>"In progress"</formula>
    </cfRule>
    <cfRule type="cellIs" dxfId="1" priority="56" operator="equal">
      <formula>"Partial"</formula>
    </cfRule>
    <cfRule type="cellIs" dxfId="2" priority="57" operator="equal">
      <formula>"Below target"</formula>
    </cfRule>
    <cfRule type="cellIs" dxfId="2" priority="58" operator="equal">
      <formula>"Above target"</formula>
    </cfRule>
    <cfRule type="cellIs" dxfId="2" priority="59" operator="equal">
      <formula>"FAIL"</formula>
    </cfRule>
    <cfRule type="cellIs" dxfId="2" priority="60" operator="equal">
      <formula>"Over capacity"</formula>
    </cfRule>
    <cfRule type="cellIs" dxfId="2" priority="61" operator="equal">
      <formula>"Overdue"</formula>
    </cfRule>
    <cfRule type="cellIs" dxfId="2" priority="62" operator="equal">
      <formula>"Out of limits"</formula>
    </cfRule>
    <cfRule type="cellIs" dxfId="2" priority="63" operator="equal">
      <formula>"No"</formula>
    </cfRule>
  </conditionalFormatting>
  <conditionalFormatting sqref="J77:J92">
    <cfRule type="cellIs" dxfId="0" priority="64" operator="equal">
      <formula>"On target"</formula>
    </cfRule>
    <cfRule type="cellIs" dxfId="0" priority="65" operator="equal">
      <formula>"PASS"</formula>
    </cfRule>
    <cfRule type="cellIs" dxfId="0" priority="66" operator="equal">
      <formula>"OK"</formula>
    </cfRule>
    <cfRule type="cellIs" dxfId="0" priority="67" operator="equal">
      <formula>"Within limits"</formula>
    </cfRule>
    <cfRule type="cellIs" dxfId="0" priority="68" operator="equal">
      <formula>"Under capacity"</formula>
    </cfRule>
    <cfRule type="cellIs" dxfId="0" priority="69" operator="equal">
      <formula>"Complete"</formula>
    </cfRule>
    <cfRule type="cellIs" dxfId="0" priority="70" operator="equal">
      <formula>"Yes"</formula>
    </cfRule>
    <cfRule type="cellIs" dxfId="1" priority="71" operator="equal">
      <formula>"Near target"</formula>
    </cfRule>
    <cfRule type="cellIs" dxfId="1" priority="72" operator="equal">
      <formula>"Check"</formula>
    </cfRule>
    <cfRule type="cellIs" dxfId="1" priority="73" operator="equal">
      <formula>"Due soon"</formula>
    </cfRule>
    <cfRule type="cellIs" dxfId="1" priority="74" operator="equal">
      <formula>"Near capacity"</formula>
    </cfRule>
    <cfRule type="cellIs" dxfId="1" priority="75" operator="equal">
      <formula>"In progress"</formula>
    </cfRule>
    <cfRule type="cellIs" dxfId="1" priority="76" operator="equal">
      <formula>"Partial"</formula>
    </cfRule>
    <cfRule type="cellIs" dxfId="2" priority="77" operator="equal">
      <formula>"Below target"</formula>
    </cfRule>
    <cfRule type="cellIs" dxfId="2" priority="78" operator="equal">
      <formula>"Above target"</formula>
    </cfRule>
    <cfRule type="cellIs" dxfId="2" priority="79" operator="equal">
      <formula>"FAIL"</formula>
    </cfRule>
    <cfRule type="cellIs" dxfId="2" priority="80" operator="equal">
      <formula>"Over capacity"</formula>
    </cfRule>
    <cfRule type="cellIs" dxfId="2" priority="81" operator="equal">
      <formula>"Overdue"</formula>
    </cfRule>
    <cfRule type="cellIs" dxfId="2" priority="82" operator="equal">
      <formula>"Out of limits"</formula>
    </cfRule>
    <cfRule type="cellIs" dxfId="2" priority="83" operator="equal">
      <formula>"No"</formula>
    </cfRule>
  </conditionalFormatting>
  <conditionalFormatting sqref="K11:K3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77:K92">
    <cfRule type="cellIs" dxfId="0" priority="84" operator="equal">
      <formula>"On target"</formula>
    </cfRule>
    <cfRule type="cellIs" dxfId="0" priority="85" operator="equal">
      <formula>"PASS"</formula>
    </cfRule>
    <cfRule type="cellIs" dxfId="0" priority="86" operator="equal">
      <formula>"OK"</formula>
    </cfRule>
    <cfRule type="cellIs" dxfId="0" priority="87" operator="equal">
      <formula>"Within limits"</formula>
    </cfRule>
    <cfRule type="cellIs" dxfId="0" priority="88" operator="equal">
      <formula>"Under capacity"</formula>
    </cfRule>
    <cfRule type="cellIs" dxfId="0" priority="89" operator="equal">
      <formula>"Complete"</formula>
    </cfRule>
    <cfRule type="cellIs" dxfId="0" priority="90" operator="equal">
      <formula>"Yes"</formula>
    </cfRule>
    <cfRule type="cellIs" dxfId="1" priority="91" operator="equal">
      <formula>"Near target"</formula>
    </cfRule>
    <cfRule type="cellIs" dxfId="1" priority="92" operator="equal">
      <formula>"Check"</formula>
    </cfRule>
    <cfRule type="cellIs" dxfId="1" priority="93" operator="equal">
      <formula>"Due soon"</formula>
    </cfRule>
    <cfRule type="cellIs" dxfId="1" priority="94" operator="equal">
      <formula>"Near capacity"</formula>
    </cfRule>
    <cfRule type="cellIs" dxfId="1" priority="95" operator="equal">
      <formula>"In progress"</formula>
    </cfRule>
    <cfRule type="cellIs" dxfId="1" priority="96" operator="equal">
      <formula>"Partial"</formula>
    </cfRule>
    <cfRule type="cellIs" dxfId="2" priority="97" operator="equal">
      <formula>"Below target"</formula>
    </cfRule>
    <cfRule type="cellIs" dxfId="2" priority="98" operator="equal">
      <formula>"Above target"</formula>
    </cfRule>
    <cfRule type="cellIs" dxfId="2" priority="99" operator="equal">
      <formula>"FAIL"</formula>
    </cfRule>
    <cfRule type="cellIs" dxfId="2" priority="100" operator="equal">
      <formula>"Over capacity"</formula>
    </cfRule>
    <cfRule type="cellIs" dxfId="2" priority="101" operator="equal">
      <formula>"Overdue"</formula>
    </cfRule>
    <cfRule type="cellIs" dxfId="2" priority="102" operator="equal">
      <formula>"Out of limits"</formula>
    </cfRule>
    <cfRule type="cellIs" dxfId="2" priority="103" operator="equal">
      <formula>"No"</formula>
    </cfRule>
  </conditionalFormatting>
  <conditionalFormatting sqref="S62:S66">
    <cfRule type="expression" dxfId="3" priority="41">
      <formula>$S62="OK"</formula>
    </cfRule>
    <cfRule type="expression" dxfId="1" priority="42">
      <formula>AND($S62&lt;&gt;"",$S62&lt;&gt;"OK")</formula>
    </cfRule>
  </conditionalFormatting>
  <hyperlinks>
    <hyperlink ref="T2" r:id="rId1" tooltip="Free manufacturing calculators and templates"/>
  </hyperlinks>
  <printOptions horizontalCentered="1"/>
  <pageMargins left="0.4" right="0.4" top="0.7" bottom="0.65" header="0.3" footer="0.3"/>
  <pageSetup fitToHeight="0" orientation="landscape"/>
  <headerFooter>
    <oddHeader>&amp;L&amp;8MFG Calcs - Production Schedule Gantt&amp;R&amp;8&amp;A</oddHeader>
    <oddFooter>&amp;L&amp;8mfgcalcs.com - free manufacturing templates&amp;R&amp;8Page &amp;P of &amp;N</oddFooter>
  </headerFooter>
  <rowBreaks count="1" manualBreakCount="1">
    <brk id="50" max="16383" man="1"/>
  </rowBreaks>
  <tableParts count="3">
    <tablePart r:id="rId2"/>
    <tablePart r:id="rId3"/>
    <tablePart r:id="rId4"/>
  </tableParts>
  <extLst>
    <ext xmlns:x14="http://schemas.microsoft.com/office/spreadsheetml/2009/9/main" uri="{78C0D931-6437-407d-A8EE-F0AAD7539E65}">
      <x14:conditionalFormattings>
        <x14:conditionalFormatting xmlns:xm="http://schemas.microsoft.com/office/excel/2006/main">
          <x14:cfRule type="dataBar" id="{DA7ABA51-AAAA-BBBB-0007-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F70:F73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25</vt:i4>
      </vt:variant>
    </vt:vector>
  </HeadingPairs>
  <TitlesOfParts>
    <vt:vector size="32" baseType="lpstr">
      <vt:lpstr>Start Here</vt:lpstr>
      <vt:lpstr>Setup</vt:lpstr>
      <vt:lpstr>Schedule</vt:lpstr>
      <vt:lpstr>Timeline</vt:lpstr>
      <vt:lpstr>Dashboard</vt:lpstr>
      <vt:lpstr>Method</vt:lpstr>
      <vt:lpstr>Verify</vt:lpstr>
      <vt:lpstr>AsOf</vt:lpstr>
      <vt:lpstr>DbAsOf</vt:lpstr>
      <vt:lpstr>DbEnd</vt:lpstr>
      <vt:lpstr>DbStart</vt:lpstr>
      <vt:lpstr>HorizonDays</vt:lpstr>
      <vt:lpstr>KpiBehind</vt:lpstr>
      <vt:lpstr>KpiJobs</vt:lpstr>
      <vt:lpstr>KpiLate</vt:lpstr>
      <vt:lpstr>KpiPeak</vt:lpstr>
      <vt:lpstr>NearAt</vt:lpstr>
      <vt:lpstr>OverAt</vt:lpstr>
      <vt:lpstr>PlanEnd</vt:lpstr>
      <vt:lpstr>PlanStart</vt:lpstr>
      <vt:lpstr>PlantName</vt:lpstr>
      <vt:lpstr>Dashboard!Print_Area</vt:lpstr>
      <vt:lpstr>Method!Print_Area</vt:lpstr>
      <vt:lpstr>Schedule!Print_Area</vt:lpstr>
      <vt:lpstr>Setup!Print_Area</vt:lpstr>
      <vt:lpstr>'Start Here'!Print_Area</vt:lpstr>
      <vt:lpstr>Timeline!Print_Area</vt:lpstr>
      <vt:lpstr>Verify!Print_Area</vt:lpstr>
      <vt:lpstr>Method!Print_Titles</vt:lpstr>
      <vt:lpstr>Schedule!Print_Titles</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Production Schedule Gantt - free Excel template from MFG Calcs</dc:title>
  <dc:subject>Schedule jobs on machines in working days, see each job's end date, slack to due date and progress, and check machine load against usable capacity on a Gantt dashboard.</dc:subject>
  <dc:creator>MFG Calcs</dc:creator>
  <cp:keywords>production schedule, Gantt chart, job shop scheduling, machine load, finite capacity, due date, WORKDAY</cp:keywords>
  <dc:description>https://www.mfgcalcs.com/templates/production-schedule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production-schedule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planner</vt:lpwstr>
  </property>
  <property fmtid="{D5CDD505-2E9C-101B-9397-08002B2CF9AE}" pid="6" name="Template URL">
    <vt:lpwstr>https://www.mfgcalcs.com/templates/production-schedule</vt:lpwstr>
  </property>
  <property fmtid="{D5CDD505-2E9C-101B-9397-08002B2CF9AE}" pid="7" name="Template sheet roles">
    <vt:lpwstr>Start Here=start;Setup=setup;Schedule=work;Timeline=work;Dashboard=dashboard;Method=method;Verify=verify</vt:lpwstr>
  </property>
</Properties>
</file>