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PPV Log" sheetId="3" r:id="rId3"/>
    <sheet name="Dashboard" sheetId="4" r:id="rId4"/>
    <sheet name="Method" sheetId="5" r:id="rId5"/>
    <sheet name="Verify" sheetId="6" r:id="rId6"/>
  </sheets>
  <definedNames>
    <definedName name="Categories">tblCategories[Category]</definedName>
    <definedName name="CoName">Setup!$C$6</definedName>
    <definedName name="Currency">Setup!$C$7</definedName>
    <definedName name="DashCat">Dashboard!$C$4</definedName>
    <definedName name="DashFrom">Dashboard!$G$4</definedName>
    <definedName name="DashTo">Dashboard!$K$4</definedName>
    <definedName name="FFrom">IF(DashFrom="",0,DashFrom)</definedName>
    <definedName name="FTo">IF(DashTo="",2958465,DashTo)</definedName>
    <definedName name="Items">tblItems[Item]</definedName>
    <definedName name="KpiAct">Dashboard!$D$30</definedName>
    <definedName name="KpiFav">Dashboard!$J$8</definedName>
    <definedName name="KpiFlagged">Dashboard!$G$30</definedName>
    <definedName name="KpiPct">Dashboard!$D$8</definedName>
    <definedName name="KpiPPV">Dashboard!$B$8</definedName>
    <definedName name="KpiStd">Dashboard!$B$30</definedName>
    <definedName name="KpiTop">Dashboard!$J$30</definedName>
    <definedName name="KpiUnfav">Dashboard!$G$8</definedName>
    <definedName name="LineLimit">Setup!$C$10</definedName>
    <definedName name="PPVTol">Setup!$C$9</definedName>
    <definedName name="_xlnm.Print_Area" localSheetId="3">Dashboard!$A$1:$L$84</definedName>
    <definedName name="_xlnm.Print_Area" localSheetId="4">Method!$A$1:$D$58</definedName>
    <definedName name="_xlnm.Print_Area" localSheetId="2">'PPV Log'!$A$1:$S$124</definedName>
    <definedName name="_xlnm.Print_Area" localSheetId="1">Setup!$A$1:$F$49</definedName>
    <definedName name="_xlnm.Print_Area" localSheetId="0">'Start Here'!$A$1:$F$55</definedName>
    <definedName name="_xlnm.Print_Area" localSheetId="5">Verify!$A$1:$S$59</definedName>
    <definedName name="_xlnm.Print_Titles" localSheetId="4">Method!$1:$2</definedName>
    <definedName name="_xlnm.Print_Titles" localSheetId="2">'PPV Log'!$1:$6</definedName>
    <definedName name="SelfCheck">Verify!$D$4</definedName>
    <definedName name="SelfCheckSummary">Verify!$F$4</definedName>
    <definedName name="StdBasis">Setup!$C$8</definedName>
    <definedName name="Suppliers">tblSuppliers[Supplier]</definedName>
  </definedNames>
  <calcPr calcId="124519" fullCalcOnLoad="1"/>
</workbook>
</file>

<file path=xl/sharedStrings.xml><?xml version="1.0" encoding="utf-8"?>
<sst xmlns="http://schemas.openxmlformats.org/spreadsheetml/2006/main" count="1028" uniqueCount="443">
  <si>
    <t>Purchase Price Variance Tracker</t>
  </si>
  <si>
    <t>Read this first: what the workbook does and how to use it.</t>
  </si>
  <si>
    <t>mfgcalcs.com</t>
  </si>
  <si>
    <t>Log every receipt against its standard price and see net, unfavourable and favourable PPV by month, supplier, category and item.</t>
  </si>
  <si>
    <t>For: Buyers, purchasing managers, cost accountants and plant controllers who explain material cost against standard.</t>
  </si>
  <si>
    <t>Version 1.0.0  ·  updated 15 October 2026</t>
  </si>
  <si>
    <t>Quick start</t>
  </si>
  <si>
    <t>1.</t>
  </si>
  <si>
    <t>On Setup, type your company, currency, PPV tolerance and line flag limit, then replace the example suppliers, categories and items with their standard prices.</t>
  </si>
  <si>
    <t>2.</t>
  </si>
  <si>
    <t>On PPV Log, add one row per receipt or invoice line: date, PO number, supplier, item, quantity and the actual price paid per unit of measure.</t>
  </si>
  <si>
    <t>3.</t>
  </si>
  <si>
    <t>Read the Check column: anything other than OK names the problem in words. Line status flags prices beyond your limit.</t>
  </si>
  <si>
    <t>4.</t>
  </si>
  <si>
    <t>Open the Dashboard and pick a category or a date range (for example one month) to review PPV.</t>
  </si>
  <si>
    <t>What is in this workbook</t>
  </si>
  <si>
    <t>Start Here</t>
  </si>
  <si>
    <t>Setup</t>
  </si>
  <si>
    <t>Your company, currency, PPV tolerance and the standard price of every purchased item.</t>
  </si>
  <si>
    <t>PPV Log</t>
  </si>
  <si>
    <t>One row per receipt or invoice line: quantity and actual price; the standard price comes from Setup.</t>
  </si>
  <si>
    <t>Dashboard</t>
  </si>
  <si>
    <t>Net, unfavourable and favourable purchase price variance for the category and dates you choose.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</si>
  <si>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</si>
  <si>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</si>
  <si>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</si>
  <si>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</si>
  <si>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</si>
  <si>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</si>
  <si>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</si>
  <si>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</si>
  <si>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</si>
  <si>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</si>
  <si>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</si>
  <si>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</si>
  <si>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</si>
  <si>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</si>
  <si>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</si>
  <si>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</si>
  <si>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</si>
  <si>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</si>
  <si>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</si>
  <si>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</si>
  <si>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Purchase Price Variance Calculator on mfgcalcs.com</t>
  </si>
  <si>
    <t>Latest version</t>
  </si>
  <si>
    <t>mfgcalcs.com/templates/purchase-price-variance</t>
  </si>
  <si>
    <t>More free templates</t>
  </si>
  <si>
    <t>mfgcalcs.com/templates</t>
  </si>
  <si>
    <t>Version</t>
  </si>
  <si>
    <t>1.0.0 (updated 15 October 2026)</t>
  </si>
  <si>
    <t>About the example data</t>
  </si>
  <si>
    <t>Every number already in this workbook is example data for Kestrel Valve Co., a fictional business invented for this template, so the dashboard and charts show something meaningful on day one. It covers six months of receipts (April to September 2026) from six suppliers for twelve purchased items, generated from a fixed seed. Prices are invented for the example.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</si>
  <si>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</si>
  <si>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</si>
  <si>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</si>
  <si>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</si>
  <si>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</si>
  <si>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</si>
  <si>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</si>
  <si>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</si>
  <si>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Supplier</t>
  </si>
  <si>
    <t>Country</t>
  </si>
  <si>
    <t>Incoterm</t>
  </si>
  <si>
    <t>Payment terms</t>
  </si>
  <si>
    <t>Notes</t>
  </si>
  <si>
    <t>Category</t>
  </si>
  <si>
    <t>GL account</t>
  </si>
  <si>
    <t>Buyer</t>
  </si>
  <si>
    <t>Price driver</t>
  </si>
  <si>
    <t>Item</t>
  </si>
  <si>
    <t>UoM</t>
  </si>
  <si>
    <t>Standard price</t>
  </si>
  <si>
    <t>Company and limits</t>
  </si>
  <si>
    <t>Company or plant</t>
  </si>
  <si>
    <t>Kestrel Valve Co. (example)</t>
  </si>
  <si>
    <t>Currency label</t>
  </si>
  <si>
    <t>USD</t>
  </si>
  <si>
    <t>Standard prices are</t>
  </si>
  <si>
    <t>Delivered price, before duty</t>
  </si>
  <si>
    <t>PPV tolerance for a period</t>
  </si>
  <si>
    <t>Flag a line when its PPV is above</t>
  </si>
  <si>
    <t>Limits are yours to set; nothing here assumes an industry benchmark. PPV is positive when you paid more than standard (unfavourable) and negative when you paid less (favourable). 'Near target' means within 5% of a limit.</t>
  </si>
  <si>
    <t>Lists that feed the dropdowns</t>
  </si>
  <si>
    <t>Every dropdown on the PPV Log reads these lists. Keep names unique; log rows that use a name not on a list say so in their Check column. Standard prices are per unit of measure, in your currency.</t>
  </si>
  <si>
    <t>Suppliers (fictional)</t>
  </si>
  <si>
    <t>Harlow Foundry</t>
  </si>
  <si>
    <t>United States</t>
  </si>
  <si>
    <t>FCA</t>
  </si>
  <si>
    <t>Net 45</t>
  </si>
  <si>
    <t>Castings; energy surcharge from July (example)</t>
  </si>
  <si>
    <t>Vantor Metals</t>
  </si>
  <si>
    <t>Canada</t>
  </si>
  <si>
    <t>DAP</t>
  </si>
  <si>
    <t>Net 30</t>
  </si>
  <si>
    <t>Bar stock, prices follow the metal index</t>
  </si>
  <si>
    <t>Pellan Seals</t>
  </si>
  <si>
    <t>Germany</t>
  </si>
  <si>
    <t>Net 60</t>
  </si>
  <si>
    <t>Seals and seat rings</t>
  </si>
  <si>
    <t>Gritton Fasteners</t>
  </si>
  <si>
    <t>Re-quoted in June</t>
  </si>
  <si>
    <t>Kelso Electronics</t>
  </si>
  <si>
    <t>Mexico</t>
  </si>
  <si>
    <t>PCBs and sensors</t>
  </si>
  <si>
    <t>Ambry Packaging</t>
  </si>
  <si>
    <t>Cartons and inserts</t>
  </si>
  <si>
    <t>Purchase categories</t>
  </si>
  <si>
    <t>Castings</t>
  </si>
  <si>
    <t>5010</t>
  </si>
  <si>
    <t>J. Ortiz</t>
  </si>
  <si>
    <t>Energy, scrap iron</t>
  </si>
  <si>
    <t>Bodies, bonnets, handwheels</t>
  </si>
  <si>
    <t>Bar stock</t>
  </si>
  <si>
    <t>5020</t>
  </si>
  <si>
    <t>Metal index</t>
  </si>
  <si>
    <t>Stainless and brass bar, priced per kg</t>
  </si>
  <si>
    <t>Seals</t>
  </si>
  <si>
    <t>5030</t>
  </si>
  <si>
    <t>A. Brandt</t>
  </si>
  <si>
    <t>Polymer prices</t>
  </si>
  <si>
    <t>Elastomer and PTFE parts</t>
  </si>
  <si>
    <t>Fasteners</t>
  </si>
  <si>
    <t>5040</t>
  </si>
  <si>
    <t>Steel, nickel</t>
  </si>
  <si>
    <t>Priced per 100 pieces</t>
  </si>
  <si>
    <t>Electronics</t>
  </si>
  <si>
    <t>5050</t>
  </si>
  <si>
    <t>K. Lin</t>
  </si>
  <si>
    <t>Component supply</t>
  </si>
  <si>
    <t>Actuator boards and sensors</t>
  </si>
  <si>
    <t>Packaging</t>
  </si>
  <si>
    <t>5060</t>
  </si>
  <si>
    <t>Board prices</t>
  </si>
  <si>
    <t>Cartons and foam</t>
  </si>
  <si>
    <t>Items and standard prices (example prices)</t>
  </si>
  <si>
    <t>Valve body VB-2</t>
  </si>
  <si>
    <t>ea</t>
  </si>
  <si>
    <t>Usual supplier: Harlow Foundry</t>
  </si>
  <si>
    <t>Bonnet BN-2</t>
  </si>
  <si>
    <t>Handwheel HW-80</t>
  </si>
  <si>
    <t>316 SS bar 25 mm</t>
  </si>
  <si>
    <t>kg</t>
  </si>
  <si>
    <t>Usual supplier: Vantor Metals</t>
  </si>
  <si>
    <t>Brass bar 32 mm</t>
  </si>
  <si>
    <t>Stem seal kit SK-10</t>
  </si>
  <si>
    <t>Usual supplier: Pellan Seals</t>
  </si>
  <si>
    <t>PTFE seat ring SR-25</t>
  </si>
  <si>
    <t>Hex bolt M10x40 A4</t>
  </si>
  <si>
    <t>100 pcs</t>
  </si>
  <si>
    <t>Usual supplier: Gritton Fasteners</t>
  </si>
  <si>
    <t>Actuator PCB AC-3</t>
  </si>
  <si>
    <t>Usual supplier: Kelso Electronics</t>
  </si>
  <si>
    <t>Position sensor PS-1</t>
  </si>
  <si>
    <t>Carton C-40</t>
  </si>
  <si>
    <t>Usual supplier: Ambry Packaging</t>
  </si>
  <si>
    <t>Foam insert F-40</t>
  </si>
  <si>
    <t>Date</t>
  </si>
  <si>
    <t>PO number</t>
  </si>
  <si>
    <t>Quantity</t>
  </si>
  <si>
    <t>Actual price</t>
  </si>
  <si>
    <t>Actual cost</t>
  </si>
  <si>
    <t>Standard cost</t>
  </si>
  <si>
    <t>PPV</t>
  </si>
  <si>
    <t>PPV %</t>
  </si>
  <si>
    <t>Direction</t>
  </si>
  <si>
    <t>Line status</t>
  </si>
  <si>
    <t>View date</t>
  </si>
  <si>
    <t>Check</t>
  </si>
  <si>
    <t>Example data for Kestrel Valve Co. (fictional). Replace it with your own: select the example rows, right-click, Delete &gt; Table Rows. Yellow = you type; blue = calculated; Check names any problem.</t>
  </si>
  <si>
    <t>% of std</t>
  </si>
  <si>
    <t>PO-4101</t>
  </si>
  <si>
    <t/>
  </si>
  <si>
    <t>PO-4123</t>
  </si>
  <si>
    <t>PO-4134</t>
  </si>
  <si>
    <t>PO-4133</t>
  </si>
  <si>
    <t>PO-4139</t>
  </si>
  <si>
    <t>PO-4109</t>
  </si>
  <si>
    <t>PO-4127</t>
  </si>
  <si>
    <t>PO-4111</t>
  </si>
  <si>
    <t>PO-4113</t>
  </si>
  <si>
    <t>PO-4117</t>
  </si>
  <si>
    <t>PO-4120</t>
  </si>
  <si>
    <t>PO-4129</t>
  </si>
  <si>
    <t>PO-4119</t>
  </si>
  <si>
    <t>PO-4141</t>
  </si>
  <si>
    <t>PO-4135</t>
  </si>
  <si>
    <t>PO-4115</t>
  </si>
  <si>
    <t>PO-4136</t>
  </si>
  <si>
    <t>PO-4105</t>
  </si>
  <si>
    <t>PO-4122</t>
  </si>
  <si>
    <t>PO-4180</t>
  </si>
  <si>
    <t>PO-4189</t>
  </si>
  <si>
    <t>PO-4143</t>
  </si>
  <si>
    <t>PO-4166</t>
  </si>
  <si>
    <t>PO-4165</t>
  </si>
  <si>
    <t>PO-4177</t>
  </si>
  <si>
    <t>PO-4184</t>
  </si>
  <si>
    <t>PO-4193</t>
  </si>
  <si>
    <t>PO-4153</t>
  </si>
  <si>
    <t>PO-4183</t>
  </si>
  <si>
    <t>PO-4148</t>
  </si>
  <si>
    <t>PO-4161</t>
  </si>
  <si>
    <t>PO-4172</t>
  </si>
  <si>
    <t>PO-4144</t>
  </si>
  <si>
    <t>PO-4151</t>
  </si>
  <si>
    <t>PO-4176</t>
  </si>
  <si>
    <t>PO-4157</t>
  </si>
  <si>
    <t>PO-4170</t>
  </si>
  <si>
    <t>PO-4187</t>
  </si>
  <si>
    <t>PO-4212</t>
  </si>
  <si>
    <t>PO-4240</t>
  </si>
  <si>
    <t>PO-4223</t>
  </si>
  <si>
    <t>PO-4235</t>
  </si>
  <si>
    <t>PO-4202</t>
  </si>
  <si>
    <t>PO-4208</t>
  </si>
  <si>
    <t>PO-4228</t>
  </si>
  <si>
    <t>PO-4210</t>
  </si>
  <si>
    <t>PO-4236</t>
  </si>
  <si>
    <t>PO-4243</t>
  </si>
  <si>
    <t>PO-4196</t>
  </si>
  <si>
    <t>PO-4198</t>
  </si>
  <si>
    <t>PO-4217</t>
  </si>
  <si>
    <t>PO-4215</t>
  </si>
  <si>
    <t>PO-4225</t>
  </si>
  <si>
    <t>PO-4206</t>
  </si>
  <si>
    <t>PO-4220</t>
  </si>
  <si>
    <t>PO-4227</t>
  </si>
  <si>
    <t>First receipt at the re-quoted price</t>
  </si>
  <si>
    <t>PO-4231</t>
  </si>
  <si>
    <t>PO-4268</t>
  </si>
  <si>
    <t>PO-4251</t>
  </si>
  <si>
    <t>PO-4290</t>
  </si>
  <si>
    <t>PO-4252</t>
  </si>
  <si>
    <t>PO-4265</t>
  </si>
  <si>
    <t>PO-4277</t>
  </si>
  <si>
    <t>PO-4293</t>
  </si>
  <si>
    <t>PO-4255</t>
  </si>
  <si>
    <t>PO-4276</t>
  </si>
  <si>
    <t>PO-4258</t>
  </si>
  <si>
    <t>PO-4262</t>
  </si>
  <si>
    <t>PO-4285</t>
  </si>
  <si>
    <t>PO-4274</t>
  </si>
  <si>
    <t>PO-4289</t>
  </si>
  <si>
    <t>PO-4245</t>
  </si>
  <si>
    <t>Energy surcharge added by the foundry</t>
  </si>
  <si>
    <t>PO-4248</t>
  </si>
  <si>
    <t>PO-4270</t>
  </si>
  <si>
    <t>PO-4275</t>
  </si>
  <si>
    <t>PO-4281</t>
  </si>
  <si>
    <t>PO-4320</t>
  </si>
  <si>
    <t>PO-4326</t>
  </si>
  <si>
    <t>Spot buy: component shortage surcharge</t>
  </si>
  <si>
    <t>PO-4334</t>
  </si>
  <si>
    <t>PO-4317</t>
  </si>
  <si>
    <t>PO-4296</t>
  </si>
  <si>
    <t>PO-4330</t>
  </si>
  <si>
    <t>PO-4299</t>
  </si>
  <si>
    <t>PO-4312</t>
  </si>
  <si>
    <t>PO-4321</t>
  </si>
  <si>
    <t>PO-4324</t>
  </si>
  <si>
    <t>PO-4303</t>
  </si>
  <si>
    <t>PO-4308</t>
  </si>
  <si>
    <t>PO-4338</t>
  </si>
  <si>
    <t>PO-4319</t>
  </si>
  <si>
    <t>PO-4328</t>
  </si>
  <si>
    <t>PO-4304</t>
  </si>
  <si>
    <t>PO-4311</t>
  </si>
  <si>
    <t>PO-4342</t>
  </si>
  <si>
    <t>PO-4313</t>
  </si>
  <si>
    <t>PO-4333</t>
  </si>
  <si>
    <t>PO-4346</t>
  </si>
  <si>
    <t>PO-4370</t>
  </si>
  <si>
    <t>PO-4378</t>
  </si>
  <si>
    <t>PO-4381</t>
  </si>
  <si>
    <t>PO-4350</t>
  </si>
  <si>
    <t>PO-4386</t>
  </si>
  <si>
    <t>PO-4359</t>
  </si>
  <si>
    <t>PO-4366</t>
  </si>
  <si>
    <t>PO-4391</t>
  </si>
  <si>
    <t>PO-4392</t>
  </si>
  <si>
    <t>PO-4400</t>
  </si>
  <si>
    <t>PO-4352</t>
  </si>
  <si>
    <t>PO-4363</t>
  </si>
  <si>
    <t>PO-4374</t>
  </si>
  <si>
    <t>PO-4394</t>
  </si>
  <si>
    <t>PO-4353</t>
  </si>
  <si>
    <t>PO-4383</t>
  </si>
  <si>
    <t>PO-4403</t>
  </si>
  <si>
    <t>PO-4367</t>
  </si>
  <si>
    <t>PO-4355</t>
  </si>
  <si>
    <t>PO-4387</t>
  </si>
  <si>
    <t>PO-4397</t>
  </si>
  <si>
    <t>From</t>
  </si>
  <si>
    <t>To</t>
  </si>
  <si>
    <t>NET PPV % OF STANDARD SPEND</t>
  </si>
  <si>
    <t>Actual - standard; positive = unfavourable</t>
  </si>
  <si>
    <t>Lines paid above standard</t>
  </si>
  <si>
    <t>Lines paid below standard</t>
  </si>
  <si>
    <t>LINES ABOVE THE LINE LIMIT</t>
  </si>
  <si>
    <t>BIGGEST UNFAVOURABLE ITEM</t>
  </si>
  <si>
    <t>Quantity x standard price</t>
  </si>
  <si>
    <t>Quantity x actual price</t>
  </si>
  <si>
    <t>Ranked by unfavourable PPV</t>
  </si>
  <si>
    <t>By month (last 6 months in view)</t>
  </si>
  <si>
    <t>Month</t>
  </si>
  <si>
    <t>Standard spend</t>
  </si>
  <si>
    <t>Actual spend</t>
  </si>
  <si>
    <t>Unfavourable PPV</t>
  </si>
  <si>
    <t>Favourable PPV</t>
  </si>
  <si>
    <t>Net PPV</t>
  </si>
  <si>
    <t>PPV % of std</t>
  </si>
  <si>
    <t>Against tolerance</t>
  </si>
  <si>
    <t>%</t>
  </si>
  <si>
    <t>By supplier</t>
  </si>
  <si>
    <t>Unfavourable</t>
  </si>
  <si>
    <t>Favourable</t>
  </si>
  <si>
    <t>Lines</t>
  </si>
  <si>
    <t>Lines over limit</t>
  </si>
  <si>
    <t>lines</t>
  </si>
  <si>
    <t>By category</t>
  </si>
  <si>
    <t>Unfavourable PPV by item (Pareto)</t>
  </si>
  <si>
    <t>Rank</t>
  </si>
  <si>
    <t>Share</t>
  </si>
  <si>
    <t>Cumulative</t>
  </si>
  <si>
    <t>Helper: Item (list order)</t>
  </si>
  <si>
    <t>Helper: value (-1 = unused slot)</t>
  </si>
  <si>
    <t>Helper: rank, ties by list order</t>
  </si>
  <si>
    <t>Total</t>
  </si>
  <si>
    <t>The Dashboard shows the 6 suppliers, 6 categories and 12 items of the Setup lists. If you add more, extend the supplier, category and item blocks (see Method) or they will not appear here.</t>
  </si>
  <si>
    <t>What this workbook calculates</t>
  </si>
  <si>
    <t>Purchase price variance (PPV) is the difference between what you paid for purchased material and what the standard price says it should have cost, for the quantity you bought. It is measured when the material is received or invoiced, not when it is used, so it isolates the buying price from usage and yield. This workbook calculates it line by line and adds it up by month, supplier, category and item, always forming percentages from sums so large and small lines are weighted by spend.</t>
  </si>
  <si>
    <t>Calculations</t>
  </si>
  <si>
    <t>How it is calculated</t>
  </si>
  <si>
    <t>Units</t>
  </si>
  <si>
    <t>Looked up from the Items list on Setup by item (INDEX/MATCH), per unit of measure.</t>
  </si>
  <si>
    <t>currency/UoM</t>
  </si>
  <si>
    <t>Quantity x actual price per unit of measure.</t>
  </si>
  <si>
    <t>currency</t>
  </si>
  <si>
    <t>Quantity x standard price.</t>
  </si>
  <si>
    <t>Actual cost - standard cost = quantity x (actual price - standard price). Positive is unfavourable (you paid more), negative favourable.</t>
  </si>
  <si>
    <t>(Actual price - standard price) / standard price for a line. Over several lines: total PPV / total standard cost.</t>
  </si>
  <si>
    <t>Unfavourable when PPV &gt; 0, Favourable when PPV &lt; 0, At standard when it is zero.</t>
  </si>
  <si>
    <t>-</t>
  </si>
  <si>
    <t>On target when the line's PPV % is at or below the line flag limit on Setup, Near target up to 5% above it, Above target beyond.</t>
  </si>
  <si>
    <t>Unfavourable and favourable PPV</t>
  </si>
  <si>
    <t>SUMIFS of PPV over lines with PPV &gt; 0, and over lines with PPV &lt; 0. Net PPV is their sum.</t>
  </si>
  <si>
    <t>Net PPV % of standard spend</t>
  </si>
  <si>
    <t>SUMIFS(PPV) / SUMIFS(standard cost) over the lines in view, judged against the PPV tolerance on Setup (On target at or below it).</t>
  </si>
  <si>
    <t>Dashboard roll-ups</t>
  </si>
  <si>
    <t>Every figure is a SUMIFS or COUNTIFS over the PPV Log restricted to rows whose View date is filled in (inside the category and date filters). Months run from the 1st to the end of the month (EDATE).</t>
  </si>
  <si>
    <t>Item Pareto</t>
  </si>
  <si>
    <t>Unfavourable PPV per item, ranked largest first by COUNTIF ranks (ties keep list order), with share and cumulative share. Helper columns AO:AQ on the Dashboard (hidden) hold the unsorted values and ranks.</t>
  </si>
  <si>
    <t>currency, %</t>
  </si>
  <si>
    <t>Assumptions</t>
  </si>
  <si>
    <t>Actual and standard prices are on the same basis (for example both delivered, both before duty) and in the same currency; the Setup note says which basis you use.</t>
  </si>
  <si>
    <t>One standard price per item for the period. When standards are revised, start a new workbook for the new period or keep the old price in the item's Notes.</t>
  </si>
  <si>
    <t>Quantity is in the item's unit of measure; a price per 100 pieces needs the quantity in hundreds.</t>
  </si>
  <si>
    <t>The date of a line is the receipt or invoice date, the point at which PPV is recognised.</t>
  </si>
  <si>
    <t>Limitations</t>
  </si>
  <si>
    <t>PPV says nothing about usage: a cheaper material that scraps more shows as favourable here (see the Scrap Cost Tracker and material usage variance).</t>
  </si>
  <si>
    <t>Exchange rates are not modelled: a foreign-currency invoice must be converted to your currency before you type it, and currency movement then shows up as price variance.</t>
  </si>
  <si>
    <t>The Dashboard has fixed blocks for the number of suppliers, categories and items in the example lists; longer lists need the blocks extended (a warning appears on the Dashboard).</t>
  </si>
  <si>
    <t>Monthly view shows the last 6 months inside the filters.</t>
  </si>
  <si>
    <t>Agreement with the live calculator</t>
  </si>
  <si>
    <t>For one log row, this workbook and the live Purchase Price Variance calculator use the same inputs and formulas: PPV = purchased quantity x (actual unit price - standard unit price); actual purchase cost = quantity x actual price; standard purchase cost = quantity x standard price. The calculator works on one line; this workbook adds the standard price list, the log, the direction and status words and the roll-ups. The build checks the reference implementation against the calculator's engine for its own example (1,000 units at 5.20 against a 5.00 standard: PPV 200) and for one row of the example data.</t>
  </si>
  <si>
    <t>Open the Purchase Price Variance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</si>
  <si>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</si>
  <si>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</si>
  <si>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Standard costing and variance analysis as taught in management accounting texts, e.g. Horngren, Datar and Rajan, Cost Accounting: A Managerial Emphasis (flexible budgets and variances chapter).</t>
  </si>
  <si>
    <t>CIMA Official Terminology: material price variance, measured at purchase.</t>
  </si>
  <si>
    <t>MFG Calcs Purchase Price Variance calculator: the same formulas for one line.</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</si>
  <si>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</si>
  <si>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</si>
  <si>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</si>
  <si>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</si>
  <si>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</si>
  <si>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</si>
  <si>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</si>
  <si>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</si>
  <si>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</si>
  <si>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</si>
  <si>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</si>
  <si>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</si>
  <si>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</si>
  <si>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</si>
  <si>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</si>
  <si>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Row 1 (calculator example): actual cost</t>
  </si>
  <si>
    <t>Row 1 (calculator example): standard cost</t>
  </si>
  <si>
    <t>Row 1 (calculator example): PPV</t>
  </si>
  <si>
    <t>Row 1 (calculator example): PPV %</t>
  </si>
  <si>
    <t>Row 2 (favourable line): actual cost</t>
  </si>
  <si>
    <t>Row 2 (favourable line): standard cost</t>
  </si>
  <si>
    <t>Row 2 (favourable line): PPV</t>
  </si>
  <si>
    <t>Row 2 (favourable line): PPV %</t>
  </si>
  <si>
    <t>Row 3 (above line limit): actual cost</t>
  </si>
  <si>
    <t>Row 3 (above line limit): standard cost</t>
  </si>
  <si>
    <t>Row 3 (above line limit): PPV</t>
  </si>
  <si>
    <t>Row 3 (above line limit): PPV %</t>
  </si>
  <si>
    <t>Row 1: direction</t>
  </si>
  <si>
    <t>exact</t>
  </si>
  <si>
    <t>Row 1: line status (4.0% against a 3.0% limit)</t>
  </si>
  <si>
    <t>Above target</t>
  </si>
  <si>
    <t>Row 2: direction</t>
  </si>
  <si>
    <t>Row 2: line status</t>
  </si>
  <si>
    <t>On target</t>
  </si>
  <si>
    <t>Row 3: line status (3.1% is within 5% of the 3.0% limit)</t>
  </si>
  <si>
    <t>Near target</t>
  </si>
  <si>
    <t>Row 4: Check reports the missing standard price</t>
  </si>
  <si>
    <t>Item not on Setup list</t>
  </si>
  <si>
    <t>Row 5: Check reports the unknown supplier</t>
  </si>
  <si>
    <t>Supplier not on Setup list</t>
  </si>
  <si>
    <t>Row 1: Check is OK</t>
  </si>
  <si>
    <t>OK</t>
  </si>
  <si>
    <t>All rows: net PPV (Dashboard formula)</t>
  </si>
  <si>
    <t>All rows: net PPV % of standard (Dashboard formula)</t>
  </si>
  <si>
    <t>All rows: unfavourable PPV (Dashboard formula)</t>
  </si>
  <si>
    <t>All rows: favourable PPV (Dashboard formula)</t>
  </si>
  <si>
    <t>All rows: spend at standard (Dashboard formula)</t>
  </si>
  <si>
    <t>Fixed test inputs</t>
  </si>
  <si>
    <t>White cells are fixed test inputs; blue cells are the workbook's formulas evaluated on them.</t>
  </si>
  <si>
    <t>Parameters</t>
  </si>
  <si>
    <t>Filter: from (0 = no limit)</t>
  </si>
  <si>
    <t>Filter: to (2958465 = no limit)</t>
  </si>
  <si>
    <t>Filter: category (blank = all)</t>
  </si>
  <si>
    <t>Line flag limit</t>
  </si>
  <si>
    <t>PPV tolerance</t>
  </si>
  <si>
    <t>Test table: Suppliers</t>
  </si>
  <si>
    <t>S1</t>
  </si>
  <si>
    <t>S2</t>
  </si>
  <si>
    <t>Test table: Receipts</t>
  </si>
  <si>
    <t>PO-1</t>
  </si>
  <si>
    <t>Calculator example</t>
  </si>
  <si>
    <t>C1</t>
  </si>
  <si>
    <t>PO-2</t>
  </si>
  <si>
    <t>Bar</t>
  </si>
  <si>
    <t>C2</t>
  </si>
  <si>
    <t>PO-3</t>
  </si>
  <si>
    <t>Casting</t>
  </si>
  <si>
    <t>PO-4</t>
  </si>
  <si>
    <t>Typo item</t>
  </si>
  <si>
    <t>PO-5</t>
  </si>
  <si>
    <t>Unknown</t>
  </si>
  <si>
    <t>Seal</t>
  </si>
</sst>
</file>

<file path=xl/styles.xml><?xml version="1.0" encoding="utf-8"?>
<styleSheet xmlns="http://schemas.openxmlformats.org/spreadsheetml/2006/main">
  <numFmts count="9">
    <numFmt numFmtId="164" formatCode="0.0%"/>
    <numFmt numFmtId="165" formatCode="#,##0.00"/>
    <numFmt numFmtId="166" formatCode="d mmm yyyy"/>
    <numFmt numFmtId="167" formatCode="#,##0.0000"/>
    <numFmt numFmtId="168" formatCode="+0.0%;-0.0%;0.0%"/>
    <numFmt numFmtId="169" formatCode="#,##0"/>
    <numFmt numFmtId="170" formatCode="&quot;Limit &quot;+0.0%;&quot;Limit &quot;-0.0%;&quot;Limit &quot;0.0%"/>
    <numFmt numFmtId="171" formatCode="mmm yyyy"/>
    <numFmt numFmtId="172" formatCode="0.0E+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i/>
      <sz val="9"/>
      <color rgb="FF6B7280"/>
      <name val="Calibri"/>
      <family val="2"/>
      <scheme val="minor"/>
    </font>
    <font>
      <sz val="9"/>
      <color rgb="FF8A4A06"/>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
      <b/>
      <sz val="14"/>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78">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0" borderId="0" xfId="0" applyFont="1" applyAlignment="1">
      <alignment horizontal="center" vertical="center"/>
    </xf>
    <xf numFmtId="165" fontId="10" fillId="3" borderId="2" xfId="0" applyNumberFormat="1" applyFont="1" applyFill="1" applyBorder="1" applyAlignment="1" applyProtection="1">
      <alignment vertical="center"/>
      <protection locked="0"/>
    </xf>
    <xf numFmtId="0" fontId="20" fillId="7" borderId="2" xfId="0" applyFont="1" applyFill="1" applyBorder="1" applyAlignment="1">
      <alignment vertical="center" wrapText="1"/>
    </xf>
    <xf numFmtId="166" fontId="10" fillId="3" borderId="2" xfId="0" applyNumberFormat="1" applyFont="1" applyFill="1" applyBorder="1" applyAlignment="1" applyProtection="1">
      <alignment vertical="center"/>
      <protection locked="0"/>
    </xf>
    <xf numFmtId="0" fontId="10" fillId="4" borderId="3" xfId="0" applyFont="1" applyFill="1" applyBorder="1" applyAlignment="1">
      <alignment vertical="center"/>
    </xf>
    <xf numFmtId="167" fontId="10" fillId="3" borderId="2" xfId="0" applyNumberFormat="1" applyFont="1" applyFill="1" applyBorder="1" applyAlignment="1" applyProtection="1">
      <alignment vertical="center"/>
      <protection locked="0"/>
    </xf>
    <xf numFmtId="167"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6" fontId="10" fillId="4" borderId="3" xfId="0" applyNumberFormat="1" applyFont="1" applyFill="1" applyBorder="1" applyAlignment="1">
      <alignment vertical="center"/>
    </xf>
    <xf numFmtId="0" fontId="21" fillId="4" borderId="3" xfId="0" applyFont="1" applyFill="1" applyBorder="1" applyAlignment="1">
      <alignment vertical="center"/>
    </xf>
    <xf numFmtId="166" fontId="10" fillId="3" borderId="2" xfId="0" applyNumberFormat="1" applyFont="1" applyFill="1" applyBorder="1" applyAlignment="1" applyProtection="1">
      <alignment horizontal="left" vertical="center"/>
      <protection locked="0"/>
    </xf>
    <xf numFmtId="0" fontId="19" fillId="0" borderId="0" xfId="0" applyFont="1" applyAlignment="1">
      <alignment vertical="center"/>
    </xf>
    <xf numFmtId="0" fontId="22" fillId="9" borderId="6" xfId="0" applyFont="1" applyFill="1" applyBorder="1" applyAlignment="1">
      <alignment vertical="center" wrapText="1"/>
    </xf>
    <xf numFmtId="169" fontId="4" fillId="9" borderId="7" xfId="0" applyNumberFormat="1" applyFont="1" applyFill="1" applyBorder="1" applyAlignment="1">
      <alignment horizontal="left" vertical="center"/>
    </xf>
    <xf numFmtId="168" fontId="4" fillId="9" borderId="7" xfId="0" applyNumberFormat="1" applyFont="1" applyFill="1" applyBorder="1" applyAlignment="1">
      <alignment horizontal="left" vertical="center"/>
    </xf>
    <xf numFmtId="0" fontId="23" fillId="9" borderId="7" xfId="0" applyFont="1" applyFill="1" applyBorder="1" applyAlignment="1">
      <alignment vertical="center"/>
    </xf>
    <xf numFmtId="170"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0" fontId="24" fillId="9" borderId="7" xfId="0" applyFont="1" applyFill="1" applyBorder="1" applyAlignment="1">
      <alignment horizontal="left" vertical="center"/>
    </xf>
    <xf numFmtId="0" fontId="18" fillId="2" borderId="5" xfId="0" applyFont="1" applyFill="1" applyBorder="1" applyAlignment="1">
      <alignment horizontal="left" vertical="center" wrapText="1"/>
    </xf>
    <xf numFmtId="171" fontId="9" fillId="0" borderId="9" xfId="0" applyNumberFormat="1" applyFont="1" applyBorder="1" applyAlignment="1">
      <alignment vertical="center"/>
    </xf>
    <xf numFmtId="169" fontId="10" fillId="4" borderId="3" xfId="0" applyNumberFormat="1" applyFont="1" applyFill="1" applyBorder="1" applyAlignment="1">
      <alignment vertical="center"/>
    </xf>
    <xf numFmtId="0" fontId="9" fillId="0" borderId="9" xfId="0" applyFont="1" applyBorder="1" applyAlignment="1">
      <alignment vertical="center"/>
    </xf>
    <xf numFmtId="169" fontId="9" fillId="0" borderId="9" xfId="0" applyNumberFormat="1" applyFont="1" applyBorder="1" applyAlignment="1">
      <alignment horizontal="center" vertical="center"/>
    </xf>
    <xf numFmtId="164" fontId="10" fillId="4" borderId="3" xfId="0" applyNumberFormat="1" applyFont="1" applyFill="1" applyBorder="1" applyAlignment="1">
      <alignment vertical="center"/>
    </xf>
    <xf numFmtId="169" fontId="10" fillId="0" borderId="0" xfId="0" applyNumberFormat="1" applyFont="1" applyAlignment="1">
      <alignment vertical="center"/>
    </xf>
    <xf numFmtId="0" fontId="9" fillId="4" borderId="10" xfId="0" applyFont="1" applyFill="1" applyBorder="1" applyAlignment="1">
      <alignment vertical="center"/>
    </xf>
    <xf numFmtId="169" fontId="9" fillId="4" borderId="10"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5" fontId="10" fillId="0" borderId="9" xfId="0" applyNumberFormat="1" applyFont="1" applyBorder="1" applyAlignment="1">
      <alignment vertical="center"/>
    </xf>
    <xf numFmtId="172" fontId="10" fillId="4" borderId="3" xfId="0" applyNumberFormat="1" applyFont="1" applyFill="1" applyBorder="1" applyAlignment="1">
      <alignment vertical="center"/>
    </xf>
    <xf numFmtId="172" fontId="10" fillId="0" borderId="9" xfId="0" applyNumberFormat="1" applyFont="1" applyBorder="1" applyAlignment="1">
      <alignment vertical="center"/>
    </xf>
    <xf numFmtId="168" fontId="10" fillId="0" borderId="9" xfId="0" applyNumberFormat="1" applyFont="1" applyBorder="1" applyAlignment="1">
      <alignment vertical="center"/>
    </xf>
    <xf numFmtId="169" fontId="10" fillId="0" borderId="9" xfId="0" applyNumberFormat="1" applyFont="1" applyBorder="1" applyAlignment="1">
      <alignment vertical="center"/>
    </xf>
    <xf numFmtId="164" fontId="10" fillId="0" borderId="9" xfId="0" applyNumberFormat="1" applyFont="1" applyBorder="1" applyAlignment="1">
      <alignment vertical="center"/>
    </xf>
    <xf numFmtId="166" fontId="10" fillId="0" borderId="9" xfId="0" applyNumberFormat="1" applyFont="1" applyBorder="1" applyAlignment="1">
      <alignment vertical="center"/>
    </xf>
    <xf numFmtId="167"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PPV by month</a:t>
            </a:r>
          </a:p>
        </c:rich>
      </c:tx>
      <c:layout/>
    </c:title>
    <c:plotArea>
      <c:layout/>
      <c:barChart>
        <c:barDir val="col"/>
        <c:grouping val="stacked"/>
        <c:ser>
          <c:idx val="0"/>
          <c:order val="0"/>
          <c:tx>
            <c:v>Unfavourable</c:v>
          </c:tx>
          <c:spPr>
            <a:solidFill>
              <a:srgbClr val="3B64D8"/>
            </a:solidFill>
            <a:ln w="9525">
              <a:solidFill>
                <a:srgbClr val="FFFFFF"/>
              </a:solidFill>
            </a:ln>
          </c:spPr>
          <c:cat>
            <c:numRef>
              <c:f>Dashboard!$B$38:$B$43</c:f>
              <c:numCache>
                <c:formatCode>General</c:formatCode>
                <c:ptCount val="6"/>
                <c:pt idx="0">
                  <c:v>46113</c:v>
                </c:pt>
                <c:pt idx="1">
                  <c:v>46143</c:v>
                </c:pt>
                <c:pt idx="2">
                  <c:v>46174</c:v>
                </c:pt>
                <c:pt idx="3">
                  <c:v>46204</c:v>
                </c:pt>
                <c:pt idx="4">
                  <c:v>46235</c:v>
                </c:pt>
                <c:pt idx="5">
                  <c:v>46266</c:v>
                </c:pt>
              </c:numCache>
            </c:numRef>
          </c:cat>
          <c:val>
            <c:numRef>
              <c:f>Dashboard!$E$38:$E$43</c:f>
              <c:numCache>
                <c:formatCode>General</c:formatCode>
                <c:ptCount val="6"/>
                <c:pt idx="0">
                  <c:v>72.2299999999998</c:v>
                </c:pt>
                <c:pt idx="1">
                  <c:v>148.53</c:v>
                </c:pt>
                <c:pt idx="2">
                  <c:v>340.000000000002</c:v>
                </c:pt>
                <c:pt idx="3">
                  <c:v>1155.11</c:v>
                </c:pt>
                <c:pt idx="4">
                  <c:v>1970.15</c:v>
                </c:pt>
                <c:pt idx="5">
                  <c:v>2386.92</c:v>
                </c:pt>
              </c:numCache>
            </c:numRef>
          </c:val>
        </c:ser>
        <c:ser>
          <c:idx val="1"/>
          <c:order val="1"/>
          <c:tx>
            <c:v>Favourable</c:v>
          </c:tx>
          <c:spPr>
            <a:solidFill>
              <a:srgbClr val="E8702A"/>
            </a:solidFill>
            <a:ln w="9525">
              <a:solidFill>
                <a:srgbClr val="FFFFFF"/>
              </a:solidFill>
            </a:ln>
          </c:spPr>
          <c:cat>
            <c:numRef>
              <c:f>Dashboard!$B$38:$B$43</c:f>
              <c:numCache>
                <c:formatCode>General</c:formatCode>
                <c:ptCount val="6"/>
                <c:pt idx="0">
                  <c:v>46113</c:v>
                </c:pt>
                <c:pt idx="1">
                  <c:v>46143</c:v>
                </c:pt>
                <c:pt idx="2">
                  <c:v>46174</c:v>
                </c:pt>
                <c:pt idx="3">
                  <c:v>46204</c:v>
                </c:pt>
                <c:pt idx="4">
                  <c:v>46235</c:v>
                </c:pt>
                <c:pt idx="5">
                  <c:v>46266</c:v>
                </c:pt>
              </c:numCache>
            </c:numRef>
          </c:cat>
          <c:val>
            <c:numRef>
              <c:f>Dashboard!$F$38:$F$43</c:f>
              <c:numCache>
                <c:formatCode>General</c:formatCode>
                <c:ptCount val="6"/>
                <c:pt idx="0">
                  <c:v>-301</c:v>
                </c:pt>
                <c:pt idx="1">
                  <c:v>-113.37</c:v>
                </c:pt>
                <c:pt idx="2">
                  <c:v>-222.83</c:v>
                </c:pt>
                <c:pt idx="3">
                  <c:v>-161.91</c:v>
                </c:pt>
                <c:pt idx="4">
                  <c:v>-179.4</c:v>
                </c:pt>
                <c:pt idx="5">
                  <c:v>-189.64</c:v>
                </c:pt>
              </c:numCache>
            </c:numRef>
          </c:val>
        </c:ser>
        <c:gapWidth val="60"/>
        <c:overlap val="100"/>
        <c:axId val="50010001"/>
        <c:axId val="50010002"/>
      </c:barChart>
      <c:catAx>
        <c:axId val="50010001"/>
        <c:scaling>
          <c:orientation val="minMax"/>
        </c:scaling>
        <c:axPos val="b"/>
        <c:numFmt formatCode="mmm yyyy" sourceLinked="0"/>
        <c:majorTickMark val="none"/>
        <c:minorTickMark val="none"/>
        <c:tickLblPos val="low"/>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Net PPV by supplier</a:t>
            </a:r>
          </a:p>
        </c:rich>
      </c:tx>
      <c:layout/>
    </c:title>
    <c:plotArea>
      <c:layout/>
      <c:barChart>
        <c:barDir val="bar"/>
        <c:grouping val="clustered"/>
        <c:ser>
          <c:idx val="0"/>
          <c:order val="0"/>
          <c:tx>
            <c:v>Net PPV</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Dashboard!$B$48:$B$53</c:f>
              <c:strCache>
                <c:ptCount val="6"/>
                <c:pt idx="0">
                  <c:v>Harlow Foundry</c:v>
                </c:pt>
                <c:pt idx="1">
                  <c:v>Vantor Metals</c:v>
                </c:pt>
                <c:pt idx="2">
                  <c:v>Pellan Seals</c:v>
                </c:pt>
                <c:pt idx="3">
                  <c:v>Gritton Fasteners</c:v>
                </c:pt>
                <c:pt idx="4">
                  <c:v>Kelso Electronics</c:v>
                </c:pt>
                <c:pt idx="5">
                  <c:v>Ambry Packaging</c:v>
                </c:pt>
              </c:strCache>
            </c:strRef>
          </c:cat>
          <c:val>
            <c:numRef>
              <c:f>Dashboard!$G$48:$G$53</c:f>
              <c:numCache>
                <c:formatCode>General</c:formatCode>
                <c:ptCount val="6"/>
                <c:pt idx="0">
                  <c:v>3253.1</c:v>
                </c:pt>
                <c:pt idx="1">
                  <c:v>272.380000000002</c:v>
                </c:pt>
                <c:pt idx="2">
                  <c:v>-6.02000000000056</c:v>
                </c:pt>
                <c:pt idx="3">
                  <c:v>-426.72</c:v>
                </c:pt>
                <c:pt idx="4">
                  <c:v>2113.05</c:v>
                </c:pt>
                <c:pt idx="5">
                  <c:v>-301</c:v>
                </c:pt>
              </c:numCache>
            </c:numRef>
          </c:val>
        </c:ser>
        <c:gapWidth val="60"/>
        <c:overlap val="-10"/>
        <c:axId val="50020001"/>
        <c:axId val="50020002"/>
      </c:barChart>
      <c:catAx>
        <c:axId val="50020001"/>
        <c:scaling>
          <c:orientation val="maxMin"/>
        </c:scaling>
        <c:axPos val="l"/>
        <c:majorTickMark val="none"/>
        <c:minorTickMark val="none"/>
        <c:tickLblPos val="low"/>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max"/>
        <c:crossBetween val="between"/>
      </c:valAx>
      <c:spPr>
        <a:solidFill>
          <a:srgbClr val="FFFFFF"/>
        </a:solidFill>
        <a:ln>
          <a:noFill/>
        </a:ln>
      </c:spPr>
    </c:plotArea>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Unfavourable PPV by item</a:t>
            </a:r>
          </a:p>
        </c:rich>
      </c:tx>
      <c:layout/>
    </c:title>
    <c:plotArea>
      <c:layout/>
      <c:barChart>
        <c:barDir val="col"/>
        <c:grouping val="clustered"/>
        <c:ser>
          <c:idx val="0"/>
          <c:order val="0"/>
          <c:tx>
            <c:v>Unfavourable PPV</c:v>
          </c:tx>
          <c:spPr>
            <a:solidFill>
              <a:srgbClr val="3B64D8"/>
            </a:solidFill>
            <a:ln w="9525">
              <a:solidFill>
                <a:srgbClr val="FFFFFF"/>
              </a:solidFill>
            </a:ln>
          </c:spPr>
          <c:cat>
            <c:strRef>
              <c:f>Dashboard!$C$68:$C$79</c:f>
              <c:strCache>
                <c:ptCount val="12"/>
                <c:pt idx="0">
                  <c:v>Valve body VB-2</c:v>
                </c:pt>
                <c:pt idx="1">
                  <c:v>Actuator PCB AC-3</c:v>
                </c:pt>
                <c:pt idx="2">
                  <c:v>Bonnet BN-2</c:v>
                </c:pt>
                <c:pt idx="3">
                  <c:v>Position sensor PS-1</c:v>
                </c:pt>
                <c:pt idx="4">
                  <c:v>Handwheel HW-80</c:v>
                </c:pt>
                <c:pt idx="5">
                  <c:v>316 SS bar 25 mm</c:v>
                </c:pt>
                <c:pt idx="6">
                  <c:v>Brass bar 32 mm</c:v>
                </c:pt>
                <c:pt idx="7">
                  <c:v>Hex bolt M10x40 A4</c:v>
                </c:pt>
                <c:pt idx="8">
                  <c:v>Stem seal kit SK-10</c:v>
                </c:pt>
                <c:pt idx="9">
                  <c:v>PTFE seat ring SR-25</c:v>
                </c:pt>
                <c:pt idx="10">
                  <c:v>Carton C-40</c:v>
                </c:pt>
                <c:pt idx="11">
                  <c:v>Foam insert F-40</c:v>
                </c:pt>
              </c:strCache>
            </c:strRef>
          </c:cat>
          <c:val>
            <c:numRef>
              <c:f>Dashboard!$E$68:$E$79</c:f>
              <c:numCache>
                <c:formatCode>General</c:formatCode>
                <c:ptCount val="12"/>
                <c:pt idx="0">
                  <c:v>1903.9</c:v>
                </c:pt>
                <c:pt idx="1">
                  <c:v>1364.36</c:v>
                </c:pt>
                <c:pt idx="2">
                  <c:v>989.6</c:v>
                </c:pt>
                <c:pt idx="3">
                  <c:v>773.4</c:v>
                </c:pt>
                <c:pt idx="4">
                  <c:v>438.2</c:v>
                </c:pt>
                <c:pt idx="5">
                  <c:v>305.71</c:v>
                </c:pt>
                <c:pt idx="6">
                  <c:v>204.610000000001</c:v>
                </c:pt>
                <c:pt idx="7">
                  <c:v>49.28</c:v>
                </c:pt>
                <c:pt idx="8">
                  <c:v>22.5299999999999</c:v>
                </c:pt>
                <c:pt idx="9">
                  <c:v>21.35</c:v>
                </c:pt>
                <c:pt idx="10">
                  <c:v>0</c:v>
                </c:pt>
                <c:pt idx="11">
                  <c:v>0</c:v>
                </c:pt>
              </c:numCache>
            </c:numRef>
          </c:val>
        </c:ser>
        <c:gapWidth val="40"/>
        <c:axId val="50030001"/>
        <c:axId val="50030002"/>
      </c:barChart>
      <c:lineChart>
        <c:grouping val="standard"/>
        <c:ser>
          <c:idx val="1"/>
          <c:order val="1"/>
          <c:tx>
            <c:v>Cumulative %</c:v>
          </c:tx>
          <c:spPr>
            <a:ln w="28575">
              <a:solidFill>
                <a:srgbClr val="E8702A"/>
              </a:solidFill>
            </a:ln>
          </c:spPr>
          <c:marker>
            <c:symbol val="circle"/>
            <c:size val="5"/>
            <c:spPr>
              <a:solidFill>
                <a:srgbClr val="E8702A"/>
              </a:solidFill>
              <a:ln>
                <a:solidFill>
                  <a:srgbClr val="E8702A"/>
                </a:solidFill>
              </a:ln>
            </c:spPr>
          </c:marker>
          <c:cat>
            <c:strRef>
              <c:f>Dashboard!$C$68:$C$79</c:f>
              <c:strCache>
                <c:ptCount val="12"/>
                <c:pt idx="0">
                  <c:v>Valve body VB-2</c:v>
                </c:pt>
                <c:pt idx="1">
                  <c:v>Actuator PCB AC-3</c:v>
                </c:pt>
                <c:pt idx="2">
                  <c:v>Bonnet BN-2</c:v>
                </c:pt>
                <c:pt idx="3">
                  <c:v>Position sensor PS-1</c:v>
                </c:pt>
                <c:pt idx="4">
                  <c:v>Handwheel HW-80</c:v>
                </c:pt>
                <c:pt idx="5">
                  <c:v>316 SS bar 25 mm</c:v>
                </c:pt>
                <c:pt idx="6">
                  <c:v>Brass bar 32 mm</c:v>
                </c:pt>
                <c:pt idx="7">
                  <c:v>Hex bolt M10x40 A4</c:v>
                </c:pt>
                <c:pt idx="8">
                  <c:v>Stem seal kit SK-10</c:v>
                </c:pt>
                <c:pt idx="9">
                  <c:v>PTFE seat ring SR-25</c:v>
                </c:pt>
                <c:pt idx="10">
                  <c:v>Carton C-40</c:v>
                </c:pt>
                <c:pt idx="11">
                  <c:v>Foam insert F-40</c:v>
                </c:pt>
              </c:strCache>
            </c:strRef>
          </c:cat>
          <c:val>
            <c:numRef>
              <c:f>Dashboard!$G$68:$G$79</c:f>
              <c:numCache>
                <c:formatCode>General</c:formatCode>
                <c:ptCount val="12"/>
                <c:pt idx="0">
                  <c:v>0.313505484987502</c:v>
                </c:pt>
                <c:pt idx="1">
                  <c:v>0.53816767496468</c:v>
                </c:pt>
                <c:pt idx="2">
                  <c:v>0.701120050585054</c:v>
                </c:pt>
                <c:pt idx="3">
                  <c:v>0.828471876883355</c:v>
                </c:pt>
                <c:pt idx="4">
                  <c:v>0.900628031892296</c:v>
                </c:pt>
                <c:pt idx="5">
                  <c:v>0.950967735561359</c:v>
                </c:pt>
                <c:pt idx="6">
                  <c:v>0.984659818802755</c:v>
                </c:pt>
                <c:pt idx="7">
                  <c:v>0.992774504605677</c:v>
                </c:pt>
                <c:pt idx="8">
                  <c:v>0.996484404588222</c:v>
                </c:pt>
                <c:pt idx="9">
                  <c:v>1</c:v>
                </c:pt>
                <c:pt idx="10">
                  <c:v>1</c:v>
                </c:pt>
                <c:pt idx="11">
                  <c:v>1</c:v>
                </c:pt>
              </c:numCache>
            </c:numRef>
          </c:val>
        </c:ser>
        <c:marker val="1"/>
        <c:axId val="60030001"/>
        <c:axId val="60030002"/>
      </c:lineChart>
      <c:catAx>
        <c:axId val="5003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autoZero"/>
        <c:crossBetween val="between"/>
      </c:valAx>
      <c:valAx>
        <c:axId val="60030002"/>
        <c:scaling>
          <c:orientation val="minMax"/>
          <c:max val="1"/>
          <c:min val="0"/>
        </c:scaling>
        <c:axPos val="r"/>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60030001"/>
        <c:crosses val="max"/>
        <c:crossBetween val="between"/>
        <c:majorUnit val="0.2"/>
      </c:valAx>
      <c:catAx>
        <c:axId val="60030001"/>
        <c:scaling>
          <c:orientation val="minMax"/>
        </c:scaling>
        <c:delete val="1"/>
        <c:axPos val="b"/>
        <c:tickLblPos val="none"/>
        <c:crossAx val="60030002"/>
        <c:crosses val="autoZero"/>
        <c:auto val="1"/>
        <c:lblAlgn val="ctr"/>
        <c:lblOffset val="100"/>
      </c:cat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Stacked column chart of unfavourable PPV above the axis and favourable PPV below it for each of the last six months in view."/>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Bar chart of net purchase price variance for each supplier over the dates in view; bars to the right are unfavourabl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38100</xdr:colOff>
      <xdr:row>64</xdr:row>
      <xdr:rowOff>38100</xdr:rowOff>
    </xdr:from>
    <xdr:to>
      <xdr:col>11</xdr:col>
      <xdr:colOff>676275</xdr:colOff>
      <xdr:row>79</xdr:row>
      <xdr:rowOff>161925</xdr:rowOff>
    </xdr:to>
    <xdr:graphicFrame macro="">
      <xdr:nvGraphicFramePr>
        <xdr:cNvPr id="4" name="Chart 3" descr="Pareto chart of unfavourable purchase price variance by item, largest first, with the cumulative share on a secondary axi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ables/table1.xml><?xml version="1.0" encoding="utf-8"?>
<table xmlns="http://schemas.openxmlformats.org/spreadsheetml/2006/main" id="1" name="tblSuppliers" displayName="tblSuppliers" ref="B18:F24" totalsRowShown="0">
  <autoFilter ref="B18:F24"/>
  <tableColumns count="5">
    <tableColumn id="1" name="Supplier"/>
    <tableColumn id="2" name="Country"/>
    <tableColumn id="3" name="Incoterm"/>
    <tableColumn id="4" name="Payment terms"/>
    <tableColumn id="5" name="Notes"/>
  </tableColumns>
  <tableStyleInfo name="TableStyleLight1" showFirstColumn="0" showLastColumn="0" showRowStripes="0" showColumnStripes="0"/>
</table>
</file>

<file path=xl/tables/table2.xml><?xml version="1.0" encoding="utf-8"?>
<table xmlns="http://schemas.openxmlformats.org/spreadsheetml/2006/main" id="2" name="tblCategories" displayName="tblCategories" ref="B27:F33" totalsRowShown="0">
  <autoFilter ref="B27:F33"/>
  <tableColumns count="5">
    <tableColumn id="1" name="Category"/>
    <tableColumn id="2" name="GL account"/>
    <tableColumn id="3" name="Buyer"/>
    <tableColumn id="4" name="Price driver"/>
    <tableColumn id="5" name="Notes"/>
  </tableColumns>
  <tableStyleInfo name="TableStyleLight1" showFirstColumn="0" showLastColumn="0" showRowStripes="0" showColumnStripes="0"/>
</table>
</file>

<file path=xl/tables/table3.xml><?xml version="1.0" encoding="utf-8"?>
<table xmlns="http://schemas.openxmlformats.org/spreadsheetml/2006/main" id="3" name="tblItems" displayName="tblItems" ref="B37:F49" totalsRowShown="0">
  <autoFilter ref="B37:F49"/>
  <tableColumns count="5">
    <tableColumn id="1" name="Item"/>
    <tableColumn id="2" name="Category"/>
    <tableColumn id="3" name="UoM"/>
    <tableColumn id="4" name="Standard price"/>
    <tableColumn id="5" name="Notes"/>
  </tableColumns>
  <tableStyleInfo name="TableStyleLight1" showFirstColumn="0" showLastColumn="0" showRowStripes="0" showColumnStripes="0"/>
</table>
</file>

<file path=xl/tables/table4.xml><?xml version="1.0" encoding="utf-8"?>
<table xmlns="http://schemas.openxmlformats.org/spreadsheetml/2006/main" id="4" name="tblReceipts" displayName="tblReceipts" ref="B6:S124" totalsRowShown="0">
  <autoFilter ref="B6:S124"/>
  <tableColumns count="18">
    <tableColumn id="1" name="Date"/>
    <tableColumn id="2" name="PO number"/>
    <tableColumn id="3" name="Supplier"/>
    <tableColumn id="4" name="Item"/>
    <tableColumn id="5" name="Quantity"/>
    <tableColumn id="6" name="UoM">
      <calculatedColumnFormula>IF(tblReceipts[[#This Row],[Date]]="","",IFERROR(INDEX(tblItems[UoM],MATCH(tblReceipts[[#This Row],[Item]],tblItems[Item],0)),""))</calculatedColumnFormula>
    </tableColumn>
    <tableColumn id="7" name="Actual price"/>
    <tableColumn id="8" name="Standard price">
      <calculatedColumnFormula>IF(tblReceipts[[#This Row],[Date]]="","",IFERROR(INDEX(tblItems[Standard price],MATCH(tblReceipts[[#This Row],[Item]],tblItems[Item],0)),""))</calculatedColumnFormula>
    </tableColumn>
    <tableColumn id="9" name="Category">
      <calculatedColumnFormula>IF(tblReceipts[[#This Row],[Date]]="","",IFERROR(INDEX(tblItems[Category],MATCH(tblReceipts[[#This Row],[Item]],tblItems[Item],0)),""))</calculatedColumnFormula>
    </tableColumn>
    <tableColumn id="10" name="Actual cost">
      <calculatedColumnFormula>IF(tblReceipts[[#This Row],[Date]]="","",tblReceipts[[#This Row],[Quantity]]*tblReceipts[[#This Row],[Actual price]])</calculatedColumnFormula>
    </tableColumn>
    <tableColumn id="11" name="Standard cost">
      <calculatedColumnFormula>IF(tblReceipts[[#This Row],[Date]]="","",IF(tblReceipts[[#This Row],[Standard price]]="","",tblReceipts[[#This Row],[Quantity]]*tblReceipts[[#This Row],[Standard price]]))</calculatedColumnFormula>
    </tableColumn>
    <tableColumn id="12" name="PPV">
      <calculatedColumnFormula>IF(tblReceipts[[#This Row],[Date]]="","",IF(tblReceipts[[#This Row],[Standard price]]="","",tblReceipts[[#This Row],[Quantity]]*(tblReceipts[[#This Row],[Actual price]]-tblReceipts[[#This Row],[Standard price]])))</calculatedColumnFormula>
    </tableColumn>
    <tableColumn id="13" name="PPV %">
      <calculatedColumnFormula>IF(tblReceipts[[#This Row],[Date]]="","",IF(OR(tblReceipts[[#This Row],[Standard price]]="",tblReceipts[[#This Row],[Standard price]]=0),"",(tblReceipts[[#This Row],[Actual price]]-tblReceipts[[#This Row],[Standard price]])/tblReceipts[[#This Row],[Standard price]]))</calculatedColumnFormula>
    </tableColumn>
    <tableColumn id="14" name="Direction">
      <calculatedColumnFormula>IF(tblReceipts[[#This Row],[Date]]="","",IF(tblReceipts[[#This Row],[PPV]]="","",IF(tblReceipts[[#This Row],[PPV]]&gt;0,"Unfavourable",IF(tblReceipts[[#This Row],[PPV]]&lt;0,"Favourable","At standard"))))</calculatedColumnFormula>
    </tableColumn>
    <tableColumn id="15" name="Line status">
      <calculatedColumnFormula>IF(NOT(ISNUMBER(tblReceipts[[#This Row],[PPV %]])),"",IF(tblReceipts[[#This Row],[PPV %]]&lt;=LineLimit,"On target",IF(tblReceipts[[#This Row],[PPV %]]&lt;=LineLimit*(1+0.05),"Near target","Above target")))</calculatedColumnFormula>
    </tableColumn>
    <tableColumn id="16" name="View date">
      <calculatedColumnFormula>IF(tblReceipts[[#This Row],[Date]]="","",IF(AND(tblReceipts[[#This Row],[Date]]&gt;=FFrom,tblReceipts[[#This Row],[Date]]&lt;=FTo,OR(DashCat="",tblReceipts[[#This Row],[Category]]=DashCat)),tblReceipts[[#This Row],[Date]],""))</calculatedColumnFormula>
    </tableColumn>
    <tableColumn id="17" name="Check">
      <calculatedColumnFormula>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calculatedColumnFormula>
    </tableColumn>
    <tableColumn id="18" name="Notes"/>
  </tableColumns>
  <tableStyleInfo name="TableStyleLight1" showFirstColumn="0" showLastColumn="0" showRowStripes="0" showColumnStripes="0"/>
</table>
</file>

<file path=xl/tables/table5.xml><?xml version="1.0" encoding="utf-8"?>
<table xmlns="http://schemas.openxmlformats.org/spreadsheetml/2006/main" id="5" name="tblVerifySuppliers" displayName="tblVerifySuppliers" ref="B48:F50" totalsRowShown="0">
  <tableColumns count="5">
    <tableColumn id="1" name="Supplier"/>
    <tableColumn id="2" name="Country"/>
    <tableColumn id="3" name="Incoterm"/>
    <tableColumn id="4" name="Payment terms"/>
    <tableColumn id="5" name="Notes"/>
  </tableColumns>
  <tableStyleInfo name="TableStyleLight1" showFirstColumn="0" showLastColumn="0" showRowStripes="0" showColumnStripes="0"/>
</table>
</file>

<file path=xl/tables/table6.xml><?xml version="1.0" encoding="utf-8"?>
<table xmlns="http://schemas.openxmlformats.org/spreadsheetml/2006/main" id="6" name="tblVerifyReceipts" displayName="tblVerifyReceipts" ref="B54:S59" totalsRowShown="0">
  <tableColumns count="18">
    <tableColumn id="1" name="Date"/>
    <tableColumn id="2" name="PO number"/>
    <tableColumn id="3" name="Supplier"/>
    <tableColumn id="4" name="Item"/>
    <tableColumn id="5" name="Quantity"/>
    <tableColumn id="6" name="UoM"/>
    <tableColumn id="7" name="Actual price"/>
    <tableColumn id="8" name="Standard price"/>
    <tableColumn id="9" name="Category"/>
    <tableColumn id="10" name="Actual cost">
      <calculatedColumnFormula>IF(tblVerifyReceipts[[#This Row],[Date]]="","",tblVerifyReceipts[[#This Row],[Quantity]]*tblVerifyReceipts[[#This Row],[Actual price]])</calculatedColumnFormula>
    </tableColumn>
    <tableColumn id="11" name="Standard cost">
      <calculatedColumnFormula>IF(tblVerifyReceipts[[#This Row],[Date]]="","",IF(tblVerifyReceipts[[#This Row],[Standard price]]="","",tblVerifyReceipts[[#This Row],[Quantity]]*tblVerifyReceipts[[#This Row],[Standard price]]))</calculatedColumnFormula>
    </tableColumn>
    <tableColumn id="12" name="PPV">
      <calculatedColumnFormula>IF(tblVerifyReceipts[[#This Row],[Date]]="","",IF(tblVerifyReceipts[[#This Row],[Standard price]]="","",tblVerifyReceipts[[#This Row],[Quantity]]*(tblVerifyReceipts[[#This Row],[Actual price]]-tblVerifyReceipts[[#This Row],[Standard price]])))</calculatedColumnFormula>
    </tableColumn>
    <tableColumn id="13" name="PPV %">
      <calculatedColumnFormula>IF(tblVerifyReceipts[[#This Row],[Date]]="","",IF(OR(tblVerifyReceipts[[#This Row],[Standard price]]="",tblVerifyReceipts[[#This Row],[Standard price]]=0),"",(tblVerifyReceipts[[#This Row],[Actual price]]-tblVerifyReceipts[[#This Row],[Standard price]])/tblVerifyReceipts[[#This Row],[Standard price]]))</calculatedColumnFormula>
    </tableColumn>
    <tableColumn id="14" name="Direction">
      <calculatedColumnFormula>IF(tblVerifyReceipts[[#This Row],[Date]]="","",IF(tblVerifyReceipts[[#This Row],[PPV]]="","",IF(tblVerifyReceipts[[#This Row],[PPV]]&gt;0,"Unfavourable",IF(tblVerifyReceipts[[#This Row],[PPV]]&lt;0,"Favourable","At standard"))))</calculatedColumnFormula>
    </tableColumn>
    <tableColumn id="15" name="Line status">
      <calculatedColumnFormula>IF(NOT(ISNUMBER(tblVerifyReceipts[[#This Row],[PPV %]])),"",IF(tblVerifyReceipts[[#This Row],[PPV %]]&lt;=$E$44,"On target",IF(tblVerifyReceipts[[#This Row],[PPV %]]&lt;=$E$44*(1+0.05),"Near target","Above target")))</calculatedColumnFormula>
    </tableColumn>
    <tableColumn id="16" name="View date">
      <calculatedColumnFormula>IF(tblVerifyReceipts[[#This Row],[Date]]="","",IF(AND(tblVerifyReceipts[[#This Row],[Date]]&gt;=$E$41,tblVerifyReceipts[[#This Row],[Date]]&lt;=$E$42,OR($E$43="",tblVerifyReceipts[[#This Row],[Category]]=$E$43)),tblVerifyReceipts[[#This Row],[Date]],""))</calculatedColumnFormula>
    </tableColumn>
    <tableColumn id="17" name="Check">
      <calculatedColumnFormula>IF(tblVerifyReceipts[[#This Row],[Date]]="","",IF(tblVerifyReceipts[[#This Row],[PO number]]="","Missing po number",IF(tblVerifyReceipts[[#This Row],[Supplier]]="","Missing supplier",IF(tblVerifyReceipts[[#This Row],[Item]]="","Missing item",IF(tblVerifyReceipts[[#This Row],[Quantity]]="","Missing quantity",IF(tblVerifyReceipts[[#This Row],[Actual price]]="","Missing actual price",IF(tblVerifyReceipts[[#This Row],[Standard price]]="","Item not on Setup list",IF(COUNTIF(tblVerifySuppliers[Supplier],tblVerifyReceipts[[#This Row],[Supplier]])=0,"Supplier not on Setup list",IF(tblVerifyReceipts[[#This Row],[Quantity]]&lt;=0,"Quantity must be above zero",IF(ABS(tblVerifyReceipts[[#This Row],[PPV %]])&gt;0.5,"Price 50% off standard: check UoM",IF(COUNTIFS(tblVerifyReceipts[PO number],tblVerifyReceipts[[#This Row],[PO number]],tblVerifyReceipts[Item],tblVerifyReceipts[[#This Row],[Item]],tblVerifyReceipts[Date],tblVerifyReceipts[[#This Row],[Date]])&gt;1,"Duplicate receipt line","OK")))))))))))</calculatedColumnFormula>
    </tableColumn>
    <tableColumn id="18"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urchase-price-variance" TargetMode="External"/><Relationship Id="rId2" Type="http://schemas.openxmlformats.org/officeDocument/2006/relationships/hyperlink" Target="https://www.mfgcalcs.com/calculators/manufacturing-cost-accounting-finance/purchase-price-variance?utm_source=mfgcalcs-template&amp;utm_medium=xlsx&amp;utm_campaign=purchase-price-variance" TargetMode="External"/><Relationship Id="rId3" Type="http://schemas.openxmlformats.org/officeDocument/2006/relationships/hyperlink" Target="https://www.mfgcalcs.com/templates/purchase-price-variance?utm_source=mfgcalcs-template&amp;utm_medium=xlsx&amp;utm_campaign=purchase-price-variance" TargetMode="External"/><Relationship Id="rId4" Type="http://schemas.openxmlformats.org/officeDocument/2006/relationships/hyperlink" Target="https://www.mfgcalcs.com/templates?utm_source=mfgcalcs-template&amp;utm_medium=xlsx&amp;utm_campaign=purchase-price-variance"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urchase-price-variance"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urchase-price-variance" TargetMode="External"/><Relationship Id="rId2"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urchase-price-variance"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urchase-price-variance" TargetMode="External"/><Relationship Id="rId2" Type="http://schemas.openxmlformats.org/officeDocument/2006/relationships/hyperlink" Target="https://www.mfgcalcs.com/calculators/manufacturing-cost-accounting-finance/purchase-price-variance?utm_source=mfgcalcs-template&amp;utm_medium=xlsx&amp;utm_campaign=purchase-price-varianc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urchase-price-variance" TargetMode="External"/><Relationship Id="rId2" Type="http://schemas.openxmlformats.org/officeDocument/2006/relationships/table" Target="../tables/table5.xml"/><Relationship Id="rId3"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16.2"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25 of 25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PPV Log'!A1" tooltip="Go to PPV Log" display="PPV Log"/>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Purchase Price Variance Tracker&amp;R&amp;8&amp;A</oddHeader>
    <oddFooter>&amp;L&amp;8mfgcalcs.com - free manufacturing templates&amp;R&amp;8Page &amp;P of &amp;N</oddFooter>
  </headerFooter>
  <rowBreaks count="1" manualBreakCount="1">
    <brk id="33"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F49"/>
  <sheetViews>
    <sheetView showGridLines="0" workbookViewId="0"/>
  </sheetViews>
  <sheetFormatPr defaultRowHeight="15"/>
  <cols>
    <col min="1" max="1" width="2.7109375" customWidth="1"/>
    <col min="2" max="2" width="30.7109375" customWidth="1"/>
    <col min="3" max="3" width="16.7109375" customWidth="1"/>
    <col min="4" max="5" width="14.7109375" customWidth="1"/>
    <col min="6" max="6" width="40.7109375" customWidth="1"/>
  </cols>
  <sheetData>
    <row r="1" spans="1:6" ht="30" customHeight="1">
      <c r="A1" s="1" t="s">
        <v>0</v>
      </c>
      <c r="B1" s="1"/>
      <c r="C1" s="1"/>
      <c r="D1" s="1"/>
      <c r="E1" s="1"/>
      <c r="F1" s="1"/>
    </row>
    <row r="2" spans="1:6" ht="21" customHeight="1">
      <c r="B2" s="2" t="s">
        <v>18</v>
      </c>
      <c r="C2" s="2"/>
      <c r="D2" s="2"/>
      <c r="E2" s="2"/>
      <c r="F2" s="3" t="s">
        <v>2</v>
      </c>
    </row>
    <row r="3" spans="1:6" ht="6" customHeight="1"/>
    <row r="4" spans="1:6" ht="21" customHeight="1">
      <c r="B4" s="8" t="s">
        <v>72</v>
      </c>
      <c r="C4" s="8"/>
      <c r="D4" s="8"/>
      <c r="E4" s="8"/>
      <c r="F4" s="8"/>
    </row>
    <row r="5" spans="1:6" ht="5" customHeight="1"/>
    <row r="6" spans="1:6">
      <c r="B6" s="27" t="s">
        <v>73</v>
      </c>
      <c r="C6" s="28" t="s">
        <v>74</v>
      </c>
      <c r="D6" s="28"/>
    </row>
    <row r="7" spans="1:6">
      <c r="B7" s="27" t="s">
        <v>75</v>
      </c>
      <c r="C7" s="28" t="s">
        <v>76</v>
      </c>
      <c r="D7" s="28"/>
    </row>
    <row r="8" spans="1:6">
      <c r="B8" s="27" t="s">
        <v>77</v>
      </c>
      <c r="C8" s="28" t="s">
        <v>78</v>
      </c>
      <c r="D8" s="28"/>
    </row>
    <row r="9" spans="1:6">
      <c r="B9" s="27" t="s">
        <v>79</v>
      </c>
      <c r="C9" s="29">
        <v>0.01</v>
      </c>
      <c r="D9" s="7"/>
    </row>
    <row r="10" spans="1:6">
      <c r="B10" s="27" t="s">
        <v>80</v>
      </c>
      <c r="C10" s="29">
        <v>0.03</v>
      </c>
      <c r="D10" s="7"/>
    </row>
    <row r="12" spans="1:6" ht="35.4" customHeight="1">
      <c r="B12" s="25" t="s">
        <v>81</v>
      </c>
      <c r="C12" s="25"/>
      <c r="D12" s="25"/>
      <c r="E12" s="25"/>
      <c r="F12" s="25"/>
    </row>
    <row r="14" spans="1:6" ht="21" customHeight="1">
      <c r="B14" s="8" t="s">
        <v>82</v>
      </c>
      <c r="C14" s="8"/>
      <c r="D14" s="8"/>
      <c r="E14" s="8"/>
      <c r="F14" s="8"/>
    </row>
    <row r="15" spans="1:6" ht="5" customHeight="1"/>
    <row r="16" spans="1:6" ht="26.76" customHeight="1">
      <c r="B16" s="21" t="s">
        <v>83</v>
      </c>
      <c r="C16" s="21"/>
      <c r="D16" s="21"/>
      <c r="E16" s="21"/>
      <c r="F16" s="21"/>
    </row>
    <row r="17" spans="2:6">
      <c r="B17" s="30" t="s">
        <v>84</v>
      </c>
      <c r="C17" s="30"/>
      <c r="D17" s="30"/>
      <c r="E17" s="30"/>
      <c r="F17" s="30"/>
    </row>
    <row r="18" spans="2:6" ht="20" customHeight="1">
      <c r="B18" s="31" t="s">
        <v>60</v>
      </c>
      <c r="C18" s="31" t="s">
        <v>61</v>
      </c>
      <c r="D18" s="31" t="s">
        <v>62</v>
      </c>
      <c r="E18" s="31" t="s">
        <v>63</v>
      </c>
      <c r="F18" s="31" t="s">
        <v>64</v>
      </c>
    </row>
    <row r="19" spans="2:6">
      <c r="B19" s="28" t="s">
        <v>85</v>
      </c>
      <c r="C19" s="28" t="s">
        <v>86</v>
      </c>
      <c r="D19" s="28" t="s">
        <v>87</v>
      </c>
      <c r="E19" s="28" t="s">
        <v>88</v>
      </c>
      <c r="F19" s="28" t="s">
        <v>89</v>
      </c>
    </row>
    <row r="20" spans="2:6">
      <c r="B20" s="28" t="s">
        <v>90</v>
      </c>
      <c r="C20" s="28" t="s">
        <v>91</v>
      </c>
      <c r="D20" s="28" t="s">
        <v>92</v>
      </c>
      <c r="E20" s="28" t="s">
        <v>93</v>
      </c>
      <c r="F20" s="28" t="s">
        <v>94</v>
      </c>
    </row>
    <row r="21" spans="2:6">
      <c r="B21" s="28" t="s">
        <v>95</v>
      </c>
      <c r="C21" s="28" t="s">
        <v>96</v>
      </c>
      <c r="D21" s="28" t="s">
        <v>92</v>
      </c>
      <c r="E21" s="28" t="s">
        <v>97</v>
      </c>
      <c r="F21" s="28" t="s">
        <v>98</v>
      </c>
    </row>
    <row r="22" spans="2:6">
      <c r="B22" s="28" t="s">
        <v>99</v>
      </c>
      <c r="C22" s="28" t="s">
        <v>86</v>
      </c>
      <c r="D22" s="28" t="s">
        <v>92</v>
      </c>
      <c r="E22" s="28" t="s">
        <v>93</v>
      </c>
      <c r="F22" s="28" t="s">
        <v>100</v>
      </c>
    </row>
    <row r="23" spans="2:6">
      <c r="B23" s="28" t="s">
        <v>101</v>
      </c>
      <c r="C23" s="28" t="s">
        <v>102</v>
      </c>
      <c r="D23" s="28" t="s">
        <v>87</v>
      </c>
      <c r="E23" s="28" t="s">
        <v>88</v>
      </c>
      <c r="F23" s="28" t="s">
        <v>103</v>
      </c>
    </row>
    <row r="24" spans="2:6">
      <c r="B24" s="28" t="s">
        <v>104</v>
      </c>
      <c r="C24" s="28" t="s">
        <v>86</v>
      </c>
      <c r="D24" s="28" t="s">
        <v>92</v>
      </c>
      <c r="E24" s="28" t="s">
        <v>93</v>
      </c>
      <c r="F24" s="28" t="s">
        <v>105</v>
      </c>
    </row>
    <row r="26" spans="2:6">
      <c r="B26" s="30" t="s">
        <v>106</v>
      </c>
      <c r="C26" s="30"/>
      <c r="D26" s="30"/>
      <c r="E26" s="30"/>
      <c r="F26" s="30"/>
    </row>
    <row r="27" spans="2:6" ht="20" customHeight="1">
      <c r="B27" s="31" t="s">
        <v>65</v>
      </c>
      <c r="C27" s="31" t="s">
        <v>66</v>
      </c>
      <c r="D27" s="31" t="s">
        <v>67</v>
      </c>
      <c r="E27" s="31" t="s">
        <v>68</v>
      </c>
      <c r="F27" s="31" t="s">
        <v>64</v>
      </c>
    </row>
    <row r="28" spans="2:6">
      <c r="B28" s="28" t="s">
        <v>107</v>
      </c>
      <c r="C28" s="28" t="s">
        <v>108</v>
      </c>
      <c r="D28" s="28" t="s">
        <v>109</v>
      </c>
      <c r="E28" s="28" t="s">
        <v>110</v>
      </c>
      <c r="F28" s="28" t="s">
        <v>111</v>
      </c>
    </row>
    <row r="29" spans="2:6">
      <c r="B29" s="28" t="s">
        <v>112</v>
      </c>
      <c r="C29" s="28" t="s">
        <v>113</v>
      </c>
      <c r="D29" s="28" t="s">
        <v>109</v>
      </c>
      <c r="E29" s="28" t="s">
        <v>114</v>
      </c>
      <c r="F29" s="28" t="s">
        <v>115</v>
      </c>
    </row>
    <row r="30" spans="2:6">
      <c r="B30" s="28" t="s">
        <v>116</v>
      </c>
      <c r="C30" s="28" t="s">
        <v>117</v>
      </c>
      <c r="D30" s="28" t="s">
        <v>118</v>
      </c>
      <c r="E30" s="28" t="s">
        <v>119</v>
      </c>
      <c r="F30" s="28" t="s">
        <v>120</v>
      </c>
    </row>
    <row r="31" spans="2:6">
      <c r="B31" s="28" t="s">
        <v>121</v>
      </c>
      <c r="C31" s="28" t="s">
        <v>122</v>
      </c>
      <c r="D31" s="28" t="s">
        <v>118</v>
      </c>
      <c r="E31" s="28" t="s">
        <v>123</v>
      </c>
      <c r="F31" s="28" t="s">
        <v>124</v>
      </c>
    </row>
    <row r="32" spans="2:6">
      <c r="B32" s="28" t="s">
        <v>125</v>
      </c>
      <c r="C32" s="28" t="s">
        <v>126</v>
      </c>
      <c r="D32" s="28" t="s">
        <v>127</v>
      </c>
      <c r="E32" s="28" t="s">
        <v>128</v>
      </c>
      <c r="F32" s="28" t="s">
        <v>129</v>
      </c>
    </row>
    <row r="33" spans="2:6">
      <c r="B33" s="28" t="s">
        <v>130</v>
      </c>
      <c r="C33" s="28" t="s">
        <v>131</v>
      </c>
      <c r="D33" s="28" t="s">
        <v>127</v>
      </c>
      <c r="E33" s="28" t="s">
        <v>132</v>
      </c>
      <c r="F33" s="28" t="s">
        <v>133</v>
      </c>
    </row>
    <row r="35" spans="2:6">
      <c r="B35" s="30" t="s">
        <v>134</v>
      </c>
      <c r="C35" s="30"/>
      <c r="D35" s="30"/>
      <c r="E35" s="30"/>
      <c r="F35" s="30"/>
    </row>
    <row r="36" spans="2:6" ht="14" customHeight="1">
      <c r="B36" s="32"/>
      <c r="C36" s="32"/>
      <c r="D36" s="32"/>
      <c r="E36" s="32" t="str">
        <f>Currency&amp;"/UoM"</f>
        <v>USD/UoM</v>
      </c>
      <c r="F36" s="32"/>
    </row>
    <row r="37" spans="2:6" ht="32" customHeight="1">
      <c r="B37" s="31" t="s">
        <v>69</v>
      </c>
      <c r="C37" s="31" t="s">
        <v>65</v>
      </c>
      <c r="D37" s="31" t="s">
        <v>70</v>
      </c>
      <c r="E37" s="31" t="s">
        <v>71</v>
      </c>
      <c r="F37" s="31" t="s">
        <v>64</v>
      </c>
    </row>
    <row r="38" spans="2:6">
      <c r="B38" s="28" t="s">
        <v>135</v>
      </c>
      <c r="C38" s="28" t="s">
        <v>107</v>
      </c>
      <c r="D38" s="28" t="s">
        <v>136</v>
      </c>
      <c r="E38" s="33">
        <v>18.4</v>
      </c>
      <c r="F38" s="28" t="s">
        <v>137</v>
      </c>
    </row>
    <row r="39" spans="2:6">
      <c r="B39" s="28" t="s">
        <v>138</v>
      </c>
      <c r="C39" s="28" t="s">
        <v>107</v>
      </c>
      <c r="D39" s="28" t="s">
        <v>136</v>
      </c>
      <c r="E39" s="33">
        <v>9.75</v>
      </c>
      <c r="F39" s="28" t="s">
        <v>137</v>
      </c>
    </row>
    <row r="40" spans="2:6">
      <c r="B40" s="28" t="s">
        <v>139</v>
      </c>
      <c r="C40" s="28" t="s">
        <v>107</v>
      </c>
      <c r="D40" s="28" t="s">
        <v>136</v>
      </c>
      <c r="E40" s="33">
        <v>3.2</v>
      </c>
      <c r="F40" s="28" t="s">
        <v>137</v>
      </c>
    </row>
    <row r="41" spans="2:6">
      <c r="B41" s="28" t="s">
        <v>140</v>
      </c>
      <c r="C41" s="28" t="s">
        <v>112</v>
      </c>
      <c r="D41" s="28" t="s">
        <v>141</v>
      </c>
      <c r="E41" s="33">
        <v>6.2</v>
      </c>
      <c r="F41" s="28" t="s">
        <v>142</v>
      </c>
    </row>
    <row r="42" spans="2:6">
      <c r="B42" s="28" t="s">
        <v>143</v>
      </c>
      <c r="C42" s="28" t="s">
        <v>112</v>
      </c>
      <c r="D42" s="28" t="s">
        <v>141</v>
      </c>
      <c r="E42" s="33">
        <v>7.1</v>
      </c>
      <c r="F42" s="28" t="s">
        <v>142</v>
      </c>
    </row>
    <row r="43" spans="2:6">
      <c r="B43" s="28" t="s">
        <v>144</v>
      </c>
      <c r="C43" s="28" t="s">
        <v>116</v>
      </c>
      <c r="D43" s="28" t="s">
        <v>136</v>
      </c>
      <c r="E43" s="33">
        <v>1.35</v>
      </c>
      <c r="F43" s="28" t="s">
        <v>145</v>
      </c>
    </row>
    <row r="44" spans="2:6">
      <c r="B44" s="28" t="s">
        <v>146</v>
      </c>
      <c r="C44" s="28" t="s">
        <v>116</v>
      </c>
      <c r="D44" s="28" t="s">
        <v>136</v>
      </c>
      <c r="E44" s="33">
        <v>0.92</v>
      </c>
      <c r="F44" s="28" t="s">
        <v>145</v>
      </c>
    </row>
    <row r="45" spans="2:6">
      <c r="B45" s="28" t="s">
        <v>147</v>
      </c>
      <c r="C45" s="28" t="s">
        <v>121</v>
      </c>
      <c r="D45" s="28" t="s">
        <v>148</v>
      </c>
      <c r="E45" s="33">
        <v>14.5</v>
      </c>
      <c r="F45" s="28" t="s">
        <v>149</v>
      </c>
    </row>
    <row r="46" spans="2:6">
      <c r="B46" s="28" t="s">
        <v>150</v>
      </c>
      <c r="C46" s="28" t="s">
        <v>125</v>
      </c>
      <c r="D46" s="28" t="s">
        <v>136</v>
      </c>
      <c r="E46" s="33">
        <v>23.8</v>
      </c>
      <c r="F46" s="28" t="s">
        <v>151</v>
      </c>
    </row>
    <row r="47" spans="2:6">
      <c r="B47" s="28" t="s">
        <v>152</v>
      </c>
      <c r="C47" s="28" t="s">
        <v>125</v>
      </c>
      <c r="D47" s="28" t="s">
        <v>136</v>
      </c>
      <c r="E47" s="33">
        <v>11.6</v>
      </c>
      <c r="F47" s="28" t="s">
        <v>151</v>
      </c>
    </row>
    <row r="48" spans="2:6">
      <c r="B48" s="28" t="s">
        <v>153</v>
      </c>
      <c r="C48" s="28" t="s">
        <v>130</v>
      </c>
      <c r="D48" s="28" t="s">
        <v>136</v>
      </c>
      <c r="E48" s="33">
        <v>0.86</v>
      </c>
      <c r="F48" s="28" t="s">
        <v>154</v>
      </c>
    </row>
    <row r="49" spans="2:6">
      <c r="B49" s="28" t="s">
        <v>155</v>
      </c>
      <c r="C49" s="28" t="s">
        <v>130</v>
      </c>
      <c r="D49" s="28" t="s">
        <v>136</v>
      </c>
      <c r="E49" s="33">
        <v>0.44</v>
      </c>
      <c r="F49" s="28" t="s">
        <v>154</v>
      </c>
    </row>
  </sheetData>
  <mergeCells count="12">
    <mergeCell ref="A1:F1"/>
    <mergeCell ref="B2:E2"/>
    <mergeCell ref="B4:F4"/>
    <mergeCell ref="C6:D6"/>
    <mergeCell ref="C7:D7"/>
    <mergeCell ref="C8:D8"/>
    <mergeCell ref="B12:F12"/>
    <mergeCell ref="B14:F14"/>
    <mergeCell ref="B16:F16"/>
    <mergeCell ref="B17:F17"/>
    <mergeCell ref="B26:F26"/>
    <mergeCell ref="B35:F35"/>
  </mergeCells>
  <dataValidations count="20">
    <dataValidation type="textLength" allowBlank="1" showInputMessage="1" showErrorMessage="1" errorTitle="Check this entry" error="Text up to 80 characters." promptTitle="Company or plant" prompt="Shown on the Dashboard header. Text up to 80 characters." sqref="C6">
      <formula1>0</formula1>
      <formula2>80</formula2>
    </dataValidation>
    <dataValidation type="textLength" allowBlank="1" showInputMessage="1" showErrorMessage="1" errorTitle="Check this entry" error="Text up to 12 characters." promptTitle="Currency label" prompt="Text shown next to money values, e.g. USD, INR, GBP, EUR, MXN. No exchange rate is applied: enter every price in this currency. Text up to 12 characters." sqref="C7">
      <formula1>0</formula1>
      <formula2>12</formula2>
    </dataValidation>
    <dataValidation type="textLength" allowBlank="1" showInputMessage="1" showErrorMessage="1" errorTitle="Check this entry" error="Text up to 80 characters." promptTitle="Standard prices are" prompt="Say what your standard price includes (ex-works, delivered, duty paid), so actual prices are typed on the same basis. Text up to 80 characters." sqref="C8">
      <formula1>0</formula1>
      <formula2>80</formula2>
    </dataValidation>
    <dataValidation type="decimal" allowBlank="1" showInputMessage="1" showErrorMessage="1" errorTitle="Check this entry" error="Enter a percentage from -100% to 100% (type 85% or 0.85)." promptTitle="PPV tolerance for a period" prompt="Your own limit for net PPV as a % of standard spend. Net PPV above it is 'Above target'. Enter a percentage from -100% to 100% (type 85% or 0.85)." sqref="C9">
      <formula1>-1</formula1>
      <formula2>1</formula2>
    </dataValidation>
    <dataValidation type="decimal" allowBlank="1" showInputMessage="1" showErrorMessage="1" errorTitle="Check this entry" error="Enter a percentage from 0% to 500% (type 85% or 0.85)." promptTitle="Flag a line when its PPV is a..." prompt="Lines whose price is more than this % above standard show 'Above target' in Line status. Enter a percentage from 0% to 500% (type 85% or 0.85)." sqref="C10">
      <formula1>0</formula1>
      <formula2>5</formula2>
    </dataValidation>
    <dataValidation type="textLength" allowBlank="1" showInputMessage="1" showErrorMessage="1" errorTitle="Check this entry" error="Text up to 60 characters." promptTitle="Supplier" prompt="Text up to 60 characters." sqref="B19:B124">
      <formula1>0</formula1>
      <formula2>60</formula2>
    </dataValidation>
    <dataValidation type="textLength" allowBlank="1" showInputMessage="1" showErrorMessage="1" errorTitle="Check this entry" error="Text up to 40 characters." promptTitle="Country" prompt="Text up to 40 characters." sqref="C19:C124">
      <formula1>0</formula1>
      <formula2>40</formula2>
    </dataValidation>
    <dataValidation type="textLength" allowBlank="1" showInputMessage="1" showErrorMessage="1" errorTitle="Check this entry" error="Text up to 12 characters." promptTitle="Incoterm" prompt="Delivery terms of the supplier's price, e.g. FCA, DAP. Standard and actual prices must be on the same basis. Text up to 12 characters." sqref="D19:D124">
      <formula1>0</formula1>
      <formula2>12</formula2>
    </dataValidation>
    <dataValidation type="textLength" allowBlank="1" showInputMessage="1" showErrorMessage="1" errorTitle="Check this entry" error="Text up to 30 characters." promptTitle="Payment terms" prompt="Text up to 30 characters." sqref="E19:E124">
      <formula1>0</formula1>
      <formula2>30</formula2>
    </dataValidation>
    <dataValidation type="textLength" allowBlank="1" showInputMessage="1" showErrorMessage="1" errorTitle="Check this entry" error="Text up to 120 characters." promptTitle="Notes" prompt="Text up to 120 characters." sqref="F19:F124">
      <formula1>0</formula1>
      <formula2>120</formula2>
    </dataValidation>
    <dataValidation type="textLength" allowBlank="1" showInputMessage="1" showErrorMessage="1" errorTitle="Check this entry" error="Text up to 40 characters." promptTitle="Category" prompt="Text up to 40 characters." sqref="B28:B133">
      <formula1>0</formula1>
      <formula2>40</formula2>
    </dataValidation>
    <dataValidation type="textLength" allowBlank="1" showInputMessage="1" showErrorMessage="1" errorTitle="Check this entry" error="Text up to 20 characters." promptTitle="GL account" prompt="Your ledger account for this spend, if you report PPV by account. Text up to 20 characters." sqref="C28:C133">
      <formula1>0</formula1>
      <formula2>20</formula2>
    </dataValidation>
    <dataValidation type="textLength" allowBlank="1" showInputMessage="1" showErrorMessage="1" errorTitle="Check this entry" error="Text up to 40 characters." promptTitle="Buyer" prompt="Text up to 40 characters." sqref="D28:D133">
      <formula1>0</formula1>
      <formula2>40</formula2>
    </dataValidation>
    <dataValidation type="textLength" allowBlank="1" showInputMessage="1" showErrorMessage="1" errorTitle="Check this entry" error="Text up to 40 characters." promptTitle="Price driver" prompt="What usually moves this category's prices (an index, energy, a commodity). Text up to 40 characters." sqref="E28:E133">
      <formula1>0</formula1>
      <formula2>40</formula2>
    </dataValidation>
    <dataValidation type="textLength" allowBlank="1" showInputMessage="1" showErrorMessage="1" errorTitle="Check this entry" error="Text up to 120 characters." promptTitle="Notes" prompt="Text up to 120 characters." sqref="F28:F133">
      <formula1>0</formula1>
      <formula2>120</formula2>
    </dataValidation>
    <dataValidation type="textLength" allowBlank="1" showInputMessage="1" showErrorMessage="1" errorTitle="Check this entry" error="Text up to 60 characters." promptTitle="Item" prompt="Text up to 60 characters." sqref="B38:B149">
      <formula1>0</formula1>
      <formula2>60</formula2>
    </dataValidation>
    <dataValidation type="list" allowBlank="1" showInputMessage="1" showErrorMessage="1" errorTitle="Check this entry" error="Pick from the list (edit the list on Setup: Categories)." promptTitle="Category" prompt="Pick from the list (edit the list on Setup: Categories)." sqref="C38:C149">
      <formula1>Categories</formula1>
    </dataValidation>
    <dataValidation type="textLength" allowBlank="1" showInputMessage="1" showErrorMessage="1" errorTitle="Check this entry" error="Text up to 12 characters." promptTitle="UoM" prompt="Unit of measure the price is quoted per: ea, kg, lb, m, 100 pcs. Text up to 12 characters." sqref="D38:D149">
      <formula1>0</formula1>
      <formula2>12</formula2>
    </dataValidation>
    <dataValidation type="decimal" allowBlank="1" showInputMessage="1" showErrorMessage="1" errorTitle="Check this entry" error="Enter a number of at least 0." promptTitle="Standard price" prompt="The price your standard cost or budget assumes for one unit of measure. Enter a number of at least 0." sqref="E38:E149">
      <formula1>0</formula1>
      <formula2>1000000000.0</formula2>
    </dataValidation>
    <dataValidation type="textLength" allowBlank="1" showInputMessage="1" showErrorMessage="1" errorTitle="Check this entry" error="Text up to 120 characters." promptTitle="Notes" prompt="Text up to 120 characters." sqref="F38:F149">
      <formula1>0</formula1>
      <formula2>120</formula2>
    </dataValidation>
  </dataValidations>
  <hyperlinks>
    <hyperlink ref="F2" r:id="rId1" tooltip="Free manufacturing calculators and templates"/>
  </hyperlinks>
  <pageMargins left="0.4" right="0.4" top="0.7" bottom="0.65" header="0.3" footer="0.3"/>
  <pageSetup fitToHeight="0" orientation="landscape"/>
  <headerFooter>
    <oddHeader>&amp;L&amp;8MFG Calcs - Purchase Price Variance Tracker&amp;R&amp;8&amp;A</oddHeader>
    <oddFooter>&amp;L&amp;8mfgcalcs.com - free manufacturing templates&amp;R&amp;8Page &amp;P of &amp;N</oddFooter>
  </headerFooter>
  <rowBreaks count="1" manualBreakCount="1">
    <brk id="25" max="16383" man="1"/>
  </rowBreaks>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S124"/>
  <sheetViews>
    <sheetView workbookViewId="0">
      <pane xSplit="5" ySplit="6" topLeftCell="F7" activePane="bottomRight" state="frozen"/>
      <selection pane="topRight" activeCell="F1" sqref="F1"/>
      <selection pane="bottomLeft" activeCell="A7" sqref="A7"/>
      <selection pane="bottomRight"/>
    </sheetView>
  </sheetViews>
  <sheetFormatPr defaultRowHeight="15"/>
  <cols>
    <col min="1" max="1" width="2.7109375" customWidth="1"/>
    <col min="2" max="2" width="12.28515625" customWidth="1"/>
    <col min="3" max="3" width="10.7109375" customWidth="1"/>
    <col min="4" max="4" width="16.7109375" customWidth="1"/>
    <col min="5" max="5" width="19.7109375" customWidth="1"/>
    <col min="6" max="6" width="10.28515625" customWidth="1"/>
    <col min="7" max="7" width="8.28515625" customWidth="1"/>
    <col min="8" max="9" width="11.28515625" customWidth="1"/>
    <col min="10" max="10" width="11.7109375" customWidth="1"/>
    <col min="11" max="12" width="12.28515625" customWidth="1"/>
    <col min="13" max="13" width="11.28515625" customWidth="1"/>
    <col min="14" max="14" width="9.28515625" customWidth="1"/>
    <col min="15" max="16" width="12.7109375" customWidth="1"/>
    <col min="17" max="17" width="12.28515625" customWidth="1"/>
    <col min="18" max="18" width="24.7109375" customWidth="1"/>
    <col min="19" max="19" width="28.7109375" customWidth="1"/>
  </cols>
  <sheetData>
    <row r="1" spans="1:19" ht="30" customHeight="1">
      <c r="A1" s="1" t="s">
        <v>0</v>
      </c>
      <c r="B1" s="1"/>
      <c r="C1" s="1"/>
      <c r="D1" s="1"/>
      <c r="E1" s="1"/>
      <c r="F1" s="1"/>
      <c r="G1" s="1"/>
      <c r="H1" s="1"/>
      <c r="I1" s="1"/>
      <c r="J1" s="1"/>
      <c r="K1" s="1"/>
      <c r="L1" s="1"/>
      <c r="M1" s="1"/>
      <c r="N1" s="1"/>
      <c r="O1" s="1"/>
      <c r="P1" s="1"/>
      <c r="Q1" s="1"/>
      <c r="R1" s="1"/>
      <c r="S1" s="1"/>
    </row>
    <row r="2" spans="1:19" ht="21" customHeight="1">
      <c r="B2" s="2" t="s">
        <v>20</v>
      </c>
      <c r="C2" s="2"/>
      <c r="D2" s="2"/>
      <c r="E2" s="2"/>
      <c r="F2" s="2"/>
      <c r="G2" s="2"/>
      <c r="H2" s="2"/>
      <c r="I2" s="2"/>
      <c r="J2" s="2"/>
      <c r="K2" s="2"/>
      <c r="L2" s="2"/>
      <c r="M2" s="2"/>
      <c r="N2" s="2"/>
      <c r="O2" s="2"/>
      <c r="P2" s="2"/>
      <c r="Q2" s="2"/>
      <c r="R2" s="2"/>
      <c r="S2" s="3" t="s">
        <v>2</v>
      </c>
    </row>
    <row r="3" spans="1:19" ht="6" customHeight="1"/>
    <row r="4" spans="1:19" ht="18" customHeight="1">
      <c r="B4" s="34" t="s">
        <v>168</v>
      </c>
      <c r="C4" s="34"/>
      <c r="D4" s="34"/>
      <c r="E4" s="34"/>
      <c r="F4" s="34"/>
      <c r="G4" s="34"/>
      <c r="H4" s="34"/>
      <c r="I4" s="34"/>
      <c r="J4" s="34"/>
      <c r="K4" s="34"/>
      <c r="L4" s="34"/>
      <c r="M4" s="34"/>
      <c r="N4" s="34"/>
      <c r="O4" s="34"/>
      <c r="P4" s="34"/>
      <c r="Q4" s="34"/>
      <c r="R4" s="34"/>
      <c r="S4" s="34"/>
    </row>
    <row r="5" spans="1:19" ht="14" customHeight="1">
      <c r="B5" s="32"/>
      <c r="C5" s="32"/>
      <c r="D5" s="32"/>
      <c r="E5" s="32"/>
      <c r="F5" s="32"/>
      <c r="G5" s="32"/>
      <c r="H5" s="32" t="str">
        <f>Currency&amp;"/UoM"</f>
        <v>USD/UoM</v>
      </c>
      <c r="I5" s="32" t="str">
        <f>Currency&amp;"/UoM"</f>
        <v>USD/UoM</v>
      </c>
      <c r="J5" s="32"/>
      <c r="K5" s="32" t="str">
        <f>Currency</f>
        <v>USD</v>
      </c>
      <c r="L5" s="32" t="str">
        <f>Currency</f>
        <v>USD</v>
      </c>
      <c r="M5" s="32" t="str">
        <f>Currency</f>
        <v>USD</v>
      </c>
      <c r="N5" s="32" t="s">
        <v>169</v>
      </c>
      <c r="O5" s="32"/>
      <c r="P5" s="32"/>
      <c r="Q5" s="32"/>
      <c r="R5" s="32"/>
      <c r="S5" s="32"/>
    </row>
    <row r="6" spans="1:19" ht="32" customHeight="1">
      <c r="B6" s="31" t="s">
        <v>156</v>
      </c>
      <c r="C6" s="31" t="s">
        <v>157</v>
      </c>
      <c r="D6" s="31" t="s">
        <v>60</v>
      </c>
      <c r="E6" s="31" t="s">
        <v>69</v>
      </c>
      <c r="F6" s="31" t="s">
        <v>158</v>
      </c>
      <c r="G6" s="31" t="s">
        <v>70</v>
      </c>
      <c r="H6" s="31" t="s">
        <v>159</v>
      </c>
      <c r="I6" s="31" t="s">
        <v>71</v>
      </c>
      <c r="J6" s="31" t="s">
        <v>65</v>
      </c>
      <c r="K6" s="31" t="s">
        <v>160</v>
      </c>
      <c r="L6" s="31" t="s">
        <v>161</v>
      </c>
      <c r="M6" s="31" t="s">
        <v>162</v>
      </c>
      <c r="N6" s="31" t="s">
        <v>163</v>
      </c>
      <c r="O6" s="31" t="s">
        <v>164</v>
      </c>
      <c r="P6" s="31" t="s">
        <v>165</v>
      </c>
      <c r="Q6" s="31" t="s">
        <v>166</v>
      </c>
      <c r="R6" s="31" t="s">
        <v>167</v>
      </c>
      <c r="S6" s="31" t="s">
        <v>64</v>
      </c>
    </row>
    <row r="7" spans="1:19">
      <c r="B7" s="35">
        <v>46113</v>
      </c>
      <c r="C7" s="28" t="s">
        <v>170</v>
      </c>
      <c r="D7" s="28" t="s">
        <v>85</v>
      </c>
      <c r="E7" s="28" t="s">
        <v>135</v>
      </c>
      <c r="F7" s="33">
        <v>240</v>
      </c>
      <c r="G7" s="36" t="str">
        <f>IF(tblReceipts[[#This Row],[Date]]="","",IFERROR(INDEX(tblItems[UoM],MATCH(tblReceipts[[#This Row],[Item]],tblItems[Item],0)),""))</f>
        <v>ea</v>
      </c>
      <c r="H7" s="37">
        <v>18.32</v>
      </c>
      <c r="I7" s="38">
        <f>IF(tblReceipts[[#This Row],[Date]]="","",IFERROR(INDEX(tblItems[Standard price],MATCH(tblReceipts[[#This Row],[Item]],tblItems[Item],0)),""))</f>
        <v>18.4</v>
      </c>
      <c r="J7" s="36" t="str">
        <f>IF(tblReceipts[[#This Row],[Date]]="","",IFERROR(INDEX(tblItems[Category],MATCH(tblReceipts[[#This Row],[Item]],tblItems[Item],0)),""))</f>
        <v>Castings</v>
      </c>
      <c r="K7" s="39">
        <f>IF(tblReceipts[[#This Row],[Date]]="","",tblReceipts[[#This Row],[Quantity]]*tblReceipts[[#This Row],[Actual price]])</f>
        <v>4396.8</v>
      </c>
      <c r="L7" s="39">
        <f>IF(tblReceipts[[#This Row],[Date]]="","",IF(tblReceipts[[#This Row],[Standard price]]="","",tblReceipts[[#This Row],[Quantity]]*tblReceipts[[#This Row],[Standard price]]))</f>
        <v>4416</v>
      </c>
      <c r="M7" s="39">
        <f>IF(tblReceipts[[#This Row],[Date]]="","",IF(tblReceipts[[#This Row],[Standard price]]="","",tblReceipts[[#This Row],[Quantity]]*(tblReceipts[[#This Row],[Actual price]]-tblReceipts[[#This Row],[Standard price]])))</f>
        <v>-19.1999999999996</v>
      </c>
      <c r="N7" s="40">
        <f>IF(tblReceipts[[#This Row],[Date]]="","",IF(OR(tblReceipts[[#This Row],[Standard price]]="",tblReceipts[[#This Row],[Standard price]]=0),"",(tblReceipts[[#This Row],[Actual price]]-tblReceipts[[#This Row],[Standard price]])/tblReceipts[[#This Row],[Standard price]]))</f>
        <v>-0.00434782608695643</v>
      </c>
      <c r="O7" s="36" t="str">
        <f>IF(tblReceipts[[#This Row],[Date]]="","",IF(tblReceipts[[#This Row],[PPV]]="","",IF(tblReceipts[[#This Row],[PPV]]&gt;0,"Unfavourable",IF(tblReceipts[[#This Row],[PPV]]&lt;0,"Favourable","At standard"))))</f>
        <v>Favourable</v>
      </c>
      <c r="P7" s="41" t="str">
        <f>IF(NOT(ISNUMBER(tblReceipts[[#This Row],[PPV %]])),"",IF(tblReceipts[[#This Row],[PPV %]]&lt;=LineLimit,"On target",IF(tblReceipts[[#This Row],[PPV %]]&lt;=LineLimit*(1+0.05),"Near target","Above target")))</f>
        <v>On target</v>
      </c>
      <c r="Q7" s="42">
        <f>IF(tblReceipts[[#This Row],[Date]]="","",IF(AND(tblReceipts[[#This Row],[Date]]&gt;=FFrom,tblReceipts[[#This Row],[Date]]&lt;=FTo,OR(DashCat="",tblReceipts[[#This Row],[Category]]=DashCat)),tblReceipts[[#This Row],[Date]],""))</f>
        <v>46113</v>
      </c>
      <c r="R7"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7" s="28" t="s">
        <v>171</v>
      </c>
    </row>
    <row r="8" spans="1:19">
      <c r="B8" s="35">
        <v>46113</v>
      </c>
      <c r="C8" s="28" t="s">
        <v>172</v>
      </c>
      <c r="D8" s="28" t="s">
        <v>95</v>
      </c>
      <c r="E8" s="28" t="s">
        <v>146</v>
      </c>
      <c r="F8" s="33">
        <v>980</v>
      </c>
      <c r="G8" s="36" t="str">
        <f>IF(tblReceipts[[#This Row],[Date]]="","",IFERROR(INDEX(tblItems[UoM],MATCH(tblReceipts[[#This Row],[Item]],tblItems[Item],0)),""))</f>
        <v>ea</v>
      </c>
      <c r="H8" s="37">
        <v>0.924</v>
      </c>
      <c r="I8" s="38">
        <f>IF(tblReceipts[[#This Row],[Date]]="","",IFERROR(INDEX(tblItems[Standard price],MATCH(tblReceipts[[#This Row],[Item]],tblItems[Item],0)),""))</f>
        <v>0.92</v>
      </c>
      <c r="J8" s="36" t="str">
        <f>IF(tblReceipts[[#This Row],[Date]]="","",IFERROR(INDEX(tblItems[Category],MATCH(tblReceipts[[#This Row],[Item]],tblItems[Item],0)),""))</f>
        <v>Seals</v>
      </c>
      <c r="K8" s="39">
        <f>IF(tblReceipts[[#This Row],[Date]]="","",tblReceipts[[#This Row],[Quantity]]*tblReceipts[[#This Row],[Actual price]])</f>
        <v>905.52</v>
      </c>
      <c r="L8" s="39">
        <f>IF(tblReceipts[[#This Row],[Date]]="","",IF(tblReceipts[[#This Row],[Standard price]]="","",tblReceipts[[#This Row],[Quantity]]*tblReceipts[[#This Row],[Standard price]]))</f>
        <v>901.6</v>
      </c>
      <c r="M8" s="39">
        <f>IF(tblReceipts[[#This Row],[Date]]="","",IF(tblReceipts[[#This Row],[Standard price]]="","",tblReceipts[[#This Row],[Quantity]]*(tblReceipts[[#This Row],[Actual price]]-tblReceipts[[#This Row],[Standard price]])))</f>
        <v>3.92</v>
      </c>
      <c r="N8" s="40">
        <f>IF(tblReceipts[[#This Row],[Date]]="","",IF(OR(tblReceipts[[#This Row],[Standard price]]="",tblReceipts[[#This Row],[Standard price]]=0),"",(tblReceipts[[#This Row],[Actual price]]-tblReceipts[[#This Row],[Standard price]])/tblReceipts[[#This Row],[Standard price]]))</f>
        <v>0.00434782608695653</v>
      </c>
      <c r="O8" s="36" t="str">
        <f>IF(tblReceipts[[#This Row],[Date]]="","",IF(tblReceipts[[#This Row],[PPV]]="","",IF(tblReceipts[[#This Row],[PPV]]&gt;0,"Unfavourable",IF(tblReceipts[[#This Row],[PPV]]&lt;0,"Favourable","At standard"))))</f>
        <v>Unfavourable</v>
      </c>
      <c r="P8" s="41" t="str">
        <f>IF(NOT(ISNUMBER(tblReceipts[[#This Row],[PPV %]])),"",IF(tblReceipts[[#This Row],[PPV %]]&lt;=LineLimit,"On target",IF(tblReceipts[[#This Row],[PPV %]]&lt;=LineLimit*(1+0.05),"Near target","Above target")))</f>
        <v>On target</v>
      </c>
      <c r="Q8" s="42">
        <f>IF(tblReceipts[[#This Row],[Date]]="","",IF(AND(tblReceipts[[#This Row],[Date]]&gt;=FFrom,tblReceipts[[#This Row],[Date]]&lt;=FTo,OR(DashCat="",tblReceipts[[#This Row],[Category]]=DashCat)),tblReceipts[[#This Row],[Date]],""))</f>
        <v>46113</v>
      </c>
      <c r="R8"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8" s="28" t="s">
        <v>171</v>
      </c>
    </row>
    <row r="9" spans="1:19">
      <c r="B9" s="35">
        <v>46119</v>
      </c>
      <c r="C9" s="28" t="s">
        <v>173</v>
      </c>
      <c r="D9" s="28" t="s">
        <v>101</v>
      </c>
      <c r="E9" s="28" t="s">
        <v>152</v>
      </c>
      <c r="F9" s="33">
        <v>81</v>
      </c>
      <c r="G9" s="36" t="str">
        <f>IF(tblReceipts[[#This Row],[Date]]="","",IFERROR(INDEX(tblItems[UoM],MATCH(tblReceipts[[#This Row],[Item]],tblItems[Item],0)),""))</f>
        <v>ea</v>
      </c>
      <c r="H9" s="37">
        <v>11.54</v>
      </c>
      <c r="I9" s="38">
        <f>IF(tblReceipts[[#This Row],[Date]]="","",IFERROR(INDEX(tblItems[Standard price],MATCH(tblReceipts[[#This Row],[Item]],tblItems[Item],0)),""))</f>
        <v>11.6</v>
      </c>
      <c r="J9" s="36" t="str">
        <f>IF(tblReceipts[[#This Row],[Date]]="","",IFERROR(INDEX(tblItems[Category],MATCH(tblReceipts[[#This Row],[Item]],tblItems[Item],0)),""))</f>
        <v>Electronics</v>
      </c>
      <c r="K9" s="39">
        <f>IF(tblReceipts[[#This Row],[Date]]="","",tblReceipts[[#This Row],[Quantity]]*tblReceipts[[#This Row],[Actual price]])</f>
        <v>934.74</v>
      </c>
      <c r="L9" s="39">
        <f>IF(tblReceipts[[#This Row],[Date]]="","",IF(tblReceipts[[#This Row],[Standard price]]="","",tblReceipts[[#This Row],[Quantity]]*tblReceipts[[#This Row],[Standard price]]))</f>
        <v>939.6</v>
      </c>
      <c r="M9" s="39">
        <f>IF(tblReceipts[[#This Row],[Date]]="","",IF(tblReceipts[[#This Row],[Standard price]]="","",tblReceipts[[#This Row],[Quantity]]*(tblReceipts[[#This Row],[Actual price]]-tblReceipts[[#This Row],[Standard price]])))</f>
        <v>-4.86000000000004</v>
      </c>
      <c r="N9" s="40">
        <f>IF(tblReceipts[[#This Row],[Date]]="","",IF(OR(tblReceipts[[#This Row],[Standard price]]="",tblReceipts[[#This Row],[Standard price]]=0),"",(tblReceipts[[#This Row],[Actual price]]-tblReceipts[[#This Row],[Standard price]])/tblReceipts[[#This Row],[Standard price]]))</f>
        <v>-0.00517241379310349</v>
      </c>
      <c r="O9" s="36" t="str">
        <f>IF(tblReceipts[[#This Row],[Date]]="","",IF(tblReceipts[[#This Row],[PPV]]="","",IF(tblReceipts[[#This Row],[PPV]]&gt;0,"Unfavourable",IF(tblReceipts[[#This Row],[PPV]]&lt;0,"Favourable","At standard"))))</f>
        <v>Favourable</v>
      </c>
      <c r="P9" s="41" t="str">
        <f>IF(NOT(ISNUMBER(tblReceipts[[#This Row],[PPV %]])),"",IF(tblReceipts[[#This Row],[PPV %]]&lt;=LineLimit,"On target",IF(tblReceipts[[#This Row],[PPV %]]&lt;=LineLimit*(1+0.05),"Near target","Above target")))</f>
        <v>On target</v>
      </c>
      <c r="Q9" s="42">
        <f>IF(tblReceipts[[#This Row],[Date]]="","",IF(AND(tblReceipts[[#This Row],[Date]]&gt;=FFrom,tblReceipts[[#This Row],[Date]]&lt;=FTo,OR(DashCat="",tblReceipts[[#This Row],[Category]]=DashCat)),tblReceipts[[#This Row],[Date]],""))</f>
        <v>46119</v>
      </c>
      <c r="R9"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9" s="28" t="s">
        <v>171</v>
      </c>
    </row>
    <row r="10" spans="1:19">
      <c r="B10" s="35">
        <v>46120</v>
      </c>
      <c r="C10" s="28" t="s">
        <v>174</v>
      </c>
      <c r="D10" s="28" t="s">
        <v>101</v>
      </c>
      <c r="E10" s="28" t="s">
        <v>150</v>
      </c>
      <c r="F10" s="33">
        <v>95</v>
      </c>
      <c r="G10" s="36" t="str">
        <f>IF(tblReceipts[[#This Row],[Date]]="","",IFERROR(INDEX(tblItems[UoM],MATCH(tblReceipts[[#This Row],[Item]],tblItems[Item],0)),""))</f>
        <v>ea</v>
      </c>
      <c r="H10" s="37">
        <v>23.65</v>
      </c>
      <c r="I10" s="38">
        <f>IF(tblReceipts[[#This Row],[Date]]="","",IFERROR(INDEX(tblItems[Standard price],MATCH(tblReceipts[[#This Row],[Item]],tblItems[Item],0)),""))</f>
        <v>23.8</v>
      </c>
      <c r="J10" s="36" t="str">
        <f>IF(tblReceipts[[#This Row],[Date]]="","",IFERROR(INDEX(tblItems[Category],MATCH(tblReceipts[[#This Row],[Item]],tblItems[Item],0)),""))</f>
        <v>Electronics</v>
      </c>
      <c r="K10" s="39">
        <f>IF(tblReceipts[[#This Row],[Date]]="","",tblReceipts[[#This Row],[Quantity]]*tblReceipts[[#This Row],[Actual price]])</f>
        <v>2246.75</v>
      </c>
      <c r="L10" s="39">
        <f>IF(tblReceipts[[#This Row],[Date]]="","",IF(tblReceipts[[#This Row],[Standard price]]="","",tblReceipts[[#This Row],[Quantity]]*tblReceipts[[#This Row],[Standard price]]))</f>
        <v>2261</v>
      </c>
      <c r="M10" s="39">
        <f>IF(tblReceipts[[#This Row],[Date]]="","",IF(tblReceipts[[#This Row],[Standard price]]="","",tblReceipts[[#This Row],[Quantity]]*(tblReceipts[[#This Row],[Actual price]]-tblReceipts[[#This Row],[Standard price]])))</f>
        <v>-14.2500000000002</v>
      </c>
      <c r="N10" s="40">
        <f>IF(tblReceipts[[#This Row],[Date]]="","",IF(OR(tblReceipts[[#This Row],[Standard price]]="",tblReceipts[[#This Row],[Standard price]]=0),"",(tblReceipts[[#This Row],[Actual price]]-tblReceipts[[#This Row],[Standard price]])/tblReceipts[[#This Row],[Standard price]]))</f>
        <v>-0.00630252100840345</v>
      </c>
      <c r="O10" s="36" t="str">
        <f>IF(tblReceipts[[#This Row],[Date]]="","",IF(tblReceipts[[#This Row],[PPV]]="","",IF(tblReceipts[[#This Row],[PPV]]&gt;0,"Unfavourable",IF(tblReceipts[[#This Row],[PPV]]&lt;0,"Favourable","At standard"))))</f>
        <v>Favourable</v>
      </c>
      <c r="P10" s="41" t="str">
        <f>IF(NOT(ISNUMBER(tblReceipts[[#This Row],[PPV %]])),"",IF(tblReceipts[[#This Row],[PPV %]]&lt;=LineLimit,"On target",IF(tblReceipts[[#This Row],[PPV %]]&lt;=LineLimit*(1+0.05),"Near target","Above target")))</f>
        <v>On target</v>
      </c>
      <c r="Q10" s="42">
        <f>IF(tblReceipts[[#This Row],[Date]]="","",IF(AND(tblReceipts[[#This Row],[Date]]&gt;=FFrom,tblReceipts[[#This Row],[Date]]&lt;=FTo,OR(DashCat="",tblReceipts[[#This Row],[Category]]=DashCat)),tblReceipts[[#This Row],[Date]],""))</f>
        <v>46120</v>
      </c>
      <c r="R10"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0" s="28" t="s">
        <v>171</v>
      </c>
    </row>
    <row r="11" spans="1:19">
      <c r="B11" s="35">
        <v>46120</v>
      </c>
      <c r="C11" s="28" t="s">
        <v>175</v>
      </c>
      <c r="D11" s="28" t="s">
        <v>104</v>
      </c>
      <c r="E11" s="28" t="s">
        <v>155</v>
      </c>
      <c r="F11" s="33">
        <v>880</v>
      </c>
      <c r="G11" s="36" t="str">
        <f>IF(tblReceipts[[#This Row],[Date]]="","",IFERROR(INDEX(tblItems[UoM],MATCH(tblReceipts[[#This Row],[Item]],tblItems[Item],0)),""))</f>
        <v>ea</v>
      </c>
      <c r="H11" s="37">
        <v>0.431</v>
      </c>
      <c r="I11" s="38">
        <f>IF(tblReceipts[[#This Row],[Date]]="","",IFERROR(INDEX(tblItems[Standard price],MATCH(tblReceipts[[#This Row],[Item]],tblItems[Item],0)),""))</f>
        <v>0.44</v>
      </c>
      <c r="J11" s="36" t="str">
        <f>IF(tblReceipts[[#This Row],[Date]]="","",IFERROR(INDEX(tblItems[Category],MATCH(tblReceipts[[#This Row],[Item]],tblItems[Item],0)),""))</f>
        <v>Packaging</v>
      </c>
      <c r="K11" s="39">
        <f>IF(tblReceipts[[#This Row],[Date]]="","",tblReceipts[[#This Row],[Quantity]]*tblReceipts[[#This Row],[Actual price]])</f>
        <v>379.28</v>
      </c>
      <c r="L11" s="39">
        <f>IF(tblReceipts[[#This Row],[Date]]="","",IF(tblReceipts[[#This Row],[Standard price]]="","",tblReceipts[[#This Row],[Quantity]]*tblReceipts[[#This Row],[Standard price]]))</f>
        <v>387.2</v>
      </c>
      <c r="M11" s="39">
        <f>IF(tblReceipts[[#This Row],[Date]]="","",IF(tblReceipts[[#This Row],[Standard price]]="","",tblReceipts[[#This Row],[Quantity]]*(tblReceipts[[#This Row],[Actual price]]-tblReceipts[[#This Row],[Standard price]])))</f>
        <v>-7.92000000000001</v>
      </c>
      <c r="N11" s="40">
        <f>IF(tblReceipts[[#This Row],[Date]]="","",IF(OR(tblReceipts[[#This Row],[Standard price]]="",tblReceipts[[#This Row],[Standard price]]=0),"",(tblReceipts[[#This Row],[Actual price]]-tblReceipts[[#This Row],[Standard price]])/tblReceipts[[#This Row],[Standard price]]))</f>
        <v>-0.0204545454545455</v>
      </c>
      <c r="O11" s="36" t="str">
        <f>IF(tblReceipts[[#This Row],[Date]]="","",IF(tblReceipts[[#This Row],[PPV]]="","",IF(tblReceipts[[#This Row],[PPV]]&gt;0,"Unfavourable",IF(tblReceipts[[#This Row],[PPV]]&lt;0,"Favourable","At standard"))))</f>
        <v>Favourable</v>
      </c>
      <c r="P11" s="41" t="str">
        <f>IF(NOT(ISNUMBER(tblReceipts[[#This Row],[PPV %]])),"",IF(tblReceipts[[#This Row],[PPV %]]&lt;=LineLimit,"On target",IF(tblReceipts[[#This Row],[PPV %]]&lt;=LineLimit*(1+0.05),"Near target","Above target")))</f>
        <v>On target</v>
      </c>
      <c r="Q11" s="42">
        <f>IF(tblReceipts[[#This Row],[Date]]="","",IF(AND(tblReceipts[[#This Row],[Date]]&gt;=FFrom,tblReceipts[[#This Row],[Date]]&lt;=FTo,OR(DashCat="",tblReceipts[[#This Row],[Category]]=DashCat)),tblReceipts[[#This Row],[Date]],""))</f>
        <v>46120</v>
      </c>
      <c r="R11"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1" s="28" t="s">
        <v>171</v>
      </c>
    </row>
    <row r="12" spans="1:19">
      <c r="B12" s="35">
        <v>46122</v>
      </c>
      <c r="C12" s="28" t="s">
        <v>176</v>
      </c>
      <c r="D12" s="28" t="s">
        <v>85</v>
      </c>
      <c r="E12" s="28" t="s">
        <v>138</v>
      </c>
      <c r="F12" s="33">
        <v>200</v>
      </c>
      <c r="G12" s="36" t="str">
        <f>IF(tblReceipts[[#This Row],[Date]]="","",IFERROR(INDEX(tblItems[UoM],MATCH(tblReceipts[[#This Row],[Item]],tblItems[Item],0)),""))</f>
        <v>ea</v>
      </c>
      <c r="H12" s="37">
        <v>9.789999999999999</v>
      </c>
      <c r="I12" s="38">
        <f>IF(tblReceipts[[#This Row],[Date]]="","",IFERROR(INDEX(tblItems[Standard price],MATCH(tblReceipts[[#This Row],[Item]],tblItems[Item],0)),""))</f>
        <v>9.75</v>
      </c>
      <c r="J12" s="36" t="str">
        <f>IF(tblReceipts[[#This Row],[Date]]="","",IFERROR(INDEX(tblItems[Category],MATCH(tblReceipts[[#This Row],[Item]],tblItems[Item],0)),""))</f>
        <v>Castings</v>
      </c>
      <c r="K12" s="39">
        <f>IF(tblReceipts[[#This Row],[Date]]="","",tblReceipts[[#This Row],[Quantity]]*tblReceipts[[#This Row],[Actual price]])</f>
        <v>1958</v>
      </c>
      <c r="L12" s="39">
        <f>IF(tblReceipts[[#This Row],[Date]]="","",IF(tblReceipts[[#This Row],[Standard price]]="","",tblReceipts[[#This Row],[Quantity]]*tblReceipts[[#This Row],[Standard price]]))</f>
        <v>1950</v>
      </c>
      <c r="M12" s="39">
        <f>IF(tblReceipts[[#This Row],[Date]]="","",IF(tblReceipts[[#This Row],[Standard price]]="","",tblReceipts[[#This Row],[Quantity]]*(tblReceipts[[#This Row],[Actual price]]-tblReceipts[[#This Row],[Standard price]])))</f>
        <v>7.99999999999983</v>
      </c>
      <c r="N12" s="40">
        <f>IF(tblReceipts[[#This Row],[Date]]="","",IF(OR(tblReceipts[[#This Row],[Standard price]]="",tblReceipts[[#This Row],[Standard price]]=0),"",(tblReceipts[[#This Row],[Actual price]]-tblReceipts[[#This Row],[Standard price]])/tblReceipts[[#This Row],[Standard price]]))</f>
        <v>0.00410256410256402</v>
      </c>
      <c r="O12" s="36" t="str">
        <f>IF(tblReceipts[[#This Row],[Date]]="","",IF(tblReceipts[[#This Row],[PPV]]="","",IF(tblReceipts[[#This Row],[PPV]]&gt;0,"Unfavourable",IF(tblReceipts[[#This Row],[PPV]]&lt;0,"Favourable","At standard"))))</f>
        <v>Unfavourable</v>
      </c>
      <c r="P12" s="41" t="str">
        <f>IF(NOT(ISNUMBER(tblReceipts[[#This Row],[PPV %]])),"",IF(tblReceipts[[#This Row],[PPV %]]&lt;=LineLimit,"On target",IF(tblReceipts[[#This Row],[PPV %]]&lt;=LineLimit*(1+0.05),"Near target","Above target")))</f>
        <v>On target</v>
      </c>
      <c r="Q12" s="42">
        <f>IF(tblReceipts[[#This Row],[Date]]="","",IF(AND(tblReceipts[[#This Row],[Date]]&gt;=FFrom,tblReceipts[[#This Row],[Date]]&lt;=FTo,OR(DashCat="",tblReceipts[[#This Row],[Category]]=DashCat)),tblReceipts[[#This Row],[Date]],""))</f>
        <v>46122</v>
      </c>
      <c r="R12"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2" s="28" t="s">
        <v>171</v>
      </c>
    </row>
    <row r="13" spans="1:19">
      <c r="B13" s="35">
        <v>46122</v>
      </c>
      <c r="C13" s="28" t="s">
        <v>177</v>
      </c>
      <c r="D13" s="28" t="s">
        <v>95</v>
      </c>
      <c r="E13" s="28" t="s">
        <v>146</v>
      </c>
      <c r="F13" s="33">
        <v>840</v>
      </c>
      <c r="G13" s="36" t="str">
        <f>IF(tblReceipts[[#This Row],[Date]]="","",IFERROR(INDEX(tblItems[UoM],MATCH(tblReceipts[[#This Row],[Item]],tblItems[Item],0)),""))</f>
        <v>ea</v>
      </c>
      <c r="H13" s="37">
        <v>0.916</v>
      </c>
      <c r="I13" s="38">
        <f>IF(tblReceipts[[#This Row],[Date]]="","",IFERROR(INDEX(tblItems[Standard price],MATCH(tblReceipts[[#This Row],[Item]],tblItems[Item],0)),""))</f>
        <v>0.92</v>
      </c>
      <c r="J13" s="36" t="str">
        <f>IF(tblReceipts[[#This Row],[Date]]="","",IFERROR(INDEX(tblItems[Category],MATCH(tblReceipts[[#This Row],[Item]],tblItems[Item],0)),""))</f>
        <v>Seals</v>
      </c>
      <c r="K13" s="39">
        <f>IF(tblReceipts[[#This Row],[Date]]="","",tblReceipts[[#This Row],[Quantity]]*tblReceipts[[#This Row],[Actual price]])</f>
        <v>769.44</v>
      </c>
      <c r="L13" s="39">
        <f>IF(tblReceipts[[#This Row],[Date]]="","",IF(tblReceipts[[#This Row],[Standard price]]="","",tblReceipts[[#This Row],[Quantity]]*tblReceipts[[#This Row],[Standard price]]))</f>
        <v>772.8</v>
      </c>
      <c r="M13" s="39">
        <f>IF(tblReceipts[[#This Row],[Date]]="","",IF(tblReceipts[[#This Row],[Standard price]]="","",tblReceipts[[#This Row],[Quantity]]*(tblReceipts[[#This Row],[Actual price]]-tblReceipts[[#This Row],[Standard price]])))</f>
        <v>-3.36</v>
      </c>
      <c r="N13" s="40">
        <f>IF(tblReceipts[[#This Row],[Date]]="","",IF(OR(tblReceipts[[#This Row],[Standard price]]="",tblReceipts[[#This Row],[Standard price]]=0),"",(tblReceipts[[#This Row],[Actual price]]-tblReceipts[[#This Row],[Standard price]])/tblReceipts[[#This Row],[Standard price]]))</f>
        <v>-0.00434782608695653</v>
      </c>
      <c r="O13" s="36" t="str">
        <f>IF(tblReceipts[[#This Row],[Date]]="","",IF(tblReceipts[[#This Row],[PPV]]="","",IF(tblReceipts[[#This Row],[PPV]]&gt;0,"Unfavourable",IF(tblReceipts[[#This Row],[PPV]]&lt;0,"Favourable","At standard"))))</f>
        <v>Favourable</v>
      </c>
      <c r="P13" s="41" t="str">
        <f>IF(NOT(ISNUMBER(tblReceipts[[#This Row],[PPV %]])),"",IF(tblReceipts[[#This Row],[PPV %]]&lt;=LineLimit,"On target",IF(tblReceipts[[#This Row],[PPV %]]&lt;=LineLimit*(1+0.05),"Near target","Above target")))</f>
        <v>On target</v>
      </c>
      <c r="Q13" s="42">
        <f>IF(tblReceipts[[#This Row],[Date]]="","",IF(AND(tblReceipts[[#This Row],[Date]]&gt;=FFrom,tblReceipts[[#This Row],[Date]]&lt;=FTo,OR(DashCat="",tblReceipts[[#This Row],[Category]]=DashCat)),tblReceipts[[#This Row],[Date]],""))</f>
        <v>46122</v>
      </c>
      <c r="R13"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3" s="28" t="s">
        <v>171</v>
      </c>
    </row>
    <row r="14" spans="1:19">
      <c r="B14" s="35">
        <v>46125</v>
      </c>
      <c r="C14" s="28" t="s">
        <v>178</v>
      </c>
      <c r="D14" s="28" t="s">
        <v>85</v>
      </c>
      <c r="E14" s="28" t="s">
        <v>138</v>
      </c>
      <c r="F14" s="33">
        <v>260</v>
      </c>
      <c r="G14" s="36" t="str">
        <f>IF(tblReceipts[[#This Row],[Date]]="","",IFERROR(INDEX(tblItems[UoM],MATCH(tblReceipts[[#This Row],[Item]],tblItems[Item],0)),""))</f>
        <v>ea</v>
      </c>
      <c r="H14" s="37">
        <v>9.73</v>
      </c>
      <c r="I14" s="38">
        <f>IF(tblReceipts[[#This Row],[Date]]="","",IFERROR(INDEX(tblItems[Standard price],MATCH(tblReceipts[[#This Row],[Item]],tblItems[Item],0)),""))</f>
        <v>9.75</v>
      </c>
      <c r="J14" s="36" t="str">
        <f>IF(tblReceipts[[#This Row],[Date]]="","",IFERROR(INDEX(tblItems[Category],MATCH(tblReceipts[[#This Row],[Item]],tblItems[Item],0)),""))</f>
        <v>Castings</v>
      </c>
      <c r="K14" s="39">
        <f>IF(tblReceipts[[#This Row],[Date]]="","",tblReceipts[[#This Row],[Quantity]]*tblReceipts[[#This Row],[Actual price]])</f>
        <v>2529.8</v>
      </c>
      <c r="L14" s="39">
        <f>IF(tblReceipts[[#This Row],[Date]]="","",IF(tblReceipts[[#This Row],[Standard price]]="","",tblReceipts[[#This Row],[Quantity]]*tblReceipts[[#This Row],[Standard price]]))</f>
        <v>2535</v>
      </c>
      <c r="M14" s="39">
        <f>IF(tblReceipts[[#This Row],[Date]]="","",IF(tblReceipts[[#This Row],[Standard price]]="","",tblReceipts[[#This Row],[Quantity]]*(tblReceipts[[#This Row],[Actual price]]-tblReceipts[[#This Row],[Standard price]])))</f>
        <v>-5.19999999999989</v>
      </c>
      <c r="N14" s="40">
        <f>IF(tblReceipts[[#This Row],[Date]]="","",IF(OR(tblReceipts[[#This Row],[Standard price]]="",tblReceipts[[#This Row],[Standard price]]=0),"",(tblReceipts[[#This Row],[Actual price]]-tblReceipts[[#This Row],[Standard price]])/tblReceipts[[#This Row],[Standard price]]))</f>
        <v>-0.00205128205128201</v>
      </c>
      <c r="O14" s="36" t="str">
        <f>IF(tblReceipts[[#This Row],[Date]]="","",IF(tblReceipts[[#This Row],[PPV]]="","",IF(tblReceipts[[#This Row],[PPV]]&gt;0,"Unfavourable",IF(tblReceipts[[#This Row],[PPV]]&lt;0,"Favourable","At standard"))))</f>
        <v>Favourable</v>
      </c>
      <c r="P14" s="41" t="str">
        <f>IF(NOT(ISNUMBER(tblReceipts[[#This Row],[PPV %]])),"",IF(tblReceipts[[#This Row],[PPV %]]&lt;=LineLimit,"On target",IF(tblReceipts[[#This Row],[PPV %]]&lt;=LineLimit*(1+0.05),"Near target","Above target")))</f>
        <v>On target</v>
      </c>
      <c r="Q14" s="42">
        <f>IF(tblReceipts[[#This Row],[Date]]="","",IF(AND(tblReceipts[[#This Row],[Date]]&gt;=FFrom,tblReceipts[[#This Row],[Date]]&lt;=FTo,OR(DashCat="",tblReceipts[[#This Row],[Category]]=DashCat)),tblReceipts[[#This Row],[Date]],""))</f>
        <v>46125</v>
      </c>
      <c r="R14"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4" s="28" t="s">
        <v>171</v>
      </c>
    </row>
    <row r="15" spans="1:19">
      <c r="B15" s="35">
        <v>46125</v>
      </c>
      <c r="C15" s="28" t="s">
        <v>179</v>
      </c>
      <c r="D15" s="28" t="s">
        <v>85</v>
      </c>
      <c r="E15" s="28" t="s">
        <v>139</v>
      </c>
      <c r="F15" s="33">
        <v>230</v>
      </c>
      <c r="G15" s="36" t="str">
        <f>IF(tblReceipts[[#This Row],[Date]]="","",IFERROR(INDEX(tblItems[UoM],MATCH(tblReceipts[[#This Row],[Item]],tblItems[Item],0)),""))</f>
        <v>ea</v>
      </c>
      <c r="H15" s="37">
        <v>3.21</v>
      </c>
      <c r="I15" s="38">
        <f>IF(tblReceipts[[#This Row],[Date]]="","",IFERROR(INDEX(tblItems[Standard price],MATCH(tblReceipts[[#This Row],[Item]],tblItems[Item],0)),""))</f>
        <v>3.2</v>
      </c>
      <c r="J15" s="36" t="str">
        <f>IF(tblReceipts[[#This Row],[Date]]="","",IFERROR(INDEX(tblItems[Category],MATCH(tblReceipts[[#This Row],[Item]],tblItems[Item],0)),""))</f>
        <v>Castings</v>
      </c>
      <c r="K15" s="39">
        <f>IF(tblReceipts[[#This Row],[Date]]="","",tblReceipts[[#This Row],[Quantity]]*tblReceipts[[#This Row],[Actual price]])</f>
        <v>738.3</v>
      </c>
      <c r="L15" s="39">
        <f>IF(tblReceipts[[#This Row],[Date]]="","",IF(tblReceipts[[#This Row],[Standard price]]="","",tblReceipts[[#This Row],[Quantity]]*tblReceipts[[#This Row],[Standard price]]))</f>
        <v>736</v>
      </c>
      <c r="M15" s="39">
        <f>IF(tblReceipts[[#This Row],[Date]]="","",IF(tblReceipts[[#This Row],[Standard price]]="","",tblReceipts[[#This Row],[Quantity]]*(tblReceipts[[#This Row],[Actual price]]-tblReceipts[[#This Row],[Standard price]])))</f>
        <v>2.29999999999995</v>
      </c>
      <c r="N15" s="40">
        <f>IF(tblReceipts[[#This Row],[Date]]="","",IF(OR(tblReceipts[[#This Row],[Standard price]]="",tblReceipts[[#This Row],[Standard price]]=0),"",(tblReceipts[[#This Row],[Actual price]]-tblReceipts[[#This Row],[Standard price]])/tblReceipts[[#This Row],[Standard price]]))</f>
        <v>0.00312499999999993</v>
      </c>
      <c r="O15" s="36" t="str">
        <f>IF(tblReceipts[[#This Row],[Date]]="","",IF(tblReceipts[[#This Row],[PPV]]="","",IF(tblReceipts[[#This Row],[PPV]]&gt;0,"Unfavourable",IF(tblReceipts[[#This Row],[PPV]]&lt;0,"Favourable","At standard"))))</f>
        <v>Unfavourable</v>
      </c>
      <c r="P15" s="41" t="str">
        <f>IF(NOT(ISNUMBER(tblReceipts[[#This Row],[PPV %]])),"",IF(tblReceipts[[#This Row],[PPV %]]&lt;=LineLimit,"On target",IF(tblReceipts[[#This Row],[PPV %]]&lt;=LineLimit*(1+0.05),"Near target","Above target")))</f>
        <v>On target</v>
      </c>
      <c r="Q15" s="42">
        <f>IF(tblReceipts[[#This Row],[Date]]="","",IF(AND(tblReceipts[[#This Row],[Date]]&gt;=FFrom,tblReceipts[[#This Row],[Date]]&lt;=FTo,OR(DashCat="",tblReceipts[[#This Row],[Category]]=DashCat)),tblReceipts[[#This Row],[Date]],""))</f>
        <v>46125</v>
      </c>
      <c r="R15"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5" s="28" t="s">
        <v>171</v>
      </c>
    </row>
    <row r="16" spans="1:19">
      <c r="B16" s="35">
        <v>46125</v>
      </c>
      <c r="C16" s="28" t="s">
        <v>180</v>
      </c>
      <c r="D16" s="28" t="s">
        <v>90</v>
      </c>
      <c r="E16" s="28" t="s">
        <v>140</v>
      </c>
      <c r="F16" s="33">
        <v>701</v>
      </c>
      <c r="G16" s="36" t="str">
        <f>IF(tblReceipts[[#This Row],[Date]]="","",IFERROR(INDEX(tblItems[UoM],MATCH(tblReceipts[[#This Row],[Item]],tblItems[Item],0)),""))</f>
        <v>kg</v>
      </c>
      <c r="H16" s="37">
        <v>6.04</v>
      </c>
      <c r="I16" s="38">
        <f>IF(tblReceipts[[#This Row],[Date]]="","",IFERROR(INDEX(tblItems[Standard price],MATCH(tblReceipts[[#This Row],[Item]],tblItems[Item],0)),""))</f>
        <v>6.2</v>
      </c>
      <c r="J16" s="36" t="str">
        <f>IF(tblReceipts[[#This Row],[Date]]="","",IFERROR(INDEX(tblItems[Category],MATCH(tblReceipts[[#This Row],[Item]],tblItems[Item],0)),""))</f>
        <v>Bar stock</v>
      </c>
      <c r="K16" s="39">
        <f>IF(tblReceipts[[#This Row],[Date]]="","",tblReceipts[[#This Row],[Quantity]]*tblReceipts[[#This Row],[Actual price]])</f>
        <v>4234.04</v>
      </c>
      <c r="L16" s="39">
        <f>IF(tblReceipts[[#This Row],[Date]]="","",IF(tblReceipts[[#This Row],[Standard price]]="","",tblReceipts[[#This Row],[Quantity]]*tblReceipts[[#This Row],[Standard price]]))</f>
        <v>4346.2</v>
      </c>
      <c r="M16" s="39">
        <f>IF(tblReceipts[[#This Row],[Date]]="","",IF(tblReceipts[[#This Row],[Standard price]]="","",tblReceipts[[#This Row],[Quantity]]*(tblReceipts[[#This Row],[Actual price]]-tblReceipts[[#This Row],[Standard price]])))</f>
        <v>-112.16</v>
      </c>
      <c r="N16" s="40">
        <f>IF(tblReceipts[[#This Row],[Date]]="","",IF(OR(tblReceipts[[#This Row],[Standard price]]="",tblReceipts[[#This Row],[Standard price]]=0),"",(tblReceipts[[#This Row],[Actual price]]-tblReceipts[[#This Row],[Standard price]])/tblReceipts[[#This Row],[Standard price]]))</f>
        <v>-0.0258064516129032</v>
      </c>
      <c r="O16" s="36" t="str">
        <f>IF(tblReceipts[[#This Row],[Date]]="","",IF(tblReceipts[[#This Row],[PPV]]="","",IF(tblReceipts[[#This Row],[PPV]]&gt;0,"Unfavourable",IF(tblReceipts[[#This Row],[PPV]]&lt;0,"Favourable","At standard"))))</f>
        <v>Favourable</v>
      </c>
      <c r="P16" s="41" t="str">
        <f>IF(NOT(ISNUMBER(tblReceipts[[#This Row],[PPV %]])),"",IF(tblReceipts[[#This Row],[PPV %]]&lt;=LineLimit,"On target",IF(tblReceipts[[#This Row],[PPV %]]&lt;=LineLimit*(1+0.05),"Near target","Above target")))</f>
        <v>On target</v>
      </c>
      <c r="Q16" s="42">
        <f>IF(tblReceipts[[#This Row],[Date]]="","",IF(AND(tblReceipts[[#This Row],[Date]]&gt;=FFrom,tblReceipts[[#This Row],[Date]]&lt;=FTo,OR(DashCat="",tblReceipts[[#This Row],[Category]]=DashCat)),tblReceipts[[#This Row],[Date]],""))</f>
        <v>46125</v>
      </c>
      <c r="R16"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6" s="28" t="s">
        <v>171</v>
      </c>
    </row>
    <row r="17" spans="2:19">
      <c r="B17" s="35">
        <v>46125</v>
      </c>
      <c r="C17" s="28" t="s">
        <v>181</v>
      </c>
      <c r="D17" s="28" t="s">
        <v>95</v>
      </c>
      <c r="E17" s="28" t="s">
        <v>144</v>
      </c>
      <c r="F17" s="33">
        <v>790</v>
      </c>
      <c r="G17" s="36" t="str">
        <f>IF(tblReceipts[[#This Row],[Date]]="","",IFERROR(INDEX(tblItems[UoM],MATCH(tblReceipts[[#This Row],[Item]],tblItems[Item],0)),""))</f>
        <v>ea</v>
      </c>
      <c r="H17" s="37">
        <v>1.347</v>
      </c>
      <c r="I17" s="38">
        <f>IF(tblReceipts[[#This Row],[Date]]="","",IFERROR(INDEX(tblItems[Standard price],MATCH(tblReceipts[[#This Row],[Item]],tblItems[Item],0)),""))</f>
        <v>1.35</v>
      </c>
      <c r="J17" s="36" t="str">
        <f>IF(tblReceipts[[#This Row],[Date]]="","",IFERROR(INDEX(tblItems[Category],MATCH(tblReceipts[[#This Row],[Item]],tblItems[Item],0)),""))</f>
        <v>Seals</v>
      </c>
      <c r="K17" s="39">
        <f>IF(tblReceipts[[#This Row],[Date]]="","",tblReceipts[[#This Row],[Quantity]]*tblReceipts[[#This Row],[Actual price]])</f>
        <v>1064.13</v>
      </c>
      <c r="L17" s="39">
        <f>IF(tblReceipts[[#This Row],[Date]]="","",IF(tblReceipts[[#This Row],[Standard price]]="","",tblReceipts[[#This Row],[Quantity]]*tblReceipts[[#This Row],[Standard price]]))</f>
        <v>1066.5</v>
      </c>
      <c r="M17" s="39">
        <f>IF(tblReceipts[[#This Row],[Date]]="","",IF(tblReceipts[[#This Row],[Standard price]]="","",tblReceipts[[#This Row],[Quantity]]*(tblReceipts[[#This Row],[Actual price]]-tblReceipts[[#This Row],[Standard price]])))</f>
        <v>-2.37000000000009</v>
      </c>
      <c r="N17" s="40">
        <f>IF(tblReceipts[[#This Row],[Date]]="","",IF(OR(tblReceipts[[#This Row],[Standard price]]="",tblReceipts[[#This Row],[Standard price]]=0),"",(tblReceipts[[#This Row],[Actual price]]-tblReceipts[[#This Row],[Standard price]])/tblReceipts[[#This Row],[Standard price]]))</f>
        <v>-0.00222222222222231</v>
      </c>
      <c r="O17" s="36" t="str">
        <f>IF(tblReceipts[[#This Row],[Date]]="","",IF(tblReceipts[[#This Row],[PPV]]="","",IF(tblReceipts[[#This Row],[PPV]]&gt;0,"Unfavourable",IF(tblReceipts[[#This Row],[PPV]]&lt;0,"Favourable","At standard"))))</f>
        <v>Favourable</v>
      </c>
      <c r="P17" s="41" t="str">
        <f>IF(NOT(ISNUMBER(tblReceipts[[#This Row],[PPV %]])),"",IF(tblReceipts[[#This Row],[PPV %]]&lt;=LineLimit,"On target",IF(tblReceipts[[#This Row],[PPV %]]&lt;=LineLimit*(1+0.05),"Near target","Above target")))</f>
        <v>On target</v>
      </c>
      <c r="Q17" s="42">
        <f>IF(tblReceipts[[#This Row],[Date]]="","",IF(AND(tblReceipts[[#This Row],[Date]]&gt;=FFrom,tblReceipts[[#This Row],[Date]]&lt;=FTo,OR(DashCat="",tblReceipts[[#This Row],[Category]]=DashCat)),tblReceipts[[#This Row],[Date]],""))</f>
        <v>46125</v>
      </c>
      <c r="R17"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7" s="28" t="s">
        <v>171</v>
      </c>
    </row>
    <row r="18" spans="2:19">
      <c r="B18" s="35">
        <v>46125</v>
      </c>
      <c r="C18" s="28" t="s">
        <v>182</v>
      </c>
      <c r="D18" s="28" t="s">
        <v>99</v>
      </c>
      <c r="E18" s="28" t="s">
        <v>147</v>
      </c>
      <c r="F18" s="33">
        <v>98</v>
      </c>
      <c r="G18" s="36" t="str">
        <f>IF(tblReceipts[[#This Row],[Date]]="","",IFERROR(INDEX(tblItems[UoM],MATCH(tblReceipts[[#This Row],[Item]],tblItems[Item],0)),""))</f>
        <v>100 pcs</v>
      </c>
      <c r="H18" s="37">
        <v>14.72</v>
      </c>
      <c r="I18" s="38">
        <f>IF(tblReceipts[[#This Row],[Date]]="","",IFERROR(INDEX(tblItems[Standard price],MATCH(tblReceipts[[#This Row],[Item]],tblItems[Item],0)),""))</f>
        <v>14.5</v>
      </c>
      <c r="J18" s="36" t="str">
        <f>IF(tblReceipts[[#This Row],[Date]]="","",IFERROR(INDEX(tblItems[Category],MATCH(tblReceipts[[#This Row],[Item]],tblItems[Item],0)),""))</f>
        <v>Fasteners</v>
      </c>
      <c r="K18" s="39">
        <f>IF(tblReceipts[[#This Row],[Date]]="","",tblReceipts[[#This Row],[Quantity]]*tblReceipts[[#This Row],[Actual price]])</f>
        <v>1442.56</v>
      </c>
      <c r="L18" s="39">
        <f>IF(tblReceipts[[#This Row],[Date]]="","",IF(tblReceipts[[#This Row],[Standard price]]="","",tblReceipts[[#This Row],[Quantity]]*tblReceipts[[#This Row],[Standard price]]))</f>
        <v>1421</v>
      </c>
      <c r="M18" s="39">
        <f>IF(tblReceipts[[#This Row],[Date]]="","",IF(tblReceipts[[#This Row],[Standard price]]="","",tblReceipts[[#This Row],[Quantity]]*(tblReceipts[[#This Row],[Actual price]]-tblReceipts[[#This Row],[Standard price]])))</f>
        <v>21.5600000000001</v>
      </c>
      <c r="N18" s="40">
        <f>IF(tblReceipts[[#This Row],[Date]]="","",IF(OR(tblReceipts[[#This Row],[Standard price]]="",tblReceipts[[#This Row],[Standard price]]=0),"",(tblReceipts[[#This Row],[Actual price]]-tblReceipts[[#This Row],[Standard price]])/tblReceipts[[#This Row],[Standard price]]))</f>
        <v>0.0151724137931035</v>
      </c>
      <c r="O18" s="36" t="str">
        <f>IF(tblReceipts[[#This Row],[Date]]="","",IF(tblReceipts[[#This Row],[PPV]]="","",IF(tblReceipts[[#This Row],[PPV]]&gt;0,"Unfavourable",IF(tblReceipts[[#This Row],[PPV]]&lt;0,"Favourable","At standard"))))</f>
        <v>Unfavourable</v>
      </c>
      <c r="P18" s="41" t="str">
        <f>IF(NOT(ISNUMBER(tblReceipts[[#This Row],[PPV %]])),"",IF(tblReceipts[[#This Row],[PPV %]]&lt;=LineLimit,"On target",IF(tblReceipts[[#This Row],[PPV %]]&lt;=LineLimit*(1+0.05),"Near target","Above target")))</f>
        <v>On target</v>
      </c>
      <c r="Q18" s="42">
        <f>IF(tblReceipts[[#This Row],[Date]]="","",IF(AND(tblReceipts[[#This Row],[Date]]&gt;=FFrom,tblReceipts[[#This Row],[Date]]&lt;=FTo,OR(DashCat="",tblReceipts[[#This Row],[Category]]=DashCat)),tblReceipts[[#This Row],[Date]],""))</f>
        <v>46125</v>
      </c>
      <c r="R18"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8" s="28" t="s">
        <v>171</v>
      </c>
    </row>
    <row r="19" spans="2:19">
      <c r="B19" s="35">
        <v>46127</v>
      </c>
      <c r="C19" s="28" t="s">
        <v>183</v>
      </c>
      <c r="D19" s="28" t="s">
        <v>90</v>
      </c>
      <c r="E19" s="28" t="s">
        <v>143</v>
      </c>
      <c r="F19" s="33">
        <v>544</v>
      </c>
      <c r="G19" s="36" t="str">
        <f>IF(tblReceipts[[#This Row],[Date]]="","",IFERROR(INDEX(tblItems[UoM],MATCH(tblReceipts[[#This Row],[Item]],tblItems[Item],0)),""))</f>
        <v>kg</v>
      </c>
      <c r="H19" s="37">
        <v>6.94</v>
      </c>
      <c r="I19" s="38">
        <f>IF(tblReceipts[[#This Row],[Date]]="","",IFERROR(INDEX(tblItems[Standard price],MATCH(tblReceipts[[#This Row],[Item]],tblItems[Item],0)),""))</f>
        <v>7.1</v>
      </c>
      <c r="J19" s="36" t="str">
        <f>IF(tblReceipts[[#This Row],[Date]]="","",IFERROR(INDEX(tblItems[Category],MATCH(tblReceipts[[#This Row],[Item]],tblItems[Item],0)),""))</f>
        <v>Bar stock</v>
      </c>
      <c r="K19" s="39">
        <f>IF(tblReceipts[[#This Row],[Date]]="","",tblReceipts[[#This Row],[Quantity]]*tblReceipts[[#This Row],[Actual price]])</f>
        <v>3775.36</v>
      </c>
      <c r="L19" s="39">
        <f>IF(tblReceipts[[#This Row],[Date]]="","",IF(tblReceipts[[#This Row],[Standard price]]="","",tblReceipts[[#This Row],[Quantity]]*tblReceipts[[#This Row],[Standard price]]))</f>
        <v>3862.4</v>
      </c>
      <c r="M19" s="39">
        <f>IF(tblReceipts[[#This Row],[Date]]="","",IF(tblReceipts[[#This Row],[Standard price]]="","",tblReceipts[[#This Row],[Quantity]]*(tblReceipts[[#This Row],[Actual price]]-tblReceipts[[#This Row],[Standard price]])))</f>
        <v>-87.0399999999996</v>
      </c>
      <c r="N19" s="40">
        <f>IF(tblReceipts[[#This Row],[Date]]="","",IF(OR(tblReceipts[[#This Row],[Standard price]]="",tblReceipts[[#This Row],[Standard price]]=0),"",(tblReceipts[[#This Row],[Actual price]]-tblReceipts[[#This Row],[Standard price]])/tblReceipts[[#This Row],[Standard price]]))</f>
        <v>-0.0225352112676055</v>
      </c>
      <c r="O19" s="36" t="str">
        <f>IF(tblReceipts[[#This Row],[Date]]="","",IF(tblReceipts[[#This Row],[PPV]]="","",IF(tblReceipts[[#This Row],[PPV]]&gt;0,"Unfavourable",IF(tblReceipts[[#This Row],[PPV]]&lt;0,"Favourable","At standard"))))</f>
        <v>Favourable</v>
      </c>
      <c r="P19" s="41" t="str">
        <f>IF(NOT(ISNUMBER(tblReceipts[[#This Row],[PPV %]])),"",IF(tblReceipts[[#This Row],[PPV %]]&lt;=LineLimit,"On target",IF(tblReceipts[[#This Row],[PPV %]]&lt;=LineLimit*(1+0.05),"Near target","Above target")))</f>
        <v>On target</v>
      </c>
      <c r="Q19" s="42">
        <f>IF(tblReceipts[[#This Row],[Date]]="","",IF(AND(tblReceipts[[#This Row],[Date]]&gt;=FFrom,tblReceipts[[#This Row],[Date]]&lt;=FTo,OR(DashCat="",tblReceipts[[#This Row],[Category]]=DashCat)),tblReceipts[[#This Row],[Date]],""))</f>
        <v>46127</v>
      </c>
      <c r="R19"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9" s="28" t="s">
        <v>171</v>
      </c>
    </row>
    <row r="20" spans="2:19">
      <c r="B20" s="35">
        <v>46127</v>
      </c>
      <c r="C20" s="28" t="s">
        <v>184</v>
      </c>
      <c r="D20" s="28" t="s">
        <v>104</v>
      </c>
      <c r="E20" s="28" t="s">
        <v>155</v>
      </c>
      <c r="F20" s="33">
        <v>1180</v>
      </c>
      <c r="G20" s="36" t="str">
        <f>IF(tblReceipts[[#This Row],[Date]]="","",IFERROR(INDEX(tblItems[UoM],MATCH(tblReceipts[[#This Row],[Item]],tblItems[Item],0)),""))</f>
        <v>ea</v>
      </c>
      <c r="H20" s="37">
        <v>0.431</v>
      </c>
      <c r="I20" s="38">
        <f>IF(tblReceipts[[#This Row],[Date]]="","",IFERROR(INDEX(tblItems[Standard price],MATCH(tblReceipts[[#This Row],[Item]],tblItems[Item],0)),""))</f>
        <v>0.44</v>
      </c>
      <c r="J20" s="36" t="str">
        <f>IF(tblReceipts[[#This Row],[Date]]="","",IFERROR(INDEX(tblItems[Category],MATCH(tblReceipts[[#This Row],[Item]],tblItems[Item],0)),""))</f>
        <v>Packaging</v>
      </c>
      <c r="K20" s="39">
        <f>IF(tblReceipts[[#This Row],[Date]]="","",tblReceipts[[#This Row],[Quantity]]*tblReceipts[[#This Row],[Actual price]])</f>
        <v>508.58</v>
      </c>
      <c r="L20" s="39">
        <f>IF(tblReceipts[[#This Row],[Date]]="","",IF(tblReceipts[[#This Row],[Standard price]]="","",tblReceipts[[#This Row],[Quantity]]*tblReceipts[[#This Row],[Standard price]]))</f>
        <v>519.2</v>
      </c>
      <c r="M20" s="39">
        <f>IF(tblReceipts[[#This Row],[Date]]="","",IF(tblReceipts[[#This Row],[Standard price]]="","",tblReceipts[[#This Row],[Quantity]]*(tblReceipts[[#This Row],[Actual price]]-tblReceipts[[#This Row],[Standard price]])))</f>
        <v>-10.62</v>
      </c>
      <c r="N20" s="40">
        <f>IF(tblReceipts[[#This Row],[Date]]="","",IF(OR(tblReceipts[[#This Row],[Standard price]]="",tblReceipts[[#This Row],[Standard price]]=0),"",(tblReceipts[[#This Row],[Actual price]]-tblReceipts[[#This Row],[Standard price]])/tblReceipts[[#This Row],[Standard price]]))</f>
        <v>-0.0204545454545455</v>
      </c>
      <c r="O20" s="36" t="str">
        <f>IF(tblReceipts[[#This Row],[Date]]="","",IF(tblReceipts[[#This Row],[PPV]]="","",IF(tblReceipts[[#This Row],[PPV]]&gt;0,"Unfavourable",IF(tblReceipts[[#This Row],[PPV]]&lt;0,"Favourable","At standard"))))</f>
        <v>Favourable</v>
      </c>
      <c r="P20" s="41" t="str">
        <f>IF(NOT(ISNUMBER(tblReceipts[[#This Row],[PPV %]])),"",IF(tblReceipts[[#This Row],[PPV %]]&lt;=LineLimit,"On target",IF(tblReceipts[[#This Row],[PPV %]]&lt;=LineLimit*(1+0.05),"Near target","Above target")))</f>
        <v>On target</v>
      </c>
      <c r="Q20" s="42">
        <f>IF(tblReceipts[[#This Row],[Date]]="","",IF(AND(tblReceipts[[#This Row],[Date]]&gt;=FFrom,tblReceipts[[#This Row],[Date]]&lt;=FTo,OR(DashCat="",tblReceipts[[#This Row],[Category]]=DashCat)),tblReceipts[[#This Row],[Date]],""))</f>
        <v>46127</v>
      </c>
      <c r="R20"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20" s="28" t="s">
        <v>171</v>
      </c>
    </row>
    <row r="21" spans="2:19">
      <c r="B21" s="35">
        <v>46132</v>
      </c>
      <c r="C21" s="28" t="s">
        <v>185</v>
      </c>
      <c r="D21" s="28" t="s">
        <v>104</v>
      </c>
      <c r="E21" s="28" t="s">
        <v>153</v>
      </c>
      <c r="F21" s="33">
        <v>660</v>
      </c>
      <c r="G21" s="36" t="str">
        <f>IF(tblReceipts[[#This Row],[Date]]="","",IFERROR(INDEX(tblItems[UoM],MATCH(tblReceipts[[#This Row],[Item]],tblItems[Item],0)),""))</f>
        <v>ea</v>
      </c>
      <c r="H21" s="37">
        <v>0.836</v>
      </c>
      <c r="I21" s="38">
        <f>IF(tblReceipts[[#This Row],[Date]]="","",IFERROR(INDEX(tblItems[Standard price],MATCH(tblReceipts[[#This Row],[Item]],tblItems[Item],0)),""))</f>
        <v>0.86</v>
      </c>
      <c r="J21" s="36" t="str">
        <f>IF(tblReceipts[[#This Row],[Date]]="","",IFERROR(INDEX(tblItems[Category],MATCH(tblReceipts[[#This Row],[Item]],tblItems[Item],0)),""))</f>
        <v>Packaging</v>
      </c>
      <c r="K21" s="39">
        <f>IF(tblReceipts[[#This Row],[Date]]="","",tblReceipts[[#This Row],[Quantity]]*tblReceipts[[#This Row],[Actual price]])</f>
        <v>551.76</v>
      </c>
      <c r="L21" s="39">
        <f>IF(tblReceipts[[#This Row],[Date]]="","",IF(tblReceipts[[#This Row],[Standard price]]="","",tblReceipts[[#This Row],[Quantity]]*tblReceipts[[#This Row],[Standard price]]))</f>
        <v>567.6</v>
      </c>
      <c r="M21" s="39">
        <f>IF(tblReceipts[[#This Row],[Date]]="","",IF(tblReceipts[[#This Row],[Standard price]]="","",tblReceipts[[#This Row],[Quantity]]*(tblReceipts[[#This Row],[Actual price]]-tblReceipts[[#This Row],[Standard price]])))</f>
        <v>-15.84</v>
      </c>
      <c r="N21" s="40">
        <f>IF(tblReceipts[[#This Row],[Date]]="","",IF(OR(tblReceipts[[#This Row],[Standard price]]="",tblReceipts[[#This Row],[Standard price]]=0),"",(tblReceipts[[#This Row],[Actual price]]-tblReceipts[[#This Row],[Standard price]])/tblReceipts[[#This Row],[Standard price]]))</f>
        <v>-0.0279069767441861</v>
      </c>
      <c r="O21" s="36" t="str">
        <f>IF(tblReceipts[[#This Row],[Date]]="","",IF(tblReceipts[[#This Row],[PPV]]="","",IF(tblReceipts[[#This Row],[PPV]]&gt;0,"Unfavourable",IF(tblReceipts[[#This Row],[PPV]]&lt;0,"Favourable","At standard"))))</f>
        <v>Favourable</v>
      </c>
      <c r="P21" s="41" t="str">
        <f>IF(NOT(ISNUMBER(tblReceipts[[#This Row],[PPV %]])),"",IF(tblReceipts[[#This Row],[PPV %]]&lt;=LineLimit,"On target",IF(tblReceipts[[#This Row],[PPV %]]&lt;=LineLimit*(1+0.05),"Near target","Above target")))</f>
        <v>On target</v>
      </c>
      <c r="Q21" s="42">
        <f>IF(tblReceipts[[#This Row],[Date]]="","",IF(AND(tblReceipts[[#This Row],[Date]]&gt;=FFrom,tblReceipts[[#This Row],[Date]]&lt;=FTo,OR(DashCat="",tblReceipts[[#This Row],[Category]]=DashCat)),tblReceipts[[#This Row],[Date]],""))</f>
        <v>46132</v>
      </c>
      <c r="R21"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21" s="28" t="s">
        <v>171</v>
      </c>
    </row>
    <row r="22" spans="2:19">
      <c r="B22" s="35">
        <v>46136</v>
      </c>
      <c r="C22" s="28" t="s">
        <v>186</v>
      </c>
      <c r="D22" s="28" t="s">
        <v>85</v>
      </c>
      <c r="E22" s="28" t="s">
        <v>139</v>
      </c>
      <c r="F22" s="33">
        <v>540</v>
      </c>
      <c r="G22" s="36" t="str">
        <f>IF(tblReceipts[[#This Row],[Date]]="","",IFERROR(INDEX(tblItems[UoM],MATCH(tblReceipts[[#This Row],[Item]],tblItems[Item],0)),""))</f>
        <v>ea</v>
      </c>
      <c r="H22" s="37">
        <v>3.22</v>
      </c>
      <c r="I22" s="38">
        <f>IF(tblReceipts[[#This Row],[Date]]="","",IFERROR(INDEX(tblItems[Standard price],MATCH(tblReceipts[[#This Row],[Item]],tblItems[Item],0)),""))</f>
        <v>3.2</v>
      </c>
      <c r="J22" s="36" t="str">
        <f>IF(tblReceipts[[#This Row],[Date]]="","",IFERROR(INDEX(tblItems[Category],MATCH(tblReceipts[[#This Row],[Item]],tblItems[Item],0)),""))</f>
        <v>Castings</v>
      </c>
      <c r="K22" s="39">
        <f>IF(tblReceipts[[#This Row],[Date]]="","",tblReceipts[[#This Row],[Quantity]]*tblReceipts[[#This Row],[Actual price]])</f>
        <v>1738.8</v>
      </c>
      <c r="L22" s="39">
        <f>IF(tblReceipts[[#This Row],[Date]]="","",IF(tblReceipts[[#This Row],[Standard price]]="","",tblReceipts[[#This Row],[Quantity]]*tblReceipts[[#This Row],[Standard price]]))</f>
        <v>1728</v>
      </c>
      <c r="M22" s="39">
        <f>IF(tblReceipts[[#This Row],[Date]]="","",IF(tblReceipts[[#This Row],[Standard price]]="","",tblReceipts[[#This Row],[Quantity]]*(tblReceipts[[#This Row],[Actual price]]-tblReceipts[[#This Row],[Standard price]])))</f>
        <v>10.8</v>
      </c>
      <c r="N22" s="40">
        <f>IF(tblReceipts[[#This Row],[Date]]="","",IF(OR(tblReceipts[[#This Row],[Standard price]]="",tblReceipts[[#This Row],[Standard price]]=0),"",(tblReceipts[[#This Row],[Actual price]]-tblReceipts[[#This Row],[Standard price]])/tblReceipts[[#This Row],[Standard price]]))</f>
        <v>0.00625000000000001</v>
      </c>
      <c r="O22" s="36" t="str">
        <f>IF(tblReceipts[[#This Row],[Date]]="","",IF(tblReceipts[[#This Row],[PPV]]="","",IF(tblReceipts[[#This Row],[PPV]]&gt;0,"Unfavourable",IF(tblReceipts[[#This Row],[PPV]]&lt;0,"Favourable","At standard"))))</f>
        <v>Unfavourable</v>
      </c>
      <c r="P22" s="41" t="str">
        <f>IF(NOT(ISNUMBER(tblReceipts[[#This Row],[PPV %]])),"",IF(tblReceipts[[#This Row],[PPV %]]&lt;=LineLimit,"On target",IF(tblReceipts[[#This Row],[PPV %]]&lt;=LineLimit*(1+0.05),"Near target","Above target")))</f>
        <v>On target</v>
      </c>
      <c r="Q22" s="42">
        <f>IF(tblReceipts[[#This Row],[Date]]="","",IF(AND(tblReceipts[[#This Row],[Date]]&gt;=FFrom,tblReceipts[[#This Row],[Date]]&lt;=FTo,OR(DashCat="",tblReceipts[[#This Row],[Category]]=DashCat)),tblReceipts[[#This Row],[Date]],""))</f>
        <v>46136</v>
      </c>
      <c r="R22"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22" s="28" t="s">
        <v>171</v>
      </c>
    </row>
    <row r="23" spans="2:19">
      <c r="B23" s="35">
        <v>46136</v>
      </c>
      <c r="C23" s="28" t="s">
        <v>187</v>
      </c>
      <c r="D23" s="28" t="s">
        <v>104</v>
      </c>
      <c r="E23" s="28" t="s">
        <v>153</v>
      </c>
      <c r="F23" s="33">
        <v>1010</v>
      </c>
      <c r="G23" s="36" t="str">
        <f>IF(tblReceipts[[#This Row],[Date]]="","",IFERROR(INDEX(tblItems[UoM],MATCH(tblReceipts[[#This Row],[Item]],tblItems[Item],0)),""))</f>
        <v>ea</v>
      </c>
      <c r="H23" s="37">
        <v>0.842</v>
      </c>
      <c r="I23" s="38">
        <f>IF(tblReceipts[[#This Row],[Date]]="","",IFERROR(INDEX(tblItems[Standard price],MATCH(tblReceipts[[#This Row],[Item]],tblItems[Item],0)),""))</f>
        <v>0.86</v>
      </c>
      <c r="J23" s="36" t="str">
        <f>IF(tblReceipts[[#This Row],[Date]]="","",IFERROR(INDEX(tblItems[Category],MATCH(tblReceipts[[#This Row],[Item]],tblItems[Item],0)),""))</f>
        <v>Packaging</v>
      </c>
      <c r="K23" s="39">
        <f>IF(tblReceipts[[#This Row],[Date]]="","",tblReceipts[[#This Row],[Quantity]]*tblReceipts[[#This Row],[Actual price]])</f>
        <v>850.42</v>
      </c>
      <c r="L23" s="39">
        <f>IF(tblReceipts[[#This Row],[Date]]="","",IF(tblReceipts[[#This Row],[Standard price]]="","",tblReceipts[[#This Row],[Quantity]]*tblReceipts[[#This Row],[Standard price]]))</f>
        <v>868.6</v>
      </c>
      <c r="M23" s="39">
        <f>IF(tblReceipts[[#This Row],[Date]]="","",IF(tblReceipts[[#This Row],[Standard price]]="","",tblReceipts[[#This Row],[Quantity]]*(tblReceipts[[#This Row],[Actual price]]-tblReceipts[[#This Row],[Standard price]])))</f>
        <v>-18.18</v>
      </c>
      <c r="N23" s="40">
        <f>IF(tblReceipts[[#This Row],[Date]]="","",IF(OR(tblReceipts[[#This Row],[Standard price]]="",tblReceipts[[#This Row],[Standard price]]=0),"",(tblReceipts[[#This Row],[Actual price]]-tblReceipts[[#This Row],[Standard price]])/tblReceipts[[#This Row],[Standard price]]))</f>
        <v>-0.0209302325581396</v>
      </c>
      <c r="O23" s="36" t="str">
        <f>IF(tblReceipts[[#This Row],[Date]]="","",IF(tblReceipts[[#This Row],[PPV]]="","",IF(tblReceipts[[#This Row],[PPV]]&gt;0,"Unfavourable",IF(tblReceipts[[#This Row],[PPV]]&lt;0,"Favourable","At standard"))))</f>
        <v>Favourable</v>
      </c>
      <c r="P23" s="41" t="str">
        <f>IF(NOT(ISNUMBER(tblReceipts[[#This Row],[PPV %]])),"",IF(tblReceipts[[#This Row],[PPV %]]&lt;=LineLimit,"On target",IF(tblReceipts[[#This Row],[PPV %]]&lt;=LineLimit*(1+0.05),"Near target","Above target")))</f>
        <v>On target</v>
      </c>
      <c r="Q23" s="42">
        <f>IF(tblReceipts[[#This Row],[Date]]="","",IF(AND(tblReceipts[[#This Row],[Date]]&gt;=FFrom,tblReceipts[[#This Row],[Date]]&lt;=FTo,OR(DashCat="",tblReceipts[[#This Row],[Category]]=DashCat)),tblReceipts[[#This Row],[Date]],""))</f>
        <v>46136</v>
      </c>
      <c r="R23"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23" s="28" t="s">
        <v>171</v>
      </c>
    </row>
    <row r="24" spans="2:19">
      <c r="B24" s="35">
        <v>46139</v>
      </c>
      <c r="C24" s="28" t="s">
        <v>188</v>
      </c>
      <c r="D24" s="28" t="s">
        <v>85</v>
      </c>
      <c r="E24" s="28" t="s">
        <v>135</v>
      </c>
      <c r="F24" s="33">
        <v>210</v>
      </c>
      <c r="G24" s="36" t="str">
        <f>IF(tblReceipts[[#This Row],[Date]]="","",IFERROR(INDEX(tblItems[UoM],MATCH(tblReceipts[[#This Row],[Item]],tblItems[Item],0)),""))</f>
        <v>ea</v>
      </c>
      <c r="H24" s="37">
        <v>18.49</v>
      </c>
      <c r="I24" s="38">
        <f>IF(tblReceipts[[#This Row],[Date]]="","",IFERROR(INDEX(tblItems[Standard price],MATCH(tblReceipts[[#This Row],[Item]],tblItems[Item],0)),""))</f>
        <v>18.4</v>
      </c>
      <c r="J24" s="36" t="str">
        <f>IF(tblReceipts[[#This Row],[Date]]="","",IFERROR(INDEX(tblItems[Category],MATCH(tblReceipts[[#This Row],[Item]],tblItems[Item],0)),""))</f>
        <v>Castings</v>
      </c>
      <c r="K24" s="39">
        <f>IF(tblReceipts[[#This Row],[Date]]="","",tblReceipts[[#This Row],[Quantity]]*tblReceipts[[#This Row],[Actual price]])</f>
        <v>3882.9</v>
      </c>
      <c r="L24" s="39">
        <f>IF(tblReceipts[[#This Row],[Date]]="","",IF(tblReceipts[[#This Row],[Standard price]]="","",tblReceipts[[#This Row],[Quantity]]*tblReceipts[[#This Row],[Standard price]]))</f>
        <v>3864</v>
      </c>
      <c r="M24" s="39">
        <f>IF(tblReceipts[[#This Row],[Date]]="","",IF(tblReceipts[[#This Row],[Standard price]]="","",tblReceipts[[#This Row],[Quantity]]*(tblReceipts[[#This Row],[Actual price]]-tblReceipts[[#This Row],[Standard price]])))</f>
        <v>18.9</v>
      </c>
      <c r="N24" s="40">
        <f>IF(tblReceipts[[#This Row],[Date]]="","",IF(OR(tblReceipts[[#This Row],[Standard price]]="",tblReceipts[[#This Row],[Standard price]]=0),"",(tblReceipts[[#This Row],[Actual price]]-tblReceipts[[#This Row],[Standard price]])/tblReceipts[[#This Row],[Standard price]]))</f>
        <v>0.00489130434782608</v>
      </c>
      <c r="O24" s="36" t="str">
        <f>IF(tblReceipts[[#This Row],[Date]]="","",IF(tblReceipts[[#This Row],[PPV]]="","",IF(tblReceipts[[#This Row],[PPV]]&gt;0,"Unfavourable",IF(tblReceipts[[#This Row],[PPV]]&lt;0,"Favourable","At standard"))))</f>
        <v>Unfavourable</v>
      </c>
      <c r="P24" s="41" t="str">
        <f>IF(NOT(ISNUMBER(tblReceipts[[#This Row],[PPV %]])),"",IF(tblReceipts[[#This Row],[PPV %]]&lt;=LineLimit,"On target",IF(tblReceipts[[#This Row],[PPV %]]&lt;=LineLimit*(1+0.05),"Near target","Above target")))</f>
        <v>On target</v>
      </c>
      <c r="Q24" s="42">
        <f>IF(tblReceipts[[#This Row],[Date]]="","",IF(AND(tblReceipts[[#This Row],[Date]]&gt;=FFrom,tblReceipts[[#This Row],[Date]]&lt;=FTo,OR(DashCat="",tblReceipts[[#This Row],[Category]]=DashCat)),tblReceipts[[#This Row],[Date]],""))</f>
        <v>46139</v>
      </c>
      <c r="R24"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24" s="28" t="s">
        <v>171</v>
      </c>
    </row>
    <row r="25" spans="2:19">
      <c r="B25" s="35">
        <v>46139</v>
      </c>
      <c r="C25" s="28" t="s">
        <v>189</v>
      </c>
      <c r="D25" s="28" t="s">
        <v>95</v>
      </c>
      <c r="E25" s="28" t="s">
        <v>144</v>
      </c>
      <c r="F25" s="33">
        <v>750</v>
      </c>
      <c r="G25" s="36" t="str">
        <f>IF(tblReceipts[[#This Row],[Date]]="","",IFERROR(INDEX(tblItems[UoM],MATCH(tblReceipts[[#This Row],[Item]],tblItems[Item],0)),""))</f>
        <v>ea</v>
      </c>
      <c r="H25" s="37">
        <v>1.359</v>
      </c>
      <c r="I25" s="38">
        <f>IF(tblReceipts[[#This Row],[Date]]="","",IFERROR(INDEX(tblItems[Standard price],MATCH(tblReceipts[[#This Row],[Item]],tblItems[Item],0)),""))</f>
        <v>1.35</v>
      </c>
      <c r="J25" s="36" t="str">
        <f>IF(tblReceipts[[#This Row],[Date]]="","",IFERROR(INDEX(tblItems[Category],MATCH(tblReceipts[[#This Row],[Item]],tblItems[Item],0)),""))</f>
        <v>Seals</v>
      </c>
      <c r="K25" s="39">
        <f>IF(tblReceipts[[#This Row],[Date]]="","",tblReceipts[[#This Row],[Quantity]]*tblReceipts[[#This Row],[Actual price]])</f>
        <v>1019.25</v>
      </c>
      <c r="L25" s="39">
        <f>IF(tblReceipts[[#This Row],[Date]]="","",IF(tblReceipts[[#This Row],[Standard price]]="","",tblReceipts[[#This Row],[Quantity]]*tblReceipts[[#This Row],[Standard price]]))</f>
        <v>1012.5</v>
      </c>
      <c r="M25" s="39">
        <f>IF(tblReceipts[[#This Row],[Date]]="","",IF(tblReceipts[[#This Row],[Standard price]]="","",tblReceipts[[#This Row],[Quantity]]*(tblReceipts[[#This Row],[Actual price]]-tblReceipts[[#This Row],[Standard price]])))</f>
        <v>6.74999999999992</v>
      </c>
      <c r="N25" s="40">
        <f>IF(tblReceipts[[#This Row],[Date]]="","",IF(OR(tblReceipts[[#This Row],[Standard price]]="",tblReceipts[[#This Row],[Standard price]]=0),"",(tblReceipts[[#This Row],[Actual price]]-tblReceipts[[#This Row],[Standard price]])/tblReceipts[[#This Row],[Standard price]]))</f>
        <v>0.00666666666666659</v>
      </c>
      <c r="O25" s="36" t="str">
        <f>IF(tblReceipts[[#This Row],[Date]]="","",IF(tblReceipts[[#This Row],[PPV]]="","",IF(tblReceipts[[#This Row],[PPV]]&gt;0,"Unfavourable",IF(tblReceipts[[#This Row],[PPV]]&lt;0,"Favourable","At standard"))))</f>
        <v>Unfavourable</v>
      </c>
      <c r="P25" s="41" t="str">
        <f>IF(NOT(ISNUMBER(tblReceipts[[#This Row],[PPV %]])),"",IF(tblReceipts[[#This Row],[PPV %]]&lt;=LineLimit,"On target",IF(tblReceipts[[#This Row],[PPV %]]&lt;=LineLimit*(1+0.05),"Near target","Above target")))</f>
        <v>On target</v>
      </c>
      <c r="Q25" s="42">
        <f>IF(tblReceipts[[#This Row],[Date]]="","",IF(AND(tblReceipts[[#This Row],[Date]]&gt;=FFrom,tblReceipts[[#This Row],[Date]]&lt;=FTo,OR(DashCat="",tblReceipts[[#This Row],[Category]]=DashCat)),tblReceipts[[#This Row],[Date]],""))</f>
        <v>46139</v>
      </c>
      <c r="R25"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25" s="28" t="s">
        <v>171</v>
      </c>
    </row>
    <row r="26" spans="2:19">
      <c r="B26" s="35">
        <v>46143</v>
      </c>
      <c r="C26" s="28" t="s">
        <v>190</v>
      </c>
      <c r="D26" s="28" t="s">
        <v>101</v>
      </c>
      <c r="E26" s="28" t="s">
        <v>150</v>
      </c>
      <c r="F26" s="33">
        <v>130</v>
      </c>
      <c r="G26" s="36" t="str">
        <f>IF(tblReceipts[[#This Row],[Date]]="","",IFERROR(INDEX(tblItems[UoM],MATCH(tblReceipts[[#This Row],[Item]],tblItems[Item],0)),""))</f>
        <v>ea</v>
      </c>
      <c r="H26" s="37">
        <v>23.78</v>
      </c>
      <c r="I26" s="38">
        <f>IF(tblReceipts[[#This Row],[Date]]="","",IFERROR(INDEX(tblItems[Standard price],MATCH(tblReceipts[[#This Row],[Item]],tblItems[Item],0)),""))</f>
        <v>23.8</v>
      </c>
      <c r="J26" s="36" t="str">
        <f>IF(tblReceipts[[#This Row],[Date]]="","",IFERROR(INDEX(tblItems[Category],MATCH(tblReceipts[[#This Row],[Item]],tblItems[Item],0)),""))</f>
        <v>Electronics</v>
      </c>
      <c r="K26" s="39">
        <f>IF(tblReceipts[[#This Row],[Date]]="","",tblReceipts[[#This Row],[Quantity]]*tblReceipts[[#This Row],[Actual price]])</f>
        <v>3091.4</v>
      </c>
      <c r="L26" s="39">
        <f>IF(tblReceipts[[#This Row],[Date]]="","",IF(tblReceipts[[#This Row],[Standard price]]="","",tblReceipts[[#This Row],[Quantity]]*tblReceipts[[#This Row],[Standard price]]))</f>
        <v>3094</v>
      </c>
      <c r="M26" s="39">
        <f>IF(tblReceipts[[#This Row],[Date]]="","",IF(tblReceipts[[#This Row],[Standard price]]="","",tblReceipts[[#This Row],[Quantity]]*(tblReceipts[[#This Row],[Actual price]]-tblReceipts[[#This Row],[Standard price]])))</f>
        <v>-2.59999999999994</v>
      </c>
      <c r="N26" s="40">
        <f>IF(tblReceipts[[#This Row],[Date]]="","",IF(OR(tblReceipts[[#This Row],[Standard price]]="",tblReceipts[[#This Row],[Standard price]]=0),"",(tblReceipts[[#This Row],[Actual price]]-tblReceipts[[#This Row],[Standard price]])/tblReceipts[[#This Row],[Standard price]]))</f>
        <v>-0.000840336134453764</v>
      </c>
      <c r="O26" s="36" t="str">
        <f>IF(tblReceipts[[#This Row],[Date]]="","",IF(tblReceipts[[#This Row],[PPV]]="","",IF(tblReceipts[[#This Row],[PPV]]&gt;0,"Unfavourable",IF(tblReceipts[[#This Row],[PPV]]&lt;0,"Favourable","At standard"))))</f>
        <v>Favourable</v>
      </c>
      <c r="P26" s="41" t="str">
        <f>IF(NOT(ISNUMBER(tblReceipts[[#This Row],[PPV %]])),"",IF(tblReceipts[[#This Row],[PPV %]]&lt;=LineLimit,"On target",IF(tblReceipts[[#This Row],[PPV %]]&lt;=LineLimit*(1+0.05),"Near target","Above target")))</f>
        <v>On target</v>
      </c>
      <c r="Q26" s="42">
        <f>IF(tblReceipts[[#This Row],[Date]]="","",IF(AND(tblReceipts[[#This Row],[Date]]&gt;=FFrom,tblReceipts[[#This Row],[Date]]&lt;=FTo,OR(DashCat="",tblReceipts[[#This Row],[Category]]=DashCat)),tblReceipts[[#This Row],[Date]],""))</f>
        <v>46143</v>
      </c>
      <c r="R26"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26" s="28" t="s">
        <v>171</v>
      </c>
    </row>
    <row r="27" spans="2:19">
      <c r="B27" s="35">
        <v>46143</v>
      </c>
      <c r="C27" s="28" t="s">
        <v>191</v>
      </c>
      <c r="D27" s="28" t="s">
        <v>104</v>
      </c>
      <c r="E27" s="28" t="s">
        <v>155</v>
      </c>
      <c r="F27" s="33">
        <v>910</v>
      </c>
      <c r="G27" s="36" t="str">
        <f>IF(tblReceipts[[#This Row],[Date]]="","",IFERROR(INDEX(tblItems[UoM],MATCH(tblReceipts[[#This Row],[Item]],tblItems[Item],0)),""))</f>
        <v>ea</v>
      </c>
      <c r="H27" s="37">
        <v>0.428</v>
      </c>
      <c r="I27" s="38">
        <f>IF(tblReceipts[[#This Row],[Date]]="","",IFERROR(INDEX(tblItems[Standard price],MATCH(tblReceipts[[#This Row],[Item]],tblItems[Item],0)),""))</f>
        <v>0.44</v>
      </c>
      <c r="J27" s="36" t="str">
        <f>IF(tblReceipts[[#This Row],[Date]]="","",IFERROR(INDEX(tblItems[Category],MATCH(tblReceipts[[#This Row],[Item]],tblItems[Item],0)),""))</f>
        <v>Packaging</v>
      </c>
      <c r="K27" s="39">
        <f>IF(tblReceipts[[#This Row],[Date]]="","",tblReceipts[[#This Row],[Quantity]]*tblReceipts[[#This Row],[Actual price]])</f>
        <v>389.48</v>
      </c>
      <c r="L27" s="39">
        <f>IF(tblReceipts[[#This Row],[Date]]="","",IF(tblReceipts[[#This Row],[Standard price]]="","",tblReceipts[[#This Row],[Quantity]]*tblReceipts[[#This Row],[Standard price]]))</f>
        <v>400.4</v>
      </c>
      <c r="M27" s="39">
        <f>IF(tblReceipts[[#This Row],[Date]]="","",IF(tblReceipts[[#This Row],[Standard price]]="","",tblReceipts[[#This Row],[Quantity]]*(tblReceipts[[#This Row],[Actual price]]-tblReceipts[[#This Row],[Standard price]])))</f>
        <v>-10.92</v>
      </c>
      <c r="N27" s="40">
        <f>IF(tblReceipts[[#This Row],[Date]]="","",IF(OR(tblReceipts[[#This Row],[Standard price]]="",tblReceipts[[#This Row],[Standard price]]=0),"",(tblReceipts[[#This Row],[Actual price]]-tblReceipts[[#This Row],[Standard price]])/tblReceipts[[#This Row],[Standard price]]))</f>
        <v>-0.0272727272727273</v>
      </c>
      <c r="O27" s="36" t="str">
        <f>IF(tblReceipts[[#This Row],[Date]]="","",IF(tblReceipts[[#This Row],[PPV]]="","",IF(tblReceipts[[#This Row],[PPV]]&gt;0,"Unfavourable",IF(tblReceipts[[#This Row],[PPV]]&lt;0,"Favourable","At standard"))))</f>
        <v>Favourable</v>
      </c>
      <c r="P27" s="41" t="str">
        <f>IF(NOT(ISNUMBER(tblReceipts[[#This Row],[PPV %]])),"",IF(tblReceipts[[#This Row],[PPV %]]&lt;=LineLimit,"On target",IF(tblReceipts[[#This Row],[PPV %]]&lt;=LineLimit*(1+0.05),"Near target","Above target")))</f>
        <v>On target</v>
      </c>
      <c r="Q27" s="42">
        <f>IF(tblReceipts[[#This Row],[Date]]="","",IF(AND(tblReceipts[[#This Row],[Date]]&gt;=FFrom,tblReceipts[[#This Row],[Date]]&lt;=FTo,OR(DashCat="",tblReceipts[[#This Row],[Category]]=DashCat)),tblReceipts[[#This Row],[Date]],""))</f>
        <v>46143</v>
      </c>
      <c r="R27"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27" s="28" t="s">
        <v>171</v>
      </c>
    </row>
    <row r="28" spans="2:19">
      <c r="B28" s="35">
        <v>46146</v>
      </c>
      <c r="C28" s="28" t="s">
        <v>192</v>
      </c>
      <c r="D28" s="28" t="s">
        <v>85</v>
      </c>
      <c r="E28" s="28" t="s">
        <v>135</v>
      </c>
      <c r="F28" s="33">
        <v>160</v>
      </c>
      <c r="G28" s="36" t="str">
        <f>IF(tblReceipts[[#This Row],[Date]]="","",IFERROR(INDEX(tblItems[UoM],MATCH(tblReceipts[[#This Row],[Item]],tblItems[Item],0)),""))</f>
        <v>ea</v>
      </c>
      <c r="H28" s="37">
        <v>18.29</v>
      </c>
      <c r="I28" s="38">
        <f>IF(tblReceipts[[#This Row],[Date]]="","",IFERROR(INDEX(tblItems[Standard price],MATCH(tblReceipts[[#This Row],[Item]],tblItems[Item],0)),""))</f>
        <v>18.4</v>
      </c>
      <c r="J28" s="36" t="str">
        <f>IF(tblReceipts[[#This Row],[Date]]="","",IFERROR(INDEX(tblItems[Category],MATCH(tblReceipts[[#This Row],[Item]],tblItems[Item],0)),""))</f>
        <v>Castings</v>
      </c>
      <c r="K28" s="39">
        <f>IF(tblReceipts[[#This Row],[Date]]="","",tblReceipts[[#This Row],[Quantity]]*tblReceipts[[#This Row],[Actual price]])</f>
        <v>2926.4</v>
      </c>
      <c r="L28" s="39">
        <f>IF(tblReceipts[[#This Row],[Date]]="","",IF(tblReceipts[[#This Row],[Standard price]]="","",tblReceipts[[#This Row],[Quantity]]*tblReceipts[[#This Row],[Standard price]]))</f>
        <v>2944</v>
      </c>
      <c r="M28" s="39">
        <f>IF(tblReceipts[[#This Row],[Date]]="","",IF(tblReceipts[[#This Row],[Standard price]]="","",tblReceipts[[#This Row],[Quantity]]*(tblReceipts[[#This Row],[Actual price]]-tblReceipts[[#This Row],[Standard price]])))</f>
        <v>-17.5999999999999</v>
      </c>
      <c r="N28" s="40">
        <f>IF(tblReceipts[[#This Row],[Date]]="","",IF(OR(tblReceipts[[#This Row],[Standard price]]="",tblReceipts[[#This Row],[Standard price]]=0),"",(tblReceipts[[#This Row],[Actual price]]-tblReceipts[[#This Row],[Standard price]])/tblReceipts[[#This Row],[Standard price]]))</f>
        <v>-0.00597826086956519</v>
      </c>
      <c r="O28" s="36" t="str">
        <f>IF(tblReceipts[[#This Row],[Date]]="","",IF(tblReceipts[[#This Row],[PPV]]="","",IF(tblReceipts[[#This Row],[PPV]]&gt;0,"Unfavourable",IF(tblReceipts[[#This Row],[PPV]]&lt;0,"Favourable","At standard"))))</f>
        <v>Favourable</v>
      </c>
      <c r="P28" s="41" t="str">
        <f>IF(NOT(ISNUMBER(tblReceipts[[#This Row],[PPV %]])),"",IF(tblReceipts[[#This Row],[PPV %]]&lt;=LineLimit,"On target",IF(tblReceipts[[#This Row],[PPV %]]&lt;=LineLimit*(1+0.05),"Near target","Above target")))</f>
        <v>On target</v>
      </c>
      <c r="Q28" s="42">
        <f>IF(tblReceipts[[#This Row],[Date]]="","",IF(AND(tblReceipts[[#This Row],[Date]]&gt;=FFrom,tblReceipts[[#This Row],[Date]]&lt;=FTo,OR(DashCat="",tblReceipts[[#This Row],[Category]]=DashCat)),tblReceipts[[#This Row],[Date]],""))</f>
        <v>46146</v>
      </c>
      <c r="R28"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28" s="28" t="s">
        <v>171</v>
      </c>
    </row>
    <row r="29" spans="2:19">
      <c r="B29" s="35">
        <v>46146</v>
      </c>
      <c r="C29" s="28" t="s">
        <v>193</v>
      </c>
      <c r="D29" s="28" t="s">
        <v>95</v>
      </c>
      <c r="E29" s="28" t="s">
        <v>144</v>
      </c>
      <c r="F29" s="33">
        <v>1180</v>
      </c>
      <c r="G29" s="36" t="str">
        <f>IF(tblReceipts[[#This Row],[Date]]="","",IFERROR(INDEX(tblItems[UoM],MATCH(tblReceipts[[#This Row],[Item]],tblItems[Item],0)),""))</f>
        <v>ea</v>
      </c>
      <c r="H29" s="37">
        <v>1.35</v>
      </c>
      <c r="I29" s="38">
        <f>IF(tblReceipts[[#This Row],[Date]]="","",IFERROR(INDEX(tblItems[Standard price],MATCH(tblReceipts[[#This Row],[Item]],tblItems[Item],0)),""))</f>
        <v>1.35</v>
      </c>
      <c r="J29" s="36" t="str">
        <f>IF(tblReceipts[[#This Row],[Date]]="","",IFERROR(INDEX(tblItems[Category],MATCH(tblReceipts[[#This Row],[Item]],tblItems[Item],0)),""))</f>
        <v>Seals</v>
      </c>
      <c r="K29" s="39">
        <f>IF(tblReceipts[[#This Row],[Date]]="","",tblReceipts[[#This Row],[Quantity]]*tblReceipts[[#This Row],[Actual price]])</f>
        <v>1593</v>
      </c>
      <c r="L29" s="39">
        <f>IF(tblReceipts[[#This Row],[Date]]="","",IF(tblReceipts[[#This Row],[Standard price]]="","",tblReceipts[[#This Row],[Quantity]]*tblReceipts[[#This Row],[Standard price]]))</f>
        <v>1593</v>
      </c>
      <c r="M29" s="39">
        <f>IF(tblReceipts[[#This Row],[Date]]="","",IF(tblReceipts[[#This Row],[Standard price]]="","",tblReceipts[[#This Row],[Quantity]]*(tblReceipts[[#This Row],[Actual price]]-tblReceipts[[#This Row],[Standard price]])))</f>
        <v>0</v>
      </c>
      <c r="N29" s="40">
        <f>IF(tblReceipts[[#This Row],[Date]]="","",IF(OR(tblReceipts[[#This Row],[Standard price]]="",tblReceipts[[#This Row],[Standard price]]=0),"",(tblReceipts[[#This Row],[Actual price]]-tblReceipts[[#This Row],[Standard price]])/tblReceipts[[#This Row],[Standard price]]))</f>
        <v>0</v>
      </c>
      <c r="O29" s="36" t="str">
        <f>IF(tblReceipts[[#This Row],[Date]]="","",IF(tblReceipts[[#This Row],[PPV]]="","",IF(tblReceipts[[#This Row],[PPV]]&gt;0,"Unfavourable",IF(tblReceipts[[#This Row],[PPV]]&lt;0,"Favourable","At standard"))))</f>
        <v>At standard</v>
      </c>
      <c r="P29" s="41" t="str">
        <f>IF(NOT(ISNUMBER(tblReceipts[[#This Row],[PPV %]])),"",IF(tblReceipts[[#This Row],[PPV %]]&lt;=LineLimit,"On target",IF(tblReceipts[[#This Row],[PPV %]]&lt;=LineLimit*(1+0.05),"Near target","Above target")))</f>
        <v>On target</v>
      </c>
      <c r="Q29" s="42">
        <f>IF(tblReceipts[[#This Row],[Date]]="","",IF(AND(tblReceipts[[#This Row],[Date]]&gt;=FFrom,tblReceipts[[#This Row],[Date]]&lt;=FTo,OR(DashCat="",tblReceipts[[#This Row],[Category]]=DashCat)),tblReceipts[[#This Row],[Date]],""))</f>
        <v>46146</v>
      </c>
      <c r="R29"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29" s="28" t="s">
        <v>171</v>
      </c>
    </row>
    <row r="30" spans="2:19">
      <c r="B30" s="35">
        <v>46148</v>
      </c>
      <c r="C30" s="28" t="s">
        <v>194</v>
      </c>
      <c r="D30" s="28" t="s">
        <v>90</v>
      </c>
      <c r="E30" s="28" t="s">
        <v>143</v>
      </c>
      <c r="F30" s="33">
        <v>553</v>
      </c>
      <c r="G30" s="36" t="str">
        <f>IF(tblReceipts[[#This Row],[Date]]="","",IFERROR(INDEX(tblItems[UoM],MATCH(tblReceipts[[#This Row],[Item]],tblItems[Item],0)),""))</f>
        <v>kg</v>
      </c>
      <c r="H30" s="37">
        <v>7.19</v>
      </c>
      <c r="I30" s="38">
        <f>IF(tblReceipts[[#This Row],[Date]]="","",IFERROR(INDEX(tblItems[Standard price],MATCH(tblReceipts[[#This Row],[Item]],tblItems[Item],0)),""))</f>
        <v>7.1</v>
      </c>
      <c r="J30" s="36" t="str">
        <f>IF(tblReceipts[[#This Row],[Date]]="","",IFERROR(INDEX(tblItems[Category],MATCH(tblReceipts[[#This Row],[Item]],tblItems[Item],0)),""))</f>
        <v>Bar stock</v>
      </c>
      <c r="K30" s="39">
        <f>IF(tblReceipts[[#This Row],[Date]]="","",tblReceipts[[#This Row],[Quantity]]*tblReceipts[[#This Row],[Actual price]])</f>
        <v>3976.07</v>
      </c>
      <c r="L30" s="39">
        <f>IF(tblReceipts[[#This Row],[Date]]="","",IF(tblReceipts[[#This Row],[Standard price]]="","",tblReceipts[[#This Row],[Quantity]]*tblReceipts[[#This Row],[Standard price]]))</f>
        <v>3926.3</v>
      </c>
      <c r="M30" s="39">
        <f>IF(tblReceipts[[#This Row],[Date]]="","",IF(tblReceipts[[#This Row],[Standard price]]="","",tblReceipts[[#This Row],[Quantity]]*(tblReceipts[[#This Row],[Actual price]]-tblReceipts[[#This Row],[Standard price]])))</f>
        <v>49.7700000000004</v>
      </c>
      <c r="N30" s="40">
        <f>IF(tblReceipts[[#This Row],[Date]]="","",IF(OR(tblReceipts[[#This Row],[Standard price]]="",tblReceipts[[#This Row],[Standard price]]=0),"",(tblReceipts[[#This Row],[Actual price]]-tblReceipts[[#This Row],[Standard price]])/tblReceipts[[#This Row],[Standard price]]))</f>
        <v>0.0126760563380283</v>
      </c>
      <c r="O30" s="36" t="str">
        <f>IF(tblReceipts[[#This Row],[Date]]="","",IF(tblReceipts[[#This Row],[PPV]]="","",IF(tblReceipts[[#This Row],[PPV]]&gt;0,"Unfavourable",IF(tblReceipts[[#This Row],[PPV]]&lt;0,"Favourable","At standard"))))</f>
        <v>Unfavourable</v>
      </c>
      <c r="P30" s="41" t="str">
        <f>IF(NOT(ISNUMBER(tblReceipts[[#This Row],[PPV %]])),"",IF(tblReceipts[[#This Row],[PPV %]]&lt;=LineLimit,"On target",IF(tblReceipts[[#This Row],[PPV %]]&lt;=LineLimit*(1+0.05),"Near target","Above target")))</f>
        <v>On target</v>
      </c>
      <c r="Q30" s="42">
        <f>IF(tblReceipts[[#This Row],[Date]]="","",IF(AND(tblReceipts[[#This Row],[Date]]&gt;=FFrom,tblReceipts[[#This Row],[Date]]&lt;=FTo,OR(DashCat="",tblReceipts[[#This Row],[Category]]=DashCat)),tblReceipts[[#This Row],[Date]],""))</f>
        <v>46148</v>
      </c>
      <c r="R30"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30" s="28" t="s">
        <v>171</v>
      </c>
    </row>
    <row r="31" spans="2:19">
      <c r="B31" s="35">
        <v>46153</v>
      </c>
      <c r="C31" s="28" t="s">
        <v>195</v>
      </c>
      <c r="D31" s="28" t="s">
        <v>99</v>
      </c>
      <c r="E31" s="28" t="s">
        <v>147</v>
      </c>
      <c r="F31" s="33">
        <v>99</v>
      </c>
      <c r="G31" s="36" t="str">
        <f>IF(tblReceipts[[#This Row],[Date]]="","",IFERROR(INDEX(tblItems[UoM],MATCH(tblReceipts[[#This Row],[Item]],tblItems[Item],0)),""))</f>
        <v>100 pcs</v>
      </c>
      <c r="H31" s="37">
        <v>14.78</v>
      </c>
      <c r="I31" s="38">
        <f>IF(tblReceipts[[#This Row],[Date]]="","",IFERROR(INDEX(tblItems[Standard price],MATCH(tblReceipts[[#This Row],[Item]],tblItems[Item],0)),""))</f>
        <v>14.5</v>
      </c>
      <c r="J31" s="36" t="str">
        <f>IF(tblReceipts[[#This Row],[Date]]="","",IFERROR(INDEX(tblItems[Category],MATCH(tblReceipts[[#This Row],[Item]],tblItems[Item],0)),""))</f>
        <v>Fasteners</v>
      </c>
      <c r="K31" s="39">
        <f>IF(tblReceipts[[#This Row],[Date]]="","",tblReceipts[[#This Row],[Quantity]]*tblReceipts[[#This Row],[Actual price]])</f>
        <v>1463.22</v>
      </c>
      <c r="L31" s="39">
        <f>IF(tblReceipts[[#This Row],[Date]]="","",IF(tblReceipts[[#This Row],[Standard price]]="","",tblReceipts[[#This Row],[Quantity]]*tblReceipts[[#This Row],[Standard price]]))</f>
        <v>1435.5</v>
      </c>
      <c r="M31" s="39">
        <f>IF(tblReceipts[[#This Row],[Date]]="","",IF(tblReceipts[[#This Row],[Standard price]]="","",tblReceipts[[#This Row],[Quantity]]*(tblReceipts[[#This Row],[Actual price]]-tblReceipts[[#This Row],[Standard price]])))</f>
        <v>27.7199999999999</v>
      </c>
      <c r="N31" s="40">
        <f>IF(tblReceipts[[#This Row],[Date]]="","",IF(OR(tblReceipts[[#This Row],[Standard price]]="",tblReceipts[[#This Row],[Standard price]]=0),"",(tblReceipts[[#This Row],[Actual price]]-tblReceipts[[#This Row],[Standard price]])/tblReceipts[[#This Row],[Standard price]]))</f>
        <v>0.0193103448275862</v>
      </c>
      <c r="O31" s="36" t="str">
        <f>IF(tblReceipts[[#This Row],[Date]]="","",IF(tblReceipts[[#This Row],[PPV]]="","",IF(tblReceipts[[#This Row],[PPV]]&gt;0,"Unfavourable",IF(tblReceipts[[#This Row],[PPV]]&lt;0,"Favourable","At standard"))))</f>
        <v>Unfavourable</v>
      </c>
      <c r="P31" s="41" t="str">
        <f>IF(NOT(ISNUMBER(tblReceipts[[#This Row],[PPV %]])),"",IF(tblReceipts[[#This Row],[PPV %]]&lt;=LineLimit,"On target",IF(tblReceipts[[#This Row],[PPV %]]&lt;=LineLimit*(1+0.05),"Near target","Above target")))</f>
        <v>On target</v>
      </c>
      <c r="Q31" s="42">
        <f>IF(tblReceipts[[#This Row],[Date]]="","",IF(AND(tblReceipts[[#This Row],[Date]]&gt;=FFrom,tblReceipts[[#This Row],[Date]]&lt;=FTo,OR(DashCat="",tblReceipts[[#This Row],[Category]]=DashCat)),tblReceipts[[#This Row],[Date]],""))</f>
        <v>46153</v>
      </c>
      <c r="R31"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31" s="28" t="s">
        <v>171</v>
      </c>
    </row>
    <row r="32" spans="2:19">
      <c r="B32" s="35">
        <v>46153</v>
      </c>
      <c r="C32" s="28" t="s">
        <v>196</v>
      </c>
      <c r="D32" s="28" t="s">
        <v>104</v>
      </c>
      <c r="E32" s="28" t="s">
        <v>153</v>
      </c>
      <c r="F32" s="33">
        <v>1110</v>
      </c>
      <c r="G32" s="36" t="str">
        <f>IF(tblReceipts[[#This Row],[Date]]="","",IFERROR(INDEX(tblItems[UoM],MATCH(tblReceipts[[#This Row],[Item]],tblItems[Item],0)),""))</f>
        <v>ea</v>
      </c>
      <c r="H32" s="37">
        <v>0.837</v>
      </c>
      <c r="I32" s="38">
        <f>IF(tblReceipts[[#This Row],[Date]]="","",IFERROR(INDEX(tblItems[Standard price],MATCH(tblReceipts[[#This Row],[Item]],tblItems[Item],0)),""))</f>
        <v>0.86</v>
      </c>
      <c r="J32" s="36" t="str">
        <f>IF(tblReceipts[[#This Row],[Date]]="","",IFERROR(INDEX(tblItems[Category],MATCH(tblReceipts[[#This Row],[Item]],tblItems[Item],0)),""))</f>
        <v>Packaging</v>
      </c>
      <c r="K32" s="39">
        <f>IF(tblReceipts[[#This Row],[Date]]="","",tblReceipts[[#This Row],[Quantity]]*tblReceipts[[#This Row],[Actual price]])</f>
        <v>929.07</v>
      </c>
      <c r="L32" s="39">
        <f>IF(tblReceipts[[#This Row],[Date]]="","",IF(tblReceipts[[#This Row],[Standard price]]="","",tblReceipts[[#This Row],[Quantity]]*tblReceipts[[#This Row],[Standard price]]))</f>
        <v>954.6</v>
      </c>
      <c r="M32" s="39">
        <f>IF(tblReceipts[[#This Row],[Date]]="","",IF(tblReceipts[[#This Row],[Standard price]]="","",tblReceipts[[#This Row],[Quantity]]*(tblReceipts[[#This Row],[Actual price]]-tblReceipts[[#This Row],[Standard price]])))</f>
        <v>-25.53</v>
      </c>
      <c r="N32" s="40">
        <f>IF(tblReceipts[[#This Row],[Date]]="","",IF(OR(tblReceipts[[#This Row],[Standard price]]="",tblReceipts[[#This Row],[Standard price]]=0),"",(tblReceipts[[#This Row],[Actual price]]-tblReceipts[[#This Row],[Standard price]])/tblReceipts[[#This Row],[Standard price]]))</f>
        <v>-0.0267441860465117</v>
      </c>
      <c r="O32" s="36" t="str">
        <f>IF(tblReceipts[[#This Row],[Date]]="","",IF(tblReceipts[[#This Row],[PPV]]="","",IF(tblReceipts[[#This Row],[PPV]]&gt;0,"Unfavourable",IF(tblReceipts[[#This Row],[PPV]]&lt;0,"Favourable","At standard"))))</f>
        <v>Favourable</v>
      </c>
      <c r="P32" s="41" t="str">
        <f>IF(NOT(ISNUMBER(tblReceipts[[#This Row],[PPV %]])),"",IF(tblReceipts[[#This Row],[PPV %]]&lt;=LineLimit,"On target",IF(tblReceipts[[#This Row],[PPV %]]&lt;=LineLimit*(1+0.05),"Near target","Above target")))</f>
        <v>On target</v>
      </c>
      <c r="Q32" s="42">
        <f>IF(tblReceipts[[#This Row],[Date]]="","",IF(AND(tblReceipts[[#This Row],[Date]]&gt;=FFrom,tblReceipts[[#This Row],[Date]]&lt;=FTo,OR(DashCat="",tblReceipts[[#This Row],[Category]]=DashCat)),tblReceipts[[#This Row],[Date]],""))</f>
        <v>46153</v>
      </c>
      <c r="R32"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32" s="28" t="s">
        <v>171</v>
      </c>
    </row>
    <row r="33" spans="2:19">
      <c r="B33" s="35">
        <v>46153</v>
      </c>
      <c r="C33" s="28" t="s">
        <v>197</v>
      </c>
      <c r="D33" s="28" t="s">
        <v>104</v>
      </c>
      <c r="E33" s="28" t="s">
        <v>155</v>
      </c>
      <c r="F33" s="33">
        <v>870</v>
      </c>
      <c r="G33" s="36" t="str">
        <f>IF(tblReceipts[[#This Row],[Date]]="","",IFERROR(INDEX(tblItems[UoM],MATCH(tblReceipts[[#This Row],[Item]],tblItems[Item],0)),""))</f>
        <v>ea</v>
      </c>
      <c r="H33" s="37">
        <v>0.433</v>
      </c>
      <c r="I33" s="38">
        <f>IF(tblReceipts[[#This Row],[Date]]="","",IFERROR(INDEX(tblItems[Standard price],MATCH(tblReceipts[[#This Row],[Item]],tblItems[Item],0)),""))</f>
        <v>0.44</v>
      </c>
      <c r="J33" s="36" t="str">
        <f>IF(tblReceipts[[#This Row],[Date]]="","",IFERROR(INDEX(tblItems[Category],MATCH(tblReceipts[[#This Row],[Item]],tblItems[Item],0)),""))</f>
        <v>Packaging</v>
      </c>
      <c r="K33" s="39">
        <f>IF(tblReceipts[[#This Row],[Date]]="","",tblReceipts[[#This Row],[Quantity]]*tblReceipts[[#This Row],[Actual price]])</f>
        <v>376.71</v>
      </c>
      <c r="L33" s="39">
        <f>IF(tblReceipts[[#This Row],[Date]]="","",IF(tblReceipts[[#This Row],[Standard price]]="","",tblReceipts[[#This Row],[Quantity]]*tblReceipts[[#This Row],[Standard price]]))</f>
        <v>382.8</v>
      </c>
      <c r="M33" s="39">
        <f>IF(tblReceipts[[#This Row],[Date]]="","",IF(tblReceipts[[#This Row],[Standard price]]="","",tblReceipts[[#This Row],[Quantity]]*(tblReceipts[[#This Row],[Actual price]]-tblReceipts[[#This Row],[Standard price]])))</f>
        <v>-6.09000000000001</v>
      </c>
      <c r="N33" s="40">
        <f>IF(tblReceipts[[#This Row],[Date]]="","",IF(OR(tblReceipts[[#This Row],[Standard price]]="",tblReceipts[[#This Row],[Standard price]]=0),"",(tblReceipts[[#This Row],[Actual price]]-tblReceipts[[#This Row],[Standard price]])/tblReceipts[[#This Row],[Standard price]]))</f>
        <v>-0.0159090909090909</v>
      </c>
      <c r="O33" s="36" t="str">
        <f>IF(tblReceipts[[#This Row],[Date]]="","",IF(tblReceipts[[#This Row],[PPV]]="","",IF(tblReceipts[[#This Row],[PPV]]&gt;0,"Unfavourable",IF(tblReceipts[[#This Row],[PPV]]&lt;0,"Favourable","At standard"))))</f>
        <v>Favourable</v>
      </c>
      <c r="P33" s="41" t="str">
        <f>IF(NOT(ISNUMBER(tblReceipts[[#This Row],[PPV %]])),"",IF(tblReceipts[[#This Row],[PPV %]]&lt;=LineLimit,"On target",IF(tblReceipts[[#This Row],[PPV %]]&lt;=LineLimit*(1+0.05),"Near target","Above target")))</f>
        <v>On target</v>
      </c>
      <c r="Q33" s="42">
        <f>IF(tblReceipts[[#This Row],[Date]]="","",IF(AND(tblReceipts[[#This Row],[Date]]&gt;=FFrom,tblReceipts[[#This Row],[Date]]&lt;=FTo,OR(DashCat="",tblReceipts[[#This Row],[Category]]=DashCat)),tblReceipts[[#This Row],[Date]],""))</f>
        <v>46153</v>
      </c>
      <c r="R33"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33" s="28" t="s">
        <v>171</v>
      </c>
    </row>
    <row r="34" spans="2:19">
      <c r="B34" s="35">
        <v>46154</v>
      </c>
      <c r="C34" s="28" t="s">
        <v>198</v>
      </c>
      <c r="D34" s="28" t="s">
        <v>85</v>
      </c>
      <c r="E34" s="28" t="s">
        <v>139</v>
      </c>
      <c r="F34" s="33">
        <v>400</v>
      </c>
      <c r="G34" s="36" t="str">
        <f>IF(tblReceipts[[#This Row],[Date]]="","",IFERROR(INDEX(tblItems[UoM],MATCH(tblReceipts[[#This Row],[Item]],tblItems[Item],0)),""))</f>
        <v>ea</v>
      </c>
      <c r="H34" s="37">
        <v>3.22</v>
      </c>
      <c r="I34" s="38">
        <f>IF(tblReceipts[[#This Row],[Date]]="","",IFERROR(INDEX(tblItems[Standard price],MATCH(tblReceipts[[#This Row],[Item]],tblItems[Item],0)),""))</f>
        <v>3.2</v>
      </c>
      <c r="J34" s="36" t="str">
        <f>IF(tblReceipts[[#This Row],[Date]]="","",IFERROR(INDEX(tblItems[Category],MATCH(tblReceipts[[#This Row],[Item]],tblItems[Item],0)),""))</f>
        <v>Castings</v>
      </c>
      <c r="K34" s="39">
        <f>IF(tblReceipts[[#This Row],[Date]]="","",tblReceipts[[#This Row],[Quantity]]*tblReceipts[[#This Row],[Actual price]])</f>
        <v>1288</v>
      </c>
      <c r="L34" s="39">
        <f>IF(tblReceipts[[#This Row],[Date]]="","",IF(tblReceipts[[#This Row],[Standard price]]="","",tblReceipts[[#This Row],[Quantity]]*tblReceipts[[#This Row],[Standard price]]))</f>
        <v>1280</v>
      </c>
      <c r="M34" s="39">
        <f>IF(tblReceipts[[#This Row],[Date]]="","",IF(tblReceipts[[#This Row],[Standard price]]="","",tblReceipts[[#This Row],[Quantity]]*(tblReceipts[[#This Row],[Actual price]]-tblReceipts[[#This Row],[Standard price]])))</f>
        <v>8.00000000000001</v>
      </c>
      <c r="N34" s="40">
        <f>IF(tblReceipts[[#This Row],[Date]]="","",IF(OR(tblReceipts[[#This Row],[Standard price]]="",tblReceipts[[#This Row],[Standard price]]=0),"",(tblReceipts[[#This Row],[Actual price]]-tblReceipts[[#This Row],[Standard price]])/tblReceipts[[#This Row],[Standard price]]))</f>
        <v>0.00625000000000001</v>
      </c>
      <c r="O34" s="36" t="str">
        <f>IF(tblReceipts[[#This Row],[Date]]="","",IF(tblReceipts[[#This Row],[PPV]]="","",IF(tblReceipts[[#This Row],[PPV]]&gt;0,"Unfavourable",IF(tblReceipts[[#This Row],[PPV]]&lt;0,"Favourable","At standard"))))</f>
        <v>Unfavourable</v>
      </c>
      <c r="P34" s="41" t="str">
        <f>IF(NOT(ISNUMBER(tblReceipts[[#This Row],[PPV %]])),"",IF(tblReceipts[[#This Row],[PPV %]]&lt;=LineLimit,"On target",IF(tblReceipts[[#This Row],[PPV %]]&lt;=LineLimit*(1+0.05),"Near target","Above target")))</f>
        <v>On target</v>
      </c>
      <c r="Q34" s="42">
        <f>IF(tblReceipts[[#This Row],[Date]]="","",IF(AND(tblReceipts[[#This Row],[Date]]&gt;=FFrom,tblReceipts[[#This Row],[Date]]&lt;=FTo,OR(DashCat="",tblReceipts[[#This Row],[Category]]=DashCat)),tblReceipts[[#This Row],[Date]],""))</f>
        <v>46154</v>
      </c>
      <c r="R34"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34" s="28" t="s">
        <v>171</v>
      </c>
    </row>
    <row r="35" spans="2:19">
      <c r="B35" s="35">
        <v>46154</v>
      </c>
      <c r="C35" s="28" t="s">
        <v>199</v>
      </c>
      <c r="D35" s="28" t="s">
        <v>101</v>
      </c>
      <c r="E35" s="28" t="s">
        <v>152</v>
      </c>
      <c r="F35" s="33">
        <v>150</v>
      </c>
      <c r="G35" s="36" t="str">
        <f>IF(tblReceipts[[#This Row],[Date]]="","",IFERROR(INDEX(tblItems[UoM],MATCH(tblReceipts[[#This Row],[Item]],tblItems[Item],0)),""))</f>
        <v>ea</v>
      </c>
      <c r="H35" s="37">
        <v>11.58</v>
      </c>
      <c r="I35" s="38">
        <f>IF(tblReceipts[[#This Row],[Date]]="","",IFERROR(INDEX(tblItems[Standard price],MATCH(tblReceipts[[#This Row],[Item]],tblItems[Item],0)),""))</f>
        <v>11.6</v>
      </c>
      <c r="J35" s="36" t="str">
        <f>IF(tblReceipts[[#This Row],[Date]]="","",IFERROR(INDEX(tblItems[Category],MATCH(tblReceipts[[#This Row],[Item]],tblItems[Item],0)),""))</f>
        <v>Electronics</v>
      </c>
      <c r="K35" s="39">
        <f>IF(tblReceipts[[#This Row],[Date]]="","",tblReceipts[[#This Row],[Quantity]]*tblReceipts[[#This Row],[Actual price]])</f>
        <v>1737</v>
      </c>
      <c r="L35" s="39">
        <f>IF(tblReceipts[[#This Row],[Date]]="","",IF(tblReceipts[[#This Row],[Standard price]]="","",tblReceipts[[#This Row],[Quantity]]*tblReceipts[[#This Row],[Standard price]]))</f>
        <v>1740</v>
      </c>
      <c r="M35" s="39">
        <f>IF(tblReceipts[[#This Row],[Date]]="","",IF(tblReceipts[[#This Row],[Standard price]]="","",tblReceipts[[#This Row],[Quantity]]*(tblReceipts[[#This Row],[Actual price]]-tblReceipts[[#This Row],[Standard price]])))</f>
        <v>-2.99999999999994</v>
      </c>
      <c r="N35" s="40">
        <f>IF(tblReceipts[[#This Row],[Date]]="","",IF(OR(tblReceipts[[#This Row],[Standard price]]="",tblReceipts[[#This Row],[Standard price]]=0),"",(tblReceipts[[#This Row],[Actual price]]-tblReceipts[[#This Row],[Standard price]])/tblReceipts[[#This Row],[Standard price]]))</f>
        <v>-0.00172413793103445</v>
      </c>
      <c r="O35" s="36" t="str">
        <f>IF(tblReceipts[[#This Row],[Date]]="","",IF(tblReceipts[[#This Row],[PPV]]="","",IF(tblReceipts[[#This Row],[PPV]]&gt;0,"Unfavourable",IF(tblReceipts[[#This Row],[PPV]]&lt;0,"Favourable","At standard"))))</f>
        <v>Favourable</v>
      </c>
      <c r="P35" s="41" t="str">
        <f>IF(NOT(ISNUMBER(tblReceipts[[#This Row],[PPV %]])),"",IF(tblReceipts[[#This Row],[PPV %]]&lt;=LineLimit,"On target",IF(tblReceipts[[#This Row],[PPV %]]&lt;=LineLimit*(1+0.05),"Near target","Above target")))</f>
        <v>On target</v>
      </c>
      <c r="Q35" s="42">
        <f>IF(tblReceipts[[#This Row],[Date]]="","",IF(AND(tblReceipts[[#This Row],[Date]]&gt;=FFrom,tblReceipts[[#This Row],[Date]]&lt;=FTo,OR(DashCat="",tblReceipts[[#This Row],[Category]]=DashCat)),tblReceipts[[#This Row],[Date]],""))</f>
        <v>46154</v>
      </c>
      <c r="R35"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35" s="28" t="s">
        <v>171</v>
      </c>
    </row>
    <row r="36" spans="2:19">
      <c r="B36" s="35">
        <v>46155</v>
      </c>
      <c r="C36" s="28" t="s">
        <v>200</v>
      </c>
      <c r="D36" s="28" t="s">
        <v>85</v>
      </c>
      <c r="E36" s="28" t="s">
        <v>138</v>
      </c>
      <c r="F36" s="33">
        <v>250</v>
      </c>
      <c r="G36" s="36" t="str">
        <f>IF(tblReceipts[[#This Row],[Date]]="","",IFERROR(INDEX(tblItems[UoM],MATCH(tblReceipts[[#This Row],[Item]],tblItems[Item],0)),""))</f>
        <v>ea</v>
      </c>
      <c r="H36" s="37">
        <v>9.710000000000001</v>
      </c>
      <c r="I36" s="38">
        <f>IF(tblReceipts[[#This Row],[Date]]="","",IFERROR(INDEX(tblItems[Standard price],MATCH(tblReceipts[[#This Row],[Item]],tblItems[Item],0)),""))</f>
        <v>9.75</v>
      </c>
      <c r="J36" s="36" t="str">
        <f>IF(tblReceipts[[#This Row],[Date]]="","",IFERROR(INDEX(tblItems[Category],MATCH(tblReceipts[[#This Row],[Item]],tblItems[Item],0)),""))</f>
        <v>Castings</v>
      </c>
      <c r="K36" s="39">
        <f>IF(tblReceipts[[#This Row],[Date]]="","",tblReceipts[[#This Row],[Quantity]]*tblReceipts[[#This Row],[Actual price]])</f>
        <v>2427.5</v>
      </c>
      <c r="L36" s="39">
        <f>IF(tblReceipts[[#This Row],[Date]]="","",IF(tblReceipts[[#This Row],[Standard price]]="","",tblReceipts[[#This Row],[Quantity]]*tblReceipts[[#This Row],[Standard price]]))</f>
        <v>2437.5</v>
      </c>
      <c r="M36" s="39">
        <f>IF(tblReceipts[[#This Row],[Date]]="","",IF(tblReceipts[[#This Row],[Standard price]]="","",tblReceipts[[#This Row],[Quantity]]*(tblReceipts[[#This Row],[Actual price]]-tblReceipts[[#This Row],[Standard price]])))</f>
        <v>-9.99999999999979</v>
      </c>
      <c r="N36" s="40">
        <f>IF(tblReceipts[[#This Row],[Date]]="","",IF(OR(tblReceipts[[#This Row],[Standard price]]="",tblReceipts[[#This Row],[Standard price]]=0),"",(tblReceipts[[#This Row],[Actual price]]-tblReceipts[[#This Row],[Standard price]])/tblReceipts[[#This Row],[Standard price]]))</f>
        <v>-0.00410256410256402</v>
      </c>
      <c r="O36" s="36" t="str">
        <f>IF(tblReceipts[[#This Row],[Date]]="","",IF(tblReceipts[[#This Row],[PPV]]="","",IF(tblReceipts[[#This Row],[PPV]]&gt;0,"Unfavourable",IF(tblReceipts[[#This Row],[PPV]]&lt;0,"Favourable","At standard"))))</f>
        <v>Favourable</v>
      </c>
      <c r="P36" s="41" t="str">
        <f>IF(NOT(ISNUMBER(tblReceipts[[#This Row],[PPV %]])),"",IF(tblReceipts[[#This Row],[PPV %]]&lt;=LineLimit,"On target",IF(tblReceipts[[#This Row],[PPV %]]&lt;=LineLimit*(1+0.05),"Near target","Above target")))</f>
        <v>On target</v>
      </c>
      <c r="Q36" s="42">
        <f>IF(tblReceipts[[#This Row],[Date]]="","",IF(AND(tblReceipts[[#This Row],[Date]]&gt;=FFrom,tblReceipts[[#This Row],[Date]]&lt;=FTo,OR(DashCat="",tblReceipts[[#This Row],[Category]]=DashCat)),tblReceipts[[#This Row],[Date]],""))</f>
        <v>46155</v>
      </c>
      <c r="R36"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36" s="28" t="s">
        <v>171</v>
      </c>
    </row>
    <row r="37" spans="2:19">
      <c r="B37" s="35">
        <v>46155</v>
      </c>
      <c r="C37" s="28" t="s">
        <v>201</v>
      </c>
      <c r="D37" s="28" t="s">
        <v>90</v>
      </c>
      <c r="E37" s="28" t="s">
        <v>140</v>
      </c>
      <c r="F37" s="33">
        <v>686</v>
      </c>
      <c r="G37" s="36" t="str">
        <f>IF(tblReceipts[[#This Row],[Date]]="","",IFERROR(INDEX(tblItems[UoM],MATCH(tblReceipts[[#This Row],[Item]],tblItems[Item],0)),""))</f>
        <v>kg</v>
      </c>
      <c r="H37" s="37">
        <v>6.24</v>
      </c>
      <c r="I37" s="38">
        <f>IF(tblReceipts[[#This Row],[Date]]="","",IFERROR(INDEX(tblItems[Standard price],MATCH(tblReceipts[[#This Row],[Item]],tblItems[Item],0)),""))</f>
        <v>6.2</v>
      </c>
      <c r="J37" s="36" t="str">
        <f>IF(tblReceipts[[#This Row],[Date]]="","",IFERROR(INDEX(tblItems[Category],MATCH(tblReceipts[[#This Row],[Item]],tblItems[Item],0)),""))</f>
        <v>Bar stock</v>
      </c>
      <c r="K37" s="39">
        <f>IF(tblReceipts[[#This Row],[Date]]="","",tblReceipts[[#This Row],[Quantity]]*tblReceipts[[#This Row],[Actual price]])</f>
        <v>4280.64</v>
      </c>
      <c r="L37" s="39">
        <f>IF(tblReceipts[[#This Row],[Date]]="","",IF(tblReceipts[[#This Row],[Standard price]]="","",tblReceipts[[#This Row],[Quantity]]*tblReceipts[[#This Row],[Standard price]]))</f>
        <v>4253.2</v>
      </c>
      <c r="M37" s="39">
        <f>IF(tblReceipts[[#This Row],[Date]]="","",IF(tblReceipts[[#This Row],[Standard price]]="","",tblReceipts[[#This Row],[Quantity]]*(tblReceipts[[#This Row],[Actual price]]-tblReceipts[[#This Row],[Standard price]])))</f>
        <v>27.44</v>
      </c>
      <c r="N37" s="40">
        <f>IF(tblReceipts[[#This Row],[Date]]="","",IF(OR(tblReceipts[[#This Row],[Standard price]]="",tblReceipts[[#This Row],[Standard price]]=0),"",(tblReceipts[[#This Row],[Actual price]]-tblReceipts[[#This Row],[Standard price]])/tblReceipts[[#This Row],[Standard price]]))</f>
        <v>0.00645161290322581</v>
      </c>
      <c r="O37" s="36" t="str">
        <f>IF(tblReceipts[[#This Row],[Date]]="","",IF(tblReceipts[[#This Row],[PPV]]="","",IF(tblReceipts[[#This Row],[PPV]]&gt;0,"Unfavourable",IF(tblReceipts[[#This Row],[PPV]]&lt;0,"Favourable","At standard"))))</f>
        <v>Unfavourable</v>
      </c>
      <c r="P37" s="41" t="str">
        <f>IF(NOT(ISNUMBER(tblReceipts[[#This Row],[PPV %]])),"",IF(tblReceipts[[#This Row],[PPV %]]&lt;=LineLimit,"On target",IF(tblReceipts[[#This Row],[PPV %]]&lt;=LineLimit*(1+0.05),"Near target","Above target")))</f>
        <v>On target</v>
      </c>
      <c r="Q37" s="42">
        <f>IF(tblReceipts[[#This Row],[Date]]="","",IF(AND(tblReceipts[[#This Row],[Date]]&gt;=FFrom,tblReceipts[[#This Row],[Date]]&lt;=FTo,OR(DashCat="",tblReceipts[[#This Row],[Category]]=DashCat)),tblReceipts[[#This Row],[Date]],""))</f>
        <v>46155</v>
      </c>
      <c r="R37"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37" s="28" t="s">
        <v>171</v>
      </c>
    </row>
    <row r="38" spans="2:19">
      <c r="B38" s="35">
        <v>46156</v>
      </c>
      <c r="C38" s="28" t="s">
        <v>202</v>
      </c>
      <c r="D38" s="28" t="s">
        <v>95</v>
      </c>
      <c r="E38" s="28" t="s">
        <v>146</v>
      </c>
      <c r="F38" s="33">
        <v>520</v>
      </c>
      <c r="G38" s="36" t="str">
        <f>IF(tblReceipts[[#This Row],[Date]]="","",IFERROR(INDEX(tblItems[UoM],MATCH(tblReceipts[[#This Row],[Item]],tblItems[Item],0)),""))</f>
        <v>ea</v>
      </c>
      <c r="H38" s="37">
        <v>0.918</v>
      </c>
      <c r="I38" s="38">
        <f>IF(tblReceipts[[#This Row],[Date]]="","",IFERROR(INDEX(tblItems[Standard price],MATCH(tblReceipts[[#This Row],[Item]],tblItems[Item],0)),""))</f>
        <v>0.92</v>
      </c>
      <c r="J38" s="36" t="str">
        <f>IF(tblReceipts[[#This Row],[Date]]="","",IFERROR(INDEX(tblItems[Category],MATCH(tblReceipts[[#This Row],[Item]],tblItems[Item],0)),""))</f>
        <v>Seals</v>
      </c>
      <c r="K38" s="39">
        <f>IF(tblReceipts[[#This Row],[Date]]="","",tblReceipts[[#This Row],[Quantity]]*tblReceipts[[#This Row],[Actual price]])</f>
        <v>477.36</v>
      </c>
      <c r="L38" s="39">
        <f>IF(tblReceipts[[#This Row],[Date]]="","",IF(tblReceipts[[#This Row],[Standard price]]="","",tblReceipts[[#This Row],[Quantity]]*tblReceipts[[#This Row],[Standard price]]))</f>
        <v>478.4</v>
      </c>
      <c r="M38" s="39">
        <f>IF(tblReceipts[[#This Row],[Date]]="","",IF(tblReceipts[[#This Row],[Standard price]]="","",tblReceipts[[#This Row],[Quantity]]*(tblReceipts[[#This Row],[Actual price]]-tblReceipts[[#This Row],[Standard price]])))</f>
        <v>-1.04</v>
      </c>
      <c r="N38" s="40">
        <f>IF(tblReceipts[[#This Row],[Date]]="","",IF(OR(tblReceipts[[#This Row],[Standard price]]="",tblReceipts[[#This Row],[Standard price]]=0),"",(tblReceipts[[#This Row],[Actual price]]-tblReceipts[[#This Row],[Standard price]])/tblReceipts[[#This Row],[Standard price]]))</f>
        <v>-0.00217391304347826</v>
      </c>
      <c r="O38" s="36" t="str">
        <f>IF(tblReceipts[[#This Row],[Date]]="","",IF(tblReceipts[[#This Row],[PPV]]="","",IF(tblReceipts[[#This Row],[PPV]]&gt;0,"Unfavourable",IF(tblReceipts[[#This Row],[PPV]]&lt;0,"Favourable","At standard"))))</f>
        <v>Favourable</v>
      </c>
      <c r="P38" s="41" t="str">
        <f>IF(NOT(ISNUMBER(tblReceipts[[#This Row],[PPV %]])),"",IF(tblReceipts[[#This Row],[PPV %]]&lt;=LineLimit,"On target",IF(tblReceipts[[#This Row],[PPV %]]&lt;=LineLimit*(1+0.05),"Near target","Above target")))</f>
        <v>On target</v>
      </c>
      <c r="Q38" s="42">
        <f>IF(tblReceipts[[#This Row],[Date]]="","",IF(AND(tblReceipts[[#This Row],[Date]]&gt;=FFrom,tblReceipts[[#This Row],[Date]]&lt;=FTo,OR(DashCat="",tblReceipts[[#This Row],[Category]]=DashCat)),tblReceipts[[#This Row],[Date]],""))</f>
        <v>46156</v>
      </c>
      <c r="R38"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38" s="28" t="s">
        <v>171</v>
      </c>
    </row>
    <row r="39" spans="2:19">
      <c r="B39" s="35">
        <v>46161</v>
      </c>
      <c r="C39" s="28" t="s">
        <v>203</v>
      </c>
      <c r="D39" s="28" t="s">
        <v>85</v>
      </c>
      <c r="E39" s="28" t="s">
        <v>135</v>
      </c>
      <c r="F39" s="33">
        <v>200</v>
      </c>
      <c r="G39" s="36" t="str">
        <f>IF(tblReceipts[[#This Row],[Date]]="","",IFERROR(INDEX(tblItems[UoM],MATCH(tblReceipts[[#This Row],[Item]],tblItems[Item],0)),""))</f>
        <v>ea</v>
      </c>
      <c r="H39" s="37">
        <v>18.54</v>
      </c>
      <c r="I39" s="38">
        <f>IF(tblReceipts[[#This Row],[Date]]="","",IFERROR(INDEX(tblItems[Standard price],MATCH(tblReceipts[[#This Row],[Item]],tblItems[Item],0)),""))</f>
        <v>18.4</v>
      </c>
      <c r="J39" s="36" t="str">
        <f>IF(tblReceipts[[#This Row],[Date]]="","",IFERROR(INDEX(tblItems[Category],MATCH(tblReceipts[[#This Row],[Item]],tblItems[Item],0)),""))</f>
        <v>Castings</v>
      </c>
      <c r="K39" s="39">
        <f>IF(tblReceipts[[#This Row],[Date]]="","",tblReceipts[[#This Row],[Quantity]]*tblReceipts[[#This Row],[Actual price]])</f>
        <v>3708</v>
      </c>
      <c r="L39" s="39">
        <f>IF(tblReceipts[[#This Row],[Date]]="","",IF(tblReceipts[[#This Row],[Standard price]]="","",tblReceipts[[#This Row],[Quantity]]*tblReceipts[[#This Row],[Standard price]]))</f>
        <v>3680</v>
      </c>
      <c r="M39" s="39">
        <f>IF(tblReceipts[[#This Row],[Date]]="","",IF(tblReceipts[[#This Row],[Standard price]]="","",tblReceipts[[#This Row],[Quantity]]*(tblReceipts[[#This Row],[Actual price]]-tblReceipts[[#This Row],[Standard price]])))</f>
        <v>28.0000000000001</v>
      </c>
      <c r="N39" s="40">
        <f>IF(tblReceipts[[#This Row],[Date]]="","",IF(OR(tblReceipts[[#This Row],[Standard price]]="",tblReceipts[[#This Row],[Standard price]]=0),"",(tblReceipts[[#This Row],[Actual price]]-tblReceipts[[#This Row],[Standard price]])/tblReceipts[[#This Row],[Standard price]]))</f>
        <v>0.00760869565217395</v>
      </c>
      <c r="O39" s="36" t="str">
        <f>IF(tblReceipts[[#This Row],[Date]]="","",IF(tblReceipts[[#This Row],[PPV]]="","",IF(tblReceipts[[#This Row],[PPV]]&gt;0,"Unfavourable",IF(tblReceipts[[#This Row],[PPV]]&lt;0,"Favourable","At standard"))))</f>
        <v>Unfavourable</v>
      </c>
      <c r="P39" s="41" t="str">
        <f>IF(NOT(ISNUMBER(tblReceipts[[#This Row],[PPV %]])),"",IF(tblReceipts[[#This Row],[PPV %]]&lt;=LineLimit,"On target",IF(tblReceipts[[#This Row],[PPV %]]&lt;=LineLimit*(1+0.05),"Near target","Above target")))</f>
        <v>On target</v>
      </c>
      <c r="Q39" s="42">
        <f>IF(tblReceipts[[#This Row],[Date]]="","",IF(AND(tblReceipts[[#This Row],[Date]]&gt;=FFrom,tblReceipts[[#This Row],[Date]]&lt;=FTo,OR(DashCat="",tblReceipts[[#This Row],[Category]]=DashCat)),tblReceipts[[#This Row],[Date]],""))</f>
        <v>46161</v>
      </c>
      <c r="R39"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39" s="28" t="s">
        <v>171</v>
      </c>
    </row>
    <row r="40" spans="2:19">
      <c r="B40" s="35">
        <v>46163</v>
      </c>
      <c r="C40" s="28" t="s">
        <v>204</v>
      </c>
      <c r="D40" s="28" t="s">
        <v>85</v>
      </c>
      <c r="E40" s="28" t="s">
        <v>138</v>
      </c>
      <c r="F40" s="33">
        <v>190</v>
      </c>
      <c r="G40" s="36" t="str">
        <f>IF(tblReceipts[[#This Row],[Date]]="","",IFERROR(INDEX(tblItems[UoM],MATCH(tblReceipts[[#This Row],[Item]],tblItems[Item],0)),""))</f>
        <v>ea</v>
      </c>
      <c r="H40" s="37">
        <v>9.789999999999999</v>
      </c>
      <c r="I40" s="38">
        <f>IF(tblReceipts[[#This Row],[Date]]="","",IFERROR(INDEX(tblItems[Standard price],MATCH(tblReceipts[[#This Row],[Item]],tblItems[Item],0)),""))</f>
        <v>9.75</v>
      </c>
      <c r="J40" s="36" t="str">
        <f>IF(tblReceipts[[#This Row],[Date]]="","",IFERROR(INDEX(tblItems[Category],MATCH(tblReceipts[[#This Row],[Item]],tblItems[Item],0)),""))</f>
        <v>Castings</v>
      </c>
      <c r="K40" s="39">
        <f>IF(tblReceipts[[#This Row],[Date]]="","",tblReceipts[[#This Row],[Quantity]]*tblReceipts[[#This Row],[Actual price]])</f>
        <v>1860.1</v>
      </c>
      <c r="L40" s="39">
        <f>IF(tblReceipts[[#This Row],[Date]]="","",IF(tblReceipts[[#This Row],[Standard price]]="","",tblReceipts[[#This Row],[Quantity]]*tblReceipts[[#This Row],[Standard price]]))</f>
        <v>1852.5</v>
      </c>
      <c r="M40" s="39">
        <f>IF(tblReceipts[[#This Row],[Date]]="","",IF(tblReceipts[[#This Row],[Standard price]]="","",tblReceipts[[#This Row],[Quantity]]*(tblReceipts[[#This Row],[Actual price]]-tblReceipts[[#This Row],[Standard price]])))</f>
        <v>7.59999999999984</v>
      </c>
      <c r="N40" s="40">
        <f>IF(tblReceipts[[#This Row],[Date]]="","",IF(OR(tblReceipts[[#This Row],[Standard price]]="",tblReceipts[[#This Row],[Standard price]]=0),"",(tblReceipts[[#This Row],[Actual price]]-tblReceipts[[#This Row],[Standard price]])/tblReceipts[[#This Row],[Standard price]]))</f>
        <v>0.00410256410256402</v>
      </c>
      <c r="O40" s="36" t="str">
        <f>IF(tblReceipts[[#This Row],[Date]]="","",IF(tblReceipts[[#This Row],[PPV]]="","",IF(tblReceipts[[#This Row],[PPV]]&gt;0,"Unfavourable",IF(tblReceipts[[#This Row],[PPV]]&lt;0,"Favourable","At standard"))))</f>
        <v>Unfavourable</v>
      </c>
      <c r="P40" s="41" t="str">
        <f>IF(NOT(ISNUMBER(tblReceipts[[#This Row],[PPV %]])),"",IF(tblReceipts[[#This Row],[PPV %]]&lt;=LineLimit,"On target",IF(tblReceipts[[#This Row],[PPV %]]&lt;=LineLimit*(1+0.05),"Near target","Above target")))</f>
        <v>On target</v>
      </c>
      <c r="Q40" s="42">
        <f>IF(tblReceipts[[#This Row],[Date]]="","",IF(AND(tblReceipts[[#This Row],[Date]]&gt;=FFrom,tblReceipts[[#This Row],[Date]]&lt;=FTo,OR(DashCat="",tblReceipts[[#This Row],[Category]]=DashCat)),tblReceipts[[#This Row],[Date]],""))</f>
        <v>46163</v>
      </c>
      <c r="R40"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40" s="28" t="s">
        <v>171</v>
      </c>
    </row>
    <row r="41" spans="2:19">
      <c r="B41" s="35">
        <v>46163</v>
      </c>
      <c r="C41" s="28" t="s">
        <v>205</v>
      </c>
      <c r="D41" s="28" t="s">
        <v>95</v>
      </c>
      <c r="E41" s="28" t="s">
        <v>146</v>
      </c>
      <c r="F41" s="33">
        <v>1090</v>
      </c>
      <c r="G41" s="36" t="str">
        <f>IF(tblReceipts[[#This Row],[Date]]="","",IFERROR(INDEX(tblItems[UoM],MATCH(tblReceipts[[#This Row],[Item]],tblItems[Item],0)),""))</f>
        <v>ea</v>
      </c>
      <c r="H41" s="37">
        <v>0.914</v>
      </c>
      <c r="I41" s="38">
        <f>IF(tblReceipts[[#This Row],[Date]]="","",IFERROR(INDEX(tblItems[Standard price],MATCH(tblReceipts[[#This Row],[Item]],tblItems[Item],0)),""))</f>
        <v>0.92</v>
      </c>
      <c r="J41" s="36" t="str">
        <f>IF(tblReceipts[[#This Row],[Date]]="","",IFERROR(INDEX(tblItems[Category],MATCH(tblReceipts[[#This Row],[Item]],tblItems[Item],0)),""))</f>
        <v>Seals</v>
      </c>
      <c r="K41" s="39">
        <f>IF(tblReceipts[[#This Row],[Date]]="","",tblReceipts[[#This Row],[Quantity]]*tblReceipts[[#This Row],[Actual price]])</f>
        <v>996.26</v>
      </c>
      <c r="L41" s="39">
        <f>IF(tblReceipts[[#This Row],[Date]]="","",IF(tblReceipts[[#This Row],[Standard price]]="","",tblReceipts[[#This Row],[Quantity]]*tblReceipts[[#This Row],[Standard price]]))</f>
        <v>1002.8</v>
      </c>
      <c r="M41" s="39">
        <f>IF(tblReceipts[[#This Row],[Date]]="","",IF(tblReceipts[[#This Row],[Standard price]]="","",tblReceipts[[#This Row],[Quantity]]*(tblReceipts[[#This Row],[Actual price]]-tblReceipts[[#This Row],[Standard price]])))</f>
        <v>-6.54000000000001</v>
      </c>
      <c r="N41" s="40">
        <f>IF(tblReceipts[[#This Row],[Date]]="","",IF(OR(tblReceipts[[#This Row],[Standard price]]="",tblReceipts[[#This Row],[Standard price]]=0),"",(tblReceipts[[#This Row],[Actual price]]-tblReceipts[[#This Row],[Standard price]])/tblReceipts[[#This Row],[Standard price]]))</f>
        <v>-0.00652173913043479</v>
      </c>
      <c r="O41" s="36" t="str">
        <f>IF(tblReceipts[[#This Row],[Date]]="","",IF(tblReceipts[[#This Row],[PPV]]="","",IF(tblReceipts[[#This Row],[PPV]]&gt;0,"Unfavourable",IF(tblReceipts[[#This Row],[PPV]]&lt;0,"Favourable","At standard"))))</f>
        <v>Favourable</v>
      </c>
      <c r="P41" s="41" t="str">
        <f>IF(NOT(ISNUMBER(tblReceipts[[#This Row],[PPV %]])),"",IF(tblReceipts[[#This Row],[PPV %]]&lt;=LineLimit,"On target",IF(tblReceipts[[#This Row],[PPV %]]&lt;=LineLimit*(1+0.05),"Near target","Above target")))</f>
        <v>On target</v>
      </c>
      <c r="Q41" s="42">
        <f>IF(tblReceipts[[#This Row],[Date]]="","",IF(AND(tblReceipts[[#This Row],[Date]]&gt;=FFrom,tblReceipts[[#This Row],[Date]]&lt;=FTo,OR(DashCat="",tblReceipts[[#This Row],[Category]]=DashCat)),tblReceipts[[#This Row],[Date]],""))</f>
        <v>46163</v>
      </c>
      <c r="R41"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41" s="28" t="s">
        <v>171</v>
      </c>
    </row>
    <row r="42" spans="2:19">
      <c r="B42" s="35">
        <v>46167</v>
      </c>
      <c r="C42" s="28" t="s">
        <v>206</v>
      </c>
      <c r="D42" s="28" t="s">
        <v>85</v>
      </c>
      <c r="E42" s="28" t="s">
        <v>139</v>
      </c>
      <c r="F42" s="33">
        <v>580</v>
      </c>
      <c r="G42" s="36" t="str">
        <f>IF(tblReceipts[[#This Row],[Date]]="","",IFERROR(INDEX(tblItems[UoM],MATCH(tblReceipts[[#This Row],[Item]],tblItems[Item],0)),""))</f>
        <v>ea</v>
      </c>
      <c r="H42" s="37">
        <v>3.18</v>
      </c>
      <c r="I42" s="38">
        <f>IF(tblReceipts[[#This Row],[Date]]="","",IFERROR(INDEX(tblItems[Standard price],MATCH(tblReceipts[[#This Row],[Item]],tblItems[Item],0)),""))</f>
        <v>3.2</v>
      </c>
      <c r="J42" s="36" t="str">
        <f>IF(tblReceipts[[#This Row],[Date]]="","",IFERROR(INDEX(tblItems[Category],MATCH(tblReceipts[[#This Row],[Item]],tblItems[Item],0)),""))</f>
        <v>Castings</v>
      </c>
      <c r="K42" s="39">
        <f>IF(tblReceipts[[#This Row],[Date]]="","",tblReceipts[[#This Row],[Quantity]]*tblReceipts[[#This Row],[Actual price]])</f>
        <v>1844.4</v>
      </c>
      <c r="L42" s="39">
        <f>IF(tblReceipts[[#This Row],[Date]]="","",IF(tblReceipts[[#This Row],[Standard price]]="","",tblReceipts[[#This Row],[Quantity]]*tblReceipts[[#This Row],[Standard price]]))</f>
        <v>1856</v>
      </c>
      <c r="M42" s="39">
        <f>IF(tblReceipts[[#This Row],[Date]]="","",IF(tblReceipts[[#This Row],[Standard price]]="","",tblReceipts[[#This Row],[Quantity]]*(tblReceipts[[#This Row],[Actual price]]-tblReceipts[[#This Row],[Standard price]])))</f>
        <v>-11.6</v>
      </c>
      <c r="N42" s="40">
        <f>IF(tblReceipts[[#This Row],[Date]]="","",IF(OR(tblReceipts[[#This Row],[Standard price]]="",tblReceipts[[#This Row],[Standard price]]=0),"",(tblReceipts[[#This Row],[Actual price]]-tblReceipts[[#This Row],[Standard price]])/tblReceipts[[#This Row],[Standard price]]))</f>
        <v>-0.00625000000000001</v>
      </c>
      <c r="O42" s="36" t="str">
        <f>IF(tblReceipts[[#This Row],[Date]]="","",IF(tblReceipts[[#This Row],[PPV]]="","",IF(tblReceipts[[#This Row],[PPV]]&gt;0,"Unfavourable",IF(tblReceipts[[#This Row],[PPV]]&lt;0,"Favourable","At standard"))))</f>
        <v>Favourable</v>
      </c>
      <c r="P42" s="41" t="str">
        <f>IF(NOT(ISNUMBER(tblReceipts[[#This Row],[PPV %]])),"",IF(tblReceipts[[#This Row],[PPV %]]&lt;=LineLimit,"On target",IF(tblReceipts[[#This Row],[PPV %]]&lt;=LineLimit*(1+0.05),"Near target","Above target")))</f>
        <v>On target</v>
      </c>
      <c r="Q42" s="42">
        <f>IF(tblReceipts[[#This Row],[Date]]="","",IF(AND(tblReceipts[[#This Row],[Date]]&gt;=FFrom,tblReceipts[[#This Row],[Date]]&lt;=FTo,OR(DashCat="",tblReceipts[[#This Row],[Category]]=DashCat)),tblReceipts[[#This Row],[Date]],""))</f>
        <v>46167</v>
      </c>
      <c r="R42"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42" s="28" t="s">
        <v>171</v>
      </c>
    </row>
    <row r="43" spans="2:19">
      <c r="B43" s="35">
        <v>46167</v>
      </c>
      <c r="C43" s="28" t="s">
        <v>207</v>
      </c>
      <c r="D43" s="28" t="s">
        <v>95</v>
      </c>
      <c r="E43" s="28" t="s">
        <v>144</v>
      </c>
      <c r="F43" s="33">
        <v>570</v>
      </c>
      <c r="G43" s="36" t="str">
        <f>IF(tblReceipts[[#This Row],[Date]]="","",IFERROR(INDEX(tblItems[UoM],MATCH(tblReceipts[[#This Row],[Item]],tblItems[Item],0)),""))</f>
        <v>ea</v>
      </c>
      <c r="H43" s="37">
        <v>1.346</v>
      </c>
      <c r="I43" s="38">
        <f>IF(tblReceipts[[#This Row],[Date]]="","",IFERROR(INDEX(tblItems[Standard price],MATCH(tblReceipts[[#This Row],[Item]],tblItems[Item],0)),""))</f>
        <v>1.35</v>
      </c>
      <c r="J43" s="36" t="str">
        <f>IF(tblReceipts[[#This Row],[Date]]="","",IFERROR(INDEX(tblItems[Category],MATCH(tblReceipts[[#This Row],[Item]],tblItems[Item],0)),""))</f>
        <v>Seals</v>
      </c>
      <c r="K43" s="39">
        <f>IF(tblReceipts[[#This Row],[Date]]="","",tblReceipts[[#This Row],[Quantity]]*tblReceipts[[#This Row],[Actual price]])</f>
        <v>767.22</v>
      </c>
      <c r="L43" s="39">
        <f>IF(tblReceipts[[#This Row],[Date]]="","",IF(tblReceipts[[#This Row],[Standard price]]="","",tblReceipts[[#This Row],[Quantity]]*tblReceipts[[#This Row],[Standard price]]))</f>
        <v>769.5</v>
      </c>
      <c r="M43" s="39">
        <f>IF(tblReceipts[[#This Row],[Date]]="","",IF(tblReceipts[[#This Row],[Standard price]]="","",tblReceipts[[#This Row],[Quantity]]*(tblReceipts[[#This Row],[Actual price]]-tblReceipts[[#This Row],[Standard price]])))</f>
        <v>-2.28</v>
      </c>
      <c r="N43" s="40">
        <f>IF(tblReceipts[[#This Row],[Date]]="","",IF(OR(tblReceipts[[#This Row],[Standard price]]="",tblReceipts[[#This Row],[Standard price]]=0),"",(tblReceipts[[#This Row],[Actual price]]-tblReceipts[[#This Row],[Standard price]])/tblReceipts[[#This Row],[Standard price]]))</f>
        <v>-0.00296296296296297</v>
      </c>
      <c r="O43" s="36" t="str">
        <f>IF(tblReceipts[[#This Row],[Date]]="","",IF(tblReceipts[[#This Row],[PPV]]="","",IF(tblReceipts[[#This Row],[PPV]]&gt;0,"Unfavourable",IF(tblReceipts[[#This Row],[PPV]]&lt;0,"Favourable","At standard"))))</f>
        <v>Favourable</v>
      </c>
      <c r="P43" s="41" t="str">
        <f>IF(NOT(ISNUMBER(tblReceipts[[#This Row],[PPV %]])),"",IF(tblReceipts[[#This Row],[PPV %]]&lt;=LineLimit,"On target",IF(tblReceipts[[#This Row],[PPV %]]&lt;=LineLimit*(1+0.05),"Near target","Above target")))</f>
        <v>On target</v>
      </c>
      <c r="Q43" s="42">
        <f>IF(tblReceipts[[#This Row],[Date]]="","",IF(AND(tblReceipts[[#This Row],[Date]]&gt;=FFrom,tblReceipts[[#This Row],[Date]]&lt;=FTo,OR(DashCat="",tblReceipts[[#This Row],[Category]]=DashCat)),tblReceipts[[#This Row],[Date]],""))</f>
        <v>46167</v>
      </c>
      <c r="R43"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43" s="28" t="s">
        <v>171</v>
      </c>
    </row>
    <row r="44" spans="2:19">
      <c r="B44" s="35">
        <v>46167</v>
      </c>
      <c r="C44" s="28" t="s">
        <v>208</v>
      </c>
      <c r="D44" s="28" t="s">
        <v>104</v>
      </c>
      <c r="E44" s="28" t="s">
        <v>153</v>
      </c>
      <c r="F44" s="33">
        <v>770</v>
      </c>
      <c r="G44" s="36" t="str">
        <f>IF(tblReceipts[[#This Row],[Date]]="","",IFERROR(INDEX(tblItems[UoM],MATCH(tblReceipts[[#This Row],[Item]],tblItems[Item],0)),""))</f>
        <v>ea</v>
      </c>
      <c r="H44" s="37">
        <v>0.839</v>
      </c>
      <c r="I44" s="38">
        <f>IF(tblReceipts[[#This Row],[Date]]="","",IFERROR(INDEX(tblItems[Standard price],MATCH(tblReceipts[[#This Row],[Item]],tblItems[Item],0)),""))</f>
        <v>0.86</v>
      </c>
      <c r="J44" s="36" t="str">
        <f>IF(tblReceipts[[#This Row],[Date]]="","",IFERROR(INDEX(tblItems[Category],MATCH(tblReceipts[[#This Row],[Item]],tblItems[Item],0)),""))</f>
        <v>Packaging</v>
      </c>
      <c r="K44" s="39">
        <f>IF(tblReceipts[[#This Row],[Date]]="","",tblReceipts[[#This Row],[Quantity]]*tblReceipts[[#This Row],[Actual price]])</f>
        <v>646.03</v>
      </c>
      <c r="L44" s="39">
        <f>IF(tblReceipts[[#This Row],[Date]]="","",IF(tblReceipts[[#This Row],[Standard price]]="","",tblReceipts[[#This Row],[Quantity]]*tblReceipts[[#This Row],[Standard price]]))</f>
        <v>662.2</v>
      </c>
      <c r="M44" s="39">
        <f>IF(tblReceipts[[#This Row],[Date]]="","",IF(tblReceipts[[#This Row],[Standard price]]="","",tblReceipts[[#This Row],[Quantity]]*(tblReceipts[[#This Row],[Actual price]]-tblReceipts[[#This Row],[Standard price]])))</f>
        <v>-16.17</v>
      </c>
      <c r="N44" s="40">
        <f>IF(tblReceipts[[#This Row],[Date]]="","",IF(OR(tblReceipts[[#This Row],[Standard price]]="",tblReceipts[[#This Row],[Standard price]]=0),"",(tblReceipts[[#This Row],[Actual price]]-tblReceipts[[#This Row],[Standard price]])/tblReceipts[[#This Row],[Standard price]]))</f>
        <v>-0.0244186046511628</v>
      </c>
      <c r="O44" s="36" t="str">
        <f>IF(tblReceipts[[#This Row],[Date]]="","",IF(tblReceipts[[#This Row],[PPV]]="","",IF(tblReceipts[[#This Row],[PPV]]&gt;0,"Unfavourable",IF(tblReceipts[[#This Row],[PPV]]&lt;0,"Favourable","At standard"))))</f>
        <v>Favourable</v>
      </c>
      <c r="P44" s="41" t="str">
        <f>IF(NOT(ISNUMBER(tblReceipts[[#This Row],[PPV %]])),"",IF(tblReceipts[[#This Row],[PPV %]]&lt;=LineLimit,"On target",IF(tblReceipts[[#This Row],[PPV %]]&lt;=LineLimit*(1+0.05),"Near target","Above target")))</f>
        <v>On target</v>
      </c>
      <c r="Q44" s="42">
        <f>IF(tblReceipts[[#This Row],[Date]]="","",IF(AND(tblReceipts[[#This Row],[Date]]&gt;=FFrom,tblReceipts[[#This Row],[Date]]&lt;=FTo,OR(DashCat="",tblReceipts[[#This Row],[Category]]=DashCat)),tblReceipts[[#This Row],[Date]],""))</f>
        <v>46167</v>
      </c>
      <c r="R44"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44" s="28" t="s">
        <v>171</v>
      </c>
    </row>
    <row r="45" spans="2:19">
      <c r="B45" s="35">
        <v>46177</v>
      </c>
      <c r="C45" s="28" t="s">
        <v>209</v>
      </c>
      <c r="D45" s="28" t="s">
        <v>90</v>
      </c>
      <c r="E45" s="28" t="s">
        <v>140</v>
      </c>
      <c r="F45" s="33">
        <v>844</v>
      </c>
      <c r="G45" s="36" t="str">
        <f>IF(tblReceipts[[#This Row],[Date]]="","",IFERROR(INDEX(tblItems[UoM],MATCH(tblReceipts[[#This Row],[Item]],tblItems[Item],0)),""))</f>
        <v>kg</v>
      </c>
      <c r="H45" s="37">
        <v>6.36</v>
      </c>
      <c r="I45" s="38">
        <f>IF(tblReceipts[[#This Row],[Date]]="","",IFERROR(INDEX(tblItems[Standard price],MATCH(tblReceipts[[#This Row],[Item]],tblItems[Item],0)),""))</f>
        <v>6.2</v>
      </c>
      <c r="J45" s="36" t="str">
        <f>IF(tblReceipts[[#This Row],[Date]]="","",IFERROR(INDEX(tblItems[Category],MATCH(tblReceipts[[#This Row],[Item]],tblItems[Item],0)),""))</f>
        <v>Bar stock</v>
      </c>
      <c r="K45" s="39">
        <f>IF(tblReceipts[[#This Row],[Date]]="","",tblReceipts[[#This Row],[Quantity]]*tblReceipts[[#This Row],[Actual price]])</f>
        <v>5367.84</v>
      </c>
      <c r="L45" s="39">
        <f>IF(tblReceipts[[#This Row],[Date]]="","",IF(tblReceipts[[#This Row],[Standard price]]="","",tblReceipts[[#This Row],[Quantity]]*tblReceipts[[#This Row],[Standard price]]))</f>
        <v>5232.8</v>
      </c>
      <c r="M45" s="39">
        <f>IF(tblReceipts[[#This Row],[Date]]="","",IF(tblReceipts[[#This Row],[Standard price]]="","",tblReceipts[[#This Row],[Quantity]]*(tblReceipts[[#This Row],[Actual price]]-tblReceipts[[#This Row],[Standard price]])))</f>
        <v>135.04</v>
      </c>
      <c r="N45" s="40">
        <f>IF(tblReceipts[[#This Row],[Date]]="","",IF(OR(tblReceipts[[#This Row],[Standard price]]="",tblReceipts[[#This Row],[Standard price]]=0),"",(tblReceipts[[#This Row],[Actual price]]-tblReceipts[[#This Row],[Standard price]])/tblReceipts[[#This Row],[Standard price]]))</f>
        <v>0.0258064516129032</v>
      </c>
      <c r="O45" s="36" t="str">
        <f>IF(tblReceipts[[#This Row],[Date]]="","",IF(tblReceipts[[#This Row],[PPV]]="","",IF(tblReceipts[[#This Row],[PPV]]&gt;0,"Unfavourable",IF(tblReceipts[[#This Row],[PPV]]&lt;0,"Favourable","At standard"))))</f>
        <v>Unfavourable</v>
      </c>
      <c r="P45" s="41" t="str">
        <f>IF(NOT(ISNUMBER(tblReceipts[[#This Row],[PPV %]])),"",IF(tblReceipts[[#This Row],[PPV %]]&lt;=LineLimit,"On target",IF(tblReceipts[[#This Row],[PPV %]]&lt;=LineLimit*(1+0.05),"Near target","Above target")))</f>
        <v>On target</v>
      </c>
      <c r="Q45" s="42">
        <f>IF(tblReceipts[[#This Row],[Date]]="","",IF(AND(tblReceipts[[#This Row],[Date]]&gt;=FFrom,tblReceipts[[#This Row],[Date]]&lt;=FTo,OR(DashCat="",tblReceipts[[#This Row],[Category]]=DashCat)),tblReceipts[[#This Row],[Date]],""))</f>
        <v>46177</v>
      </c>
      <c r="R45"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45" s="28" t="s">
        <v>171</v>
      </c>
    </row>
    <row r="46" spans="2:19">
      <c r="B46" s="35">
        <v>46177</v>
      </c>
      <c r="C46" s="28" t="s">
        <v>210</v>
      </c>
      <c r="D46" s="28" t="s">
        <v>104</v>
      </c>
      <c r="E46" s="28" t="s">
        <v>155</v>
      </c>
      <c r="F46" s="33">
        <v>1060</v>
      </c>
      <c r="G46" s="36" t="str">
        <f>IF(tblReceipts[[#This Row],[Date]]="","",IFERROR(INDEX(tblItems[UoM],MATCH(tblReceipts[[#This Row],[Item]],tblItems[Item],0)),""))</f>
        <v>ea</v>
      </c>
      <c r="H46" s="37">
        <v>0.428</v>
      </c>
      <c r="I46" s="38">
        <f>IF(tblReceipts[[#This Row],[Date]]="","",IFERROR(INDEX(tblItems[Standard price],MATCH(tblReceipts[[#This Row],[Item]],tblItems[Item],0)),""))</f>
        <v>0.44</v>
      </c>
      <c r="J46" s="36" t="str">
        <f>IF(tblReceipts[[#This Row],[Date]]="","",IFERROR(INDEX(tblItems[Category],MATCH(tblReceipts[[#This Row],[Item]],tblItems[Item],0)),""))</f>
        <v>Packaging</v>
      </c>
      <c r="K46" s="39">
        <f>IF(tblReceipts[[#This Row],[Date]]="","",tblReceipts[[#This Row],[Quantity]]*tblReceipts[[#This Row],[Actual price]])</f>
        <v>453.68</v>
      </c>
      <c r="L46" s="39">
        <f>IF(tblReceipts[[#This Row],[Date]]="","",IF(tblReceipts[[#This Row],[Standard price]]="","",tblReceipts[[#This Row],[Quantity]]*tblReceipts[[#This Row],[Standard price]]))</f>
        <v>466.4</v>
      </c>
      <c r="M46" s="39">
        <f>IF(tblReceipts[[#This Row],[Date]]="","",IF(tblReceipts[[#This Row],[Standard price]]="","",tblReceipts[[#This Row],[Quantity]]*(tblReceipts[[#This Row],[Actual price]]-tblReceipts[[#This Row],[Standard price]])))</f>
        <v>-12.72</v>
      </c>
      <c r="N46" s="40">
        <f>IF(tblReceipts[[#This Row],[Date]]="","",IF(OR(tblReceipts[[#This Row],[Standard price]]="",tblReceipts[[#This Row],[Standard price]]=0),"",(tblReceipts[[#This Row],[Actual price]]-tblReceipts[[#This Row],[Standard price]])/tblReceipts[[#This Row],[Standard price]]))</f>
        <v>-0.0272727272727273</v>
      </c>
      <c r="O46" s="36" t="str">
        <f>IF(tblReceipts[[#This Row],[Date]]="","",IF(tblReceipts[[#This Row],[PPV]]="","",IF(tblReceipts[[#This Row],[PPV]]&gt;0,"Unfavourable",IF(tblReceipts[[#This Row],[PPV]]&lt;0,"Favourable","At standard"))))</f>
        <v>Favourable</v>
      </c>
      <c r="P46" s="41" t="str">
        <f>IF(NOT(ISNUMBER(tblReceipts[[#This Row],[PPV %]])),"",IF(tblReceipts[[#This Row],[PPV %]]&lt;=LineLimit,"On target",IF(tblReceipts[[#This Row],[PPV %]]&lt;=LineLimit*(1+0.05),"Near target","Above target")))</f>
        <v>On target</v>
      </c>
      <c r="Q46" s="42">
        <f>IF(tblReceipts[[#This Row],[Date]]="","",IF(AND(tblReceipts[[#This Row],[Date]]&gt;=FFrom,tblReceipts[[#This Row],[Date]]&lt;=FTo,OR(DashCat="",tblReceipts[[#This Row],[Category]]=DashCat)),tblReceipts[[#This Row],[Date]],""))</f>
        <v>46177</v>
      </c>
      <c r="R46"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46" s="28" t="s">
        <v>171</v>
      </c>
    </row>
    <row r="47" spans="2:19">
      <c r="B47" s="35">
        <v>46178</v>
      </c>
      <c r="C47" s="28" t="s">
        <v>211</v>
      </c>
      <c r="D47" s="28" t="s">
        <v>95</v>
      </c>
      <c r="E47" s="28" t="s">
        <v>146</v>
      </c>
      <c r="F47" s="33">
        <v>650</v>
      </c>
      <c r="G47" s="36" t="str">
        <f>IF(tblReceipts[[#This Row],[Date]]="","",IFERROR(INDEX(tblItems[UoM],MATCH(tblReceipts[[#This Row],[Item]],tblItems[Item],0)),""))</f>
        <v>ea</v>
      </c>
      <c r="H47" s="37">
        <v>0.917</v>
      </c>
      <c r="I47" s="38">
        <f>IF(tblReceipts[[#This Row],[Date]]="","",IFERROR(INDEX(tblItems[Standard price],MATCH(tblReceipts[[#This Row],[Item]],tblItems[Item],0)),""))</f>
        <v>0.92</v>
      </c>
      <c r="J47" s="36" t="str">
        <f>IF(tblReceipts[[#This Row],[Date]]="","",IFERROR(INDEX(tblItems[Category],MATCH(tblReceipts[[#This Row],[Item]],tblItems[Item],0)),""))</f>
        <v>Seals</v>
      </c>
      <c r="K47" s="39">
        <f>IF(tblReceipts[[#This Row],[Date]]="","",tblReceipts[[#This Row],[Quantity]]*tblReceipts[[#This Row],[Actual price]])</f>
        <v>596.05</v>
      </c>
      <c r="L47" s="39">
        <f>IF(tblReceipts[[#This Row],[Date]]="","",IF(tblReceipts[[#This Row],[Standard price]]="","",tblReceipts[[#This Row],[Quantity]]*tblReceipts[[#This Row],[Standard price]]))</f>
        <v>598</v>
      </c>
      <c r="M47" s="39">
        <f>IF(tblReceipts[[#This Row],[Date]]="","",IF(tblReceipts[[#This Row],[Standard price]]="","",tblReceipts[[#This Row],[Quantity]]*(tblReceipts[[#This Row],[Actual price]]-tblReceipts[[#This Row],[Standard price]])))</f>
        <v>-1.95</v>
      </c>
      <c r="N47" s="40">
        <f>IF(tblReceipts[[#This Row],[Date]]="","",IF(OR(tblReceipts[[#This Row],[Standard price]]="",tblReceipts[[#This Row],[Standard price]]=0),"",(tblReceipts[[#This Row],[Actual price]]-tblReceipts[[#This Row],[Standard price]])/tblReceipts[[#This Row],[Standard price]]))</f>
        <v>-0.00326086956521739</v>
      </c>
      <c r="O47" s="36" t="str">
        <f>IF(tblReceipts[[#This Row],[Date]]="","",IF(tblReceipts[[#This Row],[PPV]]="","",IF(tblReceipts[[#This Row],[PPV]]&gt;0,"Unfavourable",IF(tblReceipts[[#This Row],[PPV]]&lt;0,"Favourable","At standard"))))</f>
        <v>Favourable</v>
      </c>
      <c r="P47" s="41" t="str">
        <f>IF(NOT(ISNUMBER(tblReceipts[[#This Row],[PPV %]])),"",IF(tblReceipts[[#This Row],[PPV %]]&lt;=LineLimit,"On target",IF(tblReceipts[[#This Row],[PPV %]]&lt;=LineLimit*(1+0.05),"Near target","Above target")))</f>
        <v>On target</v>
      </c>
      <c r="Q47" s="42">
        <f>IF(tblReceipts[[#This Row],[Date]]="","",IF(AND(tblReceipts[[#This Row],[Date]]&gt;=FFrom,tblReceipts[[#This Row],[Date]]&lt;=FTo,OR(DashCat="",tblReceipts[[#This Row],[Category]]=DashCat)),tblReceipts[[#This Row],[Date]],""))</f>
        <v>46178</v>
      </c>
      <c r="R47"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47" s="28" t="s">
        <v>171</v>
      </c>
    </row>
    <row r="48" spans="2:19">
      <c r="B48" s="35">
        <v>46178</v>
      </c>
      <c r="C48" s="28" t="s">
        <v>212</v>
      </c>
      <c r="D48" s="28" t="s">
        <v>104</v>
      </c>
      <c r="E48" s="28" t="s">
        <v>153</v>
      </c>
      <c r="F48" s="33">
        <v>1120</v>
      </c>
      <c r="G48" s="36" t="str">
        <f>IF(tblReceipts[[#This Row],[Date]]="","",IFERROR(INDEX(tblItems[UoM],MATCH(tblReceipts[[#This Row],[Item]],tblItems[Item],0)),""))</f>
        <v>ea</v>
      </c>
      <c r="H48" s="37">
        <v>0.84</v>
      </c>
      <c r="I48" s="38">
        <f>IF(tblReceipts[[#This Row],[Date]]="","",IFERROR(INDEX(tblItems[Standard price],MATCH(tblReceipts[[#This Row],[Item]],tblItems[Item],0)),""))</f>
        <v>0.86</v>
      </c>
      <c r="J48" s="36" t="str">
        <f>IF(tblReceipts[[#This Row],[Date]]="","",IFERROR(INDEX(tblItems[Category],MATCH(tblReceipts[[#This Row],[Item]],tblItems[Item],0)),""))</f>
        <v>Packaging</v>
      </c>
      <c r="K48" s="39">
        <f>IF(tblReceipts[[#This Row],[Date]]="","",tblReceipts[[#This Row],[Quantity]]*tblReceipts[[#This Row],[Actual price]])</f>
        <v>940.8</v>
      </c>
      <c r="L48" s="39">
        <f>IF(tblReceipts[[#This Row],[Date]]="","",IF(tblReceipts[[#This Row],[Standard price]]="","",tblReceipts[[#This Row],[Quantity]]*tblReceipts[[#This Row],[Standard price]]))</f>
        <v>963.2</v>
      </c>
      <c r="M48" s="39">
        <f>IF(tblReceipts[[#This Row],[Date]]="","",IF(tblReceipts[[#This Row],[Standard price]]="","",tblReceipts[[#This Row],[Quantity]]*(tblReceipts[[#This Row],[Actual price]]-tblReceipts[[#This Row],[Standard price]])))</f>
        <v>-22.4</v>
      </c>
      <c r="N48" s="40">
        <f>IF(tblReceipts[[#This Row],[Date]]="","",IF(OR(tblReceipts[[#This Row],[Standard price]]="",tblReceipts[[#This Row],[Standard price]]=0),"",(tblReceipts[[#This Row],[Actual price]]-tblReceipts[[#This Row],[Standard price]])/tblReceipts[[#This Row],[Standard price]]))</f>
        <v>-0.0232558139534884</v>
      </c>
      <c r="O48" s="36" t="str">
        <f>IF(tblReceipts[[#This Row],[Date]]="","",IF(tblReceipts[[#This Row],[PPV]]="","",IF(tblReceipts[[#This Row],[PPV]]&gt;0,"Unfavourable",IF(tblReceipts[[#This Row],[PPV]]&lt;0,"Favourable","At standard"))))</f>
        <v>Favourable</v>
      </c>
      <c r="P48" s="41" t="str">
        <f>IF(NOT(ISNUMBER(tblReceipts[[#This Row],[PPV %]])),"",IF(tblReceipts[[#This Row],[PPV %]]&lt;=LineLimit,"On target",IF(tblReceipts[[#This Row],[PPV %]]&lt;=LineLimit*(1+0.05),"Near target","Above target")))</f>
        <v>On target</v>
      </c>
      <c r="Q48" s="42">
        <f>IF(tblReceipts[[#This Row],[Date]]="","",IF(AND(tblReceipts[[#This Row],[Date]]&gt;=FFrom,tblReceipts[[#This Row],[Date]]&lt;=FTo,OR(DashCat="",tblReceipts[[#This Row],[Category]]=DashCat)),tblReceipts[[#This Row],[Date]],""))</f>
        <v>46178</v>
      </c>
      <c r="R48"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48" s="28" t="s">
        <v>171</v>
      </c>
    </row>
    <row r="49" spans="2:19">
      <c r="B49" s="35">
        <v>46181</v>
      </c>
      <c r="C49" s="28" t="s">
        <v>213</v>
      </c>
      <c r="D49" s="28" t="s">
        <v>85</v>
      </c>
      <c r="E49" s="28" t="s">
        <v>138</v>
      </c>
      <c r="F49" s="33">
        <v>350</v>
      </c>
      <c r="G49" s="36" t="str">
        <f>IF(tblReceipts[[#This Row],[Date]]="","",IFERROR(INDEX(tblItems[UoM],MATCH(tblReceipts[[#This Row],[Item]],tblItems[Item],0)),""))</f>
        <v>ea</v>
      </c>
      <c r="H49" s="37">
        <v>9.75</v>
      </c>
      <c r="I49" s="38">
        <f>IF(tblReceipts[[#This Row],[Date]]="","",IFERROR(INDEX(tblItems[Standard price],MATCH(tblReceipts[[#This Row],[Item]],tblItems[Item],0)),""))</f>
        <v>9.75</v>
      </c>
      <c r="J49" s="36" t="str">
        <f>IF(tblReceipts[[#This Row],[Date]]="","",IFERROR(INDEX(tblItems[Category],MATCH(tblReceipts[[#This Row],[Item]],tblItems[Item],0)),""))</f>
        <v>Castings</v>
      </c>
      <c r="K49" s="39">
        <f>IF(tblReceipts[[#This Row],[Date]]="","",tblReceipts[[#This Row],[Quantity]]*tblReceipts[[#This Row],[Actual price]])</f>
        <v>3412.5</v>
      </c>
      <c r="L49" s="39">
        <f>IF(tblReceipts[[#This Row],[Date]]="","",IF(tblReceipts[[#This Row],[Standard price]]="","",tblReceipts[[#This Row],[Quantity]]*tblReceipts[[#This Row],[Standard price]]))</f>
        <v>3412.5</v>
      </c>
      <c r="M49" s="39">
        <f>IF(tblReceipts[[#This Row],[Date]]="","",IF(tblReceipts[[#This Row],[Standard price]]="","",tblReceipts[[#This Row],[Quantity]]*(tblReceipts[[#This Row],[Actual price]]-tblReceipts[[#This Row],[Standard price]])))</f>
        <v>0</v>
      </c>
      <c r="N49" s="40">
        <f>IF(tblReceipts[[#This Row],[Date]]="","",IF(OR(tblReceipts[[#This Row],[Standard price]]="",tblReceipts[[#This Row],[Standard price]]=0),"",(tblReceipts[[#This Row],[Actual price]]-tblReceipts[[#This Row],[Standard price]])/tblReceipts[[#This Row],[Standard price]]))</f>
        <v>0</v>
      </c>
      <c r="O49" s="36" t="str">
        <f>IF(tblReceipts[[#This Row],[Date]]="","",IF(tblReceipts[[#This Row],[PPV]]="","",IF(tblReceipts[[#This Row],[PPV]]&gt;0,"Unfavourable",IF(tblReceipts[[#This Row],[PPV]]&lt;0,"Favourable","At standard"))))</f>
        <v>At standard</v>
      </c>
      <c r="P49" s="41" t="str">
        <f>IF(NOT(ISNUMBER(tblReceipts[[#This Row],[PPV %]])),"",IF(tblReceipts[[#This Row],[PPV %]]&lt;=LineLimit,"On target",IF(tblReceipts[[#This Row],[PPV %]]&lt;=LineLimit*(1+0.05),"Near target","Above target")))</f>
        <v>On target</v>
      </c>
      <c r="Q49" s="42">
        <f>IF(tblReceipts[[#This Row],[Date]]="","",IF(AND(tblReceipts[[#This Row],[Date]]&gt;=FFrom,tblReceipts[[#This Row],[Date]]&lt;=FTo,OR(DashCat="",tblReceipts[[#This Row],[Category]]=DashCat)),tblReceipts[[#This Row],[Date]],""))</f>
        <v>46181</v>
      </c>
      <c r="R49"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49" s="28" t="s">
        <v>171</v>
      </c>
    </row>
    <row r="50" spans="2:19">
      <c r="B50" s="35">
        <v>46181</v>
      </c>
      <c r="C50" s="28" t="s">
        <v>214</v>
      </c>
      <c r="D50" s="28" t="s">
        <v>85</v>
      </c>
      <c r="E50" s="28" t="s">
        <v>139</v>
      </c>
      <c r="F50" s="33">
        <v>430</v>
      </c>
      <c r="G50" s="36" t="str">
        <f>IF(tblReceipts[[#This Row],[Date]]="","",IFERROR(INDEX(tblItems[UoM],MATCH(tblReceipts[[#This Row],[Item]],tblItems[Item],0)),""))</f>
        <v>ea</v>
      </c>
      <c r="H50" s="37">
        <v>3.18</v>
      </c>
      <c r="I50" s="38">
        <f>IF(tblReceipts[[#This Row],[Date]]="","",IFERROR(INDEX(tblItems[Standard price],MATCH(tblReceipts[[#This Row],[Item]],tblItems[Item],0)),""))</f>
        <v>3.2</v>
      </c>
      <c r="J50" s="36" t="str">
        <f>IF(tblReceipts[[#This Row],[Date]]="","",IFERROR(INDEX(tblItems[Category],MATCH(tblReceipts[[#This Row],[Item]],tblItems[Item],0)),""))</f>
        <v>Castings</v>
      </c>
      <c r="K50" s="39">
        <f>IF(tblReceipts[[#This Row],[Date]]="","",tblReceipts[[#This Row],[Quantity]]*tblReceipts[[#This Row],[Actual price]])</f>
        <v>1367.4</v>
      </c>
      <c r="L50" s="39">
        <f>IF(tblReceipts[[#This Row],[Date]]="","",IF(tblReceipts[[#This Row],[Standard price]]="","",tblReceipts[[#This Row],[Quantity]]*tblReceipts[[#This Row],[Standard price]]))</f>
        <v>1376</v>
      </c>
      <c r="M50" s="39">
        <f>IF(tblReceipts[[#This Row],[Date]]="","",IF(tblReceipts[[#This Row],[Standard price]]="","",tblReceipts[[#This Row],[Quantity]]*(tblReceipts[[#This Row],[Actual price]]-tblReceipts[[#This Row],[Standard price]])))</f>
        <v>-8.60000000000001</v>
      </c>
      <c r="N50" s="40">
        <f>IF(tblReceipts[[#This Row],[Date]]="","",IF(OR(tblReceipts[[#This Row],[Standard price]]="",tblReceipts[[#This Row],[Standard price]]=0),"",(tblReceipts[[#This Row],[Actual price]]-tblReceipts[[#This Row],[Standard price]])/tblReceipts[[#This Row],[Standard price]]))</f>
        <v>-0.00625000000000001</v>
      </c>
      <c r="O50" s="36" t="str">
        <f>IF(tblReceipts[[#This Row],[Date]]="","",IF(tblReceipts[[#This Row],[PPV]]="","",IF(tblReceipts[[#This Row],[PPV]]&gt;0,"Unfavourable",IF(tblReceipts[[#This Row],[PPV]]&lt;0,"Favourable","At standard"))))</f>
        <v>Favourable</v>
      </c>
      <c r="P50" s="41" t="str">
        <f>IF(NOT(ISNUMBER(tblReceipts[[#This Row],[PPV %]])),"",IF(tblReceipts[[#This Row],[PPV %]]&lt;=LineLimit,"On target",IF(tblReceipts[[#This Row],[PPV %]]&lt;=LineLimit*(1+0.05),"Near target","Above target")))</f>
        <v>On target</v>
      </c>
      <c r="Q50" s="42">
        <f>IF(tblReceipts[[#This Row],[Date]]="","",IF(AND(tblReceipts[[#This Row],[Date]]&gt;=FFrom,tblReceipts[[#This Row],[Date]]&lt;=FTo,OR(DashCat="",tblReceipts[[#This Row],[Category]]=DashCat)),tblReceipts[[#This Row],[Date]],""))</f>
        <v>46181</v>
      </c>
      <c r="R50"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50" s="28" t="s">
        <v>171</v>
      </c>
    </row>
    <row r="51" spans="2:19">
      <c r="B51" s="35">
        <v>46181</v>
      </c>
      <c r="C51" s="28" t="s">
        <v>215</v>
      </c>
      <c r="D51" s="28" t="s">
        <v>101</v>
      </c>
      <c r="E51" s="28" t="s">
        <v>150</v>
      </c>
      <c r="F51" s="33">
        <v>160</v>
      </c>
      <c r="G51" s="36" t="str">
        <f>IF(tblReceipts[[#This Row],[Date]]="","",IFERROR(INDEX(tblItems[UoM],MATCH(tblReceipts[[#This Row],[Item]],tblItems[Item],0)),""))</f>
        <v>ea</v>
      </c>
      <c r="H51" s="37">
        <v>23.94</v>
      </c>
      <c r="I51" s="38">
        <f>IF(tblReceipts[[#This Row],[Date]]="","",IFERROR(INDEX(tblItems[Standard price],MATCH(tblReceipts[[#This Row],[Item]],tblItems[Item],0)),""))</f>
        <v>23.8</v>
      </c>
      <c r="J51" s="36" t="str">
        <f>IF(tblReceipts[[#This Row],[Date]]="","",IFERROR(INDEX(tblItems[Category],MATCH(tblReceipts[[#This Row],[Item]],tblItems[Item],0)),""))</f>
        <v>Electronics</v>
      </c>
      <c r="K51" s="39">
        <f>IF(tblReceipts[[#This Row],[Date]]="","",tblReceipts[[#This Row],[Quantity]]*tblReceipts[[#This Row],[Actual price]])</f>
        <v>3830.4</v>
      </c>
      <c r="L51" s="39">
        <f>IF(tblReceipts[[#This Row],[Date]]="","",IF(tblReceipts[[#This Row],[Standard price]]="","",tblReceipts[[#This Row],[Quantity]]*tblReceipts[[#This Row],[Standard price]]))</f>
        <v>3808</v>
      </c>
      <c r="M51" s="39">
        <f>IF(tblReceipts[[#This Row],[Date]]="","",IF(tblReceipts[[#This Row],[Standard price]]="","",tblReceipts[[#This Row],[Quantity]]*(tblReceipts[[#This Row],[Actual price]]-tblReceipts[[#This Row],[Standard price]])))</f>
        <v>22.4000000000001</v>
      </c>
      <c r="N51" s="40">
        <f>IF(tblReceipts[[#This Row],[Date]]="","",IF(OR(tblReceipts[[#This Row],[Standard price]]="",tblReceipts[[#This Row],[Standard price]]=0),"",(tblReceipts[[#This Row],[Actual price]]-tblReceipts[[#This Row],[Standard price]])/tblReceipts[[#This Row],[Standard price]]))</f>
        <v>0.00588235294117649</v>
      </c>
      <c r="O51" s="36" t="str">
        <f>IF(tblReceipts[[#This Row],[Date]]="","",IF(tblReceipts[[#This Row],[PPV]]="","",IF(tblReceipts[[#This Row],[PPV]]&gt;0,"Unfavourable",IF(tblReceipts[[#This Row],[PPV]]&lt;0,"Favourable","At standard"))))</f>
        <v>Unfavourable</v>
      </c>
      <c r="P51" s="41" t="str">
        <f>IF(NOT(ISNUMBER(tblReceipts[[#This Row],[PPV %]])),"",IF(tblReceipts[[#This Row],[PPV %]]&lt;=LineLimit,"On target",IF(tblReceipts[[#This Row],[PPV %]]&lt;=LineLimit*(1+0.05),"Near target","Above target")))</f>
        <v>On target</v>
      </c>
      <c r="Q51" s="42">
        <f>IF(tblReceipts[[#This Row],[Date]]="","",IF(AND(tblReceipts[[#This Row],[Date]]&gt;=FFrom,tblReceipts[[#This Row],[Date]]&lt;=FTo,OR(DashCat="",tblReceipts[[#This Row],[Category]]=DashCat)),tblReceipts[[#This Row],[Date]],""))</f>
        <v>46181</v>
      </c>
      <c r="R51"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51" s="28" t="s">
        <v>171</v>
      </c>
    </row>
    <row r="52" spans="2:19">
      <c r="B52" s="35">
        <v>46188</v>
      </c>
      <c r="C52" s="28" t="s">
        <v>216</v>
      </c>
      <c r="D52" s="28" t="s">
        <v>85</v>
      </c>
      <c r="E52" s="28" t="s">
        <v>139</v>
      </c>
      <c r="F52" s="33">
        <v>390</v>
      </c>
      <c r="G52" s="36" t="str">
        <f>IF(tblReceipts[[#This Row],[Date]]="","",IFERROR(INDEX(tblItems[UoM],MATCH(tblReceipts[[#This Row],[Item]],tblItems[Item],0)),""))</f>
        <v>ea</v>
      </c>
      <c r="H52" s="37">
        <v>3.22</v>
      </c>
      <c r="I52" s="38">
        <f>IF(tblReceipts[[#This Row],[Date]]="","",IFERROR(INDEX(tblItems[Standard price],MATCH(tblReceipts[[#This Row],[Item]],tblItems[Item],0)),""))</f>
        <v>3.2</v>
      </c>
      <c r="J52" s="36" t="str">
        <f>IF(tblReceipts[[#This Row],[Date]]="","",IFERROR(INDEX(tblItems[Category],MATCH(tblReceipts[[#This Row],[Item]],tblItems[Item],0)),""))</f>
        <v>Castings</v>
      </c>
      <c r="K52" s="39">
        <f>IF(tblReceipts[[#This Row],[Date]]="","",tblReceipts[[#This Row],[Quantity]]*tblReceipts[[#This Row],[Actual price]])</f>
        <v>1255.8</v>
      </c>
      <c r="L52" s="39">
        <f>IF(tblReceipts[[#This Row],[Date]]="","",IF(tblReceipts[[#This Row],[Standard price]]="","",tblReceipts[[#This Row],[Quantity]]*tblReceipts[[#This Row],[Standard price]]))</f>
        <v>1248</v>
      </c>
      <c r="M52" s="39">
        <f>IF(tblReceipts[[#This Row],[Date]]="","",IF(tblReceipts[[#This Row],[Standard price]]="","",tblReceipts[[#This Row],[Quantity]]*(tblReceipts[[#This Row],[Actual price]]-tblReceipts[[#This Row],[Standard price]])))</f>
        <v>7.80000000000001</v>
      </c>
      <c r="N52" s="40">
        <f>IF(tblReceipts[[#This Row],[Date]]="","",IF(OR(tblReceipts[[#This Row],[Standard price]]="",tblReceipts[[#This Row],[Standard price]]=0),"",(tblReceipts[[#This Row],[Actual price]]-tblReceipts[[#This Row],[Standard price]])/tblReceipts[[#This Row],[Standard price]]))</f>
        <v>0.00625000000000001</v>
      </c>
      <c r="O52" s="36" t="str">
        <f>IF(tblReceipts[[#This Row],[Date]]="","",IF(tblReceipts[[#This Row],[PPV]]="","",IF(tblReceipts[[#This Row],[PPV]]&gt;0,"Unfavourable",IF(tblReceipts[[#This Row],[PPV]]&lt;0,"Favourable","At standard"))))</f>
        <v>Unfavourable</v>
      </c>
      <c r="P52" s="41" t="str">
        <f>IF(NOT(ISNUMBER(tblReceipts[[#This Row],[PPV %]])),"",IF(tblReceipts[[#This Row],[PPV %]]&lt;=LineLimit,"On target",IF(tblReceipts[[#This Row],[PPV %]]&lt;=LineLimit*(1+0.05),"Near target","Above target")))</f>
        <v>On target</v>
      </c>
      <c r="Q52" s="42">
        <f>IF(tblReceipts[[#This Row],[Date]]="","",IF(AND(tblReceipts[[#This Row],[Date]]&gt;=FFrom,tblReceipts[[#This Row],[Date]]&lt;=FTo,OR(DashCat="",tblReceipts[[#This Row],[Category]]=DashCat)),tblReceipts[[#This Row],[Date]],""))</f>
        <v>46188</v>
      </c>
      <c r="R52"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52" s="28" t="s">
        <v>171</v>
      </c>
    </row>
    <row r="53" spans="2:19">
      <c r="B53" s="35">
        <v>46188</v>
      </c>
      <c r="C53" s="28" t="s">
        <v>217</v>
      </c>
      <c r="D53" s="28" t="s">
        <v>104</v>
      </c>
      <c r="E53" s="28" t="s">
        <v>153</v>
      </c>
      <c r="F53" s="33">
        <v>410</v>
      </c>
      <c r="G53" s="36" t="str">
        <f>IF(tblReceipts[[#This Row],[Date]]="","",IFERROR(INDEX(tblItems[UoM],MATCH(tblReceipts[[#This Row],[Item]],tblItems[Item],0)),""))</f>
        <v>ea</v>
      </c>
      <c r="H53" s="37">
        <v>0.842</v>
      </c>
      <c r="I53" s="38">
        <f>IF(tblReceipts[[#This Row],[Date]]="","",IFERROR(INDEX(tblItems[Standard price],MATCH(tblReceipts[[#This Row],[Item]],tblItems[Item],0)),""))</f>
        <v>0.86</v>
      </c>
      <c r="J53" s="36" t="str">
        <f>IF(tblReceipts[[#This Row],[Date]]="","",IFERROR(INDEX(tblItems[Category],MATCH(tblReceipts[[#This Row],[Item]],tblItems[Item],0)),""))</f>
        <v>Packaging</v>
      </c>
      <c r="K53" s="39">
        <f>IF(tblReceipts[[#This Row],[Date]]="","",tblReceipts[[#This Row],[Quantity]]*tblReceipts[[#This Row],[Actual price]])</f>
        <v>345.22</v>
      </c>
      <c r="L53" s="39">
        <f>IF(tblReceipts[[#This Row],[Date]]="","",IF(tblReceipts[[#This Row],[Standard price]]="","",tblReceipts[[#This Row],[Quantity]]*tblReceipts[[#This Row],[Standard price]]))</f>
        <v>352.6</v>
      </c>
      <c r="M53" s="39">
        <f>IF(tblReceipts[[#This Row],[Date]]="","",IF(tblReceipts[[#This Row],[Standard price]]="","",tblReceipts[[#This Row],[Quantity]]*(tblReceipts[[#This Row],[Actual price]]-tblReceipts[[#This Row],[Standard price]])))</f>
        <v>-7.38000000000001</v>
      </c>
      <c r="N53" s="40">
        <f>IF(tblReceipts[[#This Row],[Date]]="","",IF(OR(tblReceipts[[#This Row],[Standard price]]="",tblReceipts[[#This Row],[Standard price]]=0),"",(tblReceipts[[#This Row],[Actual price]]-tblReceipts[[#This Row],[Standard price]])/tblReceipts[[#This Row],[Standard price]]))</f>
        <v>-0.0209302325581396</v>
      </c>
      <c r="O53" s="36" t="str">
        <f>IF(tblReceipts[[#This Row],[Date]]="","",IF(tblReceipts[[#This Row],[PPV]]="","",IF(tblReceipts[[#This Row],[PPV]]&gt;0,"Unfavourable",IF(tblReceipts[[#This Row],[PPV]]&lt;0,"Favourable","At standard"))))</f>
        <v>Favourable</v>
      </c>
      <c r="P53" s="41" t="str">
        <f>IF(NOT(ISNUMBER(tblReceipts[[#This Row],[PPV %]])),"",IF(tblReceipts[[#This Row],[PPV %]]&lt;=LineLimit,"On target",IF(tblReceipts[[#This Row],[PPV %]]&lt;=LineLimit*(1+0.05),"Near target","Above target")))</f>
        <v>On target</v>
      </c>
      <c r="Q53" s="42">
        <f>IF(tblReceipts[[#This Row],[Date]]="","",IF(AND(tblReceipts[[#This Row],[Date]]&gt;=FFrom,tblReceipts[[#This Row],[Date]]&lt;=FTo,OR(DashCat="",tblReceipts[[#This Row],[Category]]=DashCat)),tblReceipts[[#This Row],[Date]],""))</f>
        <v>46188</v>
      </c>
      <c r="R53"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53" s="28" t="s">
        <v>171</v>
      </c>
    </row>
    <row r="54" spans="2:19">
      <c r="B54" s="35">
        <v>46188</v>
      </c>
      <c r="C54" s="28" t="s">
        <v>218</v>
      </c>
      <c r="D54" s="28" t="s">
        <v>104</v>
      </c>
      <c r="E54" s="28" t="s">
        <v>155</v>
      </c>
      <c r="F54" s="33">
        <v>1100</v>
      </c>
      <c r="G54" s="36" t="str">
        <f>IF(tblReceipts[[#This Row],[Date]]="","",IFERROR(INDEX(tblItems[UoM],MATCH(tblReceipts[[#This Row],[Item]],tblItems[Item],0)),""))</f>
        <v>ea</v>
      </c>
      <c r="H54" s="37">
        <v>0.433</v>
      </c>
      <c r="I54" s="38">
        <f>IF(tblReceipts[[#This Row],[Date]]="","",IFERROR(INDEX(tblItems[Standard price],MATCH(tblReceipts[[#This Row],[Item]],tblItems[Item],0)),""))</f>
        <v>0.44</v>
      </c>
      <c r="J54" s="36" t="str">
        <f>IF(tblReceipts[[#This Row],[Date]]="","",IFERROR(INDEX(tblItems[Category],MATCH(tblReceipts[[#This Row],[Item]],tblItems[Item],0)),""))</f>
        <v>Packaging</v>
      </c>
      <c r="K54" s="39">
        <f>IF(tblReceipts[[#This Row],[Date]]="","",tblReceipts[[#This Row],[Quantity]]*tblReceipts[[#This Row],[Actual price]])</f>
        <v>476.3</v>
      </c>
      <c r="L54" s="39">
        <f>IF(tblReceipts[[#This Row],[Date]]="","",IF(tblReceipts[[#This Row],[Standard price]]="","",tblReceipts[[#This Row],[Quantity]]*tblReceipts[[#This Row],[Standard price]]))</f>
        <v>484</v>
      </c>
      <c r="M54" s="39">
        <f>IF(tblReceipts[[#This Row],[Date]]="","",IF(tblReceipts[[#This Row],[Standard price]]="","",tblReceipts[[#This Row],[Quantity]]*(tblReceipts[[#This Row],[Actual price]]-tblReceipts[[#This Row],[Standard price]])))</f>
        <v>-7.70000000000001</v>
      </c>
      <c r="N54" s="40">
        <f>IF(tblReceipts[[#This Row],[Date]]="","",IF(OR(tblReceipts[[#This Row],[Standard price]]="",tblReceipts[[#This Row],[Standard price]]=0),"",(tblReceipts[[#This Row],[Actual price]]-tblReceipts[[#This Row],[Standard price]])/tblReceipts[[#This Row],[Standard price]]))</f>
        <v>-0.0159090909090909</v>
      </c>
      <c r="O54" s="36" t="str">
        <f>IF(tblReceipts[[#This Row],[Date]]="","",IF(tblReceipts[[#This Row],[PPV]]="","",IF(tblReceipts[[#This Row],[PPV]]&gt;0,"Unfavourable",IF(tblReceipts[[#This Row],[PPV]]&lt;0,"Favourable","At standard"))))</f>
        <v>Favourable</v>
      </c>
      <c r="P54" s="41" t="str">
        <f>IF(NOT(ISNUMBER(tblReceipts[[#This Row],[PPV %]])),"",IF(tblReceipts[[#This Row],[PPV %]]&lt;=LineLimit,"On target",IF(tblReceipts[[#This Row],[PPV %]]&lt;=LineLimit*(1+0.05),"Near target","Above target")))</f>
        <v>On target</v>
      </c>
      <c r="Q54" s="42">
        <f>IF(tblReceipts[[#This Row],[Date]]="","",IF(AND(tblReceipts[[#This Row],[Date]]&gt;=FFrom,tblReceipts[[#This Row],[Date]]&lt;=FTo,OR(DashCat="",tblReceipts[[#This Row],[Category]]=DashCat)),tblReceipts[[#This Row],[Date]],""))</f>
        <v>46188</v>
      </c>
      <c r="R54"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54" s="28" t="s">
        <v>171</v>
      </c>
    </row>
    <row r="55" spans="2:19">
      <c r="B55" s="35">
        <v>46191</v>
      </c>
      <c r="C55" s="28" t="s">
        <v>219</v>
      </c>
      <c r="D55" s="28" t="s">
        <v>85</v>
      </c>
      <c r="E55" s="28" t="s">
        <v>135</v>
      </c>
      <c r="F55" s="33">
        <v>250</v>
      </c>
      <c r="G55" s="36" t="str">
        <f>IF(tblReceipts[[#This Row],[Date]]="","",IFERROR(INDEX(tblItems[UoM],MATCH(tblReceipts[[#This Row],[Item]],tblItems[Item],0)),""))</f>
        <v>ea</v>
      </c>
      <c r="H55" s="37">
        <v>18.53</v>
      </c>
      <c r="I55" s="38">
        <f>IF(tblReceipts[[#This Row],[Date]]="","",IFERROR(INDEX(tblItems[Standard price],MATCH(tblReceipts[[#This Row],[Item]],tblItems[Item],0)),""))</f>
        <v>18.4</v>
      </c>
      <c r="J55" s="36" t="str">
        <f>IF(tblReceipts[[#This Row],[Date]]="","",IFERROR(INDEX(tblItems[Category],MATCH(tblReceipts[[#This Row],[Item]],tblItems[Item],0)),""))</f>
        <v>Castings</v>
      </c>
      <c r="K55" s="39">
        <f>IF(tblReceipts[[#This Row],[Date]]="","",tblReceipts[[#This Row],[Quantity]]*tblReceipts[[#This Row],[Actual price]])</f>
        <v>4632.5</v>
      </c>
      <c r="L55" s="39">
        <f>IF(tblReceipts[[#This Row],[Date]]="","",IF(tblReceipts[[#This Row],[Standard price]]="","",tblReceipts[[#This Row],[Quantity]]*tblReceipts[[#This Row],[Standard price]]))</f>
        <v>4600</v>
      </c>
      <c r="M55" s="39">
        <f>IF(tblReceipts[[#This Row],[Date]]="","",IF(tblReceipts[[#This Row],[Standard price]]="","",tblReceipts[[#This Row],[Quantity]]*(tblReceipts[[#This Row],[Actual price]]-tblReceipts[[#This Row],[Standard price]])))</f>
        <v>32.5000000000006</v>
      </c>
      <c r="N55" s="40">
        <f>IF(tblReceipts[[#This Row],[Date]]="","",IF(OR(tblReceipts[[#This Row],[Standard price]]="",tblReceipts[[#This Row],[Standard price]]=0),"",(tblReceipts[[#This Row],[Actual price]]-tblReceipts[[#This Row],[Standard price]])/tblReceipts[[#This Row],[Standard price]]))</f>
        <v>0.00706521739130449</v>
      </c>
      <c r="O55" s="36" t="str">
        <f>IF(tblReceipts[[#This Row],[Date]]="","",IF(tblReceipts[[#This Row],[PPV]]="","",IF(tblReceipts[[#This Row],[PPV]]&gt;0,"Unfavourable",IF(tblReceipts[[#This Row],[PPV]]&lt;0,"Favourable","At standard"))))</f>
        <v>Unfavourable</v>
      </c>
      <c r="P55" s="41" t="str">
        <f>IF(NOT(ISNUMBER(tblReceipts[[#This Row],[PPV %]])),"",IF(tblReceipts[[#This Row],[PPV %]]&lt;=LineLimit,"On target",IF(tblReceipts[[#This Row],[PPV %]]&lt;=LineLimit*(1+0.05),"Near target","Above target")))</f>
        <v>On target</v>
      </c>
      <c r="Q55" s="42">
        <f>IF(tblReceipts[[#This Row],[Date]]="","",IF(AND(tblReceipts[[#This Row],[Date]]&gt;=FFrom,tblReceipts[[#This Row],[Date]]&lt;=FTo,OR(DashCat="",tblReceipts[[#This Row],[Category]]=DashCat)),tblReceipts[[#This Row],[Date]],""))</f>
        <v>46191</v>
      </c>
      <c r="R55"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55" s="28" t="s">
        <v>171</v>
      </c>
    </row>
    <row r="56" spans="2:19">
      <c r="B56" s="35">
        <v>46195</v>
      </c>
      <c r="C56" s="28" t="s">
        <v>220</v>
      </c>
      <c r="D56" s="28" t="s">
        <v>85</v>
      </c>
      <c r="E56" s="28" t="s">
        <v>135</v>
      </c>
      <c r="F56" s="33">
        <v>290</v>
      </c>
      <c r="G56" s="36" t="str">
        <f>IF(tblReceipts[[#This Row],[Date]]="","",IFERROR(INDEX(tblItems[UoM],MATCH(tblReceipts[[#This Row],[Item]],tblItems[Item],0)),""))</f>
        <v>ea</v>
      </c>
      <c r="H56" s="37">
        <v>18.44</v>
      </c>
      <c r="I56" s="38">
        <f>IF(tblReceipts[[#This Row],[Date]]="","",IFERROR(INDEX(tblItems[Standard price],MATCH(tblReceipts[[#This Row],[Item]],tblItems[Item],0)),""))</f>
        <v>18.4</v>
      </c>
      <c r="J56" s="36" t="str">
        <f>IF(tblReceipts[[#This Row],[Date]]="","",IFERROR(INDEX(tblItems[Category],MATCH(tblReceipts[[#This Row],[Item]],tblItems[Item],0)),""))</f>
        <v>Castings</v>
      </c>
      <c r="K56" s="39">
        <f>IF(tblReceipts[[#This Row],[Date]]="","",tblReceipts[[#This Row],[Quantity]]*tblReceipts[[#This Row],[Actual price]])</f>
        <v>5347.6</v>
      </c>
      <c r="L56" s="39">
        <f>IF(tblReceipts[[#This Row],[Date]]="","",IF(tblReceipts[[#This Row],[Standard price]]="","",tblReceipts[[#This Row],[Quantity]]*tblReceipts[[#This Row],[Standard price]]))</f>
        <v>5336</v>
      </c>
      <c r="M56" s="39">
        <f>IF(tblReceipts[[#This Row],[Date]]="","",IF(tblReceipts[[#This Row],[Standard price]]="","",tblReceipts[[#This Row],[Quantity]]*(tblReceipts[[#This Row],[Actual price]]-tblReceipts[[#This Row],[Standard price]])))</f>
        <v>11.6000000000008</v>
      </c>
      <c r="N56" s="40">
        <f>IF(tblReceipts[[#This Row],[Date]]="","",IF(OR(tblReceipts[[#This Row],[Standard price]]="",tblReceipts[[#This Row],[Standard price]]=0),"",(tblReceipts[[#This Row],[Actual price]]-tblReceipts[[#This Row],[Standard price]])/tblReceipts[[#This Row],[Standard price]]))</f>
        <v>0.00217391304347841</v>
      </c>
      <c r="O56" s="36" t="str">
        <f>IF(tblReceipts[[#This Row],[Date]]="","",IF(tblReceipts[[#This Row],[PPV]]="","",IF(tblReceipts[[#This Row],[PPV]]&gt;0,"Unfavourable",IF(tblReceipts[[#This Row],[PPV]]&lt;0,"Favourable","At standard"))))</f>
        <v>Unfavourable</v>
      </c>
      <c r="P56" s="41" t="str">
        <f>IF(NOT(ISNUMBER(tblReceipts[[#This Row],[PPV %]])),"",IF(tblReceipts[[#This Row],[PPV %]]&lt;=LineLimit,"On target",IF(tblReceipts[[#This Row],[PPV %]]&lt;=LineLimit*(1+0.05),"Near target","Above target")))</f>
        <v>On target</v>
      </c>
      <c r="Q56" s="42">
        <f>IF(tblReceipts[[#This Row],[Date]]="","",IF(AND(tblReceipts[[#This Row],[Date]]&gt;=FFrom,tblReceipts[[#This Row],[Date]]&lt;=FTo,OR(DashCat="",tblReceipts[[#This Row],[Category]]=DashCat)),tblReceipts[[#This Row],[Date]],""))</f>
        <v>46195</v>
      </c>
      <c r="R56"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56" s="28" t="s">
        <v>171</v>
      </c>
    </row>
    <row r="57" spans="2:19">
      <c r="B57" s="35">
        <v>46195</v>
      </c>
      <c r="C57" s="28" t="s">
        <v>221</v>
      </c>
      <c r="D57" s="28" t="s">
        <v>95</v>
      </c>
      <c r="E57" s="28" t="s">
        <v>144</v>
      </c>
      <c r="F57" s="33">
        <v>530</v>
      </c>
      <c r="G57" s="36" t="str">
        <f>IF(tblReceipts[[#This Row],[Date]]="","",IFERROR(INDEX(tblItems[UoM],MATCH(tblReceipts[[#This Row],[Item]],tblItems[Item],0)),""))</f>
        <v>ea</v>
      </c>
      <c r="H57" s="37">
        <v>1.349</v>
      </c>
      <c r="I57" s="38">
        <f>IF(tblReceipts[[#This Row],[Date]]="","",IFERROR(INDEX(tblItems[Standard price],MATCH(tblReceipts[[#This Row],[Item]],tblItems[Item],0)),""))</f>
        <v>1.35</v>
      </c>
      <c r="J57" s="36" t="str">
        <f>IF(tblReceipts[[#This Row],[Date]]="","",IFERROR(INDEX(tblItems[Category],MATCH(tblReceipts[[#This Row],[Item]],tblItems[Item],0)),""))</f>
        <v>Seals</v>
      </c>
      <c r="K57" s="39">
        <f>IF(tblReceipts[[#This Row],[Date]]="","",tblReceipts[[#This Row],[Quantity]]*tblReceipts[[#This Row],[Actual price]])</f>
        <v>714.97</v>
      </c>
      <c r="L57" s="39">
        <f>IF(tblReceipts[[#This Row],[Date]]="","",IF(tblReceipts[[#This Row],[Standard price]]="","",tblReceipts[[#This Row],[Quantity]]*tblReceipts[[#This Row],[Standard price]]))</f>
        <v>715.5</v>
      </c>
      <c r="M57" s="39">
        <f>IF(tblReceipts[[#This Row],[Date]]="","",IF(tblReceipts[[#This Row],[Standard price]]="","",tblReceipts[[#This Row],[Quantity]]*(tblReceipts[[#This Row],[Actual price]]-tblReceipts[[#This Row],[Standard price]])))</f>
        <v>-0.530000000000059</v>
      </c>
      <c r="N57" s="40">
        <f>IF(tblReceipts[[#This Row],[Date]]="","",IF(OR(tblReceipts[[#This Row],[Standard price]]="",tblReceipts[[#This Row],[Standard price]]=0),"",(tblReceipts[[#This Row],[Actual price]]-tblReceipts[[#This Row],[Standard price]])/tblReceipts[[#This Row],[Standard price]]))</f>
        <v>-0.000740740740740824</v>
      </c>
      <c r="O57" s="36" t="str">
        <f>IF(tblReceipts[[#This Row],[Date]]="","",IF(tblReceipts[[#This Row],[PPV]]="","",IF(tblReceipts[[#This Row],[PPV]]&gt;0,"Unfavourable",IF(tblReceipts[[#This Row],[PPV]]&lt;0,"Favourable","At standard"))))</f>
        <v>Favourable</v>
      </c>
      <c r="P57" s="41" t="str">
        <f>IF(NOT(ISNUMBER(tblReceipts[[#This Row],[PPV %]])),"",IF(tblReceipts[[#This Row],[PPV %]]&lt;=LineLimit,"On target",IF(tblReceipts[[#This Row],[PPV %]]&lt;=LineLimit*(1+0.05),"Near target","Above target")))</f>
        <v>On target</v>
      </c>
      <c r="Q57" s="42">
        <f>IF(tblReceipts[[#This Row],[Date]]="","",IF(AND(tblReceipts[[#This Row],[Date]]&gt;=FFrom,tblReceipts[[#This Row],[Date]]&lt;=FTo,OR(DashCat="",tblReceipts[[#This Row],[Category]]=DashCat)),tblReceipts[[#This Row],[Date]],""))</f>
        <v>46195</v>
      </c>
      <c r="R57"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57" s="28" t="s">
        <v>171</v>
      </c>
    </row>
    <row r="58" spans="2:19">
      <c r="B58" s="35">
        <v>46197</v>
      </c>
      <c r="C58" s="28" t="s">
        <v>222</v>
      </c>
      <c r="D58" s="28" t="s">
        <v>90</v>
      </c>
      <c r="E58" s="28" t="s">
        <v>143</v>
      </c>
      <c r="F58" s="33">
        <v>386</v>
      </c>
      <c r="G58" s="36" t="str">
        <f>IF(tblReceipts[[#This Row],[Date]]="","",IFERROR(INDEX(tblItems[UoM],MATCH(tblReceipts[[#This Row],[Item]],tblItems[Item],0)),""))</f>
        <v>kg</v>
      </c>
      <c r="H58" s="37">
        <v>7.36</v>
      </c>
      <c r="I58" s="38">
        <f>IF(tblReceipts[[#This Row],[Date]]="","",IFERROR(INDEX(tblItems[Standard price],MATCH(tblReceipts[[#This Row],[Item]],tblItems[Item],0)),""))</f>
        <v>7.1</v>
      </c>
      <c r="J58" s="36" t="str">
        <f>IF(tblReceipts[[#This Row],[Date]]="","",IFERROR(INDEX(tblItems[Category],MATCH(tblReceipts[[#This Row],[Item]],tblItems[Item],0)),""))</f>
        <v>Bar stock</v>
      </c>
      <c r="K58" s="39">
        <f>IF(tblReceipts[[#This Row],[Date]]="","",tblReceipts[[#This Row],[Quantity]]*tblReceipts[[#This Row],[Actual price]])</f>
        <v>2840.96</v>
      </c>
      <c r="L58" s="39">
        <f>IF(tblReceipts[[#This Row],[Date]]="","",IF(tblReceipts[[#This Row],[Standard price]]="","",tblReceipts[[#This Row],[Quantity]]*tblReceipts[[#This Row],[Standard price]]))</f>
        <v>2740.6</v>
      </c>
      <c r="M58" s="39">
        <f>IF(tblReceipts[[#This Row],[Date]]="","",IF(tblReceipts[[#This Row],[Standard price]]="","",tblReceipts[[#This Row],[Quantity]]*(tblReceipts[[#This Row],[Actual price]]-tblReceipts[[#This Row],[Standard price]])))</f>
        <v>100.36</v>
      </c>
      <c r="N58" s="40">
        <f>IF(tblReceipts[[#This Row],[Date]]="","",IF(OR(tblReceipts[[#This Row],[Standard price]]="",tblReceipts[[#This Row],[Standard price]]=0),"",(tblReceipts[[#This Row],[Actual price]]-tblReceipts[[#This Row],[Standard price]])/tblReceipts[[#This Row],[Standard price]]))</f>
        <v>0.0366197183098593</v>
      </c>
      <c r="O58" s="36" t="str">
        <f>IF(tblReceipts[[#This Row],[Date]]="","",IF(tblReceipts[[#This Row],[PPV]]="","",IF(tblReceipts[[#This Row],[PPV]]&gt;0,"Unfavourable",IF(tblReceipts[[#This Row],[PPV]]&lt;0,"Favourable","At standard"))))</f>
        <v>Unfavourable</v>
      </c>
      <c r="P58" s="41" t="str">
        <f>IF(NOT(ISNUMBER(tblReceipts[[#This Row],[PPV %]])),"",IF(tblReceipts[[#This Row],[PPV %]]&lt;=LineLimit,"On target",IF(tblReceipts[[#This Row],[PPV %]]&lt;=LineLimit*(1+0.05),"Near target","Above target")))</f>
        <v>Above target</v>
      </c>
      <c r="Q58" s="42">
        <f>IF(tblReceipts[[#This Row],[Date]]="","",IF(AND(tblReceipts[[#This Row],[Date]]&gt;=FFrom,tblReceipts[[#This Row],[Date]]&lt;=FTo,OR(DashCat="",tblReceipts[[#This Row],[Category]]=DashCat)),tblReceipts[[#This Row],[Date]],""))</f>
        <v>46197</v>
      </c>
      <c r="R58"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58" s="28" t="s">
        <v>171</v>
      </c>
    </row>
    <row r="59" spans="2:19">
      <c r="B59" s="35">
        <v>46199</v>
      </c>
      <c r="C59" s="28" t="s">
        <v>223</v>
      </c>
      <c r="D59" s="28" t="s">
        <v>95</v>
      </c>
      <c r="E59" s="28" t="s">
        <v>146</v>
      </c>
      <c r="F59" s="33">
        <v>1270</v>
      </c>
      <c r="G59" s="36" t="str">
        <f>IF(tblReceipts[[#This Row],[Date]]="","",IFERROR(INDEX(tblItems[UoM],MATCH(tblReceipts[[#This Row],[Item]],tblItems[Item],0)),""))</f>
        <v>ea</v>
      </c>
      <c r="H59" s="37">
        <v>0.915</v>
      </c>
      <c r="I59" s="38">
        <f>IF(tblReceipts[[#This Row],[Date]]="","",IFERROR(INDEX(tblItems[Standard price],MATCH(tblReceipts[[#This Row],[Item]],tblItems[Item],0)),""))</f>
        <v>0.92</v>
      </c>
      <c r="J59" s="36" t="str">
        <f>IF(tblReceipts[[#This Row],[Date]]="","",IFERROR(INDEX(tblItems[Category],MATCH(tblReceipts[[#This Row],[Item]],tblItems[Item],0)),""))</f>
        <v>Seals</v>
      </c>
      <c r="K59" s="39">
        <f>IF(tblReceipts[[#This Row],[Date]]="","",tblReceipts[[#This Row],[Quantity]]*tblReceipts[[#This Row],[Actual price]])</f>
        <v>1162.05</v>
      </c>
      <c r="L59" s="39">
        <f>IF(tblReceipts[[#This Row],[Date]]="","",IF(tblReceipts[[#This Row],[Standard price]]="","",tblReceipts[[#This Row],[Quantity]]*tblReceipts[[#This Row],[Standard price]]))</f>
        <v>1168.4</v>
      </c>
      <c r="M59" s="39">
        <f>IF(tblReceipts[[#This Row],[Date]]="","",IF(tblReceipts[[#This Row],[Standard price]]="","",tblReceipts[[#This Row],[Quantity]]*(tblReceipts[[#This Row],[Actual price]]-tblReceipts[[#This Row],[Standard price]])))</f>
        <v>-6.35000000000001</v>
      </c>
      <c r="N59" s="40">
        <f>IF(tblReceipts[[#This Row],[Date]]="","",IF(OR(tblReceipts[[#This Row],[Standard price]]="",tblReceipts[[#This Row],[Standard price]]=0),"",(tblReceipts[[#This Row],[Actual price]]-tblReceipts[[#This Row],[Standard price]])/tblReceipts[[#This Row],[Standard price]]))</f>
        <v>-0.00543478260869566</v>
      </c>
      <c r="O59" s="36" t="str">
        <f>IF(tblReceipts[[#This Row],[Date]]="","",IF(tblReceipts[[#This Row],[PPV]]="","",IF(tblReceipts[[#This Row],[PPV]]&gt;0,"Unfavourable",IF(tblReceipts[[#This Row],[PPV]]&lt;0,"Favourable","At standard"))))</f>
        <v>Favourable</v>
      </c>
      <c r="P59" s="41" t="str">
        <f>IF(NOT(ISNUMBER(tblReceipts[[#This Row],[PPV %]])),"",IF(tblReceipts[[#This Row],[PPV %]]&lt;=LineLimit,"On target",IF(tblReceipts[[#This Row],[PPV %]]&lt;=LineLimit*(1+0.05),"Near target","Above target")))</f>
        <v>On target</v>
      </c>
      <c r="Q59" s="42">
        <f>IF(tblReceipts[[#This Row],[Date]]="","",IF(AND(tblReceipts[[#This Row],[Date]]&gt;=FFrom,tblReceipts[[#This Row],[Date]]&lt;=FTo,OR(DashCat="",tblReceipts[[#This Row],[Category]]=DashCat)),tblReceipts[[#This Row],[Date]],""))</f>
        <v>46199</v>
      </c>
      <c r="R59"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59" s="28" t="s">
        <v>171</v>
      </c>
    </row>
    <row r="60" spans="2:19">
      <c r="B60" s="35">
        <v>46202</v>
      </c>
      <c r="C60" s="28" t="s">
        <v>224</v>
      </c>
      <c r="D60" s="28" t="s">
        <v>85</v>
      </c>
      <c r="E60" s="28" t="s">
        <v>138</v>
      </c>
      <c r="F60" s="33">
        <v>320</v>
      </c>
      <c r="G60" s="36" t="str">
        <f>IF(tblReceipts[[#This Row],[Date]]="","",IFERROR(INDEX(tblItems[UoM],MATCH(tblReceipts[[#This Row],[Item]],tblItems[Item],0)),""))</f>
        <v>ea</v>
      </c>
      <c r="H60" s="37">
        <v>9.73</v>
      </c>
      <c r="I60" s="38">
        <f>IF(tblReceipts[[#This Row],[Date]]="","",IFERROR(INDEX(tblItems[Standard price],MATCH(tblReceipts[[#This Row],[Item]],tblItems[Item],0)),""))</f>
        <v>9.75</v>
      </c>
      <c r="J60" s="36" t="str">
        <f>IF(tblReceipts[[#This Row],[Date]]="","",IFERROR(INDEX(tblItems[Category],MATCH(tblReceipts[[#This Row],[Item]],tblItems[Item],0)),""))</f>
        <v>Castings</v>
      </c>
      <c r="K60" s="39">
        <f>IF(tblReceipts[[#This Row],[Date]]="","",tblReceipts[[#This Row],[Quantity]]*tblReceipts[[#This Row],[Actual price]])</f>
        <v>3113.6</v>
      </c>
      <c r="L60" s="39">
        <f>IF(tblReceipts[[#This Row],[Date]]="","",IF(tblReceipts[[#This Row],[Standard price]]="","",tblReceipts[[#This Row],[Quantity]]*tblReceipts[[#This Row],[Standard price]]))</f>
        <v>3120</v>
      </c>
      <c r="M60" s="39">
        <f>IF(tblReceipts[[#This Row],[Date]]="","",IF(tblReceipts[[#This Row],[Standard price]]="","",tblReceipts[[#This Row],[Quantity]]*(tblReceipts[[#This Row],[Actual price]]-tblReceipts[[#This Row],[Standard price]])))</f>
        <v>-6.39999999999986</v>
      </c>
      <c r="N60" s="40">
        <f>IF(tblReceipts[[#This Row],[Date]]="","",IF(OR(tblReceipts[[#This Row],[Standard price]]="",tblReceipts[[#This Row],[Standard price]]=0),"",(tblReceipts[[#This Row],[Actual price]]-tblReceipts[[#This Row],[Standard price]])/tblReceipts[[#This Row],[Standard price]]))</f>
        <v>-0.00205128205128201</v>
      </c>
      <c r="O60" s="36" t="str">
        <f>IF(tblReceipts[[#This Row],[Date]]="","",IF(tblReceipts[[#This Row],[PPV]]="","",IF(tblReceipts[[#This Row],[PPV]]&gt;0,"Unfavourable",IF(tblReceipts[[#This Row],[PPV]]&lt;0,"Favourable","At standard"))))</f>
        <v>Favourable</v>
      </c>
      <c r="P60" s="41" t="str">
        <f>IF(NOT(ISNUMBER(tblReceipts[[#This Row],[PPV %]])),"",IF(tblReceipts[[#This Row],[PPV %]]&lt;=LineLimit,"On target",IF(tblReceipts[[#This Row],[PPV %]]&lt;=LineLimit*(1+0.05),"Near target","Above target")))</f>
        <v>On target</v>
      </c>
      <c r="Q60" s="42">
        <f>IF(tblReceipts[[#This Row],[Date]]="","",IF(AND(tblReceipts[[#This Row],[Date]]&gt;=FFrom,tblReceipts[[#This Row],[Date]]&lt;=FTo,OR(DashCat="",tblReceipts[[#This Row],[Category]]=DashCat)),tblReceipts[[#This Row],[Date]],""))</f>
        <v>46202</v>
      </c>
      <c r="R60"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60" s="28" t="s">
        <v>171</v>
      </c>
    </row>
    <row r="61" spans="2:19">
      <c r="B61" s="35">
        <v>46202</v>
      </c>
      <c r="C61" s="28" t="s">
        <v>225</v>
      </c>
      <c r="D61" s="28" t="s">
        <v>95</v>
      </c>
      <c r="E61" s="28" t="s">
        <v>144</v>
      </c>
      <c r="F61" s="33">
        <v>930</v>
      </c>
      <c r="G61" s="36" t="str">
        <f>IF(tblReceipts[[#This Row],[Date]]="","",IFERROR(INDEX(tblItems[UoM],MATCH(tblReceipts[[#This Row],[Item]],tblItems[Item],0)),""))</f>
        <v>ea</v>
      </c>
      <c r="H61" s="37">
        <v>1.36</v>
      </c>
      <c r="I61" s="38">
        <f>IF(tblReceipts[[#This Row],[Date]]="","",IFERROR(INDEX(tblItems[Standard price],MATCH(tblReceipts[[#This Row],[Item]],tblItems[Item],0)),""))</f>
        <v>1.35</v>
      </c>
      <c r="J61" s="36" t="str">
        <f>IF(tblReceipts[[#This Row],[Date]]="","",IFERROR(INDEX(tblItems[Category],MATCH(tblReceipts[[#This Row],[Item]],tblItems[Item],0)),""))</f>
        <v>Seals</v>
      </c>
      <c r="K61" s="39">
        <f>IF(tblReceipts[[#This Row],[Date]]="","",tblReceipts[[#This Row],[Quantity]]*tblReceipts[[#This Row],[Actual price]])</f>
        <v>1264.8</v>
      </c>
      <c r="L61" s="39">
        <f>IF(tblReceipts[[#This Row],[Date]]="","",IF(tblReceipts[[#This Row],[Standard price]]="","",tblReceipts[[#This Row],[Quantity]]*tblReceipts[[#This Row],[Standard price]]))</f>
        <v>1255.5</v>
      </c>
      <c r="M61" s="39">
        <f>IF(tblReceipts[[#This Row],[Date]]="","",IF(tblReceipts[[#This Row],[Standard price]]="","",tblReceipts[[#This Row],[Quantity]]*(tblReceipts[[#This Row],[Actual price]]-tblReceipts[[#This Row],[Standard price]])))</f>
        <v>9.30000000000001</v>
      </c>
      <c r="N61" s="40">
        <f>IF(tblReceipts[[#This Row],[Date]]="","",IF(OR(tblReceipts[[#This Row],[Standard price]]="",tblReceipts[[#This Row],[Standard price]]=0),"",(tblReceipts[[#This Row],[Actual price]]-tblReceipts[[#This Row],[Standard price]])/tblReceipts[[#This Row],[Standard price]]))</f>
        <v>0.00740740740740741</v>
      </c>
      <c r="O61" s="36" t="str">
        <f>IF(tblReceipts[[#This Row],[Date]]="","",IF(tblReceipts[[#This Row],[PPV]]="","",IF(tblReceipts[[#This Row],[PPV]]&gt;0,"Unfavourable",IF(tblReceipts[[#This Row],[PPV]]&lt;0,"Favourable","At standard"))))</f>
        <v>Unfavourable</v>
      </c>
      <c r="P61" s="41" t="str">
        <f>IF(NOT(ISNUMBER(tblReceipts[[#This Row],[PPV %]])),"",IF(tblReceipts[[#This Row],[PPV %]]&lt;=LineLimit,"On target",IF(tblReceipts[[#This Row],[PPV %]]&lt;=LineLimit*(1+0.05),"Near target","Above target")))</f>
        <v>On target</v>
      </c>
      <c r="Q61" s="42">
        <f>IF(tblReceipts[[#This Row],[Date]]="","",IF(AND(tblReceipts[[#This Row],[Date]]&gt;=FFrom,tblReceipts[[#This Row],[Date]]&lt;=FTo,OR(DashCat="",tblReceipts[[#This Row],[Category]]=DashCat)),tblReceipts[[#This Row],[Date]],""))</f>
        <v>46202</v>
      </c>
      <c r="R61"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61" s="28" t="s">
        <v>171</v>
      </c>
    </row>
    <row r="62" spans="2:19">
      <c r="B62" s="35">
        <v>46202</v>
      </c>
      <c r="C62" s="28" t="s">
        <v>226</v>
      </c>
      <c r="D62" s="28" t="s">
        <v>99</v>
      </c>
      <c r="E62" s="28" t="s">
        <v>147</v>
      </c>
      <c r="F62" s="33">
        <v>160</v>
      </c>
      <c r="G62" s="36" t="str">
        <f>IF(tblReceipts[[#This Row],[Date]]="","",IFERROR(INDEX(tblItems[UoM],MATCH(tblReceipts[[#This Row],[Item]],tblItems[Item],0)),""))</f>
        <v>100 pcs</v>
      </c>
      <c r="H62" s="37">
        <v>13.57</v>
      </c>
      <c r="I62" s="38">
        <f>IF(tblReceipts[[#This Row],[Date]]="","",IFERROR(INDEX(tblItems[Standard price],MATCH(tblReceipts[[#This Row],[Item]],tblItems[Item],0)),""))</f>
        <v>14.5</v>
      </c>
      <c r="J62" s="36" t="str">
        <f>IF(tblReceipts[[#This Row],[Date]]="","",IFERROR(INDEX(tblItems[Category],MATCH(tblReceipts[[#This Row],[Item]],tblItems[Item],0)),""))</f>
        <v>Fasteners</v>
      </c>
      <c r="K62" s="39">
        <f>IF(tblReceipts[[#This Row],[Date]]="","",tblReceipts[[#This Row],[Quantity]]*tblReceipts[[#This Row],[Actual price]])</f>
        <v>2171.2</v>
      </c>
      <c r="L62" s="39">
        <f>IF(tblReceipts[[#This Row],[Date]]="","",IF(tblReceipts[[#This Row],[Standard price]]="","",tblReceipts[[#This Row],[Quantity]]*tblReceipts[[#This Row],[Standard price]]))</f>
        <v>2320</v>
      </c>
      <c r="M62" s="39">
        <f>IF(tblReceipts[[#This Row],[Date]]="","",IF(tblReceipts[[#This Row],[Standard price]]="","",tblReceipts[[#This Row],[Quantity]]*(tblReceipts[[#This Row],[Actual price]]-tblReceipts[[#This Row],[Standard price]])))</f>
        <v>-148.8</v>
      </c>
      <c r="N62" s="40">
        <f>IF(tblReceipts[[#This Row],[Date]]="","",IF(OR(tblReceipts[[#This Row],[Standard price]]="",tblReceipts[[#This Row],[Standard price]]=0),"",(tblReceipts[[#This Row],[Actual price]]-tblReceipts[[#This Row],[Standard price]])/tblReceipts[[#This Row],[Standard price]]))</f>
        <v>-0.0641379310344828</v>
      </c>
      <c r="O62" s="36" t="str">
        <f>IF(tblReceipts[[#This Row],[Date]]="","",IF(tblReceipts[[#This Row],[PPV]]="","",IF(tblReceipts[[#This Row],[PPV]]&gt;0,"Unfavourable",IF(tblReceipts[[#This Row],[PPV]]&lt;0,"Favourable","At standard"))))</f>
        <v>Favourable</v>
      </c>
      <c r="P62" s="41" t="str">
        <f>IF(NOT(ISNUMBER(tblReceipts[[#This Row],[PPV %]])),"",IF(tblReceipts[[#This Row],[PPV %]]&lt;=LineLimit,"On target",IF(tblReceipts[[#This Row],[PPV %]]&lt;=LineLimit*(1+0.05),"Near target","Above target")))</f>
        <v>On target</v>
      </c>
      <c r="Q62" s="42">
        <f>IF(tblReceipts[[#This Row],[Date]]="","",IF(AND(tblReceipts[[#This Row],[Date]]&gt;=FFrom,tblReceipts[[#This Row],[Date]]&lt;=FTo,OR(DashCat="",tblReceipts[[#This Row],[Category]]=DashCat)),tblReceipts[[#This Row],[Date]],""))</f>
        <v>46202</v>
      </c>
      <c r="R62"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62" s="28" t="s">
        <v>227</v>
      </c>
    </row>
    <row r="63" spans="2:19">
      <c r="B63" s="35">
        <v>46202</v>
      </c>
      <c r="C63" s="28" t="s">
        <v>228</v>
      </c>
      <c r="D63" s="28" t="s">
        <v>101</v>
      </c>
      <c r="E63" s="28" t="s">
        <v>152</v>
      </c>
      <c r="F63" s="33">
        <v>150</v>
      </c>
      <c r="G63" s="36" t="str">
        <f>IF(tblReceipts[[#This Row],[Date]]="","",IFERROR(INDEX(tblItems[UoM],MATCH(tblReceipts[[#This Row],[Item]],tblItems[Item],0)),""))</f>
        <v>ea</v>
      </c>
      <c r="H63" s="37">
        <v>11.74</v>
      </c>
      <c r="I63" s="38">
        <f>IF(tblReceipts[[#This Row],[Date]]="","",IFERROR(INDEX(tblItems[Standard price],MATCH(tblReceipts[[#This Row],[Item]],tblItems[Item],0)),""))</f>
        <v>11.6</v>
      </c>
      <c r="J63" s="36" t="str">
        <f>IF(tblReceipts[[#This Row],[Date]]="","",IFERROR(INDEX(tblItems[Category],MATCH(tblReceipts[[#This Row],[Item]],tblItems[Item],0)),""))</f>
        <v>Electronics</v>
      </c>
      <c r="K63" s="39">
        <f>IF(tblReceipts[[#This Row],[Date]]="","",tblReceipts[[#This Row],[Quantity]]*tblReceipts[[#This Row],[Actual price]])</f>
        <v>1761</v>
      </c>
      <c r="L63" s="39">
        <f>IF(tblReceipts[[#This Row],[Date]]="","",IF(tblReceipts[[#This Row],[Standard price]]="","",tblReceipts[[#This Row],[Quantity]]*tblReceipts[[#This Row],[Standard price]]))</f>
        <v>1740</v>
      </c>
      <c r="M63" s="39">
        <f>IF(tblReceipts[[#This Row],[Date]]="","",IF(tblReceipts[[#This Row],[Standard price]]="","",tblReceipts[[#This Row],[Quantity]]*(tblReceipts[[#This Row],[Actual price]]-tblReceipts[[#This Row],[Standard price]])))</f>
        <v>21.0000000000001</v>
      </c>
      <c r="N63" s="40">
        <f>IF(tblReceipts[[#This Row],[Date]]="","",IF(OR(tblReceipts[[#This Row],[Standard price]]="",tblReceipts[[#This Row],[Standard price]]=0),"",(tblReceipts[[#This Row],[Actual price]]-tblReceipts[[#This Row],[Standard price]])/tblReceipts[[#This Row],[Standard price]]))</f>
        <v>0.0120689655172414</v>
      </c>
      <c r="O63" s="36" t="str">
        <f>IF(tblReceipts[[#This Row],[Date]]="","",IF(tblReceipts[[#This Row],[PPV]]="","",IF(tblReceipts[[#This Row],[PPV]]&gt;0,"Unfavourable",IF(tblReceipts[[#This Row],[PPV]]&lt;0,"Favourable","At standard"))))</f>
        <v>Unfavourable</v>
      </c>
      <c r="P63" s="41" t="str">
        <f>IF(NOT(ISNUMBER(tblReceipts[[#This Row],[PPV %]])),"",IF(tblReceipts[[#This Row],[PPV %]]&lt;=LineLimit,"On target",IF(tblReceipts[[#This Row],[PPV %]]&lt;=LineLimit*(1+0.05),"Near target","Above target")))</f>
        <v>On target</v>
      </c>
      <c r="Q63" s="42">
        <f>IF(tblReceipts[[#This Row],[Date]]="","",IF(AND(tblReceipts[[#This Row],[Date]]&gt;=FFrom,tblReceipts[[#This Row],[Date]]&lt;=FTo,OR(DashCat="",tblReceipts[[#This Row],[Category]]=DashCat)),tblReceipts[[#This Row],[Date]],""))</f>
        <v>46202</v>
      </c>
      <c r="R63"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63" s="28" t="s">
        <v>171</v>
      </c>
    </row>
    <row r="64" spans="2:19">
      <c r="B64" s="35">
        <v>46204</v>
      </c>
      <c r="C64" s="28" t="s">
        <v>229</v>
      </c>
      <c r="D64" s="28" t="s">
        <v>95</v>
      </c>
      <c r="E64" s="28" t="s">
        <v>144</v>
      </c>
      <c r="F64" s="33">
        <v>970</v>
      </c>
      <c r="G64" s="36" t="str">
        <f>IF(tblReceipts[[#This Row],[Date]]="","",IFERROR(INDEX(tblItems[UoM],MATCH(tblReceipts[[#This Row],[Item]],tblItems[Item],0)),""))</f>
        <v>ea</v>
      </c>
      <c r="H64" s="37">
        <v>1.354</v>
      </c>
      <c r="I64" s="38">
        <f>IF(tblReceipts[[#This Row],[Date]]="","",IFERROR(INDEX(tblItems[Standard price],MATCH(tblReceipts[[#This Row],[Item]],tblItems[Item],0)),""))</f>
        <v>1.35</v>
      </c>
      <c r="J64" s="36" t="str">
        <f>IF(tblReceipts[[#This Row],[Date]]="","",IFERROR(INDEX(tblItems[Category],MATCH(tblReceipts[[#This Row],[Item]],tblItems[Item],0)),""))</f>
        <v>Seals</v>
      </c>
      <c r="K64" s="39">
        <f>IF(tblReceipts[[#This Row],[Date]]="","",tblReceipts[[#This Row],[Quantity]]*tblReceipts[[#This Row],[Actual price]])</f>
        <v>1313.38</v>
      </c>
      <c r="L64" s="39">
        <f>IF(tblReceipts[[#This Row],[Date]]="","",IF(tblReceipts[[#This Row],[Standard price]]="","",tblReceipts[[#This Row],[Quantity]]*tblReceipts[[#This Row],[Standard price]]))</f>
        <v>1309.5</v>
      </c>
      <c r="M64" s="39">
        <f>IF(tblReceipts[[#This Row],[Date]]="","",IF(tblReceipts[[#This Row],[Standard price]]="","",tblReceipts[[#This Row],[Quantity]]*(tblReceipts[[#This Row],[Actual price]]-tblReceipts[[#This Row],[Standard price]])))</f>
        <v>3.88</v>
      </c>
      <c r="N64" s="40">
        <f>IF(tblReceipts[[#This Row],[Date]]="","",IF(OR(tblReceipts[[#This Row],[Standard price]]="",tblReceipts[[#This Row],[Standard price]]=0),"",(tblReceipts[[#This Row],[Actual price]]-tblReceipts[[#This Row],[Standard price]])/tblReceipts[[#This Row],[Standard price]]))</f>
        <v>0.00296296296296297</v>
      </c>
      <c r="O64" s="36" t="str">
        <f>IF(tblReceipts[[#This Row],[Date]]="","",IF(tblReceipts[[#This Row],[PPV]]="","",IF(tblReceipts[[#This Row],[PPV]]&gt;0,"Unfavourable",IF(tblReceipts[[#This Row],[PPV]]&lt;0,"Favourable","At standard"))))</f>
        <v>Unfavourable</v>
      </c>
      <c r="P64" s="41" t="str">
        <f>IF(NOT(ISNUMBER(tblReceipts[[#This Row],[PPV %]])),"",IF(tblReceipts[[#This Row],[PPV %]]&lt;=LineLimit,"On target",IF(tblReceipts[[#This Row],[PPV %]]&lt;=LineLimit*(1+0.05),"Near target","Above target")))</f>
        <v>On target</v>
      </c>
      <c r="Q64" s="42">
        <f>IF(tblReceipts[[#This Row],[Date]]="","",IF(AND(tblReceipts[[#This Row],[Date]]&gt;=FFrom,tblReceipts[[#This Row],[Date]]&lt;=FTo,OR(DashCat="",tblReceipts[[#This Row],[Category]]=DashCat)),tblReceipts[[#This Row],[Date]],""))</f>
        <v>46204</v>
      </c>
      <c r="R64"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64" s="28" t="s">
        <v>171</v>
      </c>
    </row>
    <row r="65" spans="2:19">
      <c r="B65" s="35">
        <v>46205</v>
      </c>
      <c r="C65" s="28" t="s">
        <v>230</v>
      </c>
      <c r="D65" s="28" t="s">
        <v>85</v>
      </c>
      <c r="E65" s="28" t="s">
        <v>138</v>
      </c>
      <c r="F65" s="33">
        <v>200</v>
      </c>
      <c r="G65" s="36" t="str">
        <f>IF(tblReceipts[[#This Row],[Date]]="","",IFERROR(INDEX(tblItems[UoM],MATCH(tblReceipts[[#This Row],[Item]],tblItems[Item],0)),""))</f>
        <v>ea</v>
      </c>
      <c r="H65" s="37">
        <v>10.25</v>
      </c>
      <c r="I65" s="38">
        <f>IF(tblReceipts[[#This Row],[Date]]="","",IFERROR(INDEX(tblItems[Standard price],MATCH(tblReceipts[[#This Row],[Item]],tblItems[Item],0)),""))</f>
        <v>9.75</v>
      </c>
      <c r="J65" s="36" t="str">
        <f>IF(tblReceipts[[#This Row],[Date]]="","",IFERROR(INDEX(tblItems[Category],MATCH(tblReceipts[[#This Row],[Item]],tblItems[Item],0)),""))</f>
        <v>Castings</v>
      </c>
      <c r="K65" s="39">
        <f>IF(tblReceipts[[#This Row],[Date]]="","",tblReceipts[[#This Row],[Quantity]]*tblReceipts[[#This Row],[Actual price]])</f>
        <v>2050</v>
      </c>
      <c r="L65" s="39">
        <f>IF(tblReceipts[[#This Row],[Date]]="","",IF(tblReceipts[[#This Row],[Standard price]]="","",tblReceipts[[#This Row],[Quantity]]*tblReceipts[[#This Row],[Standard price]]))</f>
        <v>1950</v>
      </c>
      <c r="M65" s="39">
        <f>IF(tblReceipts[[#This Row],[Date]]="","",IF(tblReceipts[[#This Row],[Standard price]]="","",tblReceipts[[#This Row],[Quantity]]*(tblReceipts[[#This Row],[Actual price]]-tblReceipts[[#This Row],[Standard price]])))</f>
        <v>100</v>
      </c>
      <c r="N65" s="40">
        <f>IF(tblReceipts[[#This Row],[Date]]="","",IF(OR(tblReceipts[[#This Row],[Standard price]]="",tblReceipts[[#This Row],[Standard price]]=0),"",(tblReceipts[[#This Row],[Actual price]]-tblReceipts[[#This Row],[Standard price]])/tblReceipts[[#This Row],[Standard price]]))</f>
        <v>0.0512820512820513</v>
      </c>
      <c r="O65" s="36" t="str">
        <f>IF(tblReceipts[[#This Row],[Date]]="","",IF(tblReceipts[[#This Row],[PPV]]="","",IF(tblReceipts[[#This Row],[PPV]]&gt;0,"Unfavourable",IF(tblReceipts[[#This Row],[PPV]]&lt;0,"Favourable","At standard"))))</f>
        <v>Unfavourable</v>
      </c>
      <c r="P65" s="41" t="str">
        <f>IF(NOT(ISNUMBER(tblReceipts[[#This Row],[PPV %]])),"",IF(tblReceipts[[#This Row],[PPV %]]&lt;=LineLimit,"On target",IF(tblReceipts[[#This Row],[PPV %]]&lt;=LineLimit*(1+0.05),"Near target","Above target")))</f>
        <v>Above target</v>
      </c>
      <c r="Q65" s="42">
        <f>IF(tblReceipts[[#This Row],[Date]]="","",IF(AND(tblReceipts[[#This Row],[Date]]&gt;=FFrom,tblReceipts[[#This Row],[Date]]&lt;=FTo,OR(DashCat="",tblReceipts[[#This Row],[Category]]=DashCat)),tblReceipts[[#This Row],[Date]],""))</f>
        <v>46205</v>
      </c>
      <c r="R65"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65" s="28" t="s">
        <v>171</v>
      </c>
    </row>
    <row r="66" spans="2:19">
      <c r="B66" s="35">
        <v>46205</v>
      </c>
      <c r="C66" s="28" t="s">
        <v>231</v>
      </c>
      <c r="D66" s="28" t="s">
        <v>104</v>
      </c>
      <c r="E66" s="28" t="s">
        <v>155</v>
      </c>
      <c r="F66" s="33">
        <v>1080</v>
      </c>
      <c r="G66" s="36" t="str">
        <f>IF(tblReceipts[[#This Row],[Date]]="","",IFERROR(INDEX(tblItems[UoM],MATCH(tblReceipts[[#This Row],[Item]],tblItems[Item],0)),""))</f>
        <v>ea</v>
      </c>
      <c r="H66" s="37">
        <v>0.434</v>
      </c>
      <c r="I66" s="38">
        <f>IF(tblReceipts[[#This Row],[Date]]="","",IFERROR(INDEX(tblItems[Standard price],MATCH(tblReceipts[[#This Row],[Item]],tblItems[Item],0)),""))</f>
        <v>0.44</v>
      </c>
      <c r="J66" s="36" t="str">
        <f>IF(tblReceipts[[#This Row],[Date]]="","",IFERROR(INDEX(tblItems[Category],MATCH(tblReceipts[[#This Row],[Item]],tblItems[Item],0)),""))</f>
        <v>Packaging</v>
      </c>
      <c r="K66" s="39">
        <f>IF(tblReceipts[[#This Row],[Date]]="","",tblReceipts[[#This Row],[Quantity]]*tblReceipts[[#This Row],[Actual price]])</f>
        <v>468.72</v>
      </c>
      <c r="L66" s="39">
        <f>IF(tblReceipts[[#This Row],[Date]]="","",IF(tblReceipts[[#This Row],[Standard price]]="","",tblReceipts[[#This Row],[Quantity]]*tblReceipts[[#This Row],[Standard price]]))</f>
        <v>475.2</v>
      </c>
      <c r="M66" s="39">
        <f>IF(tblReceipts[[#This Row],[Date]]="","",IF(tblReceipts[[#This Row],[Standard price]]="","",tblReceipts[[#This Row],[Quantity]]*(tblReceipts[[#This Row],[Actual price]]-tblReceipts[[#This Row],[Standard price]])))</f>
        <v>-6.48000000000001</v>
      </c>
      <c r="N66" s="40">
        <f>IF(tblReceipts[[#This Row],[Date]]="","",IF(OR(tblReceipts[[#This Row],[Standard price]]="",tblReceipts[[#This Row],[Standard price]]=0),"",(tblReceipts[[#This Row],[Actual price]]-tblReceipts[[#This Row],[Standard price]])/tblReceipts[[#This Row],[Standard price]]))</f>
        <v>-0.0136363636363636</v>
      </c>
      <c r="O66" s="36" t="str">
        <f>IF(tblReceipts[[#This Row],[Date]]="","",IF(tblReceipts[[#This Row],[PPV]]="","",IF(tblReceipts[[#This Row],[PPV]]&gt;0,"Unfavourable",IF(tblReceipts[[#This Row],[PPV]]&lt;0,"Favourable","At standard"))))</f>
        <v>Favourable</v>
      </c>
      <c r="P66" s="41" t="str">
        <f>IF(NOT(ISNUMBER(tblReceipts[[#This Row],[PPV %]])),"",IF(tblReceipts[[#This Row],[PPV %]]&lt;=LineLimit,"On target",IF(tblReceipts[[#This Row],[PPV %]]&lt;=LineLimit*(1+0.05),"Near target","Above target")))</f>
        <v>On target</v>
      </c>
      <c r="Q66" s="42">
        <f>IF(tblReceipts[[#This Row],[Date]]="","",IF(AND(tblReceipts[[#This Row],[Date]]&gt;=FFrom,tblReceipts[[#This Row],[Date]]&lt;=FTo,OR(DashCat="",tblReceipts[[#This Row],[Category]]=DashCat)),tblReceipts[[#This Row],[Date]],""))</f>
        <v>46205</v>
      </c>
      <c r="R66"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66" s="28" t="s">
        <v>171</v>
      </c>
    </row>
    <row r="67" spans="2:19">
      <c r="B67" s="35">
        <v>46206</v>
      </c>
      <c r="C67" s="28" t="s">
        <v>232</v>
      </c>
      <c r="D67" s="28" t="s">
        <v>85</v>
      </c>
      <c r="E67" s="28" t="s">
        <v>138</v>
      </c>
      <c r="F67" s="33">
        <v>240</v>
      </c>
      <c r="G67" s="36" t="str">
        <f>IF(tblReceipts[[#This Row],[Date]]="","",IFERROR(INDEX(tblItems[UoM],MATCH(tblReceipts[[#This Row],[Item]],tblItems[Item],0)),""))</f>
        <v>ea</v>
      </c>
      <c r="H67" s="37">
        <v>10.35</v>
      </c>
      <c r="I67" s="38">
        <f>IF(tblReceipts[[#This Row],[Date]]="","",IFERROR(INDEX(tblItems[Standard price],MATCH(tblReceipts[[#This Row],[Item]],tblItems[Item],0)),""))</f>
        <v>9.75</v>
      </c>
      <c r="J67" s="36" t="str">
        <f>IF(tblReceipts[[#This Row],[Date]]="","",IFERROR(INDEX(tblItems[Category],MATCH(tblReceipts[[#This Row],[Item]],tblItems[Item],0)),""))</f>
        <v>Castings</v>
      </c>
      <c r="K67" s="39">
        <f>IF(tblReceipts[[#This Row],[Date]]="","",tblReceipts[[#This Row],[Quantity]]*tblReceipts[[#This Row],[Actual price]])</f>
        <v>2484</v>
      </c>
      <c r="L67" s="39">
        <f>IF(tblReceipts[[#This Row],[Date]]="","",IF(tblReceipts[[#This Row],[Standard price]]="","",tblReceipts[[#This Row],[Quantity]]*tblReceipts[[#This Row],[Standard price]]))</f>
        <v>2340</v>
      </c>
      <c r="M67" s="39">
        <f>IF(tblReceipts[[#This Row],[Date]]="","",IF(tblReceipts[[#This Row],[Standard price]]="","",tblReceipts[[#This Row],[Quantity]]*(tblReceipts[[#This Row],[Actual price]]-tblReceipts[[#This Row],[Standard price]])))</f>
        <v>144</v>
      </c>
      <c r="N67" s="40">
        <f>IF(tblReceipts[[#This Row],[Date]]="","",IF(OR(tblReceipts[[#This Row],[Standard price]]="",tblReceipts[[#This Row],[Standard price]]=0),"",(tblReceipts[[#This Row],[Actual price]]-tblReceipts[[#This Row],[Standard price]])/tblReceipts[[#This Row],[Standard price]]))</f>
        <v>0.0615384615384615</v>
      </c>
      <c r="O67" s="36" t="str">
        <f>IF(tblReceipts[[#This Row],[Date]]="","",IF(tblReceipts[[#This Row],[PPV]]="","",IF(tblReceipts[[#This Row],[PPV]]&gt;0,"Unfavourable",IF(tblReceipts[[#This Row],[PPV]]&lt;0,"Favourable","At standard"))))</f>
        <v>Unfavourable</v>
      </c>
      <c r="P67" s="41" t="str">
        <f>IF(NOT(ISNUMBER(tblReceipts[[#This Row],[PPV %]])),"",IF(tblReceipts[[#This Row],[PPV %]]&lt;=LineLimit,"On target",IF(tblReceipts[[#This Row],[PPV %]]&lt;=LineLimit*(1+0.05),"Near target","Above target")))</f>
        <v>Above target</v>
      </c>
      <c r="Q67" s="42">
        <f>IF(tblReceipts[[#This Row],[Date]]="","",IF(AND(tblReceipts[[#This Row],[Date]]&gt;=FFrom,tblReceipts[[#This Row],[Date]]&lt;=FTo,OR(DashCat="",tblReceipts[[#This Row],[Category]]=DashCat)),tblReceipts[[#This Row],[Date]],""))</f>
        <v>46206</v>
      </c>
      <c r="R67"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67" s="28" t="s">
        <v>171</v>
      </c>
    </row>
    <row r="68" spans="2:19">
      <c r="B68" s="35">
        <v>46206</v>
      </c>
      <c r="C68" s="28" t="s">
        <v>233</v>
      </c>
      <c r="D68" s="28" t="s">
        <v>90</v>
      </c>
      <c r="E68" s="28" t="s">
        <v>143</v>
      </c>
      <c r="F68" s="33">
        <v>533</v>
      </c>
      <c r="G68" s="36" t="str">
        <f>IF(tblReceipts[[#This Row],[Date]]="","",IFERROR(INDEX(tblItems[UoM],MATCH(tblReceipts[[#This Row],[Item]],tblItems[Item],0)),""))</f>
        <v>kg</v>
      </c>
      <c r="H68" s="37">
        <v>7.16</v>
      </c>
      <c r="I68" s="38">
        <f>IF(tblReceipts[[#This Row],[Date]]="","",IFERROR(INDEX(tblItems[Standard price],MATCH(tblReceipts[[#This Row],[Item]],tblItems[Item],0)),""))</f>
        <v>7.1</v>
      </c>
      <c r="J68" s="36" t="str">
        <f>IF(tblReceipts[[#This Row],[Date]]="","",IFERROR(INDEX(tblItems[Category],MATCH(tblReceipts[[#This Row],[Item]],tblItems[Item],0)),""))</f>
        <v>Bar stock</v>
      </c>
      <c r="K68" s="39">
        <f>IF(tblReceipts[[#This Row],[Date]]="","",tblReceipts[[#This Row],[Quantity]]*tblReceipts[[#This Row],[Actual price]])</f>
        <v>3816.28</v>
      </c>
      <c r="L68" s="39">
        <f>IF(tblReceipts[[#This Row],[Date]]="","",IF(tblReceipts[[#This Row],[Standard price]]="","",tblReceipts[[#This Row],[Quantity]]*tblReceipts[[#This Row],[Standard price]]))</f>
        <v>3784.3</v>
      </c>
      <c r="M68" s="39">
        <f>IF(tblReceipts[[#This Row],[Date]]="","",IF(tblReceipts[[#This Row],[Standard price]]="","",tblReceipts[[#This Row],[Quantity]]*(tblReceipts[[#This Row],[Actual price]]-tblReceipts[[#This Row],[Standard price]])))</f>
        <v>31.9800000000003</v>
      </c>
      <c r="N68" s="40">
        <f>IF(tblReceipts[[#This Row],[Date]]="","",IF(OR(tblReceipts[[#This Row],[Standard price]]="",tblReceipts[[#This Row],[Standard price]]=0),"",(tblReceipts[[#This Row],[Actual price]]-tblReceipts[[#This Row],[Standard price]])/tblReceipts[[#This Row],[Standard price]]))</f>
        <v>0.00845070422535218</v>
      </c>
      <c r="O68" s="36" t="str">
        <f>IF(tblReceipts[[#This Row],[Date]]="","",IF(tblReceipts[[#This Row],[PPV]]="","",IF(tblReceipts[[#This Row],[PPV]]&gt;0,"Unfavourable",IF(tblReceipts[[#This Row],[PPV]]&lt;0,"Favourable","At standard"))))</f>
        <v>Unfavourable</v>
      </c>
      <c r="P68" s="41" t="str">
        <f>IF(NOT(ISNUMBER(tblReceipts[[#This Row],[PPV %]])),"",IF(tblReceipts[[#This Row],[PPV %]]&lt;=LineLimit,"On target",IF(tblReceipts[[#This Row],[PPV %]]&lt;=LineLimit*(1+0.05),"Near target","Above target")))</f>
        <v>On target</v>
      </c>
      <c r="Q68" s="42">
        <f>IF(tblReceipts[[#This Row],[Date]]="","",IF(AND(tblReceipts[[#This Row],[Date]]&gt;=FFrom,tblReceipts[[#This Row],[Date]]&lt;=FTo,OR(DashCat="",tblReceipts[[#This Row],[Category]]=DashCat)),tblReceipts[[#This Row],[Date]],""))</f>
        <v>46206</v>
      </c>
      <c r="R68"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68" s="28" t="s">
        <v>171</v>
      </c>
    </row>
    <row r="69" spans="2:19">
      <c r="B69" s="35">
        <v>46209</v>
      </c>
      <c r="C69" s="28" t="s">
        <v>234</v>
      </c>
      <c r="D69" s="28" t="s">
        <v>101</v>
      </c>
      <c r="E69" s="28" t="s">
        <v>150</v>
      </c>
      <c r="F69" s="33">
        <v>170</v>
      </c>
      <c r="G69" s="36" t="str">
        <f>IF(tblReceipts[[#This Row],[Date]]="","",IFERROR(INDEX(tblItems[UoM],MATCH(tblReceipts[[#This Row],[Item]],tblItems[Item],0)),""))</f>
        <v>ea</v>
      </c>
      <c r="H69" s="37">
        <v>24.28</v>
      </c>
      <c r="I69" s="38">
        <f>IF(tblReceipts[[#This Row],[Date]]="","",IFERROR(INDEX(tblItems[Standard price],MATCH(tblReceipts[[#This Row],[Item]],tblItems[Item],0)),""))</f>
        <v>23.8</v>
      </c>
      <c r="J69" s="36" t="str">
        <f>IF(tblReceipts[[#This Row],[Date]]="","",IFERROR(INDEX(tblItems[Category],MATCH(tblReceipts[[#This Row],[Item]],tblItems[Item],0)),""))</f>
        <v>Electronics</v>
      </c>
      <c r="K69" s="39">
        <f>IF(tblReceipts[[#This Row],[Date]]="","",tblReceipts[[#This Row],[Quantity]]*tblReceipts[[#This Row],[Actual price]])</f>
        <v>4127.6</v>
      </c>
      <c r="L69" s="39">
        <f>IF(tblReceipts[[#This Row],[Date]]="","",IF(tblReceipts[[#This Row],[Standard price]]="","",tblReceipts[[#This Row],[Quantity]]*tblReceipts[[#This Row],[Standard price]]))</f>
        <v>4046</v>
      </c>
      <c r="M69" s="39">
        <f>IF(tblReceipts[[#This Row],[Date]]="","",IF(tblReceipts[[#This Row],[Standard price]]="","",tblReceipts[[#This Row],[Quantity]]*(tblReceipts[[#This Row],[Actual price]]-tblReceipts[[#This Row],[Standard price]])))</f>
        <v>81.6000000000001</v>
      </c>
      <c r="N69" s="40">
        <f>IF(tblReceipts[[#This Row],[Date]]="","",IF(OR(tblReceipts[[#This Row],[Standard price]]="",tblReceipts[[#This Row],[Standard price]]=0),"",(tblReceipts[[#This Row],[Actual price]]-tblReceipts[[#This Row],[Standard price]])/tblReceipts[[#This Row],[Standard price]]))</f>
        <v>0.0201680672268908</v>
      </c>
      <c r="O69" s="36" t="str">
        <f>IF(tblReceipts[[#This Row],[Date]]="","",IF(tblReceipts[[#This Row],[PPV]]="","",IF(tblReceipts[[#This Row],[PPV]]&gt;0,"Unfavourable",IF(tblReceipts[[#This Row],[PPV]]&lt;0,"Favourable","At standard"))))</f>
        <v>Unfavourable</v>
      </c>
      <c r="P69" s="41" t="str">
        <f>IF(NOT(ISNUMBER(tblReceipts[[#This Row],[PPV %]])),"",IF(tblReceipts[[#This Row],[PPV %]]&lt;=LineLimit,"On target",IF(tblReceipts[[#This Row],[PPV %]]&lt;=LineLimit*(1+0.05),"Near target","Above target")))</f>
        <v>On target</v>
      </c>
      <c r="Q69" s="42">
        <f>IF(tblReceipts[[#This Row],[Date]]="","",IF(AND(tblReceipts[[#This Row],[Date]]&gt;=FFrom,tblReceipts[[#This Row],[Date]]&lt;=FTo,OR(DashCat="",tblReceipts[[#This Row],[Category]]=DashCat)),tblReceipts[[#This Row],[Date]],""))</f>
        <v>46209</v>
      </c>
      <c r="R69"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69" s="28" t="s">
        <v>171</v>
      </c>
    </row>
    <row r="70" spans="2:19">
      <c r="B70" s="35">
        <v>46209</v>
      </c>
      <c r="C70" s="28" t="s">
        <v>235</v>
      </c>
      <c r="D70" s="28" t="s">
        <v>104</v>
      </c>
      <c r="E70" s="28" t="s">
        <v>155</v>
      </c>
      <c r="F70" s="33">
        <v>420</v>
      </c>
      <c r="G70" s="36" t="str">
        <f>IF(tblReceipts[[#This Row],[Date]]="","",IFERROR(INDEX(tblItems[UoM],MATCH(tblReceipts[[#This Row],[Item]],tblItems[Item],0)),""))</f>
        <v>ea</v>
      </c>
      <c r="H70" s="37">
        <v>0.43</v>
      </c>
      <c r="I70" s="38">
        <f>IF(tblReceipts[[#This Row],[Date]]="","",IFERROR(INDEX(tblItems[Standard price],MATCH(tblReceipts[[#This Row],[Item]],tblItems[Item],0)),""))</f>
        <v>0.44</v>
      </c>
      <c r="J70" s="36" t="str">
        <f>IF(tblReceipts[[#This Row],[Date]]="","",IFERROR(INDEX(tblItems[Category],MATCH(tblReceipts[[#This Row],[Item]],tblItems[Item],0)),""))</f>
        <v>Packaging</v>
      </c>
      <c r="K70" s="39">
        <f>IF(tblReceipts[[#This Row],[Date]]="","",tblReceipts[[#This Row],[Quantity]]*tblReceipts[[#This Row],[Actual price]])</f>
        <v>180.6</v>
      </c>
      <c r="L70" s="39">
        <f>IF(tblReceipts[[#This Row],[Date]]="","",IF(tblReceipts[[#This Row],[Standard price]]="","",tblReceipts[[#This Row],[Quantity]]*tblReceipts[[#This Row],[Standard price]]))</f>
        <v>184.8</v>
      </c>
      <c r="M70" s="39">
        <f>IF(tblReceipts[[#This Row],[Date]]="","",IF(tblReceipts[[#This Row],[Standard price]]="","",tblReceipts[[#This Row],[Quantity]]*(tblReceipts[[#This Row],[Actual price]]-tblReceipts[[#This Row],[Standard price]])))</f>
        <v>-4.2</v>
      </c>
      <c r="N70" s="40">
        <f>IF(tblReceipts[[#This Row],[Date]]="","",IF(OR(tblReceipts[[#This Row],[Standard price]]="",tblReceipts[[#This Row],[Standard price]]=0),"",(tblReceipts[[#This Row],[Actual price]]-tblReceipts[[#This Row],[Standard price]])/tblReceipts[[#This Row],[Standard price]]))</f>
        <v>-0.0227272727272728</v>
      </c>
      <c r="O70" s="36" t="str">
        <f>IF(tblReceipts[[#This Row],[Date]]="","",IF(tblReceipts[[#This Row],[PPV]]="","",IF(tblReceipts[[#This Row],[PPV]]&gt;0,"Unfavourable",IF(tblReceipts[[#This Row],[PPV]]&lt;0,"Favourable","At standard"))))</f>
        <v>Favourable</v>
      </c>
      <c r="P70" s="41" t="str">
        <f>IF(NOT(ISNUMBER(tblReceipts[[#This Row],[PPV %]])),"",IF(tblReceipts[[#This Row],[PPV %]]&lt;=LineLimit,"On target",IF(tblReceipts[[#This Row],[PPV %]]&lt;=LineLimit*(1+0.05),"Near target","Above target")))</f>
        <v>On target</v>
      </c>
      <c r="Q70" s="42">
        <f>IF(tblReceipts[[#This Row],[Date]]="","",IF(AND(tblReceipts[[#This Row],[Date]]&gt;=FFrom,tblReceipts[[#This Row],[Date]]&lt;=FTo,OR(DashCat="",tblReceipts[[#This Row],[Category]]=DashCat)),tblReceipts[[#This Row],[Date]],""))</f>
        <v>46209</v>
      </c>
      <c r="R70"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70" s="28" t="s">
        <v>171</v>
      </c>
    </row>
    <row r="71" spans="2:19">
      <c r="B71" s="35">
        <v>46216</v>
      </c>
      <c r="C71" s="28" t="s">
        <v>236</v>
      </c>
      <c r="D71" s="28" t="s">
        <v>85</v>
      </c>
      <c r="E71" s="28" t="s">
        <v>139</v>
      </c>
      <c r="F71" s="33">
        <v>580</v>
      </c>
      <c r="G71" s="36" t="str">
        <f>IF(tblReceipts[[#This Row],[Date]]="","",IFERROR(INDEX(tblItems[UoM],MATCH(tblReceipts[[#This Row],[Item]],tblItems[Item],0)),""))</f>
        <v>ea</v>
      </c>
      <c r="H71" s="37">
        <v>3.39</v>
      </c>
      <c r="I71" s="38">
        <f>IF(tblReceipts[[#This Row],[Date]]="","",IFERROR(INDEX(tblItems[Standard price],MATCH(tblReceipts[[#This Row],[Item]],tblItems[Item],0)),""))</f>
        <v>3.2</v>
      </c>
      <c r="J71" s="36" t="str">
        <f>IF(tblReceipts[[#This Row],[Date]]="","",IFERROR(INDEX(tblItems[Category],MATCH(tblReceipts[[#This Row],[Item]],tblItems[Item],0)),""))</f>
        <v>Castings</v>
      </c>
      <c r="K71" s="39">
        <f>IF(tblReceipts[[#This Row],[Date]]="","",tblReceipts[[#This Row],[Quantity]]*tblReceipts[[#This Row],[Actual price]])</f>
        <v>1966.2</v>
      </c>
      <c r="L71" s="39">
        <f>IF(tblReceipts[[#This Row],[Date]]="","",IF(tblReceipts[[#This Row],[Standard price]]="","",tblReceipts[[#This Row],[Quantity]]*tblReceipts[[#This Row],[Standard price]]))</f>
        <v>1856</v>
      </c>
      <c r="M71" s="39">
        <f>IF(tblReceipts[[#This Row],[Date]]="","",IF(tblReceipts[[#This Row],[Standard price]]="","",tblReceipts[[#This Row],[Quantity]]*(tblReceipts[[#This Row],[Actual price]]-tblReceipts[[#This Row],[Standard price]])))</f>
        <v>110.2</v>
      </c>
      <c r="N71" s="40">
        <f>IF(tblReceipts[[#This Row],[Date]]="","",IF(OR(tblReceipts[[#This Row],[Standard price]]="",tblReceipts[[#This Row],[Standard price]]=0),"",(tblReceipts[[#This Row],[Actual price]]-tblReceipts[[#This Row],[Standard price]])/tblReceipts[[#This Row],[Standard price]]))</f>
        <v>0.059375</v>
      </c>
      <c r="O71" s="36" t="str">
        <f>IF(tblReceipts[[#This Row],[Date]]="","",IF(tblReceipts[[#This Row],[PPV]]="","",IF(tblReceipts[[#This Row],[PPV]]&gt;0,"Unfavourable",IF(tblReceipts[[#This Row],[PPV]]&lt;0,"Favourable","At standard"))))</f>
        <v>Unfavourable</v>
      </c>
      <c r="P71" s="41" t="str">
        <f>IF(NOT(ISNUMBER(tblReceipts[[#This Row],[PPV %]])),"",IF(tblReceipts[[#This Row],[PPV %]]&lt;=LineLimit,"On target",IF(tblReceipts[[#This Row],[PPV %]]&lt;=LineLimit*(1+0.05),"Near target","Above target")))</f>
        <v>Above target</v>
      </c>
      <c r="Q71" s="42">
        <f>IF(tblReceipts[[#This Row],[Date]]="","",IF(AND(tblReceipts[[#This Row],[Date]]&gt;=FFrom,tblReceipts[[#This Row],[Date]]&lt;=FTo,OR(DashCat="",tblReceipts[[#This Row],[Category]]=DashCat)),tblReceipts[[#This Row],[Date]],""))</f>
        <v>46216</v>
      </c>
      <c r="R71"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71" s="28" t="s">
        <v>171</v>
      </c>
    </row>
    <row r="72" spans="2:19">
      <c r="B72" s="35">
        <v>46217</v>
      </c>
      <c r="C72" s="28" t="s">
        <v>237</v>
      </c>
      <c r="D72" s="28" t="s">
        <v>99</v>
      </c>
      <c r="E72" s="28" t="s">
        <v>147</v>
      </c>
      <c r="F72" s="33">
        <v>110</v>
      </c>
      <c r="G72" s="36" t="str">
        <f>IF(tblReceipts[[#This Row],[Date]]="","",IFERROR(INDEX(tblItems[UoM],MATCH(tblReceipts[[#This Row],[Item]],tblItems[Item],0)),""))</f>
        <v>100 pcs</v>
      </c>
      <c r="H72" s="37">
        <v>13.52</v>
      </c>
      <c r="I72" s="38">
        <f>IF(tblReceipts[[#This Row],[Date]]="","",IFERROR(INDEX(tblItems[Standard price],MATCH(tblReceipts[[#This Row],[Item]],tblItems[Item],0)),""))</f>
        <v>14.5</v>
      </c>
      <c r="J72" s="36" t="str">
        <f>IF(tblReceipts[[#This Row],[Date]]="","",IFERROR(INDEX(tblItems[Category],MATCH(tblReceipts[[#This Row],[Item]],tblItems[Item],0)),""))</f>
        <v>Fasteners</v>
      </c>
      <c r="K72" s="39">
        <f>IF(tblReceipts[[#This Row],[Date]]="","",tblReceipts[[#This Row],[Quantity]]*tblReceipts[[#This Row],[Actual price]])</f>
        <v>1487.2</v>
      </c>
      <c r="L72" s="39">
        <f>IF(tblReceipts[[#This Row],[Date]]="","",IF(tblReceipts[[#This Row],[Standard price]]="","",tblReceipts[[#This Row],[Quantity]]*tblReceipts[[#This Row],[Standard price]]))</f>
        <v>1595</v>
      </c>
      <c r="M72" s="39">
        <f>IF(tblReceipts[[#This Row],[Date]]="","",IF(tblReceipts[[#This Row],[Standard price]]="","",tblReceipts[[#This Row],[Quantity]]*(tblReceipts[[#This Row],[Actual price]]-tblReceipts[[#This Row],[Standard price]])))</f>
        <v>-107.8</v>
      </c>
      <c r="N72" s="40">
        <f>IF(tblReceipts[[#This Row],[Date]]="","",IF(OR(tblReceipts[[#This Row],[Standard price]]="",tblReceipts[[#This Row],[Standard price]]=0),"",(tblReceipts[[#This Row],[Actual price]]-tblReceipts[[#This Row],[Standard price]])/tblReceipts[[#This Row],[Standard price]]))</f>
        <v>-0.0675862068965518</v>
      </c>
      <c r="O72" s="36" t="str">
        <f>IF(tblReceipts[[#This Row],[Date]]="","",IF(tblReceipts[[#This Row],[PPV]]="","",IF(tblReceipts[[#This Row],[PPV]]&gt;0,"Unfavourable",IF(tblReceipts[[#This Row],[PPV]]&lt;0,"Favourable","At standard"))))</f>
        <v>Favourable</v>
      </c>
      <c r="P72" s="41" t="str">
        <f>IF(NOT(ISNUMBER(tblReceipts[[#This Row],[PPV %]])),"",IF(tblReceipts[[#This Row],[PPV %]]&lt;=LineLimit,"On target",IF(tblReceipts[[#This Row],[PPV %]]&lt;=LineLimit*(1+0.05),"Near target","Above target")))</f>
        <v>On target</v>
      </c>
      <c r="Q72" s="42">
        <f>IF(tblReceipts[[#This Row],[Date]]="","",IF(AND(tblReceipts[[#This Row],[Date]]&gt;=FFrom,tblReceipts[[#This Row],[Date]]&lt;=FTo,OR(DashCat="",tblReceipts[[#This Row],[Category]]=DashCat)),tblReceipts[[#This Row],[Date]],""))</f>
        <v>46217</v>
      </c>
      <c r="R72"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72" s="28" t="s">
        <v>171</v>
      </c>
    </row>
    <row r="73" spans="2:19">
      <c r="B73" s="35">
        <v>46219</v>
      </c>
      <c r="C73" s="28" t="s">
        <v>238</v>
      </c>
      <c r="D73" s="28" t="s">
        <v>85</v>
      </c>
      <c r="E73" s="28" t="s">
        <v>139</v>
      </c>
      <c r="F73" s="33">
        <v>480</v>
      </c>
      <c r="G73" s="36" t="str">
        <f>IF(tblReceipts[[#This Row],[Date]]="","",IFERROR(INDEX(tblItems[UoM],MATCH(tblReceipts[[#This Row],[Item]],tblItems[Item],0)),""))</f>
        <v>ea</v>
      </c>
      <c r="H73" s="37">
        <v>3.4</v>
      </c>
      <c r="I73" s="38">
        <f>IF(tblReceipts[[#This Row],[Date]]="","",IFERROR(INDEX(tblItems[Standard price],MATCH(tblReceipts[[#This Row],[Item]],tblItems[Item],0)),""))</f>
        <v>3.2</v>
      </c>
      <c r="J73" s="36" t="str">
        <f>IF(tblReceipts[[#This Row],[Date]]="","",IFERROR(INDEX(tblItems[Category],MATCH(tblReceipts[[#This Row],[Item]],tblItems[Item],0)),""))</f>
        <v>Castings</v>
      </c>
      <c r="K73" s="39">
        <f>IF(tblReceipts[[#This Row],[Date]]="","",tblReceipts[[#This Row],[Quantity]]*tblReceipts[[#This Row],[Actual price]])</f>
        <v>1632</v>
      </c>
      <c r="L73" s="39">
        <f>IF(tblReceipts[[#This Row],[Date]]="","",IF(tblReceipts[[#This Row],[Standard price]]="","",tblReceipts[[#This Row],[Quantity]]*tblReceipts[[#This Row],[Standard price]]))</f>
        <v>1536</v>
      </c>
      <c r="M73" s="39">
        <f>IF(tblReceipts[[#This Row],[Date]]="","",IF(tblReceipts[[#This Row],[Standard price]]="","",tblReceipts[[#This Row],[Quantity]]*(tblReceipts[[#This Row],[Actual price]]-tblReceipts[[#This Row],[Standard price]])))</f>
        <v>95.9999999999999</v>
      </c>
      <c r="N73" s="40">
        <f>IF(tblReceipts[[#This Row],[Date]]="","",IF(OR(tblReceipts[[#This Row],[Standard price]]="",tblReceipts[[#This Row],[Standard price]]=0),"",(tblReceipts[[#This Row],[Actual price]]-tblReceipts[[#This Row],[Standard price]])/tblReceipts[[#This Row],[Standard price]]))</f>
        <v>0.0624999999999999</v>
      </c>
      <c r="O73" s="36" t="str">
        <f>IF(tblReceipts[[#This Row],[Date]]="","",IF(tblReceipts[[#This Row],[PPV]]="","",IF(tblReceipts[[#This Row],[PPV]]&gt;0,"Unfavourable",IF(tblReceipts[[#This Row],[PPV]]&lt;0,"Favourable","At standard"))))</f>
        <v>Unfavourable</v>
      </c>
      <c r="P73" s="41" t="str">
        <f>IF(NOT(ISNUMBER(tblReceipts[[#This Row],[PPV %]])),"",IF(tblReceipts[[#This Row],[PPV %]]&lt;=LineLimit,"On target",IF(tblReceipts[[#This Row],[PPV %]]&lt;=LineLimit*(1+0.05),"Near target","Above target")))</f>
        <v>Above target</v>
      </c>
      <c r="Q73" s="42">
        <f>IF(tblReceipts[[#This Row],[Date]]="","",IF(AND(tblReceipts[[#This Row],[Date]]&gt;=FFrom,tblReceipts[[#This Row],[Date]]&lt;=FTo,OR(DashCat="",tblReceipts[[#This Row],[Category]]=DashCat)),tblReceipts[[#This Row],[Date]],""))</f>
        <v>46219</v>
      </c>
      <c r="R73"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73" s="28" t="s">
        <v>171</v>
      </c>
    </row>
    <row r="74" spans="2:19">
      <c r="B74" s="35">
        <v>46219</v>
      </c>
      <c r="C74" s="28" t="s">
        <v>239</v>
      </c>
      <c r="D74" s="28" t="s">
        <v>90</v>
      </c>
      <c r="E74" s="28" t="s">
        <v>140</v>
      </c>
      <c r="F74" s="33">
        <v>379</v>
      </c>
      <c r="G74" s="36" t="str">
        <f>IF(tblReceipts[[#This Row],[Date]]="","",IFERROR(INDEX(tblItems[UoM],MATCH(tblReceipts[[#This Row],[Item]],tblItems[Item],0)),""))</f>
        <v>kg</v>
      </c>
      <c r="H74" s="37">
        <v>6.33</v>
      </c>
      <c r="I74" s="38">
        <f>IF(tblReceipts[[#This Row],[Date]]="","",IFERROR(INDEX(tblItems[Standard price],MATCH(tblReceipts[[#This Row],[Item]],tblItems[Item],0)),""))</f>
        <v>6.2</v>
      </c>
      <c r="J74" s="36" t="str">
        <f>IF(tblReceipts[[#This Row],[Date]]="","",IFERROR(INDEX(tblItems[Category],MATCH(tblReceipts[[#This Row],[Item]],tblItems[Item],0)),""))</f>
        <v>Bar stock</v>
      </c>
      <c r="K74" s="39">
        <f>IF(tblReceipts[[#This Row],[Date]]="","",tblReceipts[[#This Row],[Quantity]]*tblReceipts[[#This Row],[Actual price]])</f>
        <v>2399.07</v>
      </c>
      <c r="L74" s="39">
        <f>IF(tblReceipts[[#This Row],[Date]]="","",IF(tblReceipts[[#This Row],[Standard price]]="","",tblReceipts[[#This Row],[Quantity]]*tblReceipts[[#This Row],[Standard price]]))</f>
        <v>2349.8</v>
      </c>
      <c r="M74" s="39">
        <f>IF(tblReceipts[[#This Row],[Date]]="","",IF(tblReceipts[[#This Row],[Standard price]]="","",tblReceipts[[#This Row],[Quantity]]*(tblReceipts[[#This Row],[Actual price]]-tblReceipts[[#This Row],[Standard price]])))</f>
        <v>49.27</v>
      </c>
      <c r="N74" s="40">
        <f>IF(tblReceipts[[#This Row],[Date]]="","",IF(OR(tblReceipts[[#This Row],[Standard price]]="",tblReceipts[[#This Row],[Standard price]]=0),"",(tblReceipts[[#This Row],[Actual price]]-tblReceipts[[#This Row],[Standard price]])/tblReceipts[[#This Row],[Standard price]]))</f>
        <v>0.0209677419354839</v>
      </c>
      <c r="O74" s="36" t="str">
        <f>IF(tblReceipts[[#This Row],[Date]]="","",IF(tblReceipts[[#This Row],[PPV]]="","",IF(tblReceipts[[#This Row],[PPV]]&gt;0,"Unfavourable",IF(tblReceipts[[#This Row],[PPV]]&lt;0,"Favourable","At standard"))))</f>
        <v>Unfavourable</v>
      </c>
      <c r="P74" s="41" t="str">
        <f>IF(NOT(ISNUMBER(tblReceipts[[#This Row],[PPV %]])),"",IF(tblReceipts[[#This Row],[PPV %]]&lt;=LineLimit,"On target",IF(tblReceipts[[#This Row],[PPV %]]&lt;=LineLimit*(1+0.05),"Near target","Above target")))</f>
        <v>On target</v>
      </c>
      <c r="Q74" s="42">
        <f>IF(tblReceipts[[#This Row],[Date]]="","",IF(AND(tblReceipts[[#This Row],[Date]]&gt;=FFrom,tblReceipts[[#This Row],[Date]]&lt;=FTo,OR(DashCat="",tblReceipts[[#This Row],[Category]]=DashCat)),tblReceipts[[#This Row],[Date]],""))</f>
        <v>46219</v>
      </c>
      <c r="R74"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74" s="28" t="s">
        <v>171</v>
      </c>
    </row>
    <row r="75" spans="2:19">
      <c r="B75" s="35">
        <v>46220</v>
      </c>
      <c r="C75" s="28" t="s">
        <v>240</v>
      </c>
      <c r="D75" s="28" t="s">
        <v>104</v>
      </c>
      <c r="E75" s="28" t="s">
        <v>153</v>
      </c>
      <c r="F75" s="33">
        <v>1160</v>
      </c>
      <c r="G75" s="36" t="str">
        <f>IF(tblReceipts[[#This Row],[Date]]="","",IFERROR(INDEX(tblItems[UoM],MATCH(tblReceipts[[#This Row],[Item]],tblItems[Item],0)),""))</f>
        <v>ea</v>
      </c>
      <c r="H75" s="37">
        <v>0.837</v>
      </c>
      <c r="I75" s="38">
        <f>IF(tblReceipts[[#This Row],[Date]]="","",IFERROR(INDEX(tblItems[Standard price],MATCH(tblReceipts[[#This Row],[Item]],tblItems[Item],0)),""))</f>
        <v>0.86</v>
      </c>
      <c r="J75" s="36" t="str">
        <f>IF(tblReceipts[[#This Row],[Date]]="","",IFERROR(INDEX(tblItems[Category],MATCH(tblReceipts[[#This Row],[Item]],tblItems[Item],0)),""))</f>
        <v>Packaging</v>
      </c>
      <c r="K75" s="39">
        <f>IF(tblReceipts[[#This Row],[Date]]="","",tblReceipts[[#This Row],[Quantity]]*tblReceipts[[#This Row],[Actual price]])</f>
        <v>970.92</v>
      </c>
      <c r="L75" s="39">
        <f>IF(tblReceipts[[#This Row],[Date]]="","",IF(tblReceipts[[#This Row],[Standard price]]="","",tblReceipts[[#This Row],[Quantity]]*tblReceipts[[#This Row],[Standard price]]))</f>
        <v>997.6</v>
      </c>
      <c r="M75" s="39">
        <f>IF(tblReceipts[[#This Row],[Date]]="","",IF(tblReceipts[[#This Row],[Standard price]]="","",tblReceipts[[#This Row],[Quantity]]*(tblReceipts[[#This Row],[Actual price]]-tblReceipts[[#This Row],[Standard price]])))</f>
        <v>-26.68</v>
      </c>
      <c r="N75" s="40">
        <f>IF(tblReceipts[[#This Row],[Date]]="","",IF(OR(tblReceipts[[#This Row],[Standard price]]="",tblReceipts[[#This Row],[Standard price]]=0),"",(tblReceipts[[#This Row],[Actual price]]-tblReceipts[[#This Row],[Standard price]])/tblReceipts[[#This Row],[Standard price]]))</f>
        <v>-0.0267441860465117</v>
      </c>
      <c r="O75" s="36" t="str">
        <f>IF(tblReceipts[[#This Row],[Date]]="","",IF(tblReceipts[[#This Row],[PPV]]="","",IF(tblReceipts[[#This Row],[PPV]]&gt;0,"Unfavourable",IF(tblReceipts[[#This Row],[PPV]]&lt;0,"Favourable","At standard"))))</f>
        <v>Favourable</v>
      </c>
      <c r="P75" s="41" t="str">
        <f>IF(NOT(ISNUMBER(tblReceipts[[#This Row],[PPV %]])),"",IF(tblReceipts[[#This Row],[PPV %]]&lt;=LineLimit,"On target",IF(tblReceipts[[#This Row],[PPV %]]&lt;=LineLimit*(1+0.05),"Near target","Above target")))</f>
        <v>On target</v>
      </c>
      <c r="Q75" s="42">
        <f>IF(tblReceipts[[#This Row],[Date]]="","",IF(AND(tblReceipts[[#This Row],[Date]]&gt;=FFrom,tblReceipts[[#This Row],[Date]]&lt;=FTo,OR(DashCat="",tblReceipts[[#This Row],[Category]]=DashCat)),tblReceipts[[#This Row],[Date]],""))</f>
        <v>46220</v>
      </c>
      <c r="R75"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75" s="28" t="s">
        <v>171</v>
      </c>
    </row>
    <row r="76" spans="2:19">
      <c r="B76" s="35">
        <v>46224</v>
      </c>
      <c r="C76" s="28" t="s">
        <v>241</v>
      </c>
      <c r="D76" s="28" t="s">
        <v>95</v>
      </c>
      <c r="E76" s="28" t="s">
        <v>146</v>
      </c>
      <c r="F76" s="33">
        <v>860</v>
      </c>
      <c r="G76" s="36" t="str">
        <f>IF(tblReceipts[[#This Row],[Date]]="","",IFERROR(INDEX(tblItems[UoM],MATCH(tblReceipts[[#This Row],[Item]],tblItems[Item],0)),""))</f>
        <v>ea</v>
      </c>
      <c r="H76" s="37">
        <v>0.923</v>
      </c>
      <c r="I76" s="38">
        <f>IF(tblReceipts[[#This Row],[Date]]="","",IFERROR(INDEX(tblItems[Standard price],MATCH(tblReceipts[[#This Row],[Item]],tblItems[Item],0)),""))</f>
        <v>0.92</v>
      </c>
      <c r="J76" s="36" t="str">
        <f>IF(tblReceipts[[#This Row],[Date]]="","",IFERROR(INDEX(tblItems[Category],MATCH(tblReceipts[[#This Row],[Item]],tblItems[Item],0)),""))</f>
        <v>Seals</v>
      </c>
      <c r="K76" s="39">
        <f>IF(tblReceipts[[#This Row],[Date]]="","",tblReceipts[[#This Row],[Quantity]]*tblReceipts[[#This Row],[Actual price]])</f>
        <v>793.78</v>
      </c>
      <c r="L76" s="39">
        <f>IF(tblReceipts[[#This Row],[Date]]="","",IF(tblReceipts[[#This Row],[Standard price]]="","",tblReceipts[[#This Row],[Quantity]]*tblReceipts[[#This Row],[Standard price]]))</f>
        <v>791.2</v>
      </c>
      <c r="M76" s="39">
        <f>IF(tblReceipts[[#This Row],[Date]]="","",IF(tblReceipts[[#This Row],[Standard price]]="","",tblReceipts[[#This Row],[Quantity]]*(tblReceipts[[#This Row],[Actual price]]-tblReceipts[[#This Row],[Standard price]])))</f>
        <v>2.58</v>
      </c>
      <c r="N76" s="40">
        <f>IF(tblReceipts[[#This Row],[Date]]="","",IF(OR(tblReceipts[[#This Row],[Standard price]]="",tblReceipts[[#This Row],[Standard price]]=0),"",(tblReceipts[[#This Row],[Actual price]]-tblReceipts[[#This Row],[Standard price]])/tblReceipts[[#This Row],[Standard price]]))</f>
        <v>0.00326086956521739</v>
      </c>
      <c r="O76" s="36" t="str">
        <f>IF(tblReceipts[[#This Row],[Date]]="","",IF(tblReceipts[[#This Row],[PPV]]="","",IF(tblReceipts[[#This Row],[PPV]]&gt;0,"Unfavourable",IF(tblReceipts[[#This Row],[PPV]]&lt;0,"Favourable","At standard"))))</f>
        <v>Unfavourable</v>
      </c>
      <c r="P76" s="41" t="str">
        <f>IF(NOT(ISNUMBER(tblReceipts[[#This Row],[PPV %]])),"",IF(tblReceipts[[#This Row],[PPV %]]&lt;=LineLimit,"On target",IF(tblReceipts[[#This Row],[PPV %]]&lt;=LineLimit*(1+0.05),"Near target","Above target")))</f>
        <v>On target</v>
      </c>
      <c r="Q76" s="42">
        <f>IF(tblReceipts[[#This Row],[Date]]="","",IF(AND(tblReceipts[[#This Row],[Date]]&gt;=FFrom,tblReceipts[[#This Row],[Date]]&lt;=FTo,OR(DashCat="",tblReceipts[[#This Row],[Category]]=DashCat)),tblReceipts[[#This Row],[Date]],""))</f>
        <v>46224</v>
      </c>
      <c r="R76"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76" s="28" t="s">
        <v>171</v>
      </c>
    </row>
    <row r="77" spans="2:19">
      <c r="B77" s="35">
        <v>46226</v>
      </c>
      <c r="C77" s="28" t="s">
        <v>242</v>
      </c>
      <c r="D77" s="28" t="s">
        <v>104</v>
      </c>
      <c r="E77" s="28" t="s">
        <v>153</v>
      </c>
      <c r="F77" s="33">
        <v>660</v>
      </c>
      <c r="G77" s="36" t="str">
        <f>IF(tblReceipts[[#This Row],[Date]]="","",IFERROR(INDEX(tblItems[UoM],MATCH(tblReceipts[[#This Row],[Item]],tblItems[Item],0)),""))</f>
        <v>ea</v>
      </c>
      <c r="H77" s="37">
        <v>0.842</v>
      </c>
      <c r="I77" s="38">
        <f>IF(tblReceipts[[#This Row],[Date]]="","",IFERROR(INDEX(tblItems[Standard price],MATCH(tblReceipts[[#This Row],[Item]],tblItems[Item],0)),""))</f>
        <v>0.86</v>
      </c>
      <c r="J77" s="36" t="str">
        <f>IF(tblReceipts[[#This Row],[Date]]="","",IFERROR(INDEX(tblItems[Category],MATCH(tblReceipts[[#This Row],[Item]],tblItems[Item],0)),""))</f>
        <v>Packaging</v>
      </c>
      <c r="K77" s="39">
        <f>IF(tblReceipts[[#This Row],[Date]]="","",tblReceipts[[#This Row],[Quantity]]*tblReceipts[[#This Row],[Actual price]])</f>
        <v>555.72</v>
      </c>
      <c r="L77" s="39">
        <f>IF(tblReceipts[[#This Row],[Date]]="","",IF(tblReceipts[[#This Row],[Standard price]]="","",tblReceipts[[#This Row],[Quantity]]*tblReceipts[[#This Row],[Standard price]]))</f>
        <v>567.6</v>
      </c>
      <c r="M77" s="39">
        <f>IF(tblReceipts[[#This Row],[Date]]="","",IF(tblReceipts[[#This Row],[Standard price]]="","",tblReceipts[[#This Row],[Quantity]]*(tblReceipts[[#This Row],[Actual price]]-tblReceipts[[#This Row],[Standard price]])))</f>
        <v>-11.88</v>
      </c>
      <c r="N77" s="40">
        <f>IF(tblReceipts[[#This Row],[Date]]="","",IF(OR(tblReceipts[[#This Row],[Standard price]]="",tblReceipts[[#This Row],[Standard price]]=0),"",(tblReceipts[[#This Row],[Actual price]]-tblReceipts[[#This Row],[Standard price]])/tblReceipts[[#This Row],[Standard price]]))</f>
        <v>-0.0209302325581396</v>
      </c>
      <c r="O77" s="36" t="str">
        <f>IF(tblReceipts[[#This Row],[Date]]="","",IF(tblReceipts[[#This Row],[PPV]]="","",IF(tblReceipts[[#This Row],[PPV]]&gt;0,"Unfavourable",IF(tblReceipts[[#This Row],[PPV]]&lt;0,"Favourable","At standard"))))</f>
        <v>Favourable</v>
      </c>
      <c r="P77" s="41" t="str">
        <f>IF(NOT(ISNUMBER(tblReceipts[[#This Row],[PPV %]])),"",IF(tblReceipts[[#This Row],[PPV %]]&lt;=LineLimit,"On target",IF(tblReceipts[[#This Row],[PPV %]]&lt;=LineLimit*(1+0.05),"Near target","Above target")))</f>
        <v>On target</v>
      </c>
      <c r="Q77" s="42">
        <f>IF(tblReceipts[[#This Row],[Date]]="","",IF(AND(tblReceipts[[#This Row],[Date]]&gt;=FFrom,tblReceipts[[#This Row],[Date]]&lt;=FTo,OR(DashCat="",tblReceipts[[#This Row],[Category]]=DashCat)),tblReceipts[[#This Row],[Date]],""))</f>
        <v>46226</v>
      </c>
      <c r="R77"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77" s="28" t="s">
        <v>171</v>
      </c>
    </row>
    <row r="78" spans="2:19">
      <c r="B78" s="35">
        <v>46227</v>
      </c>
      <c r="C78" s="28" t="s">
        <v>243</v>
      </c>
      <c r="D78" s="28" t="s">
        <v>85</v>
      </c>
      <c r="E78" s="28" t="s">
        <v>135</v>
      </c>
      <c r="F78" s="33">
        <v>200</v>
      </c>
      <c r="G78" s="36" t="str">
        <f>IF(tblReceipts[[#This Row],[Date]]="","",IFERROR(INDEX(tblItems[UoM],MATCH(tblReceipts[[#This Row],[Item]],tblItems[Item],0)),""))</f>
        <v>ea</v>
      </c>
      <c r="H78" s="37">
        <v>19.32</v>
      </c>
      <c r="I78" s="38">
        <f>IF(tblReceipts[[#This Row],[Date]]="","",IFERROR(INDEX(tblItems[Standard price],MATCH(tblReceipts[[#This Row],[Item]],tblItems[Item],0)),""))</f>
        <v>18.4</v>
      </c>
      <c r="J78" s="36" t="str">
        <f>IF(tblReceipts[[#This Row],[Date]]="","",IFERROR(INDEX(tblItems[Category],MATCH(tblReceipts[[#This Row],[Item]],tblItems[Item],0)),""))</f>
        <v>Castings</v>
      </c>
      <c r="K78" s="39">
        <f>IF(tblReceipts[[#This Row],[Date]]="","",tblReceipts[[#This Row],[Quantity]]*tblReceipts[[#This Row],[Actual price]])</f>
        <v>3864</v>
      </c>
      <c r="L78" s="39">
        <f>IF(tblReceipts[[#This Row],[Date]]="","",IF(tblReceipts[[#This Row],[Standard price]]="","",tblReceipts[[#This Row],[Quantity]]*tblReceipts[[#This Row],[Standard price]]))</f>
        <v>3680</v>
      </c>
      <c r="M78" s="39">
        <f>IF(tblReceipts[[#This Row],[Date]]="","",IF(tblReceipts[[#This Row],[Standard price]]="","",tblReceipts[[#This Row],[Quantity]]*(tblReceipts[[#This Row],[Actual price]]-tblReceipts[[#This Row],[Standard price]])))</f>
        <v>184</v>
      </c>
      <c r="N78" s="40">
        <f>IF(tblReceipts[[#This Row],[Date]]="","",IF(OR(tblReceipts[[#This Row],[Standard price]]="",tblReceipts[[#This Row],[Standard price]]=0),"",(tblReceipts[[#This Row],[Actual price]]-tblReceipts[[#This Row],[Standard price]])/tblReceipts[[#This Row],[Standard price]]))</f>
        <v>0.0500000000000001</v>
      </c>
      <c r="O78" s="36" t="str">
        <f>IF(tblReceipts[[#This Row],[Date]]="","",IF(tblReceipts[[#This Row],[PPV]]="","",IF(tblReceipts[[#This Row],[PPV]]&gt;0,"Unfavourable",IF(tblReceipts[[#This Row],[PPV]]&lt;0,"Favourable","At standard"))))</f>
        <v>Unfavourable</v>
      </c>
      <c r="P78" s="41" t="str">
        <f>IF(NOT(ISNUMBER(tblReceipts[[#This Row],[PPV %]])),"",IF(tblReceipts[[#This Row],[PPV %]]&lt;=LineLimit,"On target",IF(tblReceipts[[#This Row],[PPV %]]&lt;=LineLimit*(1+0.05),"Near target","Above target")))</f>
        <v>Above target</v>
      </c>
      <c r="Q78" s="42">
        <f>IF(tblReceipts[[#This Row],[Date]]="","",IF(AND(tblReceipts[[#This Row],[Date]]&gt;=FFrom,tblReceipts[[#This Row],[Date]]&lt;=FTo,OR(DashCat="",tblReceipts[[#This Row],[Category]]=DashCat)),tblReceipts[[#This Row],[Date]],""))</f>
        <v>46227</v>
      </c>
      <c r="R78"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78" s="28" t="s">
        <v>244</v>
      </c>
    </row>
    <row r="79" spans="2:19">
      <c r="B79" s="35">
        <v>46230</v>
      </c>
      <c r="C79" s="28" t="s">
        <v>245</v>
      </c>
      <c r="D79" s="28" t="s">
        <v>85</v>
      </c>
      <c r="E79" s="28" t="s">
        <v>135</v>
      </c>
      <c r="F79" s="33">
        <v>290</v>
      </c>
      <c r="G79" s="36" t="str">
        <f>IF(tblReceipts[[#This Row],[Date]]="","",IFERROR(INDEX(tblItems[UoM],MATCH(tblReceipts[[#This Row],[Item]],tblItems[Item],0)),""))</f>
        <v>ea</v>
      </c>
      <c r="H79" s="37">
        <v>19.46</v>
      </c>
      <c r="I79" s="38">
        <f>IF(tblReceipts[[#This Row],[Date]]="","",IFERROR(INDEX(tblItems[Standard price],MATCH(tblReceipts[[#This Row],[Item]],tblItems[Item],0)),""))</f>
        <v>18.4</v>
      </c>
      <c r="J79" s="36" t="str">
        <f>IF(tblReceipts[[#This Row],[Date]]="","",IFERROR(INDEX(tblItems[Category],MATCH(tblReceipts[[#This Row],[Item]],tblItems[Item],0)),""))</f>
        <v>Castings</v>
      </c>
      <c r="K79" s="39">
        <f>IF(tblReceipts[[#This Row],[Date]]="","",tblReceipts[[#This Row],[Quantity]]*tblReceipts[[#This Row],[Actual price]])</f>
        <v>5643.4</v>
      </c>
      <c r="L79" s="39">
        <f>IF(tblReceipts[[#This Row],[Date]]="","",IF(tblReceipts[[#This Row],[Standard price]]="","",tblReceipts[[#This Row],[Quantity]]*tblReceipts[[#This Row],[Standard price]]))</f>
        <v>5336</v>
      </c>
      <c r="M79" s="39">
        <f>IF(tblReceipts[[#This Row],[Date]]="","",IF(tblReceipts[[#This Row],[Standard price]]="","",tblReceipts[[#This Row],[Quantity]]*(tblReceipts[[#This Row],[Actual price]]-tblReceipts[[#This Row],[Standard price]])))</f>
        <v>307.400000000001</v>
      </c>
      <c r="N79" s="40">
        <f>IF(tblReceipts[[#This Row],[Date]]="","",IF(OR(tblReceipts[[#This Row],[Standard price]]="",tblReceipts[[#This Row],[Standard price]]=0),"",(tblReceipts[[#This Row],[Actual price]]-tblReceipts[[#This Row],[Standard price]])/tblReceipts[[#This Row],[Standard price]]))</f>
        <v>0.057608695652174</v>
      </c>
      <c r="O79" s="36" t="str">
        <f>IF(tblReceipts[[#This Row],[Date]]="","",IF(tblReceipts[[#This Row],[PPV]]="","",IF(tblReceipts[[#This Row],[PPV]]&gt;0,"Unfavourable",IF(tblReceipts[[#This Row],[PPV]]&lt;0,"Favourable","At standard"))))</f>
        <v>Unfavourable</v>
      </c>
      <c r="P79" s="41" t="str">
        <f>IF(NOT(ISNUMBER(tblReceipts[[#This Row],[PPV %]])),"",IF(tblReceipts[[#This Row],[PPV %]]&lt;=LineLimit,"On target",IF(tblReceipts[[#This Row],[PPV %]]&lt;=LineLimit*(1+0.05),"Near target","Above target")))</f>
        <v>Above target</v>
      </c>
      <c r="Q79" s="42">
        <f>IF(tblReceipts[[#This Row],[Date]]="","",IF(AND(tblReceipts[[#This Row],[Date]]&gt;=FFrom,tblReceipts[[#This Row],[Date]]&lt;=FTo,OR(DashCat="",tblReceipts[[#This Row],[Category]]=DashCat)),tblReceipts[[#This Row],[Date]],""))</f>
        <v>46230</v>
      </c>
      <c r="R79"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79" s="28" t="s">
        <v>171</v>
      </c>
    </row>
    <row r="80" spans="2:19">
      <c r="B80" s="35">
        <v>46230</v>
      </c>
      <c r="C80" s="28" t="s">
        <v>246</v>
      </c>
      <c r="D80" s="28" t="s">
        <v>95</v>
      </c>
      <c r="E80" s="28" t="s">
        <v>144</v>
      </c>
      <c r="F80" s="33">
        <v>1270</v>
      </c>
      <c r="G80" s="36" t="str">
        <f>IF(tblReceipts[[#This Row],[Date]]="","",IFERROR(INDEX(tblItems[UoM],MATCH(tblReceipts[[#This Row],[Item]],tblItems[Item],0)),""))</f>
        <v>ea</v>
      </c>
      <c r="H80" s="37">
        <v>1.347</v>
      </c>
      <c r="I80" s="38">
        <f>IF(tblReceipts[[#This Row],[Date]]="","",IFERROR(INDEX(tblItems[Standard price],MATCH(tblReceipts[[#This Row],[Item]],tblItems[Item],0)),""))</f>
        <v>1.35</v>
      </c>
      <c r="J80" s="36" t="str">
        <f>IF(tblReceipts[[#This Row],[Date]]="","",IFERROR(INDEX(tblItems[Category],MATCH(tblReceipts[[#This Row],[Item]],tblItems[Item],0)),""))</f>
        <v>Seals</v>
      </c>
      <c r="K80" s="39">
        <f>IF(tblReceipts[[#This Row],[Date]]="","",tblReceipts[[#This Row],[Quantity]]*tblReceipts[[#This Row],[Actual price]])</f>
        <v>1710.69</v>
      </c>
      <c r="L80" s="39">
        <f>IF(tblReceipts[[#This Row],[Date]]="","",IF(tblReceipts[[#This Row],[Standard price]]="","",tblReceipts[[#This Row],[Quantity]]*tblReceipts[[#This Row],[Standard price]]))</f>
        <v>1714.5</v>
      </c>
      <c r="M80" s="39">
        <f>IF(tblReceipts[[#This Row],[Date]]="","",IF(tblReceipts[[#This Row],[Standard price]]="","",tblReceipts[[#This Row],[Quantity]]*(tblReceipts[[#This Row],[Actual price]]-tblReceipts[[#This Row],[Standard price]])))</f>
        <v>-3.81000000000014</v>
      </c>
      <c r="N80" s="40">
        <f>IF(tblReceipts[[#This Row],[Date]]="","",IF(OR(tblReceipts[[#This Row],[Standard price]]="",tblReceipts[[#This Row],[Standard price]]=0),"",(tblReceipts[[#This Row],[Actual price]]-tblReceipts[[#This Row],[Standard price]])/tblReceipts[[#This Row],[Standard price]]))</f>
        <v>-0.00222222222222231</v>
      </c>
      <c r="O80" s="36" t="str">
        <f>IF(tblReceipts[[#This Row],[Date]]="","",IF(tblReceipts[[#This Row],[PPV]]="","",IF(tblReceipts[[#This Row],[PPV]]&gt;0,"Unfavourable",IF(tblReceipts[[#This Row],[PPV]]&lt;0,"Favourable","At standard"))))</f>
        <v>Favourable</v>
      </c>
      <c r="P80" s="41" t="str">
        <f>IF(NOT(ISNUMBER(tblReceipts[[#This Row],[PPV %]])),"",IF(tblReceipts[[#This Row],[PPV %]]&lt;=LineLimit,"On target",IF(tblReceipts[[#This Row],[PPV %]]&lt;=LineLimit*(1+0.05),"Near target","Above target")))</f>
        <v>On target</v>
      </c>
      <c r="Q80" s="42">
        <f>IF(tblReceipts[[#This Row],[Date]]="","",IF(AND(tblReceipts[[#This Row],[Date]]&gt;=FFrom,tblReceipts[[#This Row],[Date]]&lt;=FTo,OR(DashCat="",tblReceipts[[#This Row],[Category]]=DashCat)),tblReceipts[[#This Row],[Date]],""))</f>
        <v>46230</v>
      </c>
      <c r="R80"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80" s="28" t="s">
        <v>171</v>
      </c>
    </row>
    <row r="81" spans="2:19">
      <c r="B81" s="35">
        <v>46231</v>
      </c>
      <c r="C81" s="28" t="s">
        <v>247</v>
      </c>
      <c r="D81" s="28" t="s">
        <v>95</v>
      </c>
      <c r="E81" s="28" t="s">
        <v>146</v>
      </c>
      <c r="F81" s="33">
        <v>1060</v>
      </c>
      <c r="G81" s="36" t="str">
        <f>IF(tblReceipts[[#This Row],[Date]]="","",IFERROR(INDEX(tblItems[UoM],MATCH(tblReceipts[[#This Row],[Item]],tblItems[Item],0)),""))</f>
        <v>ea</v>
      </c>
      <c r="H81" s="37">
        <v>0.919</v>
      </c>
      <c r="I81" s="38">
        <f>IF(tblReceipts[[#This Row],[Date]]="","",IFERROR(INDEX(tblItems[Standard price],MATCH(tblReceipts[[#This Row],[Item]],tblItems[Item],0)),""))</f>
        <v>0.92</v>
      </c>
      <c r="J81" s="36" t="str">
        <f>IF(tblReceipts[[#This Row],[Date]]="","",IFERROR(INDEX(tblItems[Category],MATCH(tblReceipts[[#This Row],[Item]],tblItems[Item],0)),""))</f>
        <v>Seals</v>
      </c>
      <c r="K81" s="39">
        <f>IF(tblReceipts[[#This Row],[Date]]="","",tblReceipts[[#This Row],[Quantity]]*tblReceipts[[#This Row],[Actual price]])</f>
        <v>974.14</v>
      </c>
      <c r="L81" s="39">
        <f>IF(tblReceipts[[#This Row],[Date]]="","",IF(tblReceipts[[#This Row],[Standard price]]="","",tblReceipts[[#This Row],[Quantity]]*tblReceipts[[#This Row],[Standard price]]))</f>
        <v>975.2</v>
      </c>
      <c r="M81" s="39">
        <f>IF(tblReceipts[[#This Row],[Date]]="","",IF(tblReceipts[[#This Row],[Standard price]]="","",tblReceipts[[#This Row],[Quantity]]*(tblReceipts[[#This Row],[Actual price]]-tblReceipts[[#This Row],[Standard price]])))</f>
        <v>-1.06</v>
      </c>
      <c r="N81" s="40">
        <f>IF(tblReceipts[[#This Row],[Date]]="","",IF(OR(tblReceipts[[#This Row],[Standard price]]="",tblReceipts[[#This Row],[Standard price]]=0),"",(tblReceipts[[#This Row],[Actual price]]-tblReceipts[[#This Row],[Standard price]])/tblReceipts[[#This Row],[Standard price]]))</f>
        <v>-0.00108695652173913</v>
      </c>
      <c r="O81" s="36" t="str">
        <f>IF(tblReceipts[[#This Row],[Date]]="","",IF(tblReceipts[[#This Row],[PPV]]="","",IF(tblReceipts[[#This Row],[PPV]]&gt;0,"Unfavourable",IF(tblReceipts[[#This Row],[PPV]]&lt;0,"Favourable","At standard"))))</f>
        <v>Favourable</v>
      </c>
      <c r="P81" s="41" t="str">
        <f>IF(NOT(ISNUMBER(tblReceipts[[#This Row],[PPV %]])),"",IF(tblReceipts[[#This Row],[PPV %]]&lt;=LineLimit,"On target",IF(tblReceipts[[#This Row],[PPV %]]&lt;=LineLimit*(1+0.05),"Near target","Above target")))</f>
        <v>On target</v>
      </c>
      <c r="Q81" s="42">
        <f>IF(tblReceipts[[#This Row],[Date]]="","",IF(AND(tblReceipts[[#This Row],[Date]]&gt;=FFrom,tblReceipts[[#This Row],[Date]]&lt;=FTo,OR(DashCat="",tblReceipts[[#This Row],[Category]]=DashCat)),tblReceipts[[#This Row],[Date]],""))</f>
        <v>46231</v>
      </c>
      <c r="R81"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81" s="28" t="s">
        <v>171</v>
      </c>
    </row>
    <row r="82" spans="2:19">
      <c r="B82" s="35">
        <v>46231</v>
      </c>
      <c r="C82" s="28" t="s">
        <v>248</v>
      </c>
      <c r="D82" s="28" t="s">
        <v>101</v>
      </c>
      <c r="E82" s="28" t="s">
        <v>152</v>
      </c>
      <c r="F82" s="33">
        <v>170</v>
      </c>
      <c r="G82" s="36" t="str">
        <f>IF(tblReceipts[[#This Row],[Date]]="","",IFERROR(INDEX(tblItems[UoM],MATCH(tblReceipts[[#This Row],[Item]],tblItems[Item],0)),""))</f>
        <v>ea</v>
      </c>
      <c r="H82" s="37">
        <v>11.86</v>
      </c>
      <c r="I82" s="38">
        <f>IF(tblReceipts[[#This Row],[Date]]="","",IFERROR(INDEX(tblItems[Standard price],MATCH(tblReceipts[[#This Row],[Item]],tblItems[Item],0)),""))</f>
        <v>11.6</v>
      </c>
      <c r="J82" s="36" t="str">
        <f>IF(tblReceipts[[#This Row],[Date]]="","",IFERROR(INDEX(tblItems[Category],MATCH(tblReceipts[[#This Row],[Item]],tblItems[Item],0)),""))</f>
        <v>Electronics</v>
      </c>
      <c r="K82" s="39">
        <f>IF(tblReceipts[[#This Row],[Date]]="","",tblReceipts[[#This Row],[Quantity]]*tblReceipts[[#This Row],[Actual price]])</f>
        <v>2016.2</v>
      </c>
      <c r="L82" s="39">
        <f>IF(tblReceipts[[#This Row],[Date]]="","",IF(tblReceipts[[#This Row],[Standard price]]="","",tblReceipts[[#This Row],[Quantity]]*tblReceipts[[#This Row],[Standard price]]))</f>
        <v>1972</v>
      </c>
      <c r="M82" s="39">
        <f>IF(tblReceipts[[#This Row],[Date]]="","",IF(tblReceipts[[#This Row],[Standard price]]="","",tblReceipts[[#This Row],[Quantity]]*(tblReceipts[[#This Row],[Actual price]]-tblReceipts[[#This Row],[Standard price]])))</f>
        <v>44.2</v>
      </c>
      <c r="N82" s="40">
        <f>IF(tblReceipts[[#This Row],[Date]]="","",IF(OR(tblReceipts[[#This Row],[Standard price]]="",tblReceipts[[#This Row],[Standard price]]=0),"",(tblReceipts[[#This Row],[Actual price]]-tblReceipts[[#This Row],[Standard price]])/tblReceipts[[#This Row],[Standard price]]))</f>
        <v>0.0224137931034483</v>
      </c>
      <c r="O82" s="36" t="str">
        <f>IF(tblReceipts[[#This Row],[Date]]="","",IF(tblReceipts[[#This Row],[PPV]]="","",IF(tblReceipts[[#This Row],[PPV]]&gt;0,"Unfavourable",IF(tblReceipts[[#This Row],[PPV]]&lt;0,"Favourable","At standard"))))</f>
        <v>Unfavourable</v>
      </c>
      <c r="P82" s="41" t="str">
        <f>IF(NOT(ISNUMBER(tblReceipts[[#This Row],[PPV %]])),"",IF(tblReceipts[[#This Row],[PPV %]]&lt;=LineLimit,"On target",IF(tblReceipts[[#This Row],[PPV %]]&lt;=LineLimit*(1+0.05),"Near target","Above target")))</f>
        <v>On target</v>
      </c>
      <c r="Q82" s="42">
        <f>IF(tblReceipts[[#This Row],[Date]]="","",IF(AND(tblReceipts[[#This Row],[Date]]&gt;=FFrom,tblReceipts[[#This Row],[Date]]&lt;=FTo,OR(DashCat="",tblReceipts[[#This Row],[Category]]=DashCat)),tblReceipts[[#This Row],[Date]],""))</f>
        <v>46231</v>
      </c>
      <c r="R82"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82" s="28" t="s">
        <v>171</v>
      </c>
    </row>
    <row r="83" spans="2:19">
      <c r="B83" s="35">
        <v>46237</v>
      </c>
      <c r="C83" s="28" t="s">
        <v>249</v>
      </c>
      <c r="D83" s="28" t="s">
        <v>95</v>
      </c>
      <c r="E83" s="28" t="s">
        <v>146</v>
      </c>
      <c r="F83" s="33">
        <v>730</v>
      </c>
      <c r="G83" s="36" t="str">
        <f>IF(tblReceipts[[#This Row],[Date]]="","",IFERROR(INDEX(tblItems[UoM],MATCH(tblReceipts[[#This Row],[Item]],tblItems[Item],0)),""))</f>
        <v>ea</v>
      </c>
      <c r="H83" s="37">
        <v>0.916</v>
      </c>
      <c r="I83" s="38">
        <f>IF(tblReceipts[[#This Row],[Date]]="","",IFERROR(INDEX(tblItems[Standard price],MATCH(tblReceipts[[#This Row],[Item]],tblItems[Item],0)),""))</f>
        <v>0.92</v>
      </c>
      <c r="J83" s="36" t="str">
        <f>IF(tblReceipts[[#This Row],[Date]]="","",IFERROR(INDEX(tblItems[Category],MATCH(tblReceipts[[#This Row],[Item]],tblItems[Item],0)),""))</f>
        <v>Seals</v>
      </c>
      <c r="K83" s="39">
        <f>IF(tblReceipts[[#This Row],[Date]]="","",tblReceipts[[#This Row],[Quantity]]*tblReceipts[[#This Row],[Actual price]])</f>
        <v>668.68</v>
      </c>
      <c r="L83" s="39">
        <f>IF(tblReceipts[[#This Row],[Date]]="","",IF(tblReceipts[[#This Row],[Standard price]]="","",tblReceipts[[#This Row],[Quantity]]*tblReceipts[[#This Row],[Standard price]]))</f>
        <v>671.6</v>
      </c>
      <c r="M83" s="39">
        <f>IF(tblReceipts[[#This Row],[Date]]="","",IF(tblReceipts[[#This Row],[Standard price]]="","",tblReceipts[[#This Row],[Quantity]]*(tblReceipts[[#This Row],[Actual price]]-tblReceipts[[#This Row],[Standard price]])))</f>
        <v>-2.92</v>
      </c>
      <c r="N83" s="40">
        <f>IF(tblReceipts[[#This Row],[Date]]="","",IF(OR(tblReceipts[[#This Row],[Standard price]]="",tblReceipts[[#This Row],[Standard price]]=0),"",(tblReceipts[[#This Row],[Actual price]]-tblReceipts[[#This Row],[Standard price]])/tblReceipts[[#This Row],[Standard price]]))</f>
        <v>-0.00434782608695653</v>
      </c>
      <c r="O83" s="36" t="str">
        <f>IF(tblReceipts[[#This Row],[Date]]="","",IF(tblReceipts[[#This Row],[PPV]]="","",IF(tblReceipts[[#This Row],[PPV]]&gt;0,"Unfavourable",IF(tblReceipts[[#This Row],[PPV]]&lt;0,"Favourable","At standard"))))</f>
        <v>Favourable</v>
      </c>
      <c r="P83" s="41" t="str">
        <f>IF(NOT(ISNUMBER(tblReceipts[[#This Row],[PPV %]])),"",IF(tblReceipts[[#This Row],[PPV %]]&lt;=LineLimit,"On target",IF(tblReceipts[[#This Row],[PPV %]]&lt;=LineLimit*(1+0.05),"Near target","Above target")))</f>
        <v>On target</v>
      </c>
      <c r="Q83" s="42">
        <f>IF(tblReceipts[[#This Row],[Date]]="","",IF(AND(tblReceipts[[#This Row],[Date]]&gt;=FFrom,tblReceipts[[#This Row],[Date]]&lt;=FTo,OR(DashCat="",tblReceipts[[#This Row],[Category]]=DashCat)),tblReceipts[[#This Row],[Date]],""))</f>
        <v>46237</v>
      </c>
      <c r="R83"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83" s="28" t="s">
        <v>171</v>
      </c>
    </row>
    <row r="84" spans="2:19">
      <c r="B84" s="35">
        <v>46238</v>
      </c>
      <c r="C84" s="28" t="s">
        <v>250</v>
      </c>
      <c r="D84" s="28" t="s">
        <v>101</v>
      </c>
      <c r="E84" s="28" t="s">
        <v>150</v>
      </c>
      <c r="F84" s="33">
        <v>230</v>
      </c>
      <c r="G84" s="36" t="str">
        <f>IF(tblReceipts[[#This Row],[Date]]="","",IFERROR(INDEX(tblItems[UoM],MATCH(tblReceipts[[#This Row],[Item]],tblItems[Item],0)),""))</f>
        <v>ea</v>
      </c>
      <c r="H84" s="37">
        <v>25.42</v>
      </c>
      <c r="I84" s="38">
        <f>IF(tblReceipts[[#This Row],[Date]]="","",IFERROR(INDEX(tblItems[Standard price],MATCH(tblReceipts[[#This Row],[Item]],tblItems[Item],0)),""))</f>
        <v>23.8</v>
      </c>
      <c r="J84" s="36" t="str">
        <f>IF(tblReceipts[[#This Row],[Date]]="","",IFERROR(INDEX(tblItems[Category],MATCH(tblReceipts[[#This Row],[Item]],tblItems[Item],0)),""))</f>
        <v>Electronics</v>
      </c>
      <c r="K84" s="39">
        <f>IF(tblReceipts[[#This Row],[Date]]="","",tblReceipts[[#This Row],[Quantity]]*tblReceipts[[#This Row],[Actual price]])</f>
        <v>5846.6</v>
      </c>
      <c r="L84" s="39">
        <f>IF(tblReceipts[[#This Row],[Date]]="","",IF(tblReceipts[[#This Row],[Standard price]]="","",tblReceipts[[#This Row],[Quantity]]*tblReceipts[[#This Row],[Standard price]]))</f>
        <v>5474</v>
      </c>
      <c r="M84" s="39">
        <f>IF(tblReceipts[[#This Row],[Date]]="","",IF(tblReceipts[[#This Row],[Standard price]]="","",tblReceipts[[#This Row],[Quantity]]*(tblReceipts[[#This Row],[Actual price]]-tblReceipts[[#This Row],[Standard price]])))</f>
        <v>372.6</v>
      </c>
      <c r="N84" s="40">
        <f>IF(tblReceipts[[#This Row],[Date]]="","",IF(OR(tblReceipts[[#This Row],[Standard price]]="",tblReceipts[[#This Row],[Standard price]]=0),"",(tblReceipts[[#This Row],[Actual price]]-tblReceipts[[#This Row],[Standard price]])/tblReceipts[[#This Row],[Standard price]]))</f>
        <v>0.0680672268907563</v>
      </c>
      <c r="O84" s="36" t="str">
        <f>IF(tblReceipts[[#This Row],[Date]]="","",IF(tblReceipts[[#This Row],[PPV]]="","",IF(tblReceipts[[#This Row],[PPV]]&gt;0,"Unfavourable",IF(tblReceipts[[#This Row],[PPV]]&lt;0,"Favourable","At standard"))))</f>
        <v>Unfavourable</v>
      </c>
      <c r="P84" s="41" t="str">
        <f>IF(NOT(ISNUMBER(tblReceipts[[#This Row],[PPV %]])),"",IF(tblReceipts[[#This Row],[PPV %]]&lt;=LineLimit,"On target",IF(tblReceipts[[#This Row],[PPV %]]&lt;=LineLimit*(1+0.05),"Near target","Above target")))</f>
        <v>Above target</v>
      </c>
      <c r="Q84" s="42">
        <f>IF(tblReceipts[[#This Row],[Date]]="","",IF(AND(tblReceipts[[#This Row],[Date]]&gt;=FFrom,tblReceipts[[#This Row],[Date]]&lt;=FTo,OR(DashCat="",tblReceipts[[#This Row],[Category]]=DashCat)),tblReceipts[[#This Row],[Date]],""))</f>
        <v>46238</v>
      </c>
      <c r="R84"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84" s="28" t="s">
        <v>251</v>
      </c>
    </row>
    <row r="85" spans="2:19">
      <c r="B85" s="35">
        <v>46239</v>
      </c>
      <c r="C85" s="28" t="s">
        <v>252</v>
      </c>
      <c r="D85" s="28" t="s">
        <v>104</v>
      </c>
      <c r="E85" s="28" t="s">
        <v>153</v>
      </c>
      <c r="F85" s="33">
        <v>820</v>
      </c>
      <c r="G85" s="36" t="str">
        <f>IF(tblReceipts[[#This Row],[Date]]="","",IFERROR(INDEX(tblItems[UoM],MATCH(tblReceipts[[#This Row],[Item]],tblItems[Item],0)),""))</f>
        <v>ea</v>
      </c>
      <c r="H85" s="37">
        <v>0.842</v>
      </c>
      <c r="I85" s="38">
        <f>IF(tblReceipts[[#This Row],[Date]]="","",IFERROR(INDEX(tblItems[Standard price],MATCH(tblReceipts[[#This Row],[Item]],tblItems[Item],0)),""))</f>
        <v>0.86</v>
      </c>
      <c r="J85" s="36" t="str">
        <f>IF(tblReceipts[[#This Row],[Date]]="","",IFERROR(INDEX(tblItems[Category],MATCH(tblReceipts[[#This Row],[Item]],tblItems[Item],0)),""))</f>
        <v>Packaging</v>
      </c>
      <c r="K85" s="39">
        <f>IF(tblReceipts[[#This Row],[Date]]="","",tblReceipts[[#This Row],[Quantity]]*tblReceipts[[#This Row],[Actual price]])</f>
        <v>690.44</v>
      </c>
      <c r="L85" s="39">
        <f>IF(tblReceipts[[#This Row],[Date]]="","",IF(tblReceipts[[#This Row],[Standard price]]="","",tblReceipts[[#This Row],[Quantity]]*tblReceipts[[#This Row],[Standard price]]))</f>
        <v>705.2</v>
      </c>
      <c r="M85" s="39">
        <f>IF(tblReceipts[[#This Row],[Date]]="","",IF(tblReceipts[[#This Row],[Standard price]]="","",tblReceipts[[#This Row],[Quantity]]*(tblReceipts[[#This Row],[Actual price]]-tblReceipts[[#This Row],[Standard price]])))</f>
        <v>-14.76</v>
      </c>
      <c r="N85" s="40">
        <f>IF(tblReceipts[[#This Row],[Date]]="","",IF(OR(tblReceipts[[#This Row],[Standard price]]="",tblReceipts[[#This Row],[Standard price]]=0),"",(tblReceipts[[#This Row],[Actual price]]-tblReceipts[[#This Row],[Standard price]])/tblReceipts[[#This Row],[Standard price]]))</f>
        <v>-0.0209302325581396</v>
      </c>
      <c r="O85" s="36" t="str">
        <f>IF(tblReceipts[[#This Row],[Date]]="","",IF(tblReceipts[[#This Row],[PPV]]="","",IF(tblReceipts[[#This Row],[PPV]]&gt;0,"Unfavourable",IF(tblReceipts[[#This Row],[PPV]]&lt;0,"Favourable","At standard"))))</f>
        <v>Favourable</v>
      </c>
      <c r="P85" s="41" t="str">
        <f>IF(NOT(ISNUMBER(tblReceipts[[#This Row],[PPV %]])),"",IF(tblReceipts[[#This Row],[PPV %]]&lt;=LineLimit,"On target",IF(tblReceipts[[#This Row],[PPV %]]&lt;=LineLimit*(1+0.05),"Near target","Above target")))</f>
        <v>On target</v>
      </c>
      <c r="Q85" s="42">
        <f>IF(tblReceipts[[#This Row],[Date]]="","",IF(AND(tblReceipts[[#This Row],[Date]]&gt;=FFrom,tblReceipts[[#This Row],[Date]]&lt;=FTo,OR(DashCat="",tblReceipts[[#This Row],[Category]]=DashCat)),tblReceipts[[#This Row],[Date]],""))</f>
        <v>46239</v>
      </c>
      <c r="R85"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85" s="28" t="s">
        <v>171</v>
      </c>
    </row>
    <row r="86" spans="2:19">
      <c r="B86" s="35">
        <v>46240</v>
      </c>
      <c r="C86" s="28" t="s">
        <v>253</v>
      </c>
      <c r="D86" s="28" t="s">
        <v>95</v>
      </c>
      <c r="E86" s="28" t="s">
        <v>144</v>
      </c>
      <c r="F86" s="33">
        <v>870</v>
      </c>
      <c r="G86" s="36" t="str">
        <f>IF(tblReceipts[[#This Row],[Date]]="","",IFERROR(INDEX(tblItems[UoM],MATCH(tblReceipts[[#This Row],[Item]],tblItems[Item],0)),""))</f>
        <v>ea</v>
      </c>
      <c r="H86" s="37">
        <v>1.348</v>
      </c>
      <c r="I86" s="38">
        <f>IF(tblReceipts[[#This Row],[Date]]="","",IFERROR(INDEX(tblItems[Standard price],MATCH(tblReceipts[[#This Row],[Item]],tblItems[Item],0)),""))</f>
        <v>1.35</v>
      </c>
      <c r="J86" s="36" t="str">
        <f>IF(tblReceipts[[#This Row],[Date]]="","",IFERROR(INDEX(tblItems[Category],MATCH(tblReceipts[[#This Row],[Item]],tblItems[Item],0)),""))</f>
        <v>Seals</v>
      </c>
      <c r="K86" s="39">
        <f>IF(tblReceipts[[#This Row],[Date]]="","",tblReceipts[[#This Row],[Quantity]]*tblReceipts[[#This Row],[Actual price]])</f>
        <v>1172.76</v>
      </c>
      <c r="L86" s="39">
        <f>IF(tblReceipts[[#This Row],[Date]]="","",IF(tblReceipts[[#This Row],[Standard price]]="","",tblReceipts[[#This Row],[Quantity]]*tblReceipts[[#This Row],[Standard price]]))</f>
        <v>1174.5</v>
      </c>
      <c r="M86" s="39">
        <f>IF(tblReceipts[[#This Row],[Date]]="","",IF(tblReceipts[[#This Row],[Standard price]]="","",tblReceipts[[#This Row],[Quantity]]*(tblReceipts[[#This Row],[Actual price]]-tblReceipts[[#This Row],[Standard price]])))</f>
        <v>-1.74</v>
      </c>
      <c r="N86" s="40">
        <f>IF(tblReceipts[[#This Row],[Date]]="","",IF(OR(tblReceipts[[#This Row],[Standard price]]="",tblReceipts[[#This Row],[Standard price]]=0),"",(tblReceipts[[#This Row],[Actual price]]-tblReceipts[[#This Row],[Standard price]])/tblReceipts[[#This Row],[Standard price]]))</f>
        <v>-0.00148148148148148</v>
      </c>
      <c r="O86" s="36" t="str">
        <f>IF(tblReceipts[[#This Row],[Date]]="","",IF(tblReceipts[[#This Row],[PPV]]="","",IF(tblReceipts[[#This Row],[PPV]]&gt;0,"Unfavourable",IF(tblReceipts[[#This Row],[PPV]]&lt;0,"Favourable","At standard"))))</f>
        <v>Favourable</v>
      </c>
      <c r="P86" s="41" t="str">
        <f>IF(NOT(ISNUMBER(tblReceipts[[#This Row],[PPV %]])),"",IF(tblReceipts[[#This Row],[PPV %]]&lt;=LineLimit,"On target",IF(tblReceipts[[#This Row],[PPV %]]&lt;=LineLimit*(1+0.05),"Near target","Above target")))</f>
        <v>On target</v>
      </c>
      <c r="Q86" s="42">
        <f>IF(tblReceipts[[#This Row],[Date]]="","",IF(AND(tblReceipts[[#This Row],[Date]]&gt;=FFrom,tblReceipts[[#This Row],[Date]]&lt;=FTo,OR(DashCat="",tblReceipts[[#This Row],[Category]]=DashCat)),tblReceipts[[#This Row],[Date]],""))</f>
        <v>46240</v>
      </c>
      <c r="R86"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86" s="28" t="s">
        <v>171</v>
      </c>
    </row>
    <row r="87" spans="2:19">
      <c r="B87" s="35">
        <v>46241</v>
      </c>
      <c r="C87" s="28" t="s">
        <v>254</v>
      </c>
      <c r="D87" s="28" t="s">
        <v>85</v>
      </c>
      <c r="E87" s="28" t="s">
        <v>135</v>
      </c>
      <c r="F87" s="33">
        <v>340</v>
      </c>
      <c r="G87" s="36" t="str">
        <f>IF(tblReceipts[[#This Row],[Date]]="","",IFERROR(INDEX(tblItems[UoM],MATCH(tblReceipts[[#This Row],[Item]],tblItems[Item],0)),""))</f>
        <v>ea</v>
      </c>
      <c r="H87" s="37">
        <v>19.45</v>
      </c>
      <c r="I87" s="38">
        <f>IF(tblReceipts[[#This Row],[Date]]="","",IFERROR(INDEX(tblItems[Standard price],MATCH(tblReceipts[[#This Row],[Item]],tblItems[Item],0)),""))</f>
        <v>18.4</v>
      </c>
      <c r="J87" s="36" t="str">
        <f>IF(tblReceipts[[#This Row],[Date]]="","",IFERROR(INDEX(tblItems[Category],MATCH(tblReceipts[[#This Row],[Item]],tblItems[Item],0)),""))</f>
        <v>Castings</v>
      </c>
      <c r="K87" s="39">
        <f>IF(tblReceipts[[#This Row],[Date]]="","",tblReceipts[[#This Row],[Quantity]]*tblReceipts[[#This Row],[Actual price]])</f>
        <v>6613</v>
      </c>
      <c r="L87" s="39">
        <f>IF(tblReceipts[[#This Row],[Date]]="","",IF(tblReceipts[[#This Row],[Standard price]]="","",tblReceipts[[#This Row],[Quantity]]*tblReceipts[[#This Row],[Standard price]]))</f>
        <v>6256</v>
      </c>
      <c r="M87" s="39">
        <f>IF(tblReceipts[[#This Row],[Date]]="","",IF(tblReceipts[[#This Row],[Standard price]]="","",tblReceipts[[#This Row],[Quantity]]*(tblReceipts[[#This Row],[Actual price]]-tblReceipts[[#This Row],[Standard price]])))</f>
        <v>357</v>
      </c>
      <c r="N87" s="40">
        <f>IF(tblReceipts[[#This Row],[Date]]="","",IF(OR(tblReceipts[[#This Row],[Standard price]]="",tblReceipts[[#This Row],[Standard price]]=0),"",(tblReceipts[[#This Row],[Actual price]]-tblReceipts[[#This Row],[Standard price]])/tblReceipts[[#This Row],[Standard price]]))</f>
        <v>0.0570652173913044</v>
      </c>
      <c r="O87" s="36" t="str">
        <f>IF(tblReceipts[[#This Row],[Date]]="","",IF(tblReceipts[[#This Row],[PPV]]="","",IF(tblReceipts[[#This Row],[PPV]]&gt;0,"Unfavourable",IF(tblReceipts[[#This Row],[PPV]]&lt;0,"Favourable","At standard"))))</f>
        <v>Unfavourable</v>
      </c>
      <c r="P87" s="41" t="str">
        <f>IF(NOT(ISNUMBER(tblReceipts[[#This Row],[PPV %]])),"",IF(tblReceipts[[#This Row],[PPV %]]&lt;=LineLimit,"On target",IF(tblReceipts[[#This Row],[PPV %]]&lt;=LineLimit*(1+0.05),"Near target","Above target")))</f>
        <v>Above target</v>
      </c>
      <c r="Q87" s="42">
        <f>IF(tblReceipts[[#This Row],[Date]]="","",IF(AND(tblReceipts[[#This Row],[Date]]&gt;=FFrom,tblReceipts[[#This Row],[Date]]&lt;=FTo,OR(DashCat="",tblReceipts[[#This Row],[Category]]=DashCat)),tblReceipts[[#This Row],[Date]],""))</f>
        <v>46241</v>
      </c>
      <c r="R87"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87" s="28" t="s">
        <v>171</v>
      </c>
    </row>
    <row r="88" spans="2:19">
      <c r="B88" s="35">
        <v>46241</v>
      </c>
      <c r="C88" s="28" t="s">
        <v>255</v>
      </c>
      <c r="D88" s="28" t="s">
        <v>101</v>
      </c>
      <c r="E88" s="28" t="s">
        <v>152</v>
      </c>
      <c r="F88" s="33">
        <v>230</v>
      </c>
      <c r="G88" s="36" t="str">
        <f>IF(tblReceipts[[#This Row],[Date]]="","",IFERROR(INDEX(tblItems[UoM],MATCH(tblReceipts[[#This Row],[Item]],tblItems[Item],0)),""))</f>
        <v>ea</v>
      </c>
      <c r="H88" s="37">
        <v>12.5</v>
      </c>
      <c r="I88" s="38">
        <f>IF(tblReceipts[[#This Row],[Date]]="","",IFERROR(INDEX(tblItems[Standard price],MATCH(tblReceipts[[#This Row],[Item]],tblItems[Item],0)),""))</f>
        <v>11.6</v>
      </c>
      <c r="J88" s="36" t="str">
        <f>IF(tblReceipts[[#This Row],[Date]]="","",IFERROR(INDEX(tblItems[Category],MATCH(tblReceipts[[#This Row],[Item]],tblItems[Item],0)),""))</f>
        <v>Electronics</v>
      </c>
      <c r="K88" s="39">
        <f>IF(tblReceipts[[#This Row],[Date]]="","",tblReceipts[[#This Row],[Quantity]]*tblReceipts[[#This Row],[Actual price]])</f>
        <v>2875</v>
      </c>
      <c r="L88" s="39">
        <f>IF(tblReceipts[[#This Row],[Date]]="","",IF(tblReceipts[[#This Row],[Standard price]]="","",tblReceipts[[#This Row],[Quantity]]*tblReceipts[[#This Row],[Standard price]]))</f>
        <v>2668</v>
      </c>
      <c r="M88" s="39">
        <f>IF(tblReceipts[[#This Row],[Date]]="","",IF(tblReceipts[[#This Row],[Standard price]]="","",tblReceipts[[#This Row],[Quantity]]*(tblReceipts[[#This Row],[Actual price]]-tblReceipts[[#This Row],[Standard price]])))</f>
        <v>207</v>
      </c>
      <c r="N88" s="40">
        <f>IF(tblReceipts[[#This Row],[Date]]="","",IF(OR(tblReceipts[[#This Row],[Standard price]]="",tblReceipts[[#This Row],[Standard price]]=0),"",(tblReceipts[[#This Row],[Actual price]]-tblReceipts[[#This Row],[Standard price]])/tblReceipts[[#This Row],[Standard price]]))</f>
        <v>0.0775862068965518</v>
      </c>
      <c r="O88" s="36" t="str">
        <f>IF(tblReceipts[[#This Row],[Date]]="","",IF(tblReceipts[[#This Row],[PPV]]="","",IF(tblReceipts[[#This Row],[PPV]]&gt;0,"Unfavourable",IF(tblReceipts[[#This Row],[PPV]]&lt;0,"Favourable","At standard"))))</f>
        <v>Unfavourable</v>
      </c>
      <c r="P88" s="41" t="str">
        <f>IF(NOT(ISNUMBER(tblReceipts[[#This Row],[PPV %]])),"",IF(tblReceipts[[#This Row],[PPV %]]&lt;=LineLimit,"On target",IF(tblReceipts[[#This Row],[PPV %]]&lt;=LineLimit*(1+0.05),"Near target","Above target")))</f>
        <v>Above target</v>
      </c>
      <c r="Q88" s="42">
        <f>IF(tblReceipts[[#This Row],[Date]]="","",IF(AND(tblReceipts[[#This Row],[Date]]&gt;=FFrom,tblReceipts[[#This Row],[Date]]&lt;=FTo,OR(DashCat="",tblReceipts[[#This Row],[Category]]=DashCat)),tblReceipts[[#This Row],[Date]],""))</f>
        <v>46241</v>
      </c>
      <c r="R88"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88" s="28" t="s">
        <v>171</v>
      </c>
    </row>
    <row r="89" spans="2:19">
      <c r="B89" s="35">
        <v>46244</v>
      </c>
      <c r="C89" s="28" t="s">
        <v>256</v>
      </c>
      <c r="D89" s="28" t="s">
        <v>85</v>
      </c>
      <c r="E89" s="28" t="s">
        <v>135</v>
      </c>
      <c r="F89" s="33">
        <v>290</v>
      </c>
      <c r="G89" s="36" t="str">
        <f>IF(tblReceipts[[#This Row],[Date]]="","",IFERROR(INDEX(tblItems[UoM],MATCH(tblReceipts[[#This Row],[Item]],tblItems[Item],0)),""))</f>
        <v>ea</v>
      </c>
      <c r="H89" s="37">
        <v>19.53</v>
      </c>
      <c r="I89" s="38">
        <f>IF(tblReceipts[[#This Row],[Date]]="","",IFERROR(INDEX(tblItems[Standard price],MATCH(tblReceipts[[#This Row],[Item]],tblItems[Item],0)),""))</f>
        <v>18.4</v>
      </c>
      <c r="J89" s="36" t="str">
        <f>IF(tblReceipts[[#This Row],[Date]]="","",IFERROR(INDEX(tblItems[Category],MATCH(tblReceipts[[#This Row],[Item]],tblItems[Item],0)),""))</f>
        <v>Castings</v>
      </c>
      <c r="K89" s="39">
        <f>IF(tblReceipts[[#This Row],[Date]]="","",tblReceipts[[#This Row],[Quantity]]*tblReceipts[[#This Row],[Actual price]])</f>
        <v>5663.7</v>
      </c>
      <c r="L89" s="39">
        <f>IF(tblReceipts[[#This Row],[Date]]="","",IF(tblReceipts[[#This Row],[Standard price]]="","",tblReceipts[[#This Row],[Quantity]]*tblReceipts[[#This Row],[Standard price]]))</f>
        <v>5336</v>
      </c>
      <c r="M89" s="39">
        <f>IF(tblReceipts[[#This Row],[Date]]="","",IF(tblReceipts[[#This Row],[Standard price]]="","",tblReceipts[[#This Row],[Quantity]]*(tblReceipts[[#This Row],[Actual price]]-tblReceipts[[#This Row],[Standard price]])))</f>
        <v>327.700000000001</v>
      </c>
      <c r="N89" s="40">
        <f>IF(tblReceipts[[#This Row],[Date]]="","",IF(OR(tblReceipts[[#This Row],[Standard price]]="",tblReceipts[[#This Row],[Standard price]]=0),"",(tblReceipts[[#This Row],[Actual price]]-tblReceipts[[#This Row],[Standard price]])/tblReceipts[[#This Row],[Standard price]]))</f>
        <v>0.061413043478261</v>
      </c>
      <c r="O89" s="36" t="str">
        <f>IF(tblReceipts[[#This Row],[Date]]="","",IF(tblReceipts[[#This Row],[PPV]]="","",IF(tblReceipts[[#This Row],[PPV]]&gt;0,"Unfavourable",IF(tblReceipts[[#This Row],[PPV]]&lt;0,"Favourable","At standard"))))</f>
        <v>Unfavourable</v>
      </c>
      <c r="P89" s="41" t="str">
        <f>IF(NOT(ISNUMBER(tblReceipts[[#This Row],[PPV %]])),"",IF(tblReceipts[[#This Row],[PPV %]]&lt;=LineLimit,"On target",IF(tblReceipts[[#This Row],[PPV %]]&lt;=LineLimit*(1+0.05),"Near target","Above target")))</f>
        <v>Above target</v>
      </c>
      <c r="Q89" s="42">
        <f>IF(tblReceipts[[#This Row],[Date]]="","",IF(AND(tblReceipts[[#This Row],[Date]]&gt;=FFrom,tblReceipts[[#This Row],[Date]]&lt;=FTo,OR(DashCat="",tblReceipts[[#This Row],[Category]]=DashCat)),tblReceipts[[#This Row],[Date]],""))</f>
        <v>46244</v>
      </c>
      <c r="R89"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89" s="28" t="s">
        <v>171</v>
      </c>
    </row>
    <row r="90" spans="2:19">
      <c r="B90" s="35">
        <v>46245</v>
      </c>
      <c r="C90" s="28" t="s">
        <v>257</v>
      </c>
      <c r="D90" s="28" t="s">
        <v>90</v>
      </c>
      <c r="E90" s="28" t="s">
        <v>140</v>
      </c>
      <c r="F90" s="33">
        <v>850</v>
      </c>
      <c r="G90" s="36" t="str">
        <f>IF(tblReceipts[[#This Row],[Date]]="","",IFERROR(INDEX(tblItems[UoM],MATCH(tblReceipts[[#This Row],[Item]],tblItems[Item],0)),""))</f>
        <v>kg</v>
      </c>
      <c r="H90" s="37">
        <v>6.19</v>
      </c>
      <c r="I90" s="38">
        <f>IF(tblReceipts[[#This Row],[Date]]="","",IFERROR(INDEX(tblItems[Standard price],MATCH(tblReceipts[[#This Row],[Item]],tblItems[Item],0)),""))</f>
        <v>6.2</v>
      </c>
      <c r="J90" s="36" t="str">
        <f>IF(tblReceipts[[#This Row],[Date]]="","",IFERROR(INDEX(tblItems[Category],MATCH(tblReceipts[[#This Row],[Item]],tblItems[Item],0)),""))</f>
        <v>Bar stock</v>
      </c>
      <c r="K90" s="39">
        <f>IF(tblReceipts[[#This Row],[Date]]="","",tblReceipts[[#This Row],[Quantity]]*tblReceipts[[#This Row],[Actual price]])</f>
        <v>5261.5</v>
      </c>
      <c r="L90" s="39">
        <f>IF(tblReceipts[[#This Row],[Date]]="","",IF(tblReceipts[[#This Row],[Standard price]]="","",tblReceipts[[#This Row],[Quantity]]*tblReceipts[[#This Row],[Standard price]]))</f>
        <v>5270</v>
      </c>
      <c r="M90" s="39">
        <f>IF(tblReceipts[[#This Row],[Date]]="","",IF(tblReceipts[[#This Row],[Standard price]]="","",tblReceipts[[#This Row],[Quantity]]*(tblReceipts[[#This Row],[Actual price]]-tblReceipts[[#This Row],[Standard price]])))</f>
        <v>-8.49999999999982</v>
      </c>
      <c r="N90" s="40">
        <f>IF(tblReceipts[[#This Row],[Date]]="","",IF(OR(tblReceipts[[#This Row],[Standard price]]="",tblReceipts[[#This Row],[Standard price]]=0),"",(tblReceipts[[#This Row],[Actual price]]-tblReceipts[[#This Row],[Standard price]])/tblReceipts[[#This Row],[Standard price]]))</f>
        <v>-0.00161290322580642</v>
      </c>
      <c r="O90" s="36" t="str">
        <f>IF(tblReceipts[[#This Row],[Date]]="","",IF(tblReceipts[[#This Row],[PPV]]="","",IF(tblReceipts[[#This Row],[PPV]]&gt;0,"Unfavourable",IF(tblReceipts[[#This Row],[PPV]]&lt;0,"Favourable","At standard"))))</f>
        <v>Favourable</v>
      </c>
      <c r="P90" s="41" t="str">
        <f>IF(NOT(ISNUMBER(tblReceipts[[#This Row],[PPV %]])),"",IF(tblReceipts[[#This Row],[PPV %]]&lt;=LineLimit,"On target",IF(tblReceipts[[#This Row],[PPV %]]&lt;=LineLimit*(1+0.05),"Near target","Above target")))</f>
        <v>On target</v>
      </c>
      <c r="Q90" s="42">
        <f>IF(tblReceipts[[#This Row],[Date]]="","",IF(AND(tblReceipts[[#This Row],[Date]]&gt;=FFrom,tblReceipts[[#This Row],[Date]]&lt;=FTo,OR(DashCat="",tblReceipts[[#This Row],[Category]]=DashCat)),tblReceipts[[#This Row],[Date]],""))</f>
        <v>46245</v>
      </c>
      <c r="R90"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90" s="28" t="s">
        <v>171</v>
      </c>
    </row>
    <row r="91" spans="2:19">
      <c r="B91" s="35">
        <v>46248</v>
      </c>
      <c r="C91" s="28" t="s">
        <v>258</v>
      </c>
      <c r="D91" s="28" t="s">
        <v>95</v>
      </c>
      <c r="E91" s="28" t="s">
        <v>146</v>
      </c>
      <c r="F91" s="33">
        <v>1110</v>
      </c>
      <c r="G91" s="36" t="str">
        <f>IF(tblReceipts[[#This Row],[Date]]="","",IFERROR(INDEX(tblItems[UoM],MATCH(tblReceipts[[#This Row],[Item]],tblItems[Item],0)),""))</f>
        <v>ea</v>
      </c>
      <c r="H91" s="37">
        <v>0.925</v>
      </c>
      <c r="I91" s="38">
        <f>IF(tblReceipts[[#This Row],[Date]]="","",IFERROR(INDEX(tblItems[Standard price],MATCH(tblReceipts[[#This Row],[Item]],tblItems[Item],0)),""))</f>
        <v>0.92</v>
      </c>
      <c r="J91" s="36" t="str">
        <f>IF(tblReceipts[[#This Row],[Date]]="","",IFERROR(INDEX(tblItems[Category],MATCH(tblReceipts[[#This Row],[Item]],tblItems[Item],0)),""))</f>
        <v>Seals</v>
      </c>
      <c r="K91" s="39">
        <f>IF(tblReceipts[[#This Row],[Date]]="","",tblReceipts[[#This Row],[Quantity]]*tblReceipts[[#This Row],[Actual price]])</f>
        <v>1026.75</v>
      </c>
      <c r="L91" s="39">
        <f>IF(tblReceipts[[#This Row],[Date]]="","",IF(tblReceipts[[#This Row],[Standard price]]="","",tblReceipts[[#This Row],[Quantity]]*tblReceipts[[#This Row],[Standard price]]))</f>
        <v>1021.2</v>
      </c>
      <c r="M91" s="39">
        <f>IF(tblReceipts[[#This Row],[Date]]="","",IF(tblReceipts[[#This Row],[Standard price]]="","",tblReceipts[[#This Row],[Quantity]]*(tblReceipts[[#This Row],[Actual price]]-tblReceipts[[#This Row],[Standard price]])))</f>
        <v>5.55000000000001</v>
      </c>
      <c r="N91" s="40">
        <f>IF(tblReceipts[[#This Row],[Date]]="","",IF(OR(tblReceipts[[#This Row],[Standard price]]="",tblReceipts[[#This Row],[Standard price]]=0),"",(tblReceipts[[#This Row],[Actual price]]-tblReceipts[[#This Row],[Standard price]])/tblReceipts[[#This Row],[Standard price]]))</f>
        <v>0.00543478260869566</v>
      </c>
      <c r="O91" s="36" t="str">
        <f>IF(tblReceipts[[#This Row],[Date]]="","",IF(tblReceipts[[#This Row],[PPV]]="","",IF(tblReceipts[[#This Row],[PPV]]&gt;0,"Unfavourable",IF(tblReceipts[[#This Row],[PPV]]&lt;0,"Favourable","At standard"))))</f>
        <v>Unfavourable</v>
      </c>
      <c r="P91" s="41" t="str">
        <f>IF(NOT(ISNUMBER(tblReceipts[[#This Row],[PPV %]])),"",IF(tblReceipts[[#This Row],[PPV %]]&lt;=LineLimit,"On target",IF(tblReceipts[[#This Row],[PPV %]]&lt;=LineLimit*(1+0.05),"Near target","Above target")))</f>
        <v>On target</v>
      </c>
      <c r="Q91" s="42">
        <f>IF(tblReceipts[[#This Row],[Date]]="","",IF(AND(tblReceipts[[#This Row],[Date]]&gt;=FFrom,tblReceipts[[#This Row],[Date]]&lt;=FTo,OR(DashCat="",tblReceipts[[#This Row],[Category]]=DashCat)),tblReceipts[[#This Row],[Date]],""))</f>
        <v>46248</v>
      </c>
      <c r="R91"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91" s="28" t="s">
        <v>171</v>
      </c>
    </row>
    <row r="92" spans="2:19">
      <c r="B92" s="35">
        <v>46248</v>
      </c>
      <c r="C92" s="28" t="s">
        <v>259</v>
      </c>
      <c r="D92" s="28" t="s">
        <v>99</v>
      </c>
      <c r="E92" s="28" t="s">
        <v>147</v>
      </c>
      <c r="F92" s="33">
        <v>110</v>
      </c>
      <c r="G92" s="36" t="str">
        <f>IF(tblReceipts[[#This Row],[Date]]="","",IFERROR(INDEX(tblItems[UoM],MATCH(tblReceipts[[#This Row],[Item]],tblItems[Item],0)),""))</f>
        <v>100 pcs</v>
      </c>
      <c r="H92" s="37">
        <v>13.64</v>
      </c>
      <c r="I92" s="38">
        <f>IF(tblReceipts[[#This Row],[Date]]="","",IFERROR(INDEX(tblItems[Standard price],MATCH(tblReceipts[[#This Row],[Item]],tblItems[Item],0)),""))</f>
        <v>14.5</v>
      </c>
      <c r="J92" s="36" t="str">
        <f>IF(tblReceipts[[#This Row],[Date]]="","",IFERROR(INDEX(tblItems[Category],MATCH(tblReceipts[[#This Row],[Item]],tblItems[Item],0)),""))</f>
        <v>Fasteners</v>
      </c>
      <c r="K92" s="39">
        <f>IF(tblReceipts[[#This Row],[Date]]="","",tblReceipts[[#This Row],[Quantity]]*tblReceipts[[#This Row],[Actual price]])</f>
        <v>1500.4</v>
      </c>
      <c r="L92" s="39">
        <f>IF(tblReceipts[[#This Row],[Date]]="","",IF(tblReceipts[[#This Row],[Standard price]]="","",tblReceipts[[#This Row],[Quantity]]*tblReceipts[[#This Row],[Standard price]]))</f>
        <v>1595</v>
      </c>
      <c r="M92" s="39">
        <f>IF(tblReceipts[[#This Row],[Date]]="","",IF(tblReceipts[[#This Row],[Standard price]]="","",tblReceipts[[#This Row],[Quantity]]*(tblReceipts[[#This Row],[Actual price]]-tblReceipts[[#This Row],[Standard price]])))</f>
        <v>-94.5999999999999</v>
      </c>
      <c r="N92" s="40">
        <f>IF(tblReceipts[[#This Row],[Date]]="","",IF(OR(tblReceipts[[#This Row],[Standard price]]="",tblReceipts[[#This Row],[Standard price]]=0),"",(tblReceipts[[#This Row],[Actual price]]-tblReceipts[[#This Row],[Standard price]])/tblReceipts[[#This Row],[Standard price]]))</f>
        <v>-0.0593103448275862</v>
      </c>
      <c r="O92" s="36" t="str">
        <f>IF(tblReceipts[[#This Row],[Date]]="","",IF(tblReceipts[[#This Row],[PPV]]="","",IF(tblReceipts[[#This Row],[PPV]]&gt;0,"Unfavourable",IF(tblReceipts[[#This Row],[PPV]]&lt;0,"Favourable","At standard"))))</f>
        <v>Favourable</v>
      </c>
      <c r="P92" s="41" t="str">
        <f>IF(NOT(ISNUMBER(tblReceipts[[#This Row],[PPV %]])),"",IF(tblReceipts[[#This Row],[PPV %]]&lt;=LineLimit,"On target",IF(tblReceipts[[#This Row],[PPV %]]&lt;=LineLimit*(1+0.05),"Near target","Above target")))</f>
        <v>On target</v>
      </c>
      <c r="Q92" s="42">
        <f>IF(tblReceipts[[#This Row],[Date]]="","",IF(AND(tblReceipts[[#This Row],[Date]]&gt;=FFrom,tblReceipts[[#This Row],[Date]]&lt;=FTo,OR(DashCat="",tblReceipts[[#This Row],[Category]]=DashCat)),tblReceipts[[#This Row],[Date]],""))</f>
        <v>46248</v>
      </c>
      <c r="R92"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92" s="28" t="s">
        <v>171</v>
      </c>
    </row>
    <row r="93" spans="2:19">
      <c r="B93" s="35">
        <v>46251</v>
      </c>
      <c r="C93" s="28" t="s">
        <v>260</v>
      </c>
      <c r="D93" s="28" t="s">
        <v>85</v>
      </c>
      <c r="E93" s="28" t="s">
        <v>138</v>
      </c>
      <c r="F93" s="33">
        <v>290</v>
      </c>
      <c r="G93" s="36" t="str">
        <f>IF(tblReceipts[[#This Row],[Date]]="","",IFERROR(INDEX(tblItems[UoM],MATCH(tblReceipts[[#This Row],[Item]],tblItems[Item],0)),""))</f>
        <v>ea</v>
      </c>
      <c r="H93" s="37">
        <v>10.31</v>
      </c>
      <c r="I93" s="38">
        <f>IF(tblReceipts[[#This Row],[Date]]="","",IFERROR(INDEX(tblItems[Standard price],MATCH(tblReceipts[[#This Row],[Item]],tblItems[Item],0)),""))</f>
        <v>9.75</v>
      </c>
      <c r="J93" s="36" t="str">
        <f>IF(tblReceipts[[#This Row],[Date]]="","",IFERROR(INDEX(tblItems[Category],MATCH(tblReceipts[[#This Row],[Item]],tblItems[Item],0)),""))</f>
        <v>Castings</v>
      </c>
      <c r="K93" s="39">
        <f>IF(tblReceipts[[#This Row],[Date]]="","",tblReceipts[[#This Row],[Quantity]]*tblReceipts[[#This Row],[Actual price]])</f>
        <v>2989.9</v>
      </c>
      <c r="L93" s="39">
        <f>IF(tblReceipts[[#This Row],[Date]]="","",IF(tblReceipts[[#This Row],[Standard price]]="","",tblReceipts[[#This Row],[Quantity]]*tblReceipts[[#This Row],[Standard price]]))</f>
        <v>2827.5</v>
      </c>
      <c r="M93" s="39">
        <f>IF(tblReceipts[[#This Row],[Date]]="","",IF(tblReceipts[[#This Row],[Standard price]]="","",tblReceipts[[#This Row],[Quantity]]*(tblReceipts[[#This Row],[Actual price]]-tblReceipts[[#This Row],[Standard price]])))</f>
        <v>162.4</v>
      </c>
      <c r="N93" s="40">
        <f>IF(tblReceipts[[#This Row],[Date]]="","",IF(OR(tblReceipts[[#This Row],[Standard price]]="",tblReceipts[[#This Row],[Standard price]]=0),"",(tblReceipts[[#This Row],[Actual price]]-tblReceipts[[#This Row],[Standard price]])/tblReceipts[[#This Row],[Standard price]]))</f>
        <v>0.0574358974358975</v>
      </c>
      <c r="O93" s="36" t="str">
        <f>IF(tblReceipts[[#This Row],[Date]]="","",IF(tblReceipts[[#This Row],[PPV]]="","",IF(tblReceipts[[#This Row],[PPV]]&gt;0,"Unfavourable",IF(tblReceipts[[#This Row],[PPV]]&lt;0,"Favourable","At standard"))))</f>
        <v>Unfavourable</v>
      </c>
      <c r="P93" s="41" t="str">
        <f>IF(NOT(ISNUMBER(tblReceipts[[#This Row],[PPV %]])),"",IF(tblReceipts[[#This Row],[PPV %]]&lt;=LineLimit,"On target",IF(tblReceipts[[#This Row],[PPV %]]&lt;=LineLimit*(1+0.05),"Near target","Above target")))</f>
        <v>Above target</v>
      </c>
      <c r="Q93" s="42">
        <f>IF(tblReceipts[[#This Row],[Date]]="","",IF(AND(tblReceipts[[#This Row],[Date]]&gt;=FFrom,tblReceipts[[#This Row],[Date]]&lt;=FTo,OR(DashCat="",tblReceipts[[#This Row],[Category]]=DashCat)),tblReceipts[[#This Row],[Date]],""))</f>
        <v>46251</v>
      </c>
      <c r="R93"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93" s="28" t="s">
        <v>171</v>
      </c>
    </row>
    <row r="94" spans="2:19">
      <c r="B94" s="35">
        <v>46251</v>
      </c>
      <c r="C94" s="28" t="s">
        <v>261</v>
      </c>
      <c r="D94" s="28" t="s">
        <v>85</v>
      </c>
      <c r="E94" s="28" t="s">
        <v>139</v>
      </c>
      <c r="F94" s="33">
        <v>220</v>
      </c>
      <c r="G94" s="36" t="str">
        <f>IF(tblReceipts[[#This Row],[Date]]="","",IFERROR(INDEX(tblItems[UoM],MATCH(tblReceipts[[#This Row],[Item]],tblItems[Item],0)),""))</f>
        <v>ea</v>
      </c>
      <c r="H94" s="37">
        <v>3.4</v>
      </c>
      <c r="I94" s="38">
        <f>IF(tblReceipts[[#This Row],[Date]]="","",IFERROR(INDEX(tblItems[Standard price],MATCH(tblReceipts[[#This Row],[Item]],tblItems[Item],0)),""))</f>
        <v>3.2</v>
      </c>
      <c r="J94" s="36" t="str">
        <f>IF(tblReceipts[[#This Row],[Date]]="","",IFERROR(INDEX(tblItems[Category],MATCH(tblReceipts[[#This Row],[Item]],tblItems[Item],0)),""))</f>
        <v>Castings</v>
      </c>
      <c r="K94" s="39">
        <f>IF(tblReceipts[[#This Row],[Date]]="","",tblReceipts[[#This Row],[Quantity]]*tblReceipts[[#This Row],[Actual price]])</f>
        <v>748</v>
      </c>
      <c r="L94" s="39">
        <f>IF(tblReceipts[[#This Row],[Date]]="","",IF(tblReceipts[[#This Row],[Standard price]]="","",tblReceipts[[#This Row],[Quantity]]*tblReceipts[[#This Row],[Standard price]]))</f>
        <v>704</v>
      </c>
      <c r="M94" s="39">
        <f>IF(tblReceipts[[#This Row],[Date]]="","",IF(tblReceipts[[#This Row],[Standard price]]="","",tblReceipts[[#This Row],[Quantity]]*(tblReceipts[[#This Row],[Actual price]]-tblReceipts[[#This Row],[Standard price]])))</f>
        <v>43.9999999999999</v>
      </c>
      <c r="N94" s="40">
        <f>IF(tblReceipts[[#This Row],[Date]]="","",IF(OR(tblReceipts[[#This Row],[Standard price]]="",tblReceipts[[#This Row],[Standard price]]=0),"",(tblReceipts[[#This Row],[Actual price]]-tblReceipts[[#This Row],[Standard price]])/tblReceipts[[#This Row],[Standard price]]))</f>
        <v>0.0624999999999999</v>
      </c>
      <c r="O94" s="36" t="str">
        <f>IF(tblReceipts[[#This Row],[Date]]="","",IF(tblReceipts[[#This Row],[PPV]]="","",IF(tblReceipts[[#This Row],[PPV]]&gt;0,"Unfavourable",IF(tblReceipts[[#This Row],[PPV]]&lt;0,"Favourable","At standard"))))</f>
        <v>Unfavourable</v>
      </c>
      <c r="P94" s="41" t="str">
        <f>IF(NOT(ISNUMBER(tblReceipts[[#This Row],[PPV %]])),"",IF(tblReceipts[[#This Row],[PPV %]]&lt;=LineLimit,"On target",IF(tblReceipts[[#This Row],[PPV %]]&lt;=LineLimit*(1+0.05),"Near target","Above target")))</f>
        <v>Above target</v>
      </c>
      <c r="Q94" s="42">
        <f>IF(tblReceipts[[#This Row],[Date]]="","",IF(AND(tblReceipts[[#This Row],[Date]]&gt;=FFrom,tblReceipts[[#This Row],[Date]]&lt;=FTo,OR(DashCat="",tblReceipts[[#This Row],[Category]]=DashCat)),tblReceipts[[#This Row],[Date]],""))</f>
        <v>46251</v>
      </c>
      <c r="R94"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94" s="28" t="s">
        <v>171</v>
      </c>
    </row>
    <row r="95" spans="2:19">
      <c r="B95" s="35">
        <v>46251</v>
      </c>
      <c r="C95" s="28" t="s">
        <v>262</v>
      </c>
      <c r="D95" s="28" t="s">
        <v>104</v>
      </c>
      <c r="E95" s="28" t="s">
        <v>153</v>
      </c>
      <c r="F95" s="33">
        <v>510</v>
      </c>
      <c r="G95" s="36" t="str">
        <f>IF(tblReceipts[[#This Row],[Date]]="","",IFERROR(INDEX(tblItems[UoM],MATCH(tblReceipts[[#This Row],[Item]],tblItems[Item],0)),""))</f>
        <v>ea</v>
      </c>
      <c r="H95" s="37">
        <v>0.848</v>
      </c>
      <c r="I95" s="38">
        <f>IF(tblReceipts[[#This Row],[Date]]="","",IFERROR(INDEX(tblItems[Standard price],MATCH(tblReceipts[[#This Row],[Item]],tblItems[Item],0)),""))</f>
        <v>0.86</v>
      </c>
      <c r="J95" s="36" t="str">
        <f>IF(tblReceipts[[#This Row],[Date]]="","",IFERROR(INDEX(tblItems[Category],MATCH(tblReceipts[[#This Row],[Item]],tblItems[Item],0)),""))</f>
        <v>Packaging</v>
      </c>
      <c r="K95" s="39">
        <f>IF(tblReceipts[[#This Row],[Date]]="","",tblReceipts[[#This Row],[Quantity]]*tblReceipts[[#This Row],[Actual price]])</f>
        <v>432.48</v>
      </c>
      <c r="L95" s="39">
        <f>IF(tblReceipts[[#This Row],[Date]]="","",IF(tblReceipts[[#This Row],[Standard price]]="","",tblReceipts[[#This Row],[Quantity]]*tblReceipts[[#This Row],[Standard price]]))</f>
        <v>438.6</v>
      </c>
      <c r="M95" s="39">
        <f>IF(tblReceipts[[#This Row],[Date]]="","",IF(tblReceipts[[#This Row],[Standard price]]="","",tblReceipts[[#This Row],[Quantity]]*(tblReceipts[[#This Row],[Actual price]]-tblReceipts[[#This Row],[Standard price]])))</f>
        <v>-6.12000000000001</v>
      </c>
      <c r="N95" s="40">
        <f>IF(tblReceipts[[#This Row],[Date]]="","",IF(OR(tblReceipts[[#This Row],[Standard price]]="",tblReceipts[[#This Row],[Standard price]]=0),"",(tblReceipts[[#This Row],[Actual price]]-tblReceipts[[#This Row],[Standard price]])/tblReceipts[[#This Row],[Standard price]]))</f>
        <v>-0.013953488372093</v>
      </c>
      <c r="O95" s="36" t="str">
        <f>IF(tblReceipts[[#This Row],[Date]]="","",IF(tblReceipts[[#This Row],[PPV]]="","",IF(tblReceipts[[#This Row],[PPV]]&gt;0,"Unfavourable",IF(tblReceipts[[#This Row],[PPV]]&lt;0,"Favourable","At standard"))))</f>
        <v>Favourable</v>
      </c>
      <c r="P95" s="41" t="str">
        <f>IF(NOT(ISNUMBER(tblReceipts[[#This Row],[PPV %]])),"",IF(tblReceipts[[#This Row],[PPV %]]&lt;=LineLimit,"On target",IF(tblReceipts[[#This Row],[PPV %]]&lt;=LineLimit*(1+0.05),"Near target","Above target")))</f>
        <v>On target</v>
      </c>
      <c r="Q95" s="42">
        <f>IF(tblReceipts[[#This Row],[Date]]="","",IF(AND(tblReceipts[[#This Row],[Date]]&gt;=FFrom,tblReceipts[[#This Row],[Date]]&lt;=FTo,OR(DashCat="",tblReceipts[[#This Row],[Category]]=DashCat)),tblReceipts[[#This Row],[Date]],""))</f>
        <v>46251</v>
      </c>
      <c r="R95"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95" s="28" t="s">
        <v>171</v>
      </c>
    </row>
    <row r="96" spans="2:19">
      <c r="B96" s="35">
        <v>46252</v>
      </c>
      <c r="C96" s="28" t="s">
        <v>263</v>
      </c>
      <c r="D96" s="28" t="s">
        <v>95</v>
      </c>
      <c r="E96" s="28" t="s">
        <v>144</v>
      </c>
      <c r="F96" s="33">
        <v>520</v>
      </c>
      <c r="G96" s="36" t="str">
        <f>IF(tblReceipts[[#This Row],[Date]]="","",IFERROR(INDEX(tblItems[UoM],MATCH(tblReceipts[[#This Row],[Item]],tblItems[Item],0)),""))</f>
        <v>ea</v>
      </c>
      <c r="H96" s="37">
        <v>1.355</v>
      </c>
      <c r="I96" s="38">
        <f>IF(tblReceipts[[#This Row],[Date]]="","",IFERROR(INDEX(tblItems[Standard price],MATCH(tblReceipts[[#This Row],[Item]],tblItems[Item],0)),""))</f>
        <v>1.35</v>
      </c>
      <c r="J96" s="36" t="str">
        <f>IF(tblReceipts[[#This Row],[Date]]="","",IFERROR(INDEX(tblItems[Category],MATCH(tblReceipts[[#This Row],[Item]],tblItems[Item],0)),""))</f>
        <v>Seals</v>
      </c>
      <c r="K96" s="39">
        <f>IF(tblReceipts[[#This Row],[Date]]="","",tblReceipts[[#This Row],[Quantity]]*tblReceipts[[#This Row],[Actual price]])</f>
        <v>704.6</v>
      </c>
      <c r="L96" s="39">
        <f>IF(tblReceipts[[#This Row],[Date]]="","",IF(tblReceipts[[#This Row],[Standard price]]="","",tblReceipts[[#This Row],[Quantity]]*tblReceipts[[#This Row],[Standard price]]))</f>
        <v>702</v>
      </c>
      <c r="M96" s="39">
        <f>IF(tblReceipts[[#This Row],[Date]]="","",IF(tblReceipts[[#This Row],[Standard price]]="","",tblReceipts[[#This Row],[Quantity]]*(tblReceipts[[#This Row],[Actual price]]-tblReceipts[[#This Row],[Standard price]])))</f>
        <v>2.59999999999994</v>
      </c>
      <c r="N96" s="40">
        <f>IF(tblReceipts[[#This Row],[Date]]="","",IF(OR(tblReceipts[[#This Row],[Standard price]]="",tblReceipts[[#This Row],[Standard price]]=0),"",(tblReceipts[[#This Row],[Actual price]]-tblReceipts[[#This Row],[Standard price]])/tblReceipts[[#This Row],[Standard price]]))</f>
        <v>0.00370370370370362</v>
      </c>
      <c r="O96" s="36" t="str">
        <f>IF(tblReceipts[[#This Row],[Date]]="","",IF(tblReceipts[[#This Row],[PPV]]="","",IF(tblReceipts[[#This Row],[PPV]]&gt;0,"Unfavourable",IF(tblReceipts[[#This Row],[PPV]]&lt;0,"Favourable","At standard"))))</f>
        <v>Unfavourable</v>
      </c>
      <c r="P96" s="41" t="str">
        <f>IF(NOT(ISNUMBER(tblReceipts[[#This Row],[PPV %]])),"",IF(tblReceipts[[#This Row],[PPV %]]&lt;=LineLimit,"On target",IF(tblReceipts[[#This Row],[PPV %]]&lt;=LineLimit*(1+0.05),"Near target","Above target")))</f>
        <v>On target</v>
      </c>
      <c r="Q96" s="42">
        <f>IF(tblReceipts[[#This Row],[Date]]="","",IF(AND(tblReceipts[[#This Row],[Date]]&gt;=FFrom,tblReceipts[[#This Row],[Date]]&lt;=FTo,OR(DashCat="",tblReceipts[[#This Row],[Category]]=DashCat)),tblReceipts[[#This Row],[Date]],""))</f>
        <v>46252</v>
      </c>
      <c r="R96"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96" s="28" t="s">
        <v>171</v>
      </c>
    </row>
    <row r="97" spans="2:19">
      <c r="B97" s="35">
        <v>46253</v>
      </c>
      <c r="C97" s="28" t="s">
        <v>264</v>
      </c>
      <c r="D97" s="28" t="s">
        <v>101</v>
      </c>
      <c r="E97" s="28" t="s">
        <v>150</v>
      </c>
      <c r="F97" s="33">
        <v>120</v>
      </c>
      <c r="G97" s="36" t="str">
        <f>IF(tblReceipts[[#This Row],[Date]]="","",IFERROR(INDEX(tblItems[UoM],MATCH(tblReceipts[[#This Row],[Item]],tblItems[Item],0)),""))</f>
        <v>ea</v>
      </c>
      <c r="H97" s="37">
        <v>25.29</v>
      </c>
      <c r="I97" s="38">
        <f>IF(tblReceipts[[#This Row],[Date]]="","",IFERROR(INDEX(tblItems[Standard price],MATCH(tblReceipts[[#This Row],[Item]],tblItems[Item],0)),""))</f>
        <v>23.8</v>
      </c>
      <c r="J97" s="36" t="str">
        <f>IF(tblReceipts[[#This Row],[Date]]="","",IFERROR(INDEX(tblItems[Category],MATCH(tblReceipts[[#This Row],[Item]],tblItems[Item],0)),""))</f>
        <v>Electronics</v>
      </c>
      <c r="K97" s="39">
        <f>IF(tblReceipts[[#This Row],[Date]]="","",tblReceipts[[#This Row],[Quantity]]*tblReceipts[[#This Row],[Actual price]])</f>
        <v>3034.8</v>
      </c>
      <c r="L97" s="39">
        <f>IF(tblReceipts[[#This Row],[Date]]="","",IF(tblReceipts[[#This Row],[Standard price]]="","",tblReceipts[[#This Row],[Quantity]]*tblReceipts[[#This Row],[Standard price]]))</f>
        <v>2856</v>
      </c>
      <c r="M97" s="39">
        <f>IF(tblReceipts[[#This Row],[Date]]="","",IF(tblReceipts[[#This Row],[Standard price]]="","",tblReceipts[[#This Row],[Quantity]]*(tblReceipts[[#This Row],[Actual price]]-tblReceipts[[#This Row],[Standard price]])))</f>
        <v>178.8</v>
      </c>
      <c r="N97" s="40">
        <f>IF(tblReceipts[[#This Row],[Date]]="","",IF(OR(tblReceipts[[#This Row],[Standard price]]="",tblReceipts[[#This Row],[Standard price]]=0),"",(tblReceipts[[#This Row],[Actual price]]-tblReceipts[[#This Row],[Standard price]])/tblReceipts[[#This Row],[Standard price]]))</f>
        <v>0.0626050420168067</v>
      </c>
      <c r="O97" s="36" t="str">
        <f>IF(tblReceipts[[#This Row],[Date]]="","",IF(tblReceipts[[#This Row],[PPV]]="","",IF(tblReceipts[[#This Row],[PPV]]&gt;0,"Unfavourable",IF(tblReceipts[[#This Row],[PPV]]&lt;0,"Favourable","At standard"))))</f>
        <v>Unfavourable</v>
      </c>
      <c r="P97" s="41" t="str">
        <f>IF(NOT(ISNUMBER(tblReceipts[[#This Row],[PPV %]])),"",IF(tblReceipts[[#This Row],[PPV %]]&lt;=LineLimit,"On target",IF(tblReceipts[[#This Row],[PPV %]]&lt;=LineLimit*(1+0.05),"Near target","Above target")))</f>
        <v>Above target</v>
      </c>
      <c r="Q97" s="42">
        <f>IF(tblReceipts[[#This Row],[Date]]="","",IF(AND(tblReceipts[[#This Row],[Date]]&gt;=FFrom,tblReceipts[[#This Row],[Date]]&lt;=FTo,OR(DashCat="",tblReceipts[[#This Row],[Category]]=DashCat)),tblReceipts[[#This Row],[Date]],""))</f>
        <v>46253</v>
      </c>
      <c r="R97"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97" s="28" t="s">
        <v>171</v>
      </c>
    </row>
    <row r="98" spans="2:19">
      <c r="B98" s="35">
        <v>46258</v>
      </c>
      <c r="C98" s="28" t="s">
        <v>265</v>
      </c>
      <c r="D98" s="28" t="s">
        <v>85</v>
      </c>
      <c r="E98" s="28" t="s">
        <v>138</v>
      </c>
      <c r="F98" s="33">
        <v>250</v>
      </c>
      <c r="G98" s="36" t="str">
        <f>IF(tblReceipts[[#This Row],[Date]]="","",IFERROR(INDEX(tblItems[UoM],MATCH(tblReceipts[[#This Row],[Item]],tblItems[Item],0)),""))</f>
        <v>ea</v>
      </c>
      <c r="H98" s="37">
        <v>10.31</v>
      </c>
      <c r="I98" s="38">
        <f>IF(tblReceipts[[#This Row],[Date]]="","",IFERROR(INDEX(tblItems[Standard price],MATCH(tblReceipts[[#This Row],[Item]],tblItems[Item],0)),""))</f>
        <v>9.75</v>
      </c>
      <c r="J98" s="36" t="str">
        <f>IF(tblReceipts[[#This Row],[Date]]="","",IFERROR(INDEX(tblItems[Category],MATCH(tblReceipts[[#This Row],[Item]],tblItems[Item],0)),""))</f>
        <v>Castings</v>
      </c>
      <c r="K98" s="39">
        <f>IF(tblReceipts[[#This Row],[Date]]="","",tblReceipts[[#This Row],[Quantity]]*tblReceipts[[#This Row],[Actual price]])</f>
        <v>2577.5</v>
      </c>
      <c r="L98" s="39">
        <f>IF(tblReceipts[[#This Row],[Date]]="","",IF(tblReceipts[[#This Row],[Standard price]]="","",tblReceipts[[#This Row],[Quantity]]*tblReceipts[[#This Row],[Standard price]]))</f>
        <v>2437.5</v>
      </c>
      <c r="M98" s="39">
        <f>IF(tblReceipts[[#This Row],[Date]]="","",IF(tblReceipts[[#This Row],[Standard price]]="","",tblReceipts[[#This Row],[Quantity]]*(tblReceipts[[#This Row],[Actual price]]-tblReceipts[[#This Row],[Standard price]])))</f>
        <v>140</v>
      </c>
      <c r="N98" s="40">
        <f>IF(tblReceipts[[#This Row],[Date]]="","",IF(OR(tblReceipts[[#This Row],[Standard price]]="",tblReceipts[[#This Row],[Standard price]]=0),"",(tblReceipts[[#This Row],[Actual price]]-tblReceipts[[#This Row],[Standard price]])/tblReceipts[[#This Row],[Standard price]]))</f>
        <v>0.0574358974358975</v>
      </c>
      <c r="O98" s="36" t="str">
        <f>IF(tblReceipts[[#This Row],[Date]]="","",IF(tblReceipts[[#This Row],[PPV]]="","",IF(tblReceipts[[#This Row],[PPV]]&gt;0,"Unfavourable",IF(tblReceipts[[#This Row],[PPV]]&lt;0,"Favourable","At standard"))))</f>
        <v>Unfavourable</v>
      </c>
      <c r="P98" s="41" t="str">
        <f>IF(NOT(ISNUMBER(tblReceipts[[#This Row],[PPV %]])),"",IF(tblReceipts[[#This Row],[PPV %]]&lt;=LineLimit,"On target",IF(tblReceipts[[#This Row],[PPV %]]&lt;=LineLimit*(1+0.05),"Near target","Above target")))</f>
        <v>Above target</v>
      </c>
      <c r="Q98" s="42">
        <f>IF(tblReceipts[[#This Row],[Date]]="","",IF(AND(tblReceipts[[#This Row],[Date]]&gt;=FFrom,tblReceipts[[#This Row],[Date]]&lt;=FTo,OR(DashCat="",tblReceipts[[#This Row],[Category]]=DashCat)),tblReceipts[[#This Row],[Date]],""))</f>
        <v>46258</v>
      </c>
      <c r="R98"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98" s="28" t="s">
        <v>171</v>
      </c>
    </row>
    <row r="99" spans="2:19">
      <c r="B99" s="35">
        <v>46258</v>
      </c>
      <c r="C99" s="28" t="s">
        <v>266</v>
      </c>
      <c r="D99" s="28" t="s">
        <v>85</v>
      </c>
      <c r="E99" s="28" t="s">
        <v>139</v>
      </c>
      <c r="F99" s="33">
        <v>370</v>
      </c>
      <c r="G99" s="36" t="str">
        <f>IF(tblReceipts[[#This Row],[Date]]="","",IFERROR(INDEX(tblItems[UoM],MATCH(tblReceipts[[#This Row],[Item]],tblItems[Item],0)),""))</f>
        <v>ea</v>
      </c>
      <c r="H99" s="37">
        <v>3.39</v>
      </c>
      <c r="I99" s="38">
        <f>IF(tblReceipts[[#This Row],[Date]]="","",IFERROR(INDEX(tblItems[Standard price],MATCH(tblReceipts[[#This Row],[Item]],tblItems[Item],0)),""))</f>
        <v>3.2</v>
      </c>
      <c r="J99" s="36" t="str">
        <f>IF(tblReceipts[[#This Row],[Date]]="","",IFERROR(INDEX(tblItems[Category],MATCH(tblReceipts[[#This Row],[Item]],tblItems[Item],0)),""))</f>
        <v>Castings</v>
      </c>
      <c r="K99" s="39">
        <f>IF(tblReceipts[[#This Row],[Date]]="","",tblReceipts[[#This Row],[Quantity]]*tblReceipts[[#This Row],[Actual price]])</f>
        <v>1254.3</v>
      </c>
      <c r="L99" s="39">
        <f>IF(tblReceipts[[#This Row],[Date]]="","",IF(tblReceipts[[#This Row],[Standard price]]="","",tblReceipts[[#This Row],[Quantity]]*tblReceipts[[#This Row],[Standard price]]))</f>
        <v>1184</v>
      </c>
      <c r="M99" s="39">
        <f>IF(tblReceipts[[#This Row],[Date]]="","",IF(tblReceipts[[#This Row],[Standard price]]="","",tblReceipts[[#This Row],[Quantity]]*(tblReceipts[[#This Row],[Actual price]]-tblReceipts[[#This Row],[Standard price]])))</f>
        <v>70.3</v>
      </c>
      <c r="N99" s="40">
        <f>IF(tblReceipts[[#This Row],[Date]]="","",IF(OR(tblReceipts[[#This Row],[Standard price]]="",tblReceipts[[#This Row],[Standard price]]=0),"",(tblReceipts[[#This Row],[Actual price]]-tblReceipts[[#This Row],[Standard price]])/tblReceipts[[#This Row],[Standard price]]))</f>
        <v>0.059375</v>
      </c>
      <c r="O99" s="36" t="str">
        <f>IF(tblReceipts[[#This Row],[Date]]="","",IF(tblReceipts[[#This Row],[PPV]]="","",IF(tblReceipts[[#This Row],[PPV]]&gt;0,"Unfavourable",IF(tblReceipts[[#This Row],[PPV]]&lt;0,"Favourable","At standard"))))</f>
        <v>Unfavourable</v>
      </c>
      <c r="P99" s="41" t="str">
        <f>IF(NOT(ISNUMBER(tblReceipts[[#This Row],[PPV %]])),"",IF(tblReceipts[[#This Row],[PPV %]]&lt;=LineLimit,"On target",IF(tblReceipts[[#This Row],[PPV %]]&lt;=LineLimit*(1+0.05),"Near target","Above target")))</f>
        <v>Above target</v>
      </c>
      <c r="Q99" s="42">
        <f>IF(tblReceipts[[#This Row],[Date]]="","",IF(AND(tblReceipts[[#This Row],[Date]]&gt;=FFrom,tblReceipts[[#This Row],[Date]]&lt;=FTo,OR(DashCat="",tblReceipts[[#This Row],[Category]]=DashCat)),tblReceipts[[#This Row],[Date]],""))</f>
        <v>46258</v>
      </c>
      <c r="R99"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99" s="28" t="s">
        <v>171</v>
      </c>
    </row>
    <row r="100" spans="2:19">
      <c r="B100" s="35">
        <v>46258</v>
      </c>
      <c r="C100" s="28" t="s">
        <v>267</v>
      </c>
      <c r="D100" s="28" t="s">
        <v>104</v>
      </c>
      <c r="E100" s="28" t="s">
        <v>155</v>
      </c>
      <c r="F100" s="33">
        <v>1140</v>
      </c>
      <c r="G100" s="36" t="str">
        <f>IF(tblReceipts[[#This Row],[Date]]="","",IFERROR(INDEX(tblItems[UoM],MATCH(tblReceipts[[#This Row],[Item]],tblItems[Item],0)),""))</f>
        <v>ea</v>
      </c>
      <c r="H100" s="37">
        <v>0.428</v>
      </c>
      <c r="I100" s="38">
        <f>IF(tblReceipts[[#This Row],[Date]]="","",IFERROR(INDEX(tblItems[Standard price],MATCH(tblReceipts[[#This Row],[Item]],tblItems[Item],0)),""))</f>
        <v>0.44</v>
      </c>
      <c r="J100" s="36" t="str">
        <f>IF(tblReceipts[[#This Row],[Date]]="","",IFERROR(INDEX(tblItems[Category],MATCH(tblReceipts[[#This Row],[Item]],tblItems[Item],0)),""))</f>
        <v>Packaging</v>
      </c>
      <c r="K100" s="39">
        <f>IF(tblReceipts[[#This Row],[Date]]="","",tblReceipts[[#This Row],[Quantity]]*tblReceipts[[#This Row],[Actual price]])</f>
        <v>487.92</v>
      </c>
      <c r="L100" s="39">
        <f>IF(tblReceipts[[#This Row],[Date]]="","",IF(tblReceipts[[#This Row],[Standard price]]="","",tblReceipts[[#This Row],[Quantity]]*tblReceipts[[#This Row],[Standard price]]))</f>
        <v>501.6</v>
      </c>
      <c r="M100" s="39">
        <f>IF(tblReceipts[[#This Row],[Date]]="","",IF(tblReceipts[[#This Row],[Standard price]]="","",tblReceipts[[#This Row],[Quantity]]*(tblReceipts[[#This Row],[Actual price]]-tblReceipts[[#This Row],[Standard price]])))</f>
        <v>-13.68</v>
      </c>
      <c r="N100" s="40">
        <f>IF(tblReceipts[[#This Row],[Date]]="","",IF(OR(tblReceipts[[#This Row],[Standard price]]="",tblReceipts[[#This Row],[Standard price]]=0),"",(tblReceipts[[#This Row],[Actual price]]-tblReceipts[[#This Row],[Standard price]])/tblReceipts[[#This Row],[Standard price]]))</f>
        <v>-0.0272727272727273</v>
      </c>
      <c r="O100" s="36" t="str">
        <f>IF(tblReceipts[[#This Row],[Date]]="","",IF(tblReceipts[[#This Row],[PPV]]="","",IF(tblReceipts[[#This Row],[PPV]]&gt;0,"Unfavourable",IF(tblReceipts[[#This Row],[PPV]]&lt;0,"Favourable","At standard"))))</f>
        <v>Favourable</v>
      </c>
      <c r="P100" s="41" t="str">
        <f>IF(NOT(ISNUMBER(tblReceipts[[#This Row],[PPV %]])),"",IF(tblReceipts[[#This Row],[PPV %]]&lt;=LineLimit,"On target",IF(tblReceipts[[#This Row],[PPV %]]&lt;=LineLimit*(1+0.05),"Near target","Above target")))</f>
        <v>On target</v>
      </c>
      <c r="Q100" s="42">
        <f>IF(tblReceipts[[#This Row],[Date]]="","",IF(AND(tblReceipts[[#This Row],[Date]]&gt;=FFrom,tblReceipts[[#This Row],[Date]]&lt;=FTo,OR(DashCat="",tblReceipts[[#This Row],[Category]]=DashCat)),tblReceipts[[#This Row],[Date]],""))</f>
        <v>46258</v>
      </c>
      <c r="R100"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00" s="28" t="s">
        <v>171</v>
      </c>
    </row>
    <row r="101" spans="2:19">
      <c r="B101" s="35">
        <v>46259</v>
      </c>
      <c r="C101" s="28" t="s">
        <v>268</v>
      </c>
      <c r="D101" s="28" t="s">
        <v>90</v>
      </c>
      <c r="E101" s="28" t="s">
        <v>143</v>
      </c>
      <c r="F101" s="33">
        <v>504</v>
      </c>
      <c r="G101" s="36" t="str">
        <f>IF(tblReceipts[[#This Row],[Date]]="","",IFERROR(INDEX(tblItems[UoM],MATCH(tblReceipts[[#This Row],[Item]],tblItems[Item],0)),""))</f>
        <v>kg</v>
      </c>
      <c r="H101" s="37">
        <v>7.04</v>
      </c>
      <c r="I101" s="38">
        <f>IF(tblReceipts[[#This Row],[Date]]="","",IFERROR(INDEX(tblItems[Standard price],MATCH(tblReceipts[[#This Row],[Item]],tblItems[Item],0)),""))</f>
        <v>7.1</v>
      </c>
      <c r="J101" s="36" t="str">
        <f>IF(tblReceipts[[#This Row],[Date]]="","",IFERROR(INDEX(tblItems[Category],MATCH(tblReceipts[[#This Row],[Item]],tblItems[Item],0)),""))</f>
        <v>Bar stock</v>
      </c>
      <c r="K101" s="39">
        <f>IF(tblReceipts[[#This Row],[Date]]="","",tblReceipts[[#This Row],[Quantity]]*tblReceipts[[#This Row],[Actual price]])</f>
        <v>3548.16</v>
      </c>
      <c r="L101" s="39">
        <f>IF(tblReceipts[[#This Row],[Date]]="","",IF(tblReceipts[[#This Row],[Standard price]]="","",tblReceipts[[#This Row],[Quantity]]*tblReceipts[[#This Row],[Standard price]]))</f>
        <v>3578.4</v>
      </c>
      <c r="M101" s="39">
        <f>IF(tblReceipts[[#This Row],[Date]]="","",IF(tblReceipts[[#This Row],[Standard price]]="","",tblReceipts[[#This Row],[Quantity]]*(tblReceipts[[#This Row],[Actual price]]-tblReceipts[[#This Row],[Standard price]])))</f>
        <v>-30.2399999999998</v>
      </c>
      <c r="N101" s="40">
        <f>IF(tblReceipts[[#This Row],[Date]]="","",IF(OR(tblReceipts[[#This Row],[Standard price]]="",tblReceipts[[#This Row],[Standard price]]=0),"",(tblReceipts[[#This Row],[Actual price]]-tblReceipts[[#This Row],[Standard price]])/tblReceipts[[#This Row],[Standard price]]))</f>
        <v>-0.00845070422535206</v>
      </c>
      <c r="O101" s="36" t="str">
        <f>IF(tblReceipts[[#This Row],[Date]]="","",IF(tblReceipts[[#This Row],[PPV]]="","",IF(tblReceipts[[#This Row],[PPV]]&gt;0,"Unfavourable",IF(tblReceipts[[#This Row],[PPV]]&lt;0,"Favourable","At standard"))))</f>
        <v>Favourable</v>
      </c>
      <c r="P101" s="41" t="str">
        <f>IF(NOT(ISNUMBER(tblReceipts[[#This Row],[PPV %]])),"",IF(tblReceipts[[#This Row],[PPV %]]&lt;=LineLimit,"On target",IF(tblReceipts[[#This Row],[PPV %]]&lt;=LineLimit*(1+0.05),"Near target","Above target")))</f>
        <v>On target</v>
      </c>
      <c r="Q101" s="42">
        <f>IF(tblReceipts[[#This Row],[Date]]="","",IF(AND(tblReceipts[[#This Row],[Date]]&gt;=FFrom,tblReceipts[[#This Row],[Date]]&lt;=FTo,OR(DashCat="",tblReceipts[[#This Row],[Category]]=DashCat)),tblReceipts[[#This Row],[Date]],""))</f>
        <v>46259</v>
      </c>
      <c r="R101"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01" s="28" t="s">
        <v>171</v>
      </c>
    </row>
    <row r="102" spans="2:19">
      <c r="B102" s="35">
        <v>46262</v>
      </c>
      <c r="C102" s="28" t="s">
        <v>269</v>
      </c>
      <c r="D102" s="28" t="s">
        <v>101</v>
      </c>
      <c r="E102" s="28" t="s">
        <v>152</v>
      </c>
      <c r="F102" s="33">
        <v>140</v>
      </c>
      <c r="G102" s="36" t="str">
        <f>IF(tblReceipts[[#This Row],[Date]]="","",IFERROR(INDEX(tblItems[UoM],MATCH(tblReceipts[[#This Row],[Item]],tblItems[Item],0)),""))</f>
        <v>ea</v>
      </c>
      <c r="H102" s="37">
        <v>12.33</v>
      </c>
      <c r="I102" s="38">
        <f>IF(tblReceipts[[#This Row],[Date]]="","",IFERROR(INDEX(tblItems[Standard price],MATCH(tblReceipts[[#This Row],[Item]],tblItems[Item],0)),""))</f>
        <v>11.6</v>
      </c>
      <c r="J102" s="36" t="str">
        <f>IF(tblReceipts[[#This Row],[Date]]="","",IFERROR(INDEX(tblItems[Category],MATCH(tblReceipts[[#This Row],[Item]],tblItems[Item],0)),""))</f>
        <v>Electronics</v>
      </c>
      <c r="K102" s="39">
        <f>IF(tblReceipts[[#This Row],[Date]]="","",tblReceipts[[#This Row],[Quantity]]*tblReceipts[[#This Row],[Actual price]])</f>
        <v>1726.2</v>
      </c>
      <c r="L102" s="39">
        <f>IF(tblReceipts[[#This Row],[Date]]="","",IF(tblReceipts[[#This Row],[Standard price]]="","",tblReceipts[[#This Row],[Quantity]]*tblReceipts[[#This Row],[Standard price]]))</f>
        <v>1624</v>
      </c>
      <c r="M102" s="39">
        <f>IF(tblReceipts[[#This Row],[Date]]="","",IF(tblReceipts[[#This Row],[Standard price]]="","",tblReceipts[[#This Row],[Quantity]]*(tblReceipts[[#This Row],[Actual price]]-tblReceipts[[#This Row],[Standard price]])))</f>
        <v>102.2</v>
      </c>
      <c r="N102" s="40">
        <f>IF(tblReceipts[[#This Row],[Date]]="","",IF(OR(tblReceipts[[#This Row],[Standard price]]="",tblReceipts[[#This Row],[Standard price]]=0),"",(tblReceipts[[#This Row],[Actual price]]-tblReceipts[[#This Row],[Standard price]])/tblReceipts[[#This Row],[Standard price]]))</f>
        <v>0.0629310344827587</v>
      </c>
      <c r="O102" s="36" t="str">
        <f>IF(tblReceipts[[#This Row],[Date]]="","",IF(tblReceipts[[#This Row],[PPV]]="","",IF(tblReceipts[[#This Row],[PPV]]&gt;0,"Unfavourable",IF(tblReceipts[[#This Row],[PPV]]&lt;0,"Favourable","At standard"))))</f>
        <v>Unfavourable</v>
      </c>
      <c r="P102" s="41" t="str">
        <f>IF(NOT(ISNUMBER(tblReceipts[[#This Row],[PPV %]])),"",IF(tblReceipts[[#This Row],[PPV %]]&lt;=LineLimit,"On target",IF(tblReceipts[[#This Row],[PPV %]]&lt;=LineLimit*(1+0.05),"Near target","Above target")))</f>
        <v>Above target</v>
      </c>
      <c r="Q102" s="42">
        <f>IF(tblReceipts[[#This Row],[Date]]="","",IF(AND(tblReceipts[[#This Row],[Date]]&gt;=FFrom,tblReceipts[[#This Row],[Date]]&lt;=FTo,OR(DashCat="",tblReceipts[[#This Row],[Category]]=DashCat)),tblReceipts[[#This Row],[Date]],""))</f>
        <v>46262</v>
      </c>
      <c r="R102"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02" s="28" t="s">
        <v>171</v>
      </c>
    </row>
    <row r="103" spans="2:19">
      <c r="B103" s="35">
        <v>46262</v>
      </c>
      <c r="C103" s="28" t="s">
        <v>270</v>
      </c>
      <c r="D103" s="28" t="s">
        <v>104</v>
      </c>
      <c r="E103" s="28" t="s">
        <v>155</v>
      </c>
      <c r="F103" s="33">
        <v>1140</v>
      </c>
      <c r="G103" s="36" t="str">
        <f>IF(tblReceipts[[#This Row],[Date]]="","",IFERROR(INDEX(tblItems[UoM],MATCH(tblReceipts[[#This Row],[Item]],tblItems[Item],0)),""))</f>
        <v>ea</v>
      </c>
      <c r="H103" s="37">
        <v>0.434</v>
      </c>
      <c r="I103" s="38">
        <f>IF(tblReceipts[[#This Row],[Date]]="","",IFERROR(INDEX(tblItems[Standard price],MATCH(tblReceipts[[#This Row],[Item]],tblItems[Item],0)),""))</f>
        <v>0.44</v>
      </c>
      <c r="J103" s="36" t="str">
        <f>IF(tblReceipts[[#This Row],[Date]]="","",IFERROR(INDEX(tblItems[Category],MATCH(tblReceipts[[#This Row],[Item]],tblItems[Item],0)),""))</f>
        <v>Packaging</v>
      </c>
      <c r="K103" s="39">
        <f>IF(tblReceipts[[#This Row],[Date]]="","",tblReceipts[[#This Row],[Quantity]]*tblReceipts[[#This Row],[Actual price]])</f>
        <v>494.76</v>
      </c>
      <c r="L103" s="39">
        <f>IF(tblReceipts[[#This Row],[Date]]="","",IF(tblReceipts[[#This Row],[Standard price]]="","",tblReceipts[[#This Row],[Quantity]]*tblReceipts[[#This Row],[Standard price]]))</f>
        <v>501.6</v>
      </c>
      <c r="M103" s="39">
        <f>IF(tblReceipts[[#This Row],[Date]]="","",IF(tblReceipts[[#This Row],[Standard price]]="","",tblReceipts[[#This Row],[Quantity]]*(tblReceipts[[#This Row],[Actual price]]-tblReceipts[[#This Row],[Standard price]])))</f>
        <v>-6.84000000000001</v>
      </c>
      <c r="N103" s="40">
        <f>IF(tblReceipts[[#This Row],[Date]]="","",IF(OR(tblReceipts[[#This Row],[Standard price]]="",tblReceipts[[#This Row],[Standard price]]=0),"",(tblReceipts[[#This Row],[Actual price]]-tblReceipts[[#This Row],[Standard price]])/tblReceipts[[#This Row],[Standard price]]))</f>
        <v>-0.0136363636363636</v>
      </c>
      <c r="O103" s="36" t="str">
        <f>IF(tblReceipts[[#This Row],[Date]]="","",IF(tblReceipts[[#This Row],[PPV]]="","",IF(tblReceipts[[#This Row],[PPV]]&gt;0,"Unfavourable",IF(tblReceipts[[#This Row],[PPV]]&lt;0,"Favourable","At standard"))))</f>
        <v>Favourable</v>
      </c>
      <c r="P103" s="41" t="str">
        <f>IF(NOT(ISNUMBER(tblReceipts[[#This Row],[PPV %]])),"",IF(tblReceipts[[#This Row],[PPV %]]&lt;=LineLimit,"On target",IF(tblReceipts[[#This Row],[PPV %]]&lt;=LineLimit*(1+0.05),"Near target","Above target")))</f>
        <v>On target</v>
      </c>
      <c r="Q103" s="42">
        <f>IF(tblReceipts[[#This Row],[Date]]="","",IF(AND(tblReceipts[[#This Row],[Date]]&gt;=FFrom,tblReceipts[[#This Row],[Date]]&lt;=FTo,OR(DashCat="",tblReceipts[[#This Row],[Category]]=DashCat)),tblReceipts[[#This Row],[Date]],""))</f>
        <v>46262</v>
      </c>
      <c r="R103"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03" s="28" t="s">
        <v>171</v>
      </c>
    </row>
    <row r="104" spans="2:19">
      <c r="B104" s="35">
        <v>46267</v>
      </c>
      <c r="C104" s="28" t="s">
        <v>271</v>
      </c>
      <c r="D104" s="28" t="s">
        <v>95</v>
      </c>
      <c r="E104" s="28" t="s">
        <v>144</v>
      </c>
      <c r="F104" s="33">
        <v>1040</v>
      </c>
      <c r="G104" s="36" t="str">
        <f>IF(tblReceipts[[#This Row],[Date]]="","",IFERROR(INDEX(tblItems[UoM],MATCH(tblReceipts[[#This Row],[Item]],tblItems[Item],0)),""))</f>
        <v>ea</v>
      </c>
      <c r="H104" s="37">
        <v>1.342</v>
      </c>
      <c r="I104" s="38">
        <f>IF(tblReceipts[[#This Row],[Date]]="","",IFERROR(INDEX(tblItems[Standard price],MATCH(tblReceipts[[#This Row],[Item]],tblItems[Item],0)),""))</f>
        <v>1.35</v>
      </c>
      <c r="J104" s="36" t="str">
        <f>IF(tblReceipts[[#This Row],[Date]]="","",IFERROR(INDEX(tblItems[Category],MATCH(tblReceipts[[#This Row],[Item]],tblItems[Item],0)),""))</f>
        <v>Seals</v>
      </c>
      <c r="K104" s="39">
        <f>IF(tblReceipts[[#This Row],[Date]]="","",tblReceipts[[#This Row],[Quantity]]*tblReceipts[[#This Row],[Actual price]])</f>
        <v>1395.68</v>
      </c>
      <c r="L104" s="39">
        <f>IF(tblReceipts[[#This Row],[Date]]="","",IF(tblReceipts[[#This Row],[Standard price]]="","",tblReceipts[[#This Row],[Quantity]]*tblReceipts[[#This Row],[Standard price]]))</f>
        <v>1404</v>
      </c>
      <c r="M104" s="39">
        <f>IF(tblReceipts[[#This Row],[Date]]="","",IF(tblReceipts[[#This Row],[Standard price]]="","",tblReceipts[[#This Row],[Quantity]]*(tblReceipts[[#This Row],[Actual price]]-tblReceipts[[#This Row],[Standard price]])))</f>
        <v>-8.32000000000001</v>
      </c>
      <c r="N104" s="40">
        <f>IF(tblReceipts[[#This Row],[Date]]="","",IF(OR(tblReceipts[[#This Row],[Standard price]]="",tblReceipts[[#This Row],[Standard price]]=0),"",(tblReceipts[[#This Row],[Actual price]]-tblReceipts[[#This Row],[Standard price]])/tblReceipts[[#This Row],[Standard price]]))</f>
        <v>-0.00592592592592593</v>
      </c>
      <c r="O104" s="36" t="str">
        <f>IF(tblReceipts[[#This Row],[Date]]="","",IF(tblReceipts[[#This Row],[PPV]]="","",IF(tblReceipts[[#This Row],[PPV]]&gt;0,"Unfavourable",IF(tblReceipts[[#This Row],[PPV]]&lt;0,"Favourable","At standard"))))</f>
        <v>Favourable</v>
      </c>
      <c r="P104" s="41" t="str">
        <f>IF(NOT(ISNUMBER(tblReceipts[[#This Row],[PPV %]])),"",IF(tblReceipts[[#This Row],[PPV %]]&lt;=LineLimit,"On target",IF(tblReceipts[[#This Row],[PPV %]]&lt;=LineLimit*(1+0.05),"Near target","Above target")))</f>
        <v>On target</v>
      </c>
      <c r="Q104" s="42">
        <f>IF(tblReceipts[[#This Row],[Date]]="","",IF(AND(tblReceipts[[#This Row],[Date]]&gt;=FFrom,tblReceipts[[#This Row],[Date]]&lt;=FTo,OR(DashCat="",tblReceipts[[#This Row],[Category]]=DashCat)),tblReceipts[[#This Row],[Date]],""))</f>
        <v>46267</v>
      </c>
      <c r="R104"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04" s="28" t="s">
        <v>171</v>
      </c>
    </row>
    <row r="105" spans="2:19">
      <c r="B105" s="35">
        <v>46267</v>
      </c>
      <c r="C105" s="28" t="s">
        <v>272</v>
      </c>
      <c r="D105" s="28" t="s">
        <v>95</v>
      </c>
      <c r="E105" s="28" t="s">
        <v>146</v>
      </c>
      <c r="F105" s="33">
        <v>1130</v>
      </c>
      <c r="G105" s="36" t="str">
        <f>IF(tblReceipts[[#This Row],[Date]]="","",IFERROR(INDEX(tblItems[UoM],MATCH(tblReceipts[[#This Row],[Item]],tblItems[Item],0)),""))</f>
        <v>ea</v>
      </c>
      <c r="H105" s="37">
        <v>0.926</v>
      </c>
      <c r="I105" s="38">
        <f>IF(tblReceipts[[#This Row],[Date]]="","",IFERROR(INDEX(tblItems[Standard price],MATCH(tblReceipts[[#This Row],[Item]],tblItems[Item],0)),""))</f>
        <v>0.92</v>
      </c>
      <c r="J105" s="36" t="str">
        <f>IF(tblReceipts[[#This Row],[Date]]="","",IFERROR(INDEX(tblItems[Category],MATCH(tblReceipts[[#This Row],[Item]],tblItems[Item],0)),""))</f>
        <v>Seals</v>
      </c>
      <c r="K105" s="39">
        <f>IF(tblReceipts[[#This Row],[Date]]="","",tblReceipts[[#This Row],[Quantity]]*tblReceipts[[#This Row],[Actual price]])</f>
        <v>1046.38</v>
      </c>
      <c r="L105" s="39">
        <f>IF(tblReceipts[[#This Row],[Date]]="","",IF(tblReceipts[[#This Row],[Standard price]]="","",tblReceipts[[#This Row],[Quantity]]*tblReceipts[[#This Row],[Standard price]]))</f>
        <v>1039.6</v>
      </c>
      <c r="M105" s="39">
        <f>IF(tblReceipts[[#This Row],[Date]]="","",IF(tblReceipts[[#This Row],[Standard price]]="","",tblReceipts[[#This Row],[Quantity]]*(tblReceipts[[#This Row],[Actual price]]-tblReceipts[[#This Row],[Standard price]])))</f>
        <v>6.78000000000001</v>
      </c>
      <c r="N105" s="40">
        <f>IF(tblReceipts[[#This Row],[Date]]="","",IF(OR(tblReceipts[[#This Row],[Standard price]]="",tblReceipts[[#This Row],[Standard price]]=0),"",(tblReceipts[[#This Row],[Actual price]]-tblReceipts[[#This Row],[Standard price]])/tblReceipts[[#This Row],[Standard price]]))</f>
        <v>0.00652173913043479</v>
      </c>
      <c r="O105" s="36" t="str">
        <f>IF(tblReceipts[[#This Row],[Date]]="","",IF(tblReceipts[[#This Row],[PPV]]="","",IF(tblReceipts[[#This Row],[PPV]]&gt;0,"Unfavourable",IF(tblReceipts[[#This Row],[PPV]]&lt;0,"Favourable","At standard"))))</f>
        <v>Unfavourable</v>
      </c>
      <c r="P105" s="41" t="str">
        <f>IF(NOT(ISNUMBER(tblReceipts[[#This Row],[PPV %]])),"",IF(tblReceipts[[#This Row],[PPV %]]&lt;=LineLimit,"On target",IF(tblReceipts[[#This Row],[PPV %]]&lt;=LineLimit*(1+0.05),"Near target","Above target")))</f>
        <v>On target</v>
      </c>
      <c r="Q105" s="42">
        <f>IF(tblReceipts[[#This Row],[Date]]="","",IF(AND(tblReceipts[[#This Row],[Date]]&gt;=FFrom,tblReceipts[[#This Row],[Date]]&lt;=FTo,OR(DashCat="",tblReceipts[[#This Row],[Category]]=DashCat)),tblReceipts[[#This Row],[Date]],""))</f>
        <v>46267</v>
      </c>
      <c r="R105"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05" s="28" t="s">
        <v>171</v>
      </c>
    </row>
    <row r="106" spans="2:19">
      <c r="B106" s="35">
        <v>46268</v>
      </c>
      <c r="C106" s="28" t="s">
        <v>273</v>
      </c>
      <c r="D106" s="28" t="s">
        <v>95</v>
      </c>
      <c r="E106" s="28" t="s">
        <v>146</v>
      </c>
      <c r="F106" s="33">
        <v>630</v>
      </c>
      <c r="G106" s="36" t="str">
        <f>IF(tblReceipts[[#This Row],[Date]]="","",IFERROR(INDEX(tblItems[UoM],MATCH(tblReceipts[[#This Row],[Item]],tblItems[Item],0)),""))</f>
        <v>ea</v>
      </c>
      <c r="H106" s="37">
        <v>0.924</v>
      </c>
      <c r="I106" s="38">
        <f>IF(tblReceipts[[#This Row],[Date]]="","",IFERROR(INDEX(tblItems[Standard price],MATCH(tblReceipts[[#This Row],[Item]],tblItems[Item],0)),""))</f>
        <v>0.92</v>
      </c>
      <c r="J106" s="36" t="str">
        <f>IF(tblReceipts[[#This Row],[Date]]="","",IFERROR(INDEX(tblItems[Category],MATCH(tblReceipts[[#This Row],[Item]],tblItems[Item],0)),""))</f>
        <v>Seals</v>
      </c>
      <c r="K106" s="39">
        <f>IF(tblReceipts[[#This Row],[Date]]="","",tblReceipts[[#This Row],[Quantity]]*tblReceipts[[#This Row],[Actual price]])</f>
        <v>582.12</v>
      </c>
      <c r="L106" s="39">
        <f>IF(tblReceipts[[#This Row],[Date]]="","",IF(tblReceipts[[#This Row],[Standard price]]="","",tblReceipts[[#This Row],[Quantity]]*tblReceipts[[#This Row],[Standard price]]))</f>
        <v>579.6</v>
      </c>
      <c r="M106" s="39">
        <f>IF(tblReceipts[[#This Row],[Date]]="","",IF(tblReceipts[[#This Row],[Standard price]]="","",tblReceipts[[#This Row],[Quantity]]*(tblReceipts[[#This Row],[Actual price]]-tblReceipts[[#This Row],[Standard price]])))</f>
        <v>2.52</v>
      </c>
      <c r="N106" s="40">
        <f>IF(tblReceipts[[#This Row],[Date]]="","",IF(OR(tblReceipts[[#This Row],[Standard price]]="",tblReceipts[[#This Row],[Standard price]]=0),"",(tblReceipts[[#This Row],[Actual price]]-tblReceipts[[#This Row],[Standard price]])/tblReceipts[[#This Row],[Standard price]]))</f>
        <v>0.00434782608695653</v>
      </c>
      <c r="O106" s="36" t="str">
        <f>IF(tblReceipts[[#This Row],[Date]]="","",IF(tblReceipts[[#This Row],[PPV]]="","",IF(tblReceipts[[#This Row],[PPV]]&gt;0,"Unfavourable",IF(tblReceipts[[#This Row],[PPV]]&lt;0,"Favourable","At standard"))))</f>
        <v>Unfavourable</v>
      </c>
      <c r="P106" s="41" t="str">
        <f>IF(NOT(ISNUMBER(tblReceipts[[#This Row],[PPV %]])),"",IF(tblReceipts[[#This Row],[PPV %]]&lt;=LineLimit,"On target",IF(tblReceipts[[#This Row],[PPV %]]&lt;=LineLimit*(1+0.05),"Near target","Above target")))</f>
        <v>On target</v>
      </c>
      <c r="Q106" s="42">
        <f>IF(tblReceipts[[#This Row],[Date]]="","",IF(AND(tblReceipts[[#This Row],[Date]]&gt;=FFrom,tblReceipts[[#This Row],[Date]]&lt;=FTo,OR(DashCat="",tblReceipts[[#This Row],[Category]]=DashCat)),tblReceipts[[#This Row],[Date]],""))</f>
        <v>46268</v>
      </c>
      <c r="R106"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06" s="28" t="s">
        <v>171</v>
      </c>
    </row>
    <row r="107" spans="2:19">
      <c r="B107" s="35">
        <v>46272</v>
      </c>
      <c r="C107" s="28" t="s">
        <v>274</v>
      </c>
      <c r="D107" s="28" t="s">
        <v>85</v>
      </c>
      <c r="E107" s="28" t="s">
        <v>135</v>
      </c>
      <c r="F107" s="33">
        <v>400</v>
      </c>
      <c r="G107" s="36" t="str">
        <f>IF(tblReceipts[[#This Row],[Date]]="","",IFERROR(INDEX(tblItems[UoM],MATCH(tblReceipts[[#This Row],[Item]],tblItems[Item],0)),""))</f>
        <v>ea</v>
      </c>
      <c r="H107" s="37">
        <v>19.38</v>
      </c>
      <c r="I107" s="38">
        <f>IF(tblReceipts[[#This Row],[Date]]="","",IFERROR(INDEX(tblItems[Standard price],MATCH(tblReceipts[[#This Row],[Item]],tblItems[Item],0)),""))</f>
        <v>18.4</v>
      </c>
      <c r="J107" s="36" t="str">
        <f>IF(tblReceipts[[#This Row],[Date]]="","",IFERROR(INDEX(tblItems[Category],MATCH(tblReceipts[[#This Row],[Item]],tblItems[Item],0)),""))</f>
        <v>Castings</v>
      </c>
      <c r="K107" s="39">
        <f>IF(tblReceipts[[#This Row],[Date]]="","",tblReceipts[[#This Row],[Quantity]]*tblReceipts[[#This Row],[Actual price]])</f>
        <v>7752</v>
      </c>
      <c r="L107" s="39">
        <f>IF(tblReceipts[[#This Row],[Date]]="","",IF(tblReceipts[[#This Row],[Standard price]]="","",tblReceipts[[#This Row],[Quantity]]*tblReceipts[[#This Row],[Standard price]]))</f>
        <v>7360</v>
      </c>
      <c r="M107" s="39">
        <f>IF(tblReceipts[[#This Row],[Date]]="","",IF(tblReceipts[[#This Row],[Standard price]]="","",tblReceipts[[#This Row],[Quantity]]*(tblReceipts[[#This Row],[Actual price]]-tblReceipts[[#This Row],[Standard price]])))</f>
        <v>392</v>
      </c>
      <c r="N107" s="40">
        <f>IF(tblReceipts[[#This Row],[Date]]="","",IF(OR(tblReceipts[[#This Row],[Standard price]]="",tblReceipts[[#This Row],[Standard price]]=0),"",(tblReceipts[[#This Row],[Actual price]]-tblReceipts[[#This Row],[Standard price]])/tblReceipts[[#This Row],[Standard price]]))</f>
        <v>0.0532608695652174</v>
      </c>
      <c r="O107" s="36" t="str">
        <f>IF(tblReceipts[[#This Row],[Date]]="","",IF(tblReceipts[[#This Row],[PPV]]="","",IF(tblReceipts[[#This Row],[PPV]]&gt;0,"Unfavourable",IF(tblReceipts[[#This Row],[PPV]]&lt;0,"Favourable","At standard"))))</f>
        <v>Unfavourable</v>
      </c>
      <c r="P107" s="41" t="str">
        <f>IF(NOT(ISNUMBER(tblReceipts[[#This Row],[PPV %]])),"",IF(tblReceipts[[#This Row],[PPV %]]&lt;=LineLimit,"On target",IF(tblReceipts[[#This Row],[PPV %]]&lt;=LineLimit*(1+0.05),"Near target","Above target")))</f>
        <v>Above target</v>
      </c>
      <c r="Q107" s="42">
        <f>IF(tblReceipts[[#This Row],[Date]]="","",IF(AND(tblReceipts[[#This Row],[Date]]&gt;=FFrom,tblReceipts[[#This Row],[Date]]&lt;=FTo,OR(DashCat="",tblReceipts[[#This Row],[Category]]=DashCat)),tblReceipts[[#This Row],[Date]],""))</f>
        <v>46272</v>
      </c>
      <c r="R107"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07" s="28" t="s">
        <v>171</v>
      </c>
    </row>
    <row r="108" spans="2:19">
      <c r="B108" s="35">
        <v>46272</v>
      </c>
      <c r="C108" s="28" t="s">
        <v>275</v>
      </c>
      <c r="D108" s="28" t="s">
        <v>101</v>
      </c>
      <c r="E108" s="28" t="s">
        <v>150</v>
      </c>
      <c r="F108" s="33">
        <v>92</v>
      </c>
      <c r="G108" s="36" t="str">
        <f>IF(tblReceipts[[#This Row],[Date]]="","",IFERROR(INDEX(tblItems[UoM],MATCH(tblReceipts[[#This Row],[Item]],tblItems[Item],0)),""))</f>
        <v>ea</v>
      </c>
      <c r="H108" s="37">
        <v>26.08</v>
      </c>
      <c r="I108" s="38">
        <f>IF(tblReceipts[[#This Row],[Date]]="","",IFERROR(INDEX(tblItems[Standard price],MATCH(tblReceipts[[#This Row],[Item]],tblItems[Item],0)),""))</f>
        <v>23.8</v>
      </c>
      <c r="J108" s="36" t="str">
        <f>IF(tblReceipts[[#This Row],[Date]]="","",IFERROR(INDEX(tblItems[Category],MATCH(tblReceipts[[#This Row],[Item]],tblItems[Item],0)),""))</f>
        <v>Electronics</v>
      </c>
      <c r="K108" s="39">
        <f>IF(tblReceipts[[#This Row],[Date]]="","",tblReceipts[[#This Row],[Quantity]]*tblReceipts[[#This Row],[Actual price]])</f>
        <v>2399.36</v>
      </c>
      <c r="L108" s="39">
        <f>IF(tblReceipts[[#This Row],[Date]]="","",IF(tblReceipts[[#This Row],[Standard price]]="","",tblReceipts[[#This Row],[Quantity]]*tblReceipts[[#This Row],[Standard price]]))</f>
        <v>2189.6</v>
      </c>
      <c r="M108" s="39">
        <f>IF(tblReceipts[[#This Row],[Date]]="","",IF(tblReceipts[[#This Row],[Standard price]]="","",tblReceipts[[#This Row],[Quantity]]*(tblReceipts[[#This Row],[Actual price]]-tblReceipts[[#This Row],[Standard price]])))</f>
        <v>209.76</v>
      </c>
      <c r="N108" s="40">
        <f>IF(tblReceipts[[#This Row],[Date]]="","",IF(OR(tblReceipts[[#This Row],[Standard price]]="",tblReceipts[[#This Row],[Standard price]]=0),"",(tblReceipts[[#This Row],[Actual price]]-tblReceipts[[#This Row],[Standard price]])/tblReceipts[[#This Row],[Standard price]]))</f>
        <v>0.095798319327731</v>
      </c>
      <c r="O108" s="36" t="str">
        <f>IF(tblReceipts[[#This Row],[Date]]="","",IF(tblReceipts[[#This Row],[PPV]]="","",IF(tblReceipts[[#This Row],[PPV]]&gt;0,"Unfavourable",IF(tblReceipts[[#This Row],[PPV]]&lt;0,"Favourable","At standard"))))</f>
        <v>Unfavourable</v>
      </c>
      <c r="P108" s="41" t="str">
        <f>IF(NOT(ISNUMBER(tblReceipts[[#This Row],[PPV %]])),"",IF(tblReceipts[[#This Row],[PPV %]]&lt;=LineLimit,"On target",IF(tblReceipts[[#This Row],[PPV %]]&lt;=LineLimit*(1+0.05),"Near target","Above target")))</f>
        <v>Above target</v>
      </c>
      <c r="Q108" s="42">
        <f>IF(tblReceipts[[#This Row],[Date]]="","",IF(AND(tblReceipts[[#This Row],[Date]]&gt;=FFrom,tblReceipts[[#This Row],[Date]]&lt;=FTo,OR(DashCat="",tblReceipts[[#This Row],[Category]]=DashCat)),tblReceipts[[#This Row],[Date]],""))</f>
        <v>46272</v>
      </c>
      <c r="R108"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08" s="28" t="s">
        <v>171</v>
      </c>
    </row>
    <row r="109" spans="2:19">
      <c r="B109" s="35">
        <v>46276</v>
      </c>
      <c r="C109" s="28" t="s">
        <v>276</v>
      </c>
      <c r="D109" s="28" t="s">
        <v>85</v>
      </c>
      <c r="E109" s="28" t="s">
        <v>139</v>
      </c>
      <c r="F109" s="33">
        <v>240</v>
      </c>
      <c r="G109" s="36" t="str">
        <f>IF(tblReceipts[[#This Row],[Date]]="","",IFERROR(INDEX(tblItems[UoM],MATCH(tblReceipts[[#This Row],[Item]],tblItems[Item],0)),""))</f>
        <v>ea</v>
      </c>
      <c r="H109" s="37">
        <v>3.37</v>
      </c>
      <c r="I109" s="38">
        <f>IF(tblReceipts[[#This Row],[Date]]="","",IFERROR(INDEX(tblItems[Standard price],MATCH(tblReceipts[[#This Row],[Item]],tblItems[Item],0)),""))</f>
        <v>3.2</v>
      </c>
      <c r="J109" s="36" t="str">
        <f>IF(tblReceipts[[#This Row],[Date]]="","",IFERROR(INDEX(tblItems[Category],MATCH(tblReceipts[[#This Row],[Item]],tblItems[Item],0)),""))</f>
        <v>Castings</v>
      </c>
      <c r="K109" s="39">
        <f>IF(tblReceipts[[#This Row],[Date]]="","",tblReceipts[[#This Row],[Quantity]]*tblReceipts[[#This Row],[Actual price]])</f>
        <v>808.8</v>
      </c>
      <c r="L109" s="39">
        <f>IF(tblReceipts[[#This Row],[Date]]="","",IF(tblReceipts[[#This Row],[Standard price]]="","",tblReceipts[[#This Row],[Quantity]]*tblReceipts[[#This Row],[Standard price]]))</f>
        <v>768</v>
      </c>
      <c r="M109" s="39">
        <f>IF(tblReceipts[[#This Row],[Date]]="","",IF(tblReceipts[[#This Row],[Standard price]]="","",tblReceipts[[#This Row],[Quantity]]*(tblReceipts[[#This Row],[Actual price]]-tblReceipts[[#This Row],[Standard price]])))</f>
        <v>40.8</v>
      </c>
      <c r="N109" s="40">
        <f>IF(tblReceipts[[#This Row],[Date]]="","",IF(OR(tblReceipts[[#This Row],[Standard price]]="",tblReceipts[[#This Row],[Standard price]]=0),"",(tblReceipts[[#This Row],[Actual price]]-tblReceipts[[#This Row],[Standard price]])/tblReceipts[[#This Row],[Standard price]]))</f>
        <v>0.053125</v>
      </c>
      <c r="O109" s="36" t="str">
        <f>IF(tblReceipts[[#This Row],[Date]]="","",IF(tblReceipts[[#This Row],[PPV]]="","",IF(tblReceipts[[#This Row],[PPV]]&gt;0,"Unfavourable",IF(tblReceipts[[#This Row],[PPV]]&lt;0,"Favourable","At standard"))))</f>
        <v>Unfavourable</v>
      </c>
      <c r="P109" s="41" t="str">
        <f>IF(NOT(ISNUMBER(tblReceipts[[#This Row],[PPV %]])),"",IF(tblReceipts[[#This Row],[PPV %]]&lt;=LineLimit,"On target",IF(tblReceipts[[#This Row],[PPV %]]&lt;=LineLimit*(1+0.05),"Near target","Above target")))</f>
        <v>Above target</v>
      </c>
      <c r="Q109" s="42">
        <f>IF(tblReceipts[[#This Row],[Date]]="","",IF(AND(tblReceipts[[#This Row],[Date]]&gt;=FFrom,tblReceipts[[#This Row],[Date]]&lt;=FTo,OR(DashCat="",tblReceipts[[#This Row],[Category]]=DashCat)),tblReceipts[[#This Row],[Date]],""))</f>
        <v>46276</v>
      </c>
      <c r="R109"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09" s="28" t="s">
        <v>171</v>
      </c>
    </row>
    <row r="110" spans="2:19">
      <c r="B110" s="35">
        <v>46279</v>
      </c>
      <c r="C110" s="28" t="s">
        <v>277</v>
      </c>
      <c r="D110" s="28" t="s">
        <v>90</v>
      </c>
      <c r="E110" s="28" t="s">
        <v>140</v>
      </c>
      <c r="F110" s="33">
        <v>783</v>
      </c>
      <c r="G110" s="36" t="str">
        <f>IF(tblReceipts[[#This Row],[Date]]="","",IFERROR(INDEX(tblItems[UoM],MATCH(tblReceipts[[#This Row],[Item]],tblItems[Item],0)),""))</f>
        <v>kg</v>
      </c>
      <c r="H110" s="37">
        <v>6.32</v>
      </c>
      <c r="I110" s="38">
        <f>IF(tblReceipts[[#This Row],[Date]]="","",IFERROR(INDEX(tblItems[Standard price],MATCH(tblReceipts[[#This Row],[Item]],tblItems[Item],0)),""))</f>
        <v>6.2</v>
      </c>
      <c r="J110" s="36" t="str">
        <f>IF(tblReceipts[[#This Row],[Date]]="","",IFERROR(INDEX(tblItems[Category],MATCH(tblReceipts[[#This Row],[Item]],tblItems[Item],0)),""))</f>
        <v>Bar stock</v>
      </c>
      <c r="K110" s="39">
        <f>IF(tblReceipts[[#This Row],[Date]]="","",tblReceipts[[#This Row],[Quantity]]*tblReceipts[[#This Row],[Actual price]])</f>
        <v>4948.56</v>
      </c>
      <c r="L110" s="39">
        <f>IF(tblReceipts[[#This Row],[Date]]="","",IF(tblReceipts[[#This Row],[Standard price]]="","",tblReceipts[[#This Row],[Quantity]]*tblReceipts[[#This Row],[Standard price]]))</f>
        <v>4854.6</v>
      </c>
      <c r="M110" s="39">
        <f>IF(tblReceipts[[#This Row],[Date]]="","",IF(tblReceipts[[#This Row],[Standard price]]="","",tblReceipts[[#This Row],[Quantity]]*(tblReceipts[[#This Row],[Actual price]]-tblReceipts[[#This Row],[Standard price]])))</f>
        <v>93.9600000000001</v>
      </c>
      <c r="N110" s="40">
        <f>IF(tblReceipts[[#This Row],[Date]]="","",IF(OR(tblReceipts[[#This Row],[Standard price]]="",tblReceipts[[#This Row],[Standard price]]=0),"",(tblReceipts[[#This Row],[Actual price]]-tblReceipts[[#This Row],[Standard price]])/tblReceipts[[#This Row],[Standard price]]))</f>
        <v>0.0193548387096774</v>
      </c>
      <c r="O110" s="36" t="str">
        <f>IF(tblReceipts[[#This Row],[Date]]="","",IF(tblReceipts[[#This Row],[PPV]]="","",IF(tblReceipts[[#This Row],[PPV]]&gt;0,"Unfavourable",IF(tblReceipts[[#This Row],[PPV]]&lt;0,"Favourable","At standard"))))</f>
        <v>Unfavourable</v>
      </c>
      <c r="P110" s="41" t="str">
        <f>IF(NOT(ISNUMBER(tblReceipts[[#This Row],[PPV %]])),"",IF(tblReceipts[[#This Row],[PPV %]]&lt;=LineLimit,"On target",IF(tblReceipts[[#This Row],[PPV %]]&lt;=LineLimit*(1+0.05),"Near target","Above target")))</f>
        <v>On target</v>
      </c>
      <c r="Q110" s="42">
        <f>IF(tblReceipts[[#This Row],[Date]]="","",IF(AND(tblReceipts[[#This Row],[Date]]&gt;=FFrom,tblReceipts[[#This Row],[Date]]&lt;=FTo,OR(DashCat="",tblReceipts[[#This Row],[Category]]=DashCat)),tblReceipts[[#This Row],[Date]],""))</f>
        <v>46279</v>
      </c>
      <c r="R110"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10" s="28" t="s">
        <v>171</v>
      </c>
    </row>
    <row r="111" spans="2:19">
      <c r="B111" s="35">
        <v>46280</v>
      </c>
      <c r="C111" s="28" t="s">
        <v>278</v>
      </c>
      <c r="D111" s="28" t="s">
        <v>101</v>
      </c>
      <c r="E111" s="28" t="s">
        <v>152</v>
      </c>
      <c r="F111" s="33">
        <v>210</v>
      </c>
      <c r="G111" s="36" t="str">
        <f>IF(tblReceipts[[#This Row],[Date]]="","",IFERROR(INDEX(tblItems[UoM],MATCH(tblReceipts[[#This Row],[Item]],tblItems[Item],0)),""))</f>
        <v>ea</v>
      </c>
      <c r="H111" s="37">
        <v>12.7</v>
      </c>
      <c r="I111" s="38">
        <f>IF(tblReceipts[[#This Row],[Date]]="","",IFERROR(INDEX(tblItems[Standard price],MATCH(tblReceipts[[#This Row],[Item]],tblItems[Item],0)),""))</f>
        <v>11.6</v>
      </c>
      <c r="J111" s="36" t="str">
        <f>IF(tblReceipts[[#This Row],[Date]]="","",IFERROR(INDEX(tblItems[Category],MATCH(tblReceipts[[#This Row],[Item]],tblItems[Item],0)),""))</f>
        <v>Electronics</v>
      </c>
      <c r="K111" s="39">
        <f>IF(tblReceipts[[#This Row],[Date]]="","",tblReceipts[[#This Row],[Quantity]]*tblReceipts[[#This Row],[Actual price]])</f>
        <v>2667</v>
      </c>
      <c r="L111" s="39">
        <f>IF(tblReceipts[[#This Row],[Date]]="","",IF(tblReceipts[[#This Row],[Standard price]]="","",tblReceipts[[#This Row],[Quantity]]*tblReceipts[[#This Row],[Standard price]]))</f>
        <v>2436</v>
      </c>
      <c r="M111" s="39">
        <f>IF(tblReceipts[[#This Row],[Date]]="","",IF(tblReceipts[[#This Row],[Standard price]]="","",tblReceipts[[#This Row],[Quantity]]*(tblReceipts[[#This Row],[Actual price]]-tblReceipts[[#This Row],[Standard price]])))</f>
        <v>231</v>
      </c>
      <c r="N111" s="40">
        <f>IF(tblReceipts[[#This Row],[Date]]="","",IF(OR(tblReceipts[[#This Row],[Standard price]]="",tblReceipts[[#This Row],[Standard price]]=0),"",(tblReceipts[[#This Row],[Actual price]]-tblReceipts[[#This Row],[Standard price]])/tblReceipts[[#This Row],[Standard price]]))</f>
        <v>0.0948275862068965</v>
      </c>
      <c r="O111" s="36" t="str">
        <f>IF(tblReceipts[[#This Row],[Date]]="","",IF(tblReceipts[[#This Row],[PPV]]="","",IF(tblReceipts[[#This Row],[PPV]]&gt;0,"Unfavourable",IF(tblReceipts[[#This Row],[PPV]]&lt;0,"Favourable","At standard"))))</f>
        <v>Unfavourable</v>
      </c>
      <c r="P111" s="41" t="str">
        <f>IF(NOT(ISNUMBER(tblReceipts[[#This Row],[PPV %]])),"",IF(tblReceipts[[#This Row],[PPV %]]&lt;=LineLimit,"On target",IF(tblReceipts[[#This Row],[PPV %]]&lt;=LineLimit*(1+0.05),"Near target","Above target")))</f>
        <v>Above target</v>
      </c>
      <c r="Q111" s="42">
        <f>IF(tblReceipts[[#This Row],[Date]]="","",IF(AND(tblReceipts[[#This Row],[Date]]&gt;=FFrom,tblReceipts[[#This Row],[Date]]&lt;=FTo,OR(DashCat="",tblReceipts[[#This Row],[Category]]=DashCat)),tblReceipts[[#This Row],[Date]],""))</f>
        <v>46280</v>
      </c>
      <c r="R111"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11" s="28" t="s">
        <v>171</v>
      </c>
    </row>
    <row r="112" spans="2:19">
      <c r="B112" s="35">
        <v>46283</v>
      </c>
      <c r="C112" s="28" t="s">
        <v>279</v>
      </c>
      <c r="D112" s="28" t="s">
        <v>101</v>
      </c>
      <c r="E112" s="28" t="s">
        <v>152</v>
      </c>
      <c r="F112" s="33">
        <v>160</v>
      </c>
      <c r="G112" s="36" t="str">
        <f>IF(tblReceipts[[#This Row],[Date]]="","",IFERROR(INDEX(tblItems[UoM],MATCH(tblReceipts[[#This Row],[Item]],tblItems[Item],0)),""))</f>
        <v>ea</v>
      </c>
      <c r="H112" s="37">
        <v>12.65</v>
      </c>
      <c r="I112" s="38">
        <f>IF(tblReceipts[[#This Row],[Date]]="","",IFERROR(INDEX(tblItems[Standard price],MATCH(tblReceipts[[#This Row],[Item]],tblItems[Item],0)),""))</f>
        <v>11.6</v>
      </c>
      <c r="J112" s="36" t="str">
        <f>IF(tblReceipts[[#This Row],[Date]]="","",IFERROR(INDEX(tblItems[Category],MATCH(tblReceipts[[#This Row],[Item]],tblItems[Item],0)),""))</f>
        <v>Electronics</v>
      </c>
      <c r="K112" s="39">
        <f>IF(tblReceipts[[#This Row],[Date]]="","",tblReceipts[[#This Row],[Quantity]]*tblReceipts[[#This Row],[Actual price]])</f>
        <v>2024</v>
      </c>
      <c r="L112" s="39">
        <f>IF(tblReceipts[[#This Row],[Date]]="","",IF(tblReceipts[[#This Row],[Standard price]]="","",tblReceipts[[#This Row],[Quantity]]*tblReceipts[[#This Row],[Standard price]]))</f>
        <v>1856</v>
      </c>
      <c r="M112" s="39">
        <f>IF(tblReceipts[[#This Row],[Date]]="","",IF(tblReceipts[[#This Row],[Standard price]]="","",tblReceipts[[#This Row],[Quantity]]*(tblReceipts[[#This Row],[Actual price]]-tblReceipts[[#This Row],[Standard price]])))</f>
        <v>168</v>
      </c>
      <c r="N112" s="40">
        <f>IF(tblReceipts[[#This Row],[Date]]="","",IF(OR(tblReceipts[[#This Row],[Standard price]]="",tblReceipts[[#This Row],[Standard price]]=0),"",(tblReceipts[[#This Row],[Actual price]]-tblReceipts[[#This Row],[Standard price]])/tblReceipts[[#This Row],[Standard price]]))</f>
        <v>0.0905172413793104</v>
      </c>
      <c r="O112" s="36" t="str">
        <f>IF(tblReceipts[[#This Row],[Date]]="","",IF(tblReceipts[[#This Row],[PPV]]="","",IF(tblReceipts[[#This Row],[PPV]]&gt;0,"Unfavourable",IF(tblReceipts[[#This Row],[PPV]]&lt;0,"Favourable","At standard"))))</f>
        <v>Unfavourable</v>
      </c>
      <c r="P112" s="41" t="str">
        <f>IF(NOT(ISNUMBER(tblReceipts[[#This Row],[PPV %]])),"",IF(tblReceipts[[#This Row],[PPV %]]&lt;=LineLimit,"On target",IF(tblReceipts[[#This Row],[PPV %]]&lt;=LineLimit*(1+0.05),"Near target","Above target")))</f>
        <v>Above target</v>
      </c>
      <c r="Q112" s="42">
        <f>IF(tblReceipts[[#This Row],[Date]]="","",IF(AND(tblReceipts[[#This Row],[Date]]&gt;=FFrom,tblReceipts[[#This Row],[Date]]&lt;=FTo,OR(DashCat="",tblReceipts[[#This Row],[Category]]=DashCat)),tblReceipts[[#This Row],[Date]],""))</f>
        <v>46283</v>
      </c>
      <c r="R112"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12" s="28" t="s">
        <v>171</v>
      </c>
    </row>
    <row r="113" spans="2:19">
      <c r="B113" s="35">
        <v>46283</v>
      </c>
      <c r="C113" s="28" t="s">
        <v>280</v>
      </c>
      <c r="D113" s="28" t="s">
        <v>104</v>
      </c>
      <c r="E113" s="28" t="s">
        <v>155</v>
      </c>
      <c r="F113" s="33">
        <v>1050</v>
      </c>
      <c r="G113" s="36" t="str">
        <f>IF(tblReceipts[[#This Row],[Date]]="","",IFERROR(INDEX(tblItems[UoM],MATCH(tblReceipts[[#This Row],[Item]],tblItems[Item],0)),""))</f>
        <v>ea</v>
      </c>
      <c r="H113" s="37">
        <v>0.428</v>
      </c>
      <c r="I113" s="38">
        <f>IF(tblReceipts[[#This Row],[Date]]="","",IFERROR(INDEX(tblItems[Standard price],MATCH(tblReceipts[[#This Row],[Item]],tblItems[Item],0)),""))</f>
        <v>0.44</v>
      </c>
      <c r="J113" s="36" t="str">
        <f>IF(tblReceipts[[#This Row],[Date]]="","",IFERROR(INDEX(tblItems[Category],MATCH(tblReceipts[[#This Row],[Item]],tblItems[Item],0)),""))</f>
        <v>Packaging</v>
      </c>
      <c r="K113" s="39">
        <f>IF(tblReceipts[[#This Row],[Date]]="","",tblReceipts[[#This Row],[Quantity]]*tblReceipts[[#This Row],[Actual price]])</f>
        <v>449.4</v>
      </c>
      <c r="L113" s="39">
        <f>IF(tblReceipts[[#This Row],[Date]]="","",IF(tblReceipts[[#This Row],[Standard price]]="","",tblReceipts[[#This Row],[Quantity]]*tblReceipts[[#This Row],[Standard price]]))</f>
        <v>462</v>
      </c>
      <c r="M113" s="39">
        <f>IF(tblReceipts[[#This Row],[Date]]="","",IF(tblReceipts[[#This Row],[Standard price]]="","",tblReceipts[[#This Row],[Quantity]]*(tblReceipts[[#This Row],[Actual price]]-tblReceipts[[#This Row],[Standard price]])))</f>
        <v>-12.6</v>
      </c>
      <c r="N113" s="40">
        <f>IF(tblReceipts[[#This Row],[Date]]="","",IF(OR(tblReceipts[[#This Row],[Standard price]]="",tblReceipts[[#This Row],[Standard price]]=0),"",(tblReceipts[[#This Row],[Actual price]]-tblReceipts[[#This Row],[Standard price]])/tblReceipts[[#This Row],[Standard price]]))</f>
        <v>-0.0272727272727273</v>
      </c>
      <c r="O113" s="36" t="str">
        <f>IF(tblReceipts[[#This Row],[Date]]="","",IF(tblReceipts[[#This Row],[PPV]]="","",IF(tblReceipts[[#This Row],[PPV]]&gt;0,"Unfavourable",IF(tblReceipts[[#This Row],[PPV]]&lt;0,"Favourable","At standard"))))</f>
        <v>Favourable</v>
      </c>
      <c r="P113" s="41" t="str">
        <f>IF(NOT(ISNUMBER(tblReceipts[[#This Row],[PPV %]])),"",IF(tblReceipts[[#This Row],[PPV %]]&lt;=LineLimit,"On target",IF(tblReceipts[[#This Row],[PPV %]]&lt;=LineLimit*(1+0.05),"Near target","Above target")))</f>
        <v>On target</v>
      </c>
      <c r="Q113" s="42">
        <f>IF(tblReceipts[[#This Row],[Date]]="","",IF(AND(tblReceipts[[#This Row],[Date]]&gt;=FFrom,tblReceipts[[#This Row],[Date]]&lt;=FTo,OR(DashCat="",tblReceipts[[#This Row],[Category]]=DashCat)),tblReceipts[[#This Row],[Date]],""))</f>
        <v>46283</v>
      </c>
      <c r="R113"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13" s="28" t="s">
        <v>171</v>
      </c>
    </row>
    <row r="114" spans="2:19">
      <c r="B114" s="35">
        <v>46286</v>
      </c>
      <c r="C114" s="28" t="s">
        <v>281</v>
      </c>
      <c r="D114" s="28" t="s">
        <v>85</v>
      </c>
      <c r="E114" s="28" t="s">
        <v>135</v>
      </c>
      <c r="F114" s="33">
        <v>240</v>
      </c>
      <c r="G114" s="36" t="str">
        <f>IF(tblReceipts[[#This Row],[Date]]="","",IFERROR(INDEX(tblItems[UoM],MATCH(tblReceipts[[#This Row],[Item]],tblItems[Item],0)),""))</f>
        <v>ea</v>
      </c>
      <c r="H114" s="37">
        <v>19.42</v>
      </c>
      <c r="I114" s="38">
        <f>IF(tblReceipts[[#This Row],[Date]]="","",IFERROR(INDEX(tblItems[Standard price],MATCH(tblReceipts[[#This Row],[Item]],tblItems[Item],0)),""))</f>
        <v>18.4</v>
      </c>
      <c r="J114" s="36" t="str">
        <f>IF(tblReceipts[[#This Row],[Date]]="","",IFERROR(INDEX(tblItems[Category],MATCH(tblReceipts[[#This Row],[Item]],tblItems[Item],0)),""))</f>
        <v>Castings</v>
      </c>
      <c r="K114" s="39">
        <f>IF(tblReceipts[[#This Row],[Date]]="","",tblReceipts[[#This Row],[Quantity]]*tblReceipts[[#This Row],[Actual price]])</f>
        <v>4660.8</v>
      </c>
      <c r="L114" s="39">
        <f>IF(tblReceipts[[#This Row],[Date]]="","",IF(tblReceipts[[#This Row],[Standard price]]="","",tblReceipts[[#This Row],[Quantity]]*tblReceipts[[#This Row],[Standard price]]))</f>
        <v>4416</v>
      </c>
      <c r="M114" s="39">
        <f>IF(tblReceipts[[#This Row],[Date]]="","",IF(tblReceipts[[#This Row],[Standard price]]="","",tblReceipts[[#This Row],[Quantity]]*(tblReceipts[[#This Row],[Actual price]]-tblReceipts[[#This Row],[Standard price]])))</f>
        <v>244.800000000001</v>
      </c>
      <c r="N114" s="40">
        <f>IF(tblReceipts[[#This Row],[Date]]="","",IF(OR(tblReceipts[[#This Row],[Standard price]]="",tblReceipts[[#This Row],[Standard price]]=0),"",(tblReceipts[[#This Row],[Actual price]]-tblReceipts[[#This Row],[Standard price]])/tblReceipts[[#This Row],[Standard price]]))</f>
        <v>0.0554347826086958</v>
      </c>
      <c r="O114" s="36" t="str">
        <f>IF(tblReceipts[[#This Row],[Date]]="","",IF(tblReceipts[[#This Row],[PPV]]="","",IF(tblReceipts[[#This Row],[PPV]]&gt;0,"Unfavourable",IF(tblReceipts[[#This Row],[PPV]]&lt;0,"Favourable","At standard"))))</f>
        <v>Unfavourable</v>
      </c>
      <c r="P114" s="41" t="str">
        <f>IF(NOT(ISNUMBER(tblReceipts[[#This Row],[PPV %]])),"",IF(tblReceipts[[#This Row],[PPV %]]&lt;=LineLimit,"On target",IF(tblReceipts[[#This Row],[PPV %]]&lt;=LineLimit*(1+0.05),"Near target","Above target")))</f>
        <v>Above target</v>
      </c>
      <c r="Q114" s="42">
        <f>IF(tblReceipts[[#This Row],[Date]]="","",IF(AND(tblReceipts[[#This Row],[Date]]&gt;=FFrom,tblReceipts[[#This Row],[Date]]&lt;=FTo,OR(DashCat="",tblReceipts[[#This Row],[Category]]=DashCat)),tblReceipts[[#This Row],[Date]],""))</f>
        <v>46286</v>
      </c>
      <c r="R114"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14" s="28" t="s">
        <v>171</v>
      </c>
    </row>
    <row r="115" spans="2:19">
      <c r="B115" s="35">
        <v>46286</v>
      </c>
      <c r="C115" s="28" t="s">
        <v>282</v>
      </c>
      <c r="D115" s="28" t="s">
        <v>85</v>
      </c>
      <c r="E115" s="28" t="s">
        <v>139</v>
      </c>
      <c r="F115" s="33">
        <v>300</v>
      </c>
      <c r="G115" s="36" t="str">
        <f>IF(tblReceipts[[#This Row],[Date]]="","",IFERROR(INDEX(tblItems[UoM],MATCH(tblReceipts[[#This Row],[Item]],tblItems[Item],0)),""))</f>
        <v>ea</v>
      </c>
      <c r="H115" s="37">
        <v>3.36</v>
      </c>
      <c r="I115" s="38">
        <f>IF(tblReceipts[[#This Row],[Date]]="","",IFERROR(INDEX(tblItems[Standard price],MATCH(tblReceipts[[#This Row],[Item]],tblItems[Item],0)),""))</f>
        <v>3.2</v>
      </c>
      <c r="J115" s="36" t="str">
        <f>IF(tblReceipts[[#This Row],[Date]]="","",IFERROR(INDEX(tblItems[Category],MATCH(tblReceipts[[#This Row],[Item]],tblItems[Item],0)),""))</f>
        <v>Castings</v>
      </c>
      <c r="K115" s="39">
        <f>IF(tblReceipts[[#This Row],[Date]]="","",tblReceipts[[#This Row],[Quantity]]*tblReceipts[[#This Row],[Actual price]])</f>
        <v>1008</v>
      </c>
      <c r="L115" s="39">
        <f>IF(tblReceipts[[#This Row],[Date]]="","",IF(tblReceipts[[#This Row],[Standard price]]="","",tblReceipts[[#This Row],[Quantity]]*tblReceipts[[#This Row],[Standard price]]))</f>
        <v>960</v>
      </c>
      <c r="M115" s="39">
        <f>IF(tblReceipts[[#This Row],[Date]]="","",IF(tblReceipts[[#This Row],[Standard price]]="","",tblReceipts[[#This Row],[Quantity]]*(tblReceipts[[#This Row],[Actual price]]-tblReceipts[[#This Row],[Standard price]])))</f>
        <v>47.9999999999999</v>
      </c>
      <c r="N115" s="40">
        <f>IF(tblReceipts[[#This Row],[Date]]="","",IF(OR(tblReceipts[[#This Row],[Standard price]]="",tblReceipts[[#This Row],[Standard price]]=0),"",(tblReceipts[[#This Row],[Actual price]]-tblReceipts[[#This Row],[Standard price]])/tblReceipts[[#This Row],[Standard price]]))</f>
        <v>0.0499999999999999</v>
      </c>
      <c r="O115" s="36" t="str">
        <f>IF(tblReceipts[[#This Row],[Date]]="","",IF(tblReceipts[[#This Row],[PPV]]="","",IF(tblReceipts[[#This Row],[PPV]]&gt;0,"Unfavourable",IF(tblReceipts[[#This Row],[PPV]]&lt;0,"Favourable","At standard"))))</f>
        <v>Unfavourable</v>
      </c>
      <c r="P115" s="41" t="str">
        <f>IF(NOT(ISNUMBER(tblReceipts[[#This Row],[PPV %]])),"",IF(tblReceipts[[#This Row],[PPV %]]&lt;=LineLimit,"On target",IF(tblReceipts[[#This Row],[PPV %]]&lt;=LineLimit*(1+0.05),"Near target","Above target")))</f>
        <v>Above target</v>
      </c>
      <c r="Q115" s="42">
        <f>IF(tblReceipts[[#This Row],[Date]]="","",IF(AND(tblReceipts[[#This Row],[Date]]&gt;=FFrom,tblReceipts[[#This Row],[Date]]&lt;=FTo,OR(DashCat="",tblReceipts[[#This Row],[Category]]=DashCat)),tblReceipts[[#This Row],[Date]],""))</f>
        <v>46286</v>
      </c>
      <c r="R115"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15" s="28" t="s">
        <v>171</v>
      </c>
    </row>
    <row r="116" spans="2:19">
      <c r="B116" s="35">
        <v>46286</v>
      </c>
      <c r="C116" s="28" t="s">
        <v>283</v>
      </c>
      <c r="D116" s="28" t="s">
        <v>95</v>
      </c>
      <c r="E116" s="28" t="s">
        <v>144</v>
      </c>
      <c r="F116" s="33">
        <v>1090</v>
      </c>
      <c r="G116" s="36" t="str">
        <f>IF(tblReceipts[[#This Row],[Date]]="","",IFERROR(INDEX(tblItems[UoM],MATCH(tblReceipts[[#This Row],[Item]],tblItems[Item],0)),""))</f>
        <v>ea</v>
      </c>
      <c r="H116" s="37">
        <v>1.343</v>
      </c>
      <c r="I116" s="38">
        <f>IF(tblReceipts[[#This Row],[Date]]="","",IFERROR(INDEX(tblItems[Standard price],MATCH(tblReceipts[[#This Row],[Item]],tblItems[Item],0)),""))</f>
        <v>1.35</v>
      </c>
      <c r="J116" s="36" t="str">
        <f>IF(tblReceipts[[#This Row],[Date]]="","",IFERROR(INDEX(tblItems[Category],MATCH(tblReceipts[[#This Row],[Item]],tblItems[Item],0)),""))</f>
        <v>Seals</v>
      </c>
      <c r="K116" s="39">
        <f>IF(tblReceipts[[#This Row],[Date]]="","",tblReceipts[[#This Row],[Quantity]]*tblReceipts[[#This Row],[Actual price]])</f>
        <v>1463.87</v>
      </c>
      <c r="L116" s="39">
        <f>IF(tblReceipts[[#This Row],[Date]]="","",IF(tblReceipts[[#This Row],[Standard price]]="","",tblReceipts[[#This Row],[Quantity]]*tblReceipts[[#This Row],[Standard price]]))</f>
        <v>1471.5</v>
      </c>
      <c r="M116" s="39">
        <f>IF(tblReceipts[[#This Row],[Date]]="","",IF(tblReceipts[[#This Row],[Standard price]]="","",tblReceipts[[#This Row],[Quantity]]*(tblReceipts[[#This Row],[Actual price]]-tblReceipts[[#This Row],[Standard price]])))</f>
        <v>-7.63000000000013</v>
      </c>
      <c r="N116" s="40">
        <f>IF(tblReceipts[[#This Row],[Date]]="","",IF(OR(tblReceipts[[#This Row],[Standard price]]="",tblReceipts[[#This Row],[Standard price]]=0),"",(tblReceipts[[#This Row],[Actual price]]-tblReceipts[[#This Row],[Standard price]])/tblReceipts[[#This Row],[Standard price]]))</f>
        <v>-0.00518518518518527</v>
      </c>
      <c r="O116" s="36" t="str">
        <f>IF(tblReceipts[[#This Row],[Date]]="","",IF(tblReceipts[[#This Row],[PPV]]="","",IF(tblReceipts[[#This Row],[PPV]]&gt;0,"Unfavourable",IF(tblReceipts[[#This Row],[PPV]]&lt;0,"Favourable","At standard"))))</f>
        <v>Favourable</v>
      </c>
      <c r="P116" s="41" t="str">
        <f>IF(NOT(ISNUMBER(tblReceipts[[#This Row],[PPV %]])),"",IF(tblReceipts[[#This Row],[PPV %]]&lt;=LineLimit,"On target",IF(tblReceipts[[#This Row],[PPV %]]&lt;=LineLimit*(1+0.05),"Near target","Above target")))</f>
        <v>On target</v>
      </c>
      <c r="Q116" s="42">
        <f>IF(tblReceipts[[#This Row],[Date]]="","",IF(AND(tblReceipts[[#This Row],[Date]]&gt;=FFrom,tblReceipts[[#This Row],[Date]]&lt;=FTo,OR(DashCat="",tblReceipts[[#This Row],[Category]]=DashCat)),tblReceipts[[#This Row],[Date]],""))</f>
        <v>46286</v>
      </c>
      <c r="R116"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16" s="28" t="s">
        <v>171</v>
      </c>
    </row>
    <row r="117" spans="2:19">
      <c r="B117" s="35">
        <v>46286</v>
      </c>
      <c r="C117" s="28" t="s">
        <v>284</v>
      </c>
      <c r="D117" s="28" t="s">
        <v>104</v>
      </c>
      <c r="E117" s="28" t="s">
        <v>153</v>
      </c>
      <c r="F117" s="33">
        <v>930</v>
      </c>
      <c r="G117" s="36" t="str">
        <f>IF(tblReceipts[[#This Row],[Date]]="","",IFERROR(INDEX(tblItems[UoM],MATCH(tblReceipts[[#This Row],[Item]],tblItems[Item],0)),""))</f>
        <v>ea</v>
      </c>
      <c r="H117" s="37">
        <v>0.839</v>
      </c>
      <c r="I117" s="38">
        <f>IF(tblReceipts[[#This Row],[Date]]="","",IFERROR(INDEX(tblItems[Standard price],MATCH(tblReceipts[[#This Row],[Item]],tblItems[Item],0)),""))</f>
        <v>0.86</v>
      </c>
      <c r="J117" s="36" t="str">
        <f>IF(tblReceipts[[#This Row],[Date]]="","",IFERROR(INDEX(tblItems[Category],MATCH(tblReceipts[[#This Row],[Item]],tblItems[Item],0)),""))</f>
        <v>Packaging</v>
      </c>
      <c r="K117" s="39">
        <f>IF(tblReceipts[[#This Row],[Date]]="","",tblReceipts[[#This Row],[Quantity]]*tblReceipts[[#This Row],[Actual price]])</f>
        <v>780.27</v>
      </c>
      <c r="L117" s="39">
        <f>IF(tblReceipts[[#This Row],[Date]]="","",IF(tblReceipts[[#This Row],[Standard price]]="","",tblReceipts[[#This Row],[Quantity]]*tblReceipts[[#This Row],[Standard price]]))</f>
        <v>799.8</v>
      </c>
      <c r="M117" s="39">
        <f>IF(tblReceipts[[#This Row],[Date]]="","",IF(tblReceipts[[#This Row],[Standard price]]="","",tblReceipts[[#This Row],[Quantity]]*(tblReceipts[[#This Row],[Actual price]]-tblReceipts[[#This Row],[Standard price]])))</f>
        <v>-19.53</v>
      </c>
      <c r="N117" s="40">
        <f>IF(tblReceipts[[#This Row],[Date]]="","",IF(OR(tblReceipts[[#This Row],[Standard price]]="",tblReceipts[[#This Row],[Standard price]]=0),"",(tblReceipts[[#This Row],[Actual price]]-tblReceipts[[#This Row],[Standard price]])/tblReceipts[[#This Row],[Standard price]]))</f>
        <v>-0.0244186046511628</v>
      </c>
      <c r="O117" s="36" t="str">
        <f>IF(tblReceipts[[#This Row],[Date]]="","",IF(tblReceipts[[#This Row],[PPV]]="","",IF(tblReceipts[[#This Row],[PPV]]&gt;0,"Unfavourable",IF(tblReceipts[[#This Row],[PPV]]&lt;0,"Favourable","At standard"))))</f>
        <v>Favourable</v>
      </c>
      <c r="P117" s="41" t="str">
        <f>IF(NOT(ISNUMBER(tblReceipts[[#This Row],[PPV %]])),"",IF(tblReceipts[[#This Row],[PPV %]]&lt;=LineLimit,"On target",IF(tblReceipts[[#This Row],[PPV %]]&lt;=LineLimit*(1+0.05),"Near target","Above target")))</f>
        <v>On target</v>
      </c>
      <c r="Q117" s="42">
        <f>IF(tblReceipts[[#This Row],[Date]]="","",IF(AND(tblReceipts[[#This Row],[Date]]&gt;=FFrom,tblReceipts[[#This Row],[Date]]&lt;=FTo,OR(DashCat="",tblReceipts[[#This Row],[Category]]=DashCat)),tblReceipts[[#This Row],[Date]],""))</f>
        <v>46286</v>
      </c>
      <c r="R117"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17" s="28" t="s">
        <v>171</v>
      </c>
    </row>
    <row r="118" spans="2:19">
      <c r="B118" s="35">
        <v>46288</v>
      </c>
      <c r="C118" s="28" t="s">
        <v>285</v>
      </c>
      <c r="D118" s="28" t="s">
        <v>85</v>
      </c>
      <c r="E118" s="28" t="s">
        <v>138</v>
      </c>
      <c r="F118" s="33">
        <v>400</v>
      </c>
      <c r="G118" s="36" t="str">
        <f>IF(tblReceipts[[#This Row],[Date]]="","",IFERROR(INDEX(tblItems[UoM],MATCH(tblReceipts[[#This Row],[Item]],tblItems[Item],0)),""))</f>
        <v>ea</v>
      </c>
      <c r="H118" s="37">
        <v>10.36</v>
      </c>
      <c r="I118" s="38">
        <f>IF(tblReceipts[[#This Row],[Date]]="","",IFERROR(INDEX(tblItems[Standard price],MATCH(tblReceipts[[#This Row],[Item]],tblItems[Item],0)),""))</f>
        <v>9.75</v>
      </c>
      <c r="J118" s="36" t="str">
        <f>IF(tblReceipts[[#This Row],[Date]]="","",IFERROR(INDEX(tblItems[Category],MATCH(tblReceipts[[#This Row],[Item]],tblItems[Item],0)),""))</f>
        <v>Castings</v>
      </c>
      <c r="K118" s="39">
        <f>IF(tblReceipts[[#This Row],[Date]]="","",tblReceipts[[#This Row],[Quantity]]*tblReceipts[[#This Row],[Actual price]])</f>
        <v>4144</v>
      </c>
      <c r="L118" s="39">
        <f>IF(tblReceipts[[#This Row],[Date]]="","",IF(tblReceipts[[#This Row],[Standard price]]="","",tblReceipts[[#This Row],[Quantity]]*tblReceipts[[#This Row],[Standard price]]))</f>
        <v>3900</v>
      </c>
      <c r="M118" s="39">
        <f>IF(tblReceipts[[#This Row],[Date]]="","",IF(tblReceipts[[#This Row],[Standard price]]="","",tblReceipts[[#This Row],[Quantity]]*(tblReceipts[[#This Row],[Actual price]]-tblReceipts[[#This Row],[Standard price]])))</f>
        <v>244</v>
      </c>
      <c r="N118" s="40">
        <f>IF(tblReceipts[[#This Row],[Date]]="","",IF(OR(tblReceipts[[#This Row],[Standard price]]="",tblReceipts[[#This Row],[Standard price]]=0),"",(tblReceipts[[#This Row],[Actual price]]-tblReceipts[[#This Row],[Standard price]])/tblReceipts[[#This Row],[Standard price]]))</f>
        <v>0.0625641025641025</v>
      </c>
      <c r="O118" s="36" t="str">
        <f>IF(tblReceipts[[#This Row],[Date]]="","",IF(tblReceipts[[#This Row],[PPV]]="","",IF(tblReceipts[[#This Row],[PPV]]&gt;0,"Unfavourable",IF(tblReceipts[[#This Row],[PPV]]&lt;0,"Favourable","At standard"))))</f>
        <v>Unfavourable</v>
      </c>
      <c r="P118" s="41" t="str">
        <f>IF(NOT(ISNUMBER(tblReceipts[[#This Row],[PPV %]])),"",IF(tblReceipts[[#This Row],[PPV %]]&lt;=LineLimit,"On target",IF(tblReceipts[[#This Row],[PPV %]]&lt;=LineLimit*(1+0.05),"Near target","Above target")))</f>
        <v>Above target</v>
      </c>
      <c r="Q118" s="42">
        <f>IF(tblReceipts[[#This Row],[Date]]="","",IF(AND(tblReceipts[[#This Row],[Date]]&gt;=FFrom,tblReceipts[[#This Row],[Date]]&lt;=FTo,OR(DashCat="",tblReceipts[[#This Row],[Category]]=DashCat)),tblReceipts[[#This Row],[Date]],""))</f>
        <v>46288</v>
      </c>
      <c r="R118"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18" s="28" t="s">
        <v>171</v>
      </c>
    </row>
    <row r="119" spans="2:19">
      <c r="B119" s="35">
        <v>46288</v>
      </c>
      <c r="C119" s="28" t="s">
        <v>286</v>
      </c>
      <c r="D119" s="28" t="s">
        <v>99</v>
      </c>
      <c r="E119" s="28" t="s">
        <v>147</v>
      </c>
      <c r="F119" s="33">
        <v>120</v>
      </c>
      <c r="G119" s="36" t="str">
        <f>IF(tblReceipts[[#This Row],[Date]]="","",IFERROR(INDEX(tblItems[UoM],MATCH(tblReceipts[[#This Row],[Item]],tblItems[Item],0)),""))</f>
        <v>100 pcs</v>
      </c>
      <c r="H119" s="37">
        <v>13.46</v>
      </c>
      <c r="I119" s="38">
        <f>IF(tblReceipts[[#This Row],[Date]]="","",IFERROR(INDEX(tblItems[Standard price],MATCH(tblReceipts[[#This Row],[Item]],tblItems[Item],0)),""))</f>
        <v>14.5</v>
      </c>
      <c r="J119" s="36" t="str">
        <f>IF(tblReceipts[[#This Row],[Date]]="","",IFERROR(INDEX(tblItems[Category],MATCH(tblReceipts[[#This Row],[Item]],tblItems[Item],0)),""))</f>
        <v>Fasteners</v>
      </c>
      <c r="K119" s="39">
        <f>IF(tblReceipts[[#This Row],[Date]]="","",tblReceipts[[#This Row],[Quantity]]*tblReceipts[[#This Row],[Actual price]])</f>
        <v>1615.2</v>
      </c>
      <c r="L119" s="39">
        <f>IF(tblReceipts[[#This Row],[Date]]="","",IF(tblReceipts[[#This Row],[Standard price]]="","",tblReceipts[[#This Row],[Quantity]]*tblReceipts[[#This Row],[Standard price]]))</f>
        <v>1740</v>
      </c>
      <c r="M119" s="39">
        <f>IF(tblReceipts[[#This Row],[Date]]="","",IF(tblReceipts[[#This Row],[Standard price]]="","",tblReceipts[[#This Row],[Quantity]]*(tblReceipts[[#This Row],[Actual price]]-tblReceipts[[#This Row],[Standard price]])))</f>
        <v>-124.8</v>
      </c>
      <c r="N119" s="40">
        <f>IF(tblReceipts[[#This Row],[Date]]="","",IF(OR(tblReceipts[[#This Row],[Standard price]]="",tblReceipts[[#This Row],[Standard price]]=0),"",(tblReceipts[[#This Row],[Actual price]]-tblReceipts[[#This Row],[Standard price]])/tblReceipts[[#This Row],[Standard price]]))</f>
        <v>-0.0717241379310344</v>
      </c>
      <c r="O119" s="36" t="str">
        <f>IF(tblReceipts[[#This Row],[Date]]="","",IF(tblReceipts[[#This Row],[PPV]]="","",IF(tblReceipts[[#This Row],[PPV]]&gt;0,"Unfavourable",IF(tblReceipts[[#This Row],[PPV]]&lt;0,"Favourable","At standard"))))</f>
        <v>Favourable</v>
      </c>
      <c r="P119" s="41" t="str">
        <f>IF(NOT(ISNUMBER(tblReceipts[[#This Row],[PPV %]])),"",IF(tblReceipts[[#This Row],[PPV %]]&lt;=LineLimit,"On target",IF(tblReceipts[[#This Row],[PPV %]]&lt;=LineLimit*(1+0.05),"Near target","Above target")))</f>
        <v>On target</v>
      </c>
      <c r="Q119" s="42">
        <f>IF(tblReceipts[[#This Row],[Date]]="","",IF(AND(tblReceipts[[#This Row],[Date]]&gt;=FFrom,tblReceipts[[#This Row],[Date]]&lt;=FTo,OR(DashCat="",tblReceipts[[#This Row],[Category]]=DashCat)),tblReceipts[[#This Row],[Date]],""))</f>
        <v>46288</v>
      </c>
      <c r="R119"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19" s="28" t="s">
        <v>171</v>
      </c>
    </row>
    <row r="120" spans="2:19">
      <c r="B120" s="35">
        <v>46288</v>
      </c>
      <c r="C120" s="28" t="s">
        <v>287</v>
      </c>
      <c r="D120" s="28" t="s">
        <v>104</v>
      </c>
      <c r="E120" s="28" t="s">
        <v>155</v>
      </c>
      <c r="F120" s="33">
        <v>820</v>
      </c>
      <c r="G120" s="36" t="str">
        <f>IF(tblReceipts[[#This Row],[Date]]="","",IFERROR(INDEX(tblItems[UoM],MATCH(tblReceipts[[#This Row],[Item]],tblItems[Item],0)),""))</f>
        <v>ea</v>
      </c>
      <c r="H120" s="37">
        <v>0.429</v>
      </c>
      <c r="I120" s="38">
        <f>IF(tblReceipts[[#This Row],[Date]]="","",IFERROR(INDEX(tblItems[Standard price],MATCH(tblReceipts[[#This Row],[Item]],tblItems[Item],0)),""))</f>
        <v>0.44</v>
      </c>
      <c r="J120" s="36" t="str">
        <f>IF(tblReceipts[[#This Row],[Date]]="","",IFERROR(INDEX(tblItems[Category],MATCH(tblReceipts[[#This Row],[Item]],tblItems[Item],0)),""))</f>
        <v>Packaging</v>
      </c>
      <c r="K120" s="39">
        <f>IF(tblReceipts[[#This Row],[Date]]="","",tblReceipts[[#This Row],[Quantity]]*tblReceipts[[#This Row],[Actual price]])</f>
        <v>351.78</v>
      </c>
      <c r="L120" s="39">
        <f>IF(tblReceipts[[#This Row],[Date]]="","",IF(tblReceipts[[#This Row],[Standard price]]="","",tblReceipts[[#This Row],[Quantity]]*tblReceipts[[#This Row],[Standard price]]))</f>
        <v>360.8</v>
      </c>
      <c r="M120" s="39">
        <f>IF(tblReceipts[[#This Row],[Date]]="","",IF(tblReceipts[[#This Row],[Standard price]]="","",tblReceipts[[#This Row],[Quantity]]*(tblReceipts[[#This Row],[Actual price]]-tblReceipts[[#This Row],[Standard price]])))</f>
        <v>-9.02000000000001</v>
      </c>
      <c r="N120" s="40">
        <f>IF(tblReceipts[[#This Row],[Date]]="","",IF(OR(tblReceipts[[#This Row],[Standard price]]="",tblReceipts[[#This Row],[Standard price]]=0),"",(tblReceipts[[#This Row],[Actual price]]-tblReceipts[[#This Row],[Standard price]])/tblReceipts[[#This Row],[Standard price]]))</f>
        <v>-0.025</v>
      </c>
      <c r="O120" s="36" t="str">
        <f>IF(tblReceipts[[#This Row],[Date]]="","",IF(tblReceipts[[#This Row],[PPV]]="","",IF(tblReceipts[[#This Row],[PPV]]&gt;0,"Unfavourable",IF(tblReceipts[[#This Row],[PPV]]&lt;0,"Favourable","At standard"))))</f>
        <v>Favourable</v>
      </c>
      <c r="P120" s="41" t="str">
        <f>IF(NOT(ISNUMBER(tblReceipts[[#This Row],[PPV %]])),"",IF(tblReceipts[[#This Row],[PPV %]]&lt;=LineLimit,"On target",IF(tblReceipts[[#This Row],[PPV %]]&lt;=LineLimit*(1+0.05),"Near target","Above target")))</f>
        <v>On target</v>
      </c>
      <c r="Q120" s="42">
        <f>IF(tblReceipts[[#This Row],[Date]]="","",IF(AND(tblReceipts[[#This Row],[Date]]&gt;=FFrom,tblReceipts[[#This Row],[Date]]&lt;=FTo,OR(DashCat="",tblReceipts[[#This Row],[Category]]=DashCat)),tblReceipts[[#This Row],[Date]],""))</f>
        <v>46288</v>
      </c>
      <c r="R120"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20" s="28" t="s">
        <v>171</v>
      </c>
    </row>
    <row r="121" spans="2:19">
      <c r="B121" s="35">
        <v>46289</v>
      </c>
      <c r="C121" s="28" t="s">
        <v>288</v>
      </c>
      <c r="D121" s="28" t="s">
        <v>90</v>
      </c>
      <c r="E121" s="28" t="s">
        <v>143</v>
      </c>
      <c r="F121" s="33">
        <v>225</v>
      </c>
      <c r="G121" s="36" t="str">
        <f>IF(tblReceipts[[#This Row],[Date]]="","",IFERROR(INDEX(tblItems[UoM],MATCH(tblReceipts[[#This Row],[Item]],tblItems[Item],0)),""))</f>
        <v>kg</v>
      </c>
      <c r="H121" s="37">
        <v>7.2</v>
      </c>
      <c r="I121" s="38">
        <f>IF(tblReceipts[[#This Row],[Date]]="","",IFERROR(INDEX(tblItems[Standard price],MATCH(tblReceipts[[#This Row],[Item]],tblItems[Item],0)),""))</f>
        <v>7.1</v>
      </c>
      <c r="J121" s="36" t="str">
        <f>IF(tblReceipts[[#This Row],[Date]]="","",IFERROR(INDEX(tblItems[Category],MATCH(tblReceipts[[#This Row],[Item]],tblItems[Item],0)),""))</f>
        <v>Bar stock</v>
      </c>
      <c r="K121" s="39">
        <f>IF(tblReceipts[[#This Row],[Date]]="","",tblReceipts[[#This Row],[Quantity]]*tblReceipts[[#This Row],[Actual price]])</f>
        <v>1620</v>
      </c>
      <c r="L121" s="39">
        <f>IF(tblReceipts[[#This Row],[Date]]="","",IF(tblReceipts[[#This Row],[Standard price]]="","",tblReceipts[[#This Row],[Quantity]]*tblReceipts[[#This Row],[Standard price]]))</f>
        <v>1597.5</v>
      </c>
      <c r="M121" s="39">
        <f>IF(tblReceipts[[#This Row],[Date]]="","",IF(tblReceipts[[#This Row],[Standard price]]="","",tblReceipts[[#This Row],[Quantity]]*(tblReceipts[[#This Row],[Actual price]]-tblReceipts[[#This Row],[Standard price]])))</f>
        <v>22.5000000000001</v>
      </c>
      <c r="N121" s="40">
        <f>IF(tblReceipts[[#This Row],[Date]]="","",IF(OR(tblReceipts[[#This Row],[Standard price]]="",tblReceipts[[#This Row],[Standard price]]=0),"",(tblReceipts[[#This Row],[Actual price]]-tblReceipts[[#This Row],[Standard price]])/tblReceipts[[#This Row],[Standard price]]))</f>
        <v>0.0140845070422536</v>
      </c>
      <c r="O121" s="36" t="str">
        <f>IF(tblReceipts[[#This Row],[Date]]="","",IF(tblReceipts[[#This Row],[PPV]]="","",IF(tblReceipts[[#This Row],[PPV]]&gt;0,"Unfavourable",IF(tblReceipts[[#This Row],[PPV]]&lt;0,"Favourable","At standard"))))</f>
        <v>Unfavourable</v>
      </c>
      <c r="P121" s="41" t="str">
        <f>IF(NOT(ISNUMBER(tblReceipts[[#This Row],[PPV %]])),"",IF(tblReceipts[[#This Row],[PPV %]]&lt;=LineLimit,"On target",IF(tblReceipts[[#This Row],[PPV %]]&lt;=LineLimit*(1+0.05),"Near target","Above target")))</f>
        <v>On target</v>
      </c>
      <c r="Q121" s="42">
        <f>IF(tblReceipts[[#This Row],[Date]]="","",IF(AND(tblReceipts[[#This Row],[Date]]&gt;=FFrom,tblReceipts[[#This Row],[Date]]&lt;=FTo,OR(DashCat="",tblReceipts[[#This Row],[Category]]=DashCat)),tblReceipts[[#This Row],[Date]],""))</f>
        <v>46289</v>
      </c>
      <c r="R121"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21" s="28" t="s">
        <v>171</v>
      </c>
    </row>
    <row r="122" spans="2:19">
      <c r="B122" s="35">
        <v>46293</v>
      </c>
      <c r="C122" s="28" t="s">
        <v>289</v>
      </c>
      <c r="D122" s="28" t="s">
        <v>85</v>
      </c>
      <c r="E122" s="28" t="s">
        <v>138</v>
      </c>
      <c r="F122" s="33">
        <v>360</v>
      </c>
      <c r="G122" s="36" t="str">
        <f>IF(tblReceipts[[#This Row],[Date]]="","",IFERROR(INDEX(tblItems[UoM],MATCH(tblReceipts[[#This Row],[Item]],tblItems[Item],0)),""))</f>
        <v>ea</v>
      </c>
      <c r="H122" s="37">
        <v>10.26</v>
      </c>
      <c r="I122" s="38">
        <f>IF(tblReceipts[[#This Row],[Date]]="","",IFERROR(INDEX(tblItems[Standard price],MATCH(tblReceipts[[#This Row],[Item]],tblItems[Item],0)),""))</f>
        <v>9.75</v>
      </c>
      <c r="J122" s="36" t="str">
        <f>IF(tblReceipts[[#This Row],[Date]]="","",IFERROR(INDEX(tblItems[Category],MATCH(tblReceipts[[#This Row],[Item]],tblItems[Item],0)),""))</f>
        <v>Castings</v>
      </c>
      <c r="K122" s="39">
        <f>IF(tblReceipts[[#This Row],[Date]]="","",tblReceipts[[#This Row],[Quantity]]*tblReceipts[[#This Row],[Actual price]])</f>
        <v>3693.6</v>
      </c>
      <c r="L122" s="39">
        <f>IF(tblReceipts[[#This Row],[Date]]="","",IF(tblReceipts[[#This Row],[Standard price]]="","",tblReceipts[[#This Row],[Quantity]]*tblReceipts[[#This Row],[Standard price]]))</f>
        <v>3510</v>
      </c>
      <c r="M122" s="39">
        <f>IF(tblReceipts[[#This Row],[Date]]="","",IF(tblReceipts[[#This Row],[Standard price]]="","",tblReceipts[[#This Row],[Quantity]]*(tblReceipts[[#This Row],[Actual price]]-tblReceipts[[#This Row],[Standard price]])))</f>
        <v>183.6</v>
      </c>
      <c r="N122" s="40">
        <f>IF(tblReceipts[[#This Row],[Date]]="","",IF(OR(tblReceipts[[#This Row],[Standard price]]="",tblReceipts[[#This Row],[Standard price]]=0),"",(tblReceipts[[#This Row],[Actual price]]-tblReceipts[[#This Row],[Standard price]])/tblReceipts[[#This Row],[Standard price]]))</f>
        <v>0.0523076923076923</v>
      </c>
      <c r="O122" s="36" t="str">
        <f>IF(tblReceipts[[#This Row],[Date]]="","",IF(tblReceipts[[#This Row],[PPV]]="","",IF(tblReceipts[[#This Row],[PPV]]&gt;0,"Unfavourable",IF(tblReceipts[[#This Row],[PPV]]&lt;0,"Favourable","At standard"))))</f>
        <v>Unfavourable</v>
      </c>
      <c r="P122" s="41" t="str">
        <f>IF(NOT(ISNUMBER(tblReceipts[[#This Row],[PPV %]])),"",IF(tblReceipts[[#This Row],[PPV %]]&lt;=LineLimit,"On target",IF(tblReceipts[[#This Row],[PPV %]]&lt;=LineLimit*(1+0.05),"Near target","Above target")))</f>
        <v>Above target</v>
      </c>
      <c r="Q122" s="42">
        <f>IF(tblReceipts[[#This Row],[Date]]="","",IF(AND(tblReceipts[[#This Row],[Date]]&gt;=FFrom,tblReceipts[[#This Row],[Date]]&lt;=FTo,OR(DashCat="",tblReceipts[[#This Row],[Category]]=DashCat)),tblReceipts[[#This Row],[Date]],""))</f>
        <v>46293</v>
      </c>
      <c r="R122"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22" s="28" t="s">
        <v>171</v>
      </c>
    </row>
    <row r="123" spans="2:19">
      <c r="B123" s="35">
        <v>46293</v>
      </c>
      <c r="C123" s="28" t="s">
        <v>290</v>
      </c>
      <c r="D123" s="28" t="s">
        <v>101</v>
      </c>
      <c r="E123" s="28" t="s">
        <v>150</v>
      </c>
      <c r="F123" s="33">
        <v>240</v>
      </c>
      <c r="G123" s="36" t="str">
        <f>IF(tblReceipts[[#This Row],[Date]]="","",IFERROR(INDEX(tblItems[UoM],MATCH(tblReceipts[[#This Row],[Item]],tblItems[Item],0)),""))</f>
        <v>ea</v>
      </c>
      <c r="H123" s="37">
        <v>25.88</v>
      </c>
      <c r="I123" s="38">
        <f>IF(tblReceipts[[#This Row],[Date]]="","",IFERROR(INDEX(tblItems[Standard price],MATCH(tblReceipts[[#This Row],[Item]],tblItems[Item],0)),""))</f>
        <v>23.8</v>
      </c>
      <c r="J123" s="36" t="str">
        <f>IF(tblReceipts[[#This Row],[Date]]="","",IFERROR(INDEX(tblItems[Category],MATCH(tblReceipts[[#This Row],[Item]],tblItems[Item],0)),""))</f>
        <v>Electronics</v>
      </c>
      <c r="K123" s="39">
        <f>IF(tblReceipts[[#This Row],[Date]]="","",tblReceipts[[#This Row],[Quantity]]*tblReceipts[[#This Row],[Actual price]])</f>
        <v>6211.2</v>
      </c>
      <c r="L123" s="39">
        <f>IF(tblReceipts[[#This Row],[Date]]="","",IF(tblReceipts[[#This Row],[Standard price]]="","",tblReceipts[[#This Row],[Quantity]]*tblReceipts[[#This Row],[Standard price]]))</f>
        <v>5712</v>
      </c>
      <c r="M123" s="39">
        <f>IF(tblReceipts[[#This Row],[Date]]="","",IF(tblReceipts[[#This Row],[Standard price]]="","",tblReceipts[[#This Row],[Quantity]]*(tblReceipts[[#This Row],[Actual price]]-tblReceipts[[#This Row],[Standard price]])))</f>
        <v>499.2</v>
      </c>
      <c r="N123" s="40">
        <f>IF(tblReceipts[[#This Row],[Date]]="","",IF(OR(tblReceipts[[#This Row],[Standard price]]="",tblReceipts[[#This Row],[Standard price]]=0),"",(tblReceipts[[#This Row],[Actual price]]-tblReceipts[[#This Row],[Standard price]])/tblReceipts[[#This Row],[Standard price]]))</f>
        <v>0.0873949579831932</v>
      </c>
      <c r="O123" s="36" t="str">
        <f>IF(tblReceipts[[#This Row],[Date]]="","",IF(tblReceipts[[#This Row],[PPV]]="","",IF(tblReceipts[[#This Row],[PPV]]&gt;0,"Unfavourable",IF(tblReceipts[[#This Row],[PPV]]&lt;0,"Favourable","At standard"))))</f>
        <v>Unfavourable</v>
      </c>
      <c r="P123" s="41" t="str">
        <f>IF(NOT(ISNUMBER(tblReceipts[[#This Row],[PPV %]])),"",IF(tblReceipts[[#This Row],[PPV %]]&lt;=LineLimit,"On target",IF(tblReceipts[[#This Row],[PPV %]]&lt;=LineLimit*(1+0.05),"Near target","Above target")))</f>
        <v>Above target</v>
      </c>
      <c r="Q123" s="42">
        <f>IF(tblReceipts[[#This Row],[Date]]="","",IF(AND(tblReceipts[[#This Row],[Date]]&gt;=FFrom,tblReceipts[[#This Row],[Date]]&lt;=FTo,OR(DashCat="",tblReceipts[[#This Row],[Category]]=DashCat)),tblReceipts[[#This Row],[Date]],""))</f>
        <v>46293</v>
      </c>
      <c r="R123"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23" s="28" t="s">
        <v>171</v>
      </c>
    </row>
    <row r="124" spans="2:19">
      <c r="B124" s="35">
        <v>46293</v>
      </c>
      <c r="C124" s="28" t="s">
        <v>291</v>
      </c>
      <c r="D124" s="28" t="s">
        <v>104</v>
      </c>
      <c r="E124" s="28" t="s">
        <v>153</v>
      </c>
      <c r="F124" s="33">
        <v>430</v>
      </c>
      <c r="G124" s="36" t="str">
        <f>IF(tblReceipts[[#This Row],[Date]]="","",IFERROR(INDEX(tblItems[UoM],MATCH(tblReceipts[[#This Row],[Item]],tblItems[Item],0)),""))</f>
        <v>ea</v>
      </c>
      <c r="H124" s="37">
        <v>0.842</v>
      </c>
      <c r="I124" s="38">
        <f>IF(tblReceipts[[#This Row],[Date]]="","",IFERROR(INDEX(tblItems[Standard price],MATCH(tblReceipts[[#This Row],[Item]],tblItems[Item],0)),""))</f>
        <v>0.86</v>
      </c>
      <c r="J124" s="36" t="str">
        <f>IF(tblReceipts[[#This Row],[Date]]="","",IFERROR(INDEX(tblItems[Category],MATCH(tblReceipts[[#This Row],[Item]],tblItems[Item],0)),""))</f>
        <v>Packaging</v>
      </c>
      <c r="K124" s="39">
        <f>IF(tblReceipts[[#This Row],[Date]]="","",tblReceipts[[#This Row],[Quantity]]*tblReceipts[[#This Row],[Actual price]])</f>
        <v>362.06</v>
      </c>
      <c r="L124" s="39">
        <f>IF(tblReceipts[[#This Row],[Date]]="","",IF(tblReceipts[[#This Row],[Standard price]]="","",tblReceipts[[#This Row],[Quantity]]*tblReceipts[[#This Row],[Standard price]]))</f>
        <v>369.8</v>
      </c>
      <c r="M124" s="39">
        <f>IF(tblReceipts[[#This Row],[Date]]="","",IF(tblReceipts[[#This Row],[Standard price]]="","",tblReceipts[[#This Row],[Quantity]]*(tblReceipts[[#This Row],[Actual price]]-tblReceipts[[#This Row],[Standard price]])))</f>
        <v>-7.74000000000001</v>
      </c>
      <c r="N124" s="40">
        <f>IF(tblReceipts[[#This Row],[Date]]="","",IF(OR(tblReceipts[[#This Row],[Standard price]]="",tblReceipts[[#This Row],[Standard price]]=0),"",(tblReceipts[[#This Row],[Actual price]]-tblReceipts[[#This Row],[Standard price]])/tblReceipts[[#This Row],[Standard price]]))</f>
        <v>-0.0209302325581396</v>
      </c>
      <c r="O124" s="36" t="str">
        <f>IF(tblReceipts[[#This Row],[Date]]="","",IF(tblReceipts[[#This Row],[PPV]]="","",IF(tblReceipts[[#This Row],[PPV]]&gt;0,"Unfavourable",IF(tblReceipts[[#This Row],[PPV]]&lt;0,"Favourable","At standard"))))</f>
        <v>Favourable</v>
      </c>
      <c r="P124" s="41" t="str">
        <f>IF(NOT(ISNUMBER(tblReceipts[[#This Row],[PPV %]])),"",IF(tblReceipts[[#This Row],[PPV %]]&lt;=LineLimit,"On target",IF(tblReceipts[[#This Row],[PPV %]]&lt;=LineLimit*(1+0.05),"Near target","Above target")))</f>
        <v>On target</v>
      </c>
      <c r="Q124" s="42">
        <f>IF(tblReceipts[[#This Row],[Date]]="","",IF(AND(tblReceipts[[#This Row],[Date]]&gt;=FFrom,tblReceipts[[#This Row],[Date]]&lt;=FTo,OR(DashCat="",tblReceipts[[#This Row],[Category]]=DashCat)),tblReceipts[[#This Row],[Date]],""))</f>
        <v>46293</v>
      </c>
      <c r="R124" s="43" t="str">
        <f>IF(tblReceipts[[#This Row],[Date]]="","",IF(tblReceipts[[#This Row],[PO number]]="","Missing po number",IF(tblReceipts[[#This Row],[Supplier]]="","Missing supplier",IF(tblReceipts[[#This Row],[Item]]="","Missing item",IF(tblReceipts[[#This Row],[Quantity]]="","Missing quantity",IF(tblReceipts[[#This Row],[Actual price]]="","Missing actual price",IF(tblReceipts[[#This Row],[Standard price]]="","Item not on Setup list",IF(COUNTIF(tblSuppliers[Supplier],tblReceipts[[#This Row],[Supplier]])=0,"Supplier not on Setup list",IF(tblReceipts[[#This Row],[Quantity]]&lt;=0,"Quantity must be above zero",IF(ABS(tblReceipts[[#This Row],[PPV %]])&gt;0.5,"Price 50% off standard: check UoM",IF(COUNTIFS(tblReceipts[PO number],tblReceipts[[#This Row],[PO number]],tblReceipts[Item],tblReceipts[[#This Row],[Item]],tblReceipts[Date],tblReceipts[[#This Row],[Date]])&gt;1,"Duplicate receipt line","OK")))))))))))</f>
        <v>OK</v>
      </c>
      <c r="S124" s="28" t="s">
        <v>171</v>
      </c>
    </row>
  </sheetData>
  <mergeCells count="3">
    <mergeCell ref="A1:S1"/>
    <mergeCell ref="B2:R2"/>
    <mergeCell ref="B4:S4"/>
  </mergeCells>
  <conditionalFormatting sqref="P7:P624">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R7:R624">
    <cfRule type="expression" dxfId="3" priority="21">
      <formula>$R7="OK"</formula>
    </cfRule>
    <cfRule type="expression" dxfId="1" priority="22">
      <formula>AND($R7&lt;&gt;"",$R7&lt;&gt;"OK")</formula>
    </cfRule>
  </conditionalFormatting>
  <dataValidations count="7">
    <dataValidation type="date" allowBlank="1" showInputMessage="1" showErrorMessage="1" errorTitle="Check this entry" error="Enter a date between 01 Jan 2000 and 31 Dec 2100." promptTitle="Date" prompt="Receipt or invoice date: the date the variance belongs to. Enter a date between 01 Jan 2000 and 31 Dec 2100." sqref="B7:B624">
      <formula1>36526</formula1>
      <formula2>73415</formula2>
    </dataValidation>
    <dataValidation type="textLength" allowBlank="1" showInputMessage="1" showErrorMessage="1" errorTitle="Check this entry" error="Text up to 30 characters." promptTitle="PO number" prompt="Text up to 30 characters." sqref="C7:C624">
      <formula1>0</formula1>
      <formula2>30</formula2>
    </dataValidation>
    <dataValidation type="list" allowBlank="1" showInputMessage="1" showErrorMessage="1" errorTitle="Check this entry" error="Pick from the list (edit the list on Setup: Suppliers)." promptTitle="Supplier" prompt="Pick from the list (edit the list on Setup: Suppliers)." sqref="D7:D624">
      <formula1>Suppliers</formula1>
    </dataValidation>
    <dataValidation type="list" allowBlank="1" showInputMessage="1" showErrorMessage="1" errorTitle="Check this entry" error="Pick from the list (edit the list on Setup: Items)." promptTitle="Item" prompt="Pick from the list (edit the list on Setup: Items)." sqref="E7:E624">
      <formula1>Items</formula1>
    </dataValidation>
    <dataValidation type="decimal" allowBlank="1" showInputMessage="1" showErrorMessage="1" errorTitle="Check this entry" error="Enter a number of at least 0." promptTitle="Quantity" prompt="Quantity received or invoiced, in the item's unit of measure (UoM). Enter a number of at least 0." sqref="F7:F624">
      <formula1>0</formula1>
      <formula2>1000000000.0</formula2>
    </dataValidation>
    <dataValidation type="decimal" allowBlank="1" showInputMessage="1" showErrorMessage="1" errorTitle="Check this entry" error="Enter a number of at least 0." promptTitle="Actual price" prompt="Price actually paid per unit of measure, on the same basis as the standard price (see Setup). Enter a number of at least 0." sqref="H7:H624">
      <formula1>0</formula1>
      <formula2>1000000000.0</formula2>
    </dataValidation>
    <dataValidation type="textLength" allowBlank="1" showInputMessage="1" showErrorMessage="1" errorTitle="Check this entry" error="Text up to 255 characters." promptTitle="Notes" prompt="Text up to 255 characters." sqref="S7:S624">
      <formula1>0</formula1>
      <formula2>255</formula2>
    </dataValidation>
  </dataValidations>
  <hyperlinks>
    <hyperlink ref="S2" r:id="rId1" tooltip="Free manufacturing calculators and templates"/>
  </hyperlinks>
  <pageMargins left="0.4" right="0.4" top="0.7" bottom="0.65" header="0.3" footer="0.3"/>
  <pageSetup fitToHeight="0" orientation="landscape"/>
  <headerFooter>
    <oddHeader>&amp;L&amp;8MFG Calcs - Purchase Price Variance Tracker&amp;R&amp;8&amp;A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AQ84"/>
  <sheetViews>
    <sheetView showGridLines="0" zoomScale="90" zoomScaleNormal="90" workbookViewId="0"/>
  </sheetViews>
  <sheetFormatPr defaultRowHeight="15" x14ac:dyDescent="0.25"/>
  <cols>
    <col min="1" max="1" width="2.7109375" customWidth="1"/>
    <col min="2" max="2" width="20.7109375" customWidth="1"/>
    <col min="3" max="12" width="10.7109375" customWidth="1"/>
    <col min="41" max="43" width="12.7109375" hidden="1" customWidth="1"/>
  </cols>
  <sheetData>
    <row r="1" spans="1:12" ht="30" customHeight="1" x14ac:dyDescent="0.25">
      <c r="A1" s="1" t="s">
        <v>0</v>
      </c>
      <c r="B1" s="1"/>
      <c r="C1" s="1"/>
      <c r="D1" s="1"/>
      <c r="E1" s="1"/>
      <c r="F1" s="1"/>
      <c r="G1" s="1"/>
      <c r="H1" s="1"/>
      <c r="I1" s="1"/>
      <c r="J1" s="1"/>
      <c r="K1" s="1"/>
      <c r="L1" s="1"/>
    </row>
    <row r="2" spans="1:12" ht="21" customHeight="1" x14ac:dyDescent="0.25">
      <c r="B2" s="2" t="s">
        <v>22</v>
      </c>
      <c r="C2" s="2"/>
      <c r="D2" s="2"/>
      <c r="E2" s="2"/>
      <c r="F2" s="2"/>
      <c r="G2" s="2"/>
      <c r="H2" s="2"/>
      <c r="I2" s="2"/>
      <c r="J2" s="2"/>
      <c r="K2" s="3" t="s">
        <v>2</v>
      </c>
      <c r="L2" s="3"/>
    </row>
    <row r="3" spans="1:12" ht="6" customHeight="1" x14ac:dyDescent="0.25"/>
    <row r="4" spans="1:12" x14ac:dyDescent="0.25">
      <c r="B4" s="27" t="s">
        <v>65</v>
      </c>
      <c r="C4" s="28"/>
      <c r="D4" s="28"/>
      <c r="F4" s="27" t="s">
        <v>292</v>
      </c>
      <c r="G4" s="44"/>
      <c r="H4" s="44"/>
      <c r="J4" s="27" t="s">
        <v>293</v>
      </c>
      <c r="K4" s="44"/>
      <c r="L4" s="44"/>
    </row>
    <row r="5" spans="1:12" x14ac:dyDescent="0.25">
      <c r="B5" s="45" t="str">
        <f>"Showing "&amp;COUNTIFS(tblReceipts[View date],"&gt;0")&amp;" receipt lines for "&amp;CoName&amp;". PPV is actual minus standard: positive = paid more than standard (unfavourable). Leave the filters blank to include everything."</f>
        <v>Showing 118 receipt lines for Kestrel Valve Co. (example). PPV is actual minus standard: positive = paid more than standard (unfavourable). Leave the filters blank to include everything.</v>
      </c>
      <c r="C5" s="45"/>
      <c r="D5" s="45"/>
      <c r="E5" s="45"/>
      <c r="F5" s="45"/>
      <c r="G5" s="45"/>
      <c r="H5" s="45"/>
      <c r="I5" s="45"/>
      <c r="J5" s="45"/>
      <c r="K5" s="45"/>
      <c r="L5" s="45"/>
    </row>
    <row r="7" spans="1:12" ht="18" customHeight="1" x14ac:dyDescent="0.25">
      <c r="B7" s="46" t="str">
        <f>"NET PPV ("&amp;Currency&amp;")"</f>
        <v>NET PPV (USD)</v>
      </c>
      <c r="C7" s="46"/>
      <c r="D7" s="46" t="s">
        <v>294</v>
      </c>
      <c r="E7" s="46"/>
      <c r="F7" s="46"/>
      <c r="G7" s="46" t="str">
        <f>"UNFAVOURABLE PPV ("&amp;Currency&amp;")"</f>
        <v>UNFAVOURABLE PPV (USD)</v>
      </c>
      <c r="H7" s="46"/>
      <c r="I7" s="46"/>
      <c r="J7" s="46" t="str">
        <f>"FAVOURABLE PPV ("&amp;Currency&amp;")"</f>
        <v>FAVOURABLE PPV (USD)</v>
      </c>
      <c r="K7" s="46"/>
      <c r="L7" s="46"/>
    </row>
    <row r="8" spans="1:12" ht="21" customHeight="1" x14ac:dyDescent="0.25">
      <c r="B8" s="47">
        <f>SUMIFS(tblReceipts[PPV],tblReceipts[View date],"&gt;0")</f>
        <v>4904.79000000001</v>
      </c>
      <c r="C8" s="47"/>
      <c r="D8" s="48">
        <f>IF((SUMIFS(tblReceipts[Standard cost],tblReceipts[View date],"&gt;0"))=0,"",(SUMIFS(tblReceipts[PPV],tblReceipts[View date],"&gt;0"))/(SUMIFS(tblReceipts[Standard cost],tblReceipts[View date],"&gt;0")))</f>
        <v>0.0202168009839677</v>
      </c>
      <c r="E8" s="48"/>
      <c r="F8" s="48"/>
      <c r="G8" s="47">
        <f>SUMIFS(tblReceipts[PPV],tblReceipts[View date],"&gt;0",tblReceipts[PPV],"&gt;0")</f>
        <v>6072.94</v>
      </c>
      <c r="H8" s="47"/>
      <c r="I8" s="47"/>
      <c r="J8" s="47">
        <f>SUMIFS(tblReceipts[PPV],tblReceipts[View date],"&gt;0",tblReceipts[PPV],"&lt;0")</f>
        <v>-1168.15</v>
      </c>
      <c r="K8" s="47"/>
      <c r="L8" s="47"/>
    </row>
    <row r="9" spans="1:12" ht="21" customHeight="1" x14ac:dyDescent="0.25">
      <c r="B9" s="47"/>
      <c r="C9" s="47"/>
      <c r="D9" s="48"/>
      <c r="E9" s="48"/>
      <c r="F9" s="48"/>
      <c r="G9" s="47"/>
      <c r="H9" s="47"/>
      <c r="I9" s="47"/>
      <c r="J9" s="47"/>
      <c r="K9" s="47"/>
      <c r="L9" s="47"/>
    </row>
    <row r="10" spans="1:12" x14ac:dyDescent="0.25">
      <c r="B10" s="49" t="s">
        <v>295</v>
      </c>
      <c r="C10" s="49"/>
      <c r="D10" s="50">
        <f>PPVTol</f>
        <v>0.01</v>
      </c>
      <c r="E10" s="50"/>
      <c r="F10" s="50"/>
      <c r="G10" s="49" t="s">
        <v>296</v>
      </c>
      <c r="H10" s="49"/>
      <c r="I10" s="49"/>
      <c r="J10" s="49" t="s">
        <v>297</v>
      </c>
      <c r="K10" s="49"/>
      <c r="L10" s="49"/>
    </row>
    <row r="11" spans="1:12" ht="18" customHeight="1" x14ac:dyDescent="0.25">
      <c r="B11" s="51"/>
      <c r="C11" s="51"/>
      <c r="D11" s="51" t="str">
        <f>IF(NOT(ISNUMBER(KpiPct)),"No data",IF(KpiPct&lt;=(PPVTol),"On target",IF(KpiPct&lt;=(PPVTol)*(1+0.05),"Near target","Above target")))</f>
        <v>Above target</v>
      </c>
      <c r="E11" s="51"/>
      <c r="F11" s="51"/>
      <c r="G11" s="51"/>
      <c r="H11" s="51"/>
      <c r="I11" s="51"/>
      <c r="J11" s="51"/>
      <c r="K11" s="51"/>
      <c r="L11" s="51"/>
    </row>
    <row r="29" spans="2:12" ht="18" customHeight="1" x14ac:dyDescent="0.25">
      <c r="B29" s="46" t="str">
        <f>"SPEND AT STANDARD ("&amp;Currency&amp;")"</f>
        <v>SPEND AT STANDARD (USD)</v>
      </c>
      <c r="C29" s="46"/>
      <c r="D29" s="46" t="str">
        <f>"ACTUAL SPEND ("&amp;Currency&amp;")"</f>
        <v>ACTUAL SPEND (USD)</v>
      </c>
      <c r="E29" s="46"/>
      <c r="F29" s="46"/>
      <c r="G29" s="46" t="s">
        <v>298</v>
      </c>
      <c r="H29" s="46"/>
      <c r="I29" s="46"/>
      <c r="J29" s="46" t="s">
        <v>299</v>
      </c>
      <c r="K29" s="46"/>
      <c r="L29" s="46"/>
    </row>
    <row r="30" spans="2:12" ht="21" customHeight="1" x14ac:dyDescent="0.25">
      <c r="B30" s="47">
        <f>SUMIFS(tblReceipts[Standard cost],tblReceipts[View date],"&gt;0")</f>
        <v>242609.6</v>
      </c>
      <c r="C30" s="47"/>
      <c r="D30" s="47">
        <f>SUMIFS(tblReceipts[Actual cost],tblReceipts[View date],"&gt;0")</f>
        <v>247514.39</v>
      </c>
      <c r="E30" s="47"/>
      <c r="F30" s="47"/>
      <c r="G30" s="47">
        <f>COUNTIFS(tblReceipts[View date],"&gt;0",tblReceipts[Line status],"Above target")</f>
        <v>27</v>
      </c>
      <c r="H30" s="47"/>
      <c r="I30" s="47"/>
      <c r="J30" s="52" t="str">
        <f>IF(INDEX($E$68:$E$79,1)&gt;0,INDEX($C$68:$C$79,1),"None in view")</f>
        <v>Valve body VB-2</v>
      </c>
      <c r="K30" s="52"/>
      <c r="L30" s="52"/>
    </row>
    <row r="31" spans="2:12" ht="21" customHeight="1" x14ac:dyDescent="0.25">
      <c r="B31" s="47"/>
      <c r="C31" s="47"/>
      <c r="D31" s="47"/>
      <c r="E31" s="47"/>
      <c r="F31" s="47"/>
      <c r="G31" s="47"/>
      <c r="H31" s="47"/>
      <c r="I31" s="47"/>
      <c r="J31" s="52"/>
      <c r="K31" s="52"/>
      <c r="L31" s="52"/>
    </row>
    <row r="32" spans="2:12" x14ac:dyDescent="0.25">
      <c r="B32" s="49" t="s">
        <v>300</v>
      </c>
      <c r="C32" s="49"/>
      <c r="D32" s="49" t="s">
        <v>301</v>
      </c>
      <c r="E32" s="49"/>
      <c r="F32" s="49"/>
      <c r="G32" s="49" t="str">
        <f>"Price more than "&amp;TEXT(LineLimit,"0.0%")&amp;" above standard"</f>
        <v>Price more than 3.0% above standard</v>
      </c>
      <c r="H32" s="49"/>
      <c r="I32" s="49"/>
      <c r="J32" s="49" t="s">
        <v>302</v>
      </c>
      <c r="K32" s="49"/>
      <c r="L32" s="49"/>
    </row>
    <row r="33" spans="2:12" ht="18" customHeight="1" x14ac:dyDescent="0.25">
      <c r="B33" s="51"/>
      <c r="C33" s="51"/>
      <c r="D33" s="51"/>
      <c r="E33" s="51"/>
      <c r="F33" s="51"/>
      <c r="G33" s="51"/>
      <c r="H33" s="51"/>
      <c r="I33" s="51"/>
      <c r="J33" s="51"/>
      <c r="K33" s="51"/>
      <c r="L33" s="51"/>
    </row>
    <row r="35" spans="2:12" x14ac:dyDescent="0.25">
      <c r="B35" s="30" t="s">
        <v>303</v>
      </c>
      <c r="C35" s="30"/>
      <c r="D35" s="30"/>
      <c r="E35" s="30"/>
      <c r="F35" s="30"/>
      <c r="G35" s="30"/>
      <c r="H35" s="30"/>
      <c r="I35" s="30"/>
      <c r="J35" s="30"/>
    </row>
    <row r="36" spans="2:12" ht="32" customHeight="1" x14ac:dyDescent="0.25">
      <c r="B36" s="53" t="s">
        <v>304</v>
      </c>
      <c r="C36" s="31" t="s">
        <v>305</v>
      </c>
      <c r="D36" s="31" t="s">
        <v>306</v>
      </c>
      <c r="E36" s="31" t="s">
        <v>307</v>
      </c>
      <c r="F36" s="31" t="s">
        <v>308</v>
      </c>
      <c r="G36" s="31" t="s">
        <v>309</v>
      </c>
      <c r="H36" s="31" t="s">
        <v>310</v>
      </c>
      <c r="I36" s="31" t="s">
        <v>311</v>
      </c>
      <c r="J36" s="31"/>
    </row>
    <row r="37" spans="2:12" ht="14" customHeight="1" x14ac:dyDescent="0.25">
      <c r="B37" s="32"/>
      <c r="C37" s="32" t="str">
        <f>Currency</f>
        <v>USD</v>
      </c>
      <c r="D37" s="32" t="str">
        <f>Currency</f>
        <v>USD</v>
      </c>
      <c r="E37" s="32" t="str">
        <f>Currency</f>
        <v>USD</v>
      </c>
      <c r="F37" s="32" t="str">
        <f>Currency</f>
        <v>USD</v>
      </c>
      <c r="G37" s="32" t="str">
        <f>Currency</f>
        <v>USD</v>
      </c>
      <c r="H37" s="32" t="s">
        <v>312</v>
      </c>
      <c r="I37" s="32"/>
      <c r="J37" s="32"/>
    </row>
    <row r="38" spans="2:12" x14ac:dyDescent="0.25">
      <c r="B38" s="54">
        <f>IF($B$39="","",IF($B$39&lt;=MIN(tblReceipts[View date]),"",EDATE($B$39,-1)))</f>
        <v>46113</v>
      </c>
      <c r="C38" s="55">
        <f>IF($B$38="","",SUMIFS(tblReceipts[Standard cost],tblReceipts[View date],"&gt;="&amp;$B$38,tblReceipts[View date],"&lt;"&amp;EDATE($B$38,1)))</f>
        <v>34155.2</v>
      </c>
      <c r="D38" s="55">
        <f>IF($B$38="","",SUMIFS(tblReceipts[Actual cost],tblReceipts[View date],"&gt;="&amp;$B$38,tblReceipts[View date],"&lt;"&amp;EDATE($B$38,1)))</f>
        <v>33926.43</v>
      </c>
      <c r="E38" s="55">
        <f>IF($B$38="","",SUMIFS(tblReceipts[PPV],tblReceipts[View date],"&gt;="&amp;$B$38,tblReceipts[View date],"&lt;"&amp;EDATE($B$38,1),tblReceipts[PPV],"&gt;0"))</f>
        <v>72.2299999999998</v>
      </c>
      <c r="F38" s="55">
        <f>IF($B$38="","",SUMIFS(tblReceipts[PPV],tblReceipts[View date],"&gt;="&amp;$B$38,tblReceipts[View date],"&lt;"&amp;EDATE($B$38,1),tblReceipts[PPV],"&lt;0"))</f>
        <v>-301</v>
      </c>
      <c r="G38" s="55">
        <f>IF($B$38="","",SUMIFS(tblReceipts[PPV],tblReceipts[View date],"&gt;="&amp;$B$38,tblReceipts[View date],"&lt;"&amp;EDATE($B$38,1)))</f>
        <v>-228.77</v>
      </c>
      <c r="H38" s="40">
        <f>IF($B$38="","",IF((SUMIFS(tblReceipts[Standard cost],tblReceipts[View date],"&gt;="&amp;$B$38,tblReceipts[View date],"&lt;"&amp;EDATE($B$38,1)))=0,"",(SUMIFS(tblReceipts[PPV],tblReceipts[View date],"&gt;="&amp;$B$38,tblReceipts[View date],"&lt;"&amp;EDATE($B$38,1)))/(SUMIFS(tblReceipts[Standard cost],tblReceipts[View date],"&gt;="&amp;$B$38,tblReceipts[View date],"&lt;"&amp;EDATE($B$38,1)))))</f>
        <v>-0.00669795521618962</v>
      </c>
      <c r="I38" s="41" t="str">
        <f>IF($B$38="","",IF($H$38="","",IF($H$38&lt;=PPVTol,"On target",IF($H$38&lt;=PPVTol+ABS(PPVTol)*0.05,"Near target","Above target"))))</f>
        <v>On target</v>
      </c>
      <c r="J38" s="41"/>
    </row>
    <row r="39" spans="2:12" x14ac:dyDescent="0.25">
      <c r="B39" s="54">
        <f>IF($B$40="","",IF($B$40&lt;=MIN(tblReceipts[View date]),"",EDATE($B$40,-1)))</f>
        <v>46143</v>
      </c>
      <c r="C39" s="55">
        <f>IF($B$39="","",SUMIFS(tblReceipts[Standard cost],tblReceipts[View date],"&gt;="&amp;$B$39,tblReceipts[View date],"&lt;"&amp;EDATE($B$39,1)))</f>
        <v>34742.7</v>
      </c>
      <c r="D39" s="55">
        <f>IF($B$39="","",SUMIFS(tblReceipts[Actual cost],tblReceipts[View date],"&gt;="&amp;$B$39,tblReceipts[View date],"&lt;"&amp;EDATE($B$39,1)))</f>
        <v>34777.86</v>
      </c>
      <c r="E39" s="55">
        <f>IF($B$39="","",SUMIFS(tblReceipts[PPV],tblReceipts[View date],"&gt;="&amp;$B$39,tblReceipts[View date],"&lt;"&amp;EDATE($B$39,1),tblReceipts[PPV],"&gt;0"))</f>
        <v>148.53</v>
      </c>
      <c r="F39" s="55">
        <f>IF($B$39="","",SUMIFS(tblReceipts[PPV],tblReceipts[View date],"&gt;="&amp;$B$39,tblReceipts[View date],"&lt;"&amp;EDATE($B$39,1),tblReceipts[PPV],"&lt;0"))</f>
        <v>-113.37</v>
      </c>
      <c r="G39" s="55">
        <f>IF($B$39="","",SUMIFS(tblReceipts[PPV],tblReceipts[View date],"&gt;="&amp;$B$39,tblReceipts[View date],"&lt;"&amp;EDATE($B$39,1)))</f>
        <v>35.1600000000007</v>
      </c>
      <c r="H39" s="40">
        <f>IF($B$39="","",IF((SUMIFS(tblReceipts[Standard cost],tblReceipts[View date],"&gt;="&amp;$B$39,tblReceipts[View date],"&lt;"&amp;EDATE($B$39,1)))=0,"",(SUMIFS(tblReceipts[PPV],tblReceipts[View date],"&gt;="&amp;$B$39,tblReceipts[View date],"&lt;"&amp;EDATE($B$39,1)))/(SUMIFS(tblReceipts[Standard cost],tblReceipts[View date],"&gt;="&amp;$B$39,tblReceipts[View date],"&lt;"&amp;EDATE($B$39,1)))))</f>
        <v>0.00101201115630048</v>
      </c>
      <c r="I39" s="41" t="str">
        <f>IF($B$39="","",IF($H$39="","",IF($H$39&lt;=PPVTol,"On target",IF($H$39&lt;=PPVTol+ABS(PPVTol)*0.05,"Near target","Above target"))))</f>
        <v>On target</v>
      </c>
      <c r="J39" s="41"/>
    </row>
    <row r="40" spans="2:12" x14ac:dyDescent="0.25">
      <c r="B40" s="54">
        <f>IF($B$41="","",IF($B$41&lt;=MIN(tblReceipts[View date]),"",EDATE($B$41,-1)))</f>
        <v>46174</v>
      </c>
      <c r="C40" s="55">
        <f>IF($B$40="","",SUMIFS(tblReceipts[Standard cost],tblReceipts[View date],"&gt;="&amp;$B$40,tblReceipts[View date],"&lt;"&amp;EDATE($B$40,1)))</f>
        <v>40937.5</v>
      </c>
      <c r="D40" s="55">
        <f>IF($B$40="","",SUMIFS(tblReceipts[Actual cost],tblReceipts[View date],"&gt;="&amp;$B$40,tblReceipts[View date],"&lt;"&amp;EDATE($B$40,1)))</f>
        <v>41054.67</v>
      </c>
      <c r="E40" s="55">
        <f>IF($B$40="","",SUMIFS(tblReceipts[PPV],tblReceipts[View date],"&gt;="&amp;$B$40,tblReceipts[View date],"&lt;"&amp;EDATE($B$40,1),tblReceipts[PPV],"&gt;0"))</f>
        <v>340.000000000002</v>
      </c>
      <c r="F40" s="55">
        <f>IF($B$40="","",SUMIFS(tblReceipts[PPV],tblReceipts[View date],"&gt;="&amp;$B$40,tblReceipts[View date],"&lt;"&amp;EDATE($B$40,1),tblReceipts[PPV],"&lt;0"))</f>
        <v>-222.83</v>
      </c>
      <c r="G40" s="55">
        <f>IF($B$40="","",SUMIFS(tblReceipts[PPV],tblReceipts[View date],"&gt;="&amp;$B$40,tblReceipts[View date],"&lt;"&amp;EDATE($B$40,1)))</f>
        <v>117.170000000002</v>
      </c>
      <c r="H40" s="40">
        <f>IF($B$40="","",IF((SUMIFS(tblReceipts[Standard cost],tblReceipts[View date],"&gt;="&amp;$B$40,tblReceipts[View date],"&lt;"&amp;EDATE($B$40,1)))=0,"",(SUMIFS(tblReceipts[PPV],tblReceipts[View date],"&gt;="&amp;$B$40,tblReceipts[View date],"&lt;"&amp;EDATE($B$40,1)))/(SUMIFS(tblReceipts[Standard cost],tblReceipts[View date],"&gt;="&amp;$B$40,tblReceipts[View date],"&lt;"&amp;EDATE($B$40,1)))))</f>
        <v>0.00286216793893135</v>
      </c>
      <c r="I40" s="41" t="str">
        <f>IF($B$40="","",IF($H$40="","",IF($H$40&lt;=PPVTol,"On target",IF($H$40&lt;=PPVTol+ABS(PPVTol)*0.05,"Near target","Above target"))))</f>
        <v>On target</v>
      </c>
      <c r="J40" s="41"/>
    </row>
    <row r="41" spans="2:12" x14ac:dyDescent="0.25">
      <c r="B41" s="54">
        <f>IF($B$42="","",IF($B$42&lt;=MIN(tblReceipts[View date]),"",EDATE($B$42,-1)))</f>
        <v>46204</v>
      </c>
      <c r="C41" s="55">
        <f>IF($B$41="","",SUMIFS(tblReceipts[Standard cost],tblReceipts[View date],"&gt;="&amp;$B$41,tblReceipts[View date],"&lt;"&amp;EDATE($B$41,1)))</f>
        <v>37460.7</v>
      </c>
      <c r="D41" s="55">
        <f>IF($B$41="","",SUMIFS(tblReceipts[Actual cost],tblReceipts[View date],"&gt;="&amp;$B$41,tblReceipts[View date],"&lt;"&amp;EDATE($B$41,1)))</f>
        <v>38453.9</v>
      </c>
      <c r="E41" s="55">
        <f>IF($B$41="","",SUMIFS(tblReceipts[PPV],tblReceipts[View date],"&gt;="&amp;$B$41,tblReceipts[View date],"&lt;"&amp;EDATE($B$41,1),tblReceipts[PPV],"&gt;0"))</f>
        <v>1155.11</v>
      </c>
      <c r="F41" s="55">
        <f>IF($B$41="","",SUMIFS(tblReceipts[PPV],tblReceipts[View date],"&gt;="&amp;$B$41,tblReceipts[View date],"&lt;"&amp;EDATE($B$41,1),tblReceipts[PPV],"&lt;0"))</f>
        <v>-161.91</v>
      </c>
      <c r="G41" s="55">
        <f>IF($B$41="","",SUMIFS(tblReceipts[PPV],tblReceipts[View date],"&gt;="&amp;$B$41,tblReceipts[View date],"&lt;"&amp;EDATE($B$41,1)))</f>
        <v>993.200000000001</v>
      </c>
      <c r="H41" s="40">
        <f>IF($B$41="","",IF((SUMIFS(tblReceipts[Standard cost],tblReceipts[View date],"&gt;="&amp;$B$41,tblReceipts[View date],"&lt;"&amp;EDATE($B$41,1)))=0,"",(SUMIFS(tblReceipts[PPV],tblReceipts[View date],"&gt;="&amp;$B$41,tblReceipts[View date],"&lt;"&amp;EDATE($B$41,1)))/(SUMIFS(tblReceipts[Standard cost],tblReceipts[View date],"&gt;="&amp;$B$41,tblReceipts[View date],"&lt;"&amp;EDATE($B$41,1)))))</f>
        <v>0.0265131190821314</v>
      </c>
      <c r="I41" s="41" t="str">
        <f>IF($B$41="","",IF($H$41="","",IF($H$41&lt;=PPVTol,"On target",IF($H$41&lt;=PPVTol+ABS(PPVTol)*0.05,"Near target","Above target"))))</f>
        <v>Above target</v>
      </c>
      <c r="J41" s="41"/>
    </row>
    <row r="42" spans="2:12" x14ac:dyDescent="0.25">
      <c r="B42" s="54">
        <f>IF($B$43="","",IF($B$43&lt;=MIN(tblReceipts[View date]),"",EDATE($B$43,-1)))</f>
        <v>46235</v>
      </c>
      <c r="C42" s="55">
        <f>IF($B$42="","",SUMIFS(tblReceipts[Standard cost],tblReceipts[View date],"&gt;="&amp;$B$42,tblReceipts[View date],"&lt;"&amp;EDATE($B$42,1)))</f>
        <v>47526.7</v>
      </c>
      <c r="D42" s="55">
        <f>IF($B$42="","",SUMIFS(tblReceipts[Actual cost],tblReceipts[View date],"&gt;="&amp;$B$42,tblReceipts[View date],"&lt;"&amp;EDATE($B$42,1)))</f>
        <v>49317.45</v>
      </c>
      <c r="E42" s="55">
        <f>IF($B$42="","",SUMIFS(tblReceipts[PPV],tblReceipts[View date],"&gt;="&amp;$B$42,tblReceipts[View date],"&lt;"&amp;EDATE($B$42,1),tblReceipts[PPV],"&gt;0"))</f>
        <v>1970.15</v>
      </c>
      <c r="F42" s="55">
        <f>IF($B$42="","",SUMIFS(tblReceipts[PPV],tblReceipts[View date],"&gt;="&amp;$B$42,tblReceipts[View date],"&lt;"&amp;EDATE($B$42,1),tblReceipts[PPV],"&lt;0"))</f>
        <v>-179.4</v>
      </c>
      <c r="G42" s="55">
        <f>IF($B$42="","",SUMIFS(tblReceipts[PPV],tblReceipts[View date],"&gt;="&amp;$B$42,tblReceipts[View date],"&lt;"&amp;EDATE($B$42,1)))</f>
        <v>1790.75</v>
      </c>
      <c r="H42" s="40">
        <f>IF($B$42="","",IF((SUMIFS(tblReceipts[Standard cost],tblReceipts[View date],"&gt;="&amp;$B$42,tblReceipts[View date],"&lt;"&amp;EDATE($B$42,1)))=0,"",(SUMIFS(tblReceipts[PPV],tblReceipts[View date],"&gt;="&amp;$B$42,tblReceipts[View date],"&lt;"&amp;EDATE($B$42,1)))/(SUMIFS(tblReceipts[Standard cost],tblReceipts[View date],"&gt;="&amp;$B$42,tblReceipts[View date],"&lt;"&amp;EDATE($B$42,1)))))</f>
        <v>0.0376788205366668</v>
      </c>
      <c r="I42" s="41" t="str">
        <f>IF($B$42="","",IF($H$42="","",IF($H$42&lt;=PPVTol,"On target",IF($H$42&lt;=PPVTol+ABS(PPVTol)*0.05,"Near target","Above target"))))</f>
        <v>Above target</v>
      </c>
      <c r="J42" s="41"/>
    </row>
    <row r="43" spans="2:12" x14ac:dyDescent="0.25">
      <c r="B43" s="54">
        <f>IF(COUNT(tblReceipts[View date])=0,"",DATE(YEAR(MAX(tblReceipts[View date])),MONTH(MAX(tblReceipts[View date])),1))</f>
        <v>46266</v>
      </c>
      <c r="C43" s="55">
        <f>IF($B$43="","",SUMIFS(tblReceipts[Standard cost],tblReceipts[View date],"&gt;="&amp;$B$43,tblReceipts[View date],"&lt;"&amp;EDATE($B$43,1)))</f>
        <v>47786.8</v>
      </c>
      <c r="D43" s="55">
        <f>IF($B$43="","",SUMIFS(tblReceipts[Actual cost],tblReceipts[View date],"&gt;="&amp;$B$43,tblReceipts[View date],"&lt;"&amp;EDATE($B$43,1)))</f>
        <v>49984.08</v>
      </c>
      <c r="E43" s="55">
        <f>IF($B$43="","",SUMIFS(tblReceipts[PPV],tblReceipts[View date],"&gt;="&amp;$B$43,tblReceipts[View date],"&lt;"&amp;EDATE($B$43,1),tblReceipts[PPV],"&gt;0"))</f>
        <v>2386.92</v>
      </c>
      <c r="F43" s="55">
        <f>IF($B$43="","",SUMIFS(tblReceipts[PPV],tblReceipts[View date],"&gt;="&amp;$B$43,tblReceipts[View date],"&lt;"&amp;EDATE($B$43,1),tblReceipts[PPV],"&lt;0"))</f>
        <v>-189.64</v>
      </c>
      <c r="G43" s="55">
        <f>IF($B$43="","",SUMIFS(tblReceipts[PPV],tblReceipts[View date],"&gt;="&amp;$B$43,tblReceipts[View date],"&lt;"&amp;EDATE($B$43,1)))</f>
        <v>2197.28</v>
      </c>
      <c r="H43" s="40">
        <f>IF($B$43="","",IF((SUMIFS(tblReceipts[Standard cost],tblReceipts[View date],"&gt;="&amp;$B$43,tblReceipts[View date],"&lt;"&amp;EDATE($B$43,1)))=0,"",(SUMIFS(tblReceipts[PPV],tblReceipts[View date],"&gt;="&amp;$B$43,tblReceipts[View date],"&lt;"&amp;EDATE($B$43,1)))/(SUMIFS(tblReceipts[Standard cost],tblReceipts[View date],"&gt;="&amp;$B$43,tblReceipts[View date],"&lt;"&amp;EDATE($B$43,1)))))</f>
        <v>0.0459808984907966</v>
      </c>
      <c r="I43" s="41" t="str">
        <f>IF($B$43="","",IF($H$43="","",IF($H$43&lt;=PPVTol,"On target",IF($H$43&lt;=PPVTol+ABS(PPVTol)*0.05,"Near target","Above target"))))</f>
        <v>Above target</v>
      </c>
      <c r="J43" s="41"/>
    </row>
    <row r="45" spans="2:12" x14ac:dyDescent="0.25">
      <c r="B45" s="30" t="s">
        <v>313</v>
      </c>
      <c r="C45" s="30"/>
      <c r="D45" s="30"/>
      <c r="E45" s="30"/>
      <c r="F45" s="30"/>
      <c r="G45" s="30"/>
      <c r="H45" s="30"/>
      <c r="I45" s="30"/>
      <c r="J45" s="30"/>
    </row>
    <row r="46" spans="2:12" ht="32" customHeight="1" x14ac:dyDescent="0.25">
      <c r="B46" s="53" t="s">
        <v>60</v>
      </c>
      <c r="C46" s="31" t="s">
        <v>305</v>
      </c>
      <c r="D46" s="31" t="s">
        <v>306</v>
      </c>
      <c r="E46" s="31" t="s">
        <v>314</v>
      </c>
      <c r="F46" s="31" t="s">
        <v>315</v>
      </c>
      <c r="G46" s="31" t="s">
        <v>309</v>
      </c>
      <c r="H46" s="31" t="s">
        <v>310</v>
      </c>
      <c r="I46" s="31" t="s">
        <v>316</v>
      </c>
      <c r="J46" s="31" t="s">
        <v>317</v>
      </c>
    </row>
    <row r="47" spans="2:12" ht="14" customHeight="1" x14ac:dyDescent="0.25">
      <c r="B47" s="32"/>
      <c r="C47" s="32" t="str">
        <f>Currency</f>
        <v>USD</v>
      </c>
      <c r="D47" s="32" t="str">
        <f>Currency</f>
        <v>USD</v>
      </c>
      <c r="E47" s="32" t="str">
        <f>Currency</f>
        <v>USD</v>
      </c>
      <c r="F47" s="32" t="str">
        <f>Currency</f>
        <v>USD</v>
      </c>
      <c r="G47" s="32" t="str">
        <f>Currency</f>
        <v>USD</v>
      </c>
      <c r="H47" s="32" t="s">
        <v>312</v>
      </c>
      <c r="I47" s="32" t="s">
        <v>318</v>
      </c>
      <c r="J47" s="32" t="s">
        <v>318</v>
      </c>
    </row>
    <row r="48" spans="2:12" x14ac:dyDescent="0.25">
      <c r="B48" s="56" t="str">
        <f>IFERROR(INDEX(tblSuppliers[Supplier],1)&amp;"","")</f>
        <v>Harlow Foundry</v>
      </c>
      <c r="C48" s="55">
        <f>IF($B$48="","",SUMIFS(tblReceipts[Standard cost],tblReceipts[Supplier],$B$48,tblReceipts[View date],"&gt;0"))</f>
        <v>104728.5</v>
      </c>
      <c r="D48" s="55">
        <f>IF($B$48="","",SUMIFS(tblReceipts[Actual cost],tblReceipts[Supplier],$B$48,tblReceipts[View date],"&gt;0"))</f>
        <v>107981.6</v>
      </c>
      <c r="E48" s="55">
        <f>IF($B$48="","",SUMIFS(tblReceipts[PPV],tblReceipts[Supplier],$B$48,tblReceipts[View date],"&gt;0",tblReceipts[PPV],"&gt;0"))</f>
        <v>3331.7</v>
      </c>
      <c r="F48" s="55">
        <f>IF($B$48="","",SUMIFS(tblReceipts[PPV],tblReceipts[Supplier],$B$48,tblReceipts[View date],"&gt;0",tblReceipts[PPV],"&lt;0"))</f>
        <v>-78.5999999999991</v>
      </c>
      <c r="G48" s="55">
        <f>IF($B$48="","",SUMIFS(tblReceipts[PPV],tblReceipts[Supplier],$B$48,tblReceipts[View date],"&gt;0"))</f>
        <v>3253.1</v>
      </c>
      <c r="H48" s="40">
        <f>IF($B$48="","",IF((SUMIFS(tblReceipts[Standard cost],tblReceipts[Supplier],$B$48,tblReceipts[View date],"&gt;0"))=0,"",(SUMIFS(tblReceipts[PPV],tblReceipts[Supplier],$B$48,tblReceipts[View date],"&gt;0"))/(SUMIFS(tblReceipts[Standard cost],tblReceipts[Supplier],$B$48,tblReceipts[View date],"&gt;0"))))</f>
        <v>0.0310622227951322</v>
      </c>
      <c r="I48" s="55">
        <f>IF($B$48="","",COUNTIFS(tblReceipts[Supplier],$B$48,tblReceipts[View date],"&gt;0"))</f>
        <v>36</v>
      </c>
      <c r="J48" s="55">
        <f>IF($B$48="","",COUNTIFS(tblReceipts[Supplier],$B$48,tblReceipts[Line status],"Above target",tblReceipts[View date],"&gt;0"))</f>
        <v>18</v>
      </c>
    </row>
    <row r="49" spans="2:10" x14ac:dyDescent="0.25">
      <c r="B49" s="56" t="str">
        <f>IFERROR(INDEX(tblSuppliers[Supplier],2)&amp;"","")</f>
        <v>Vantor Metals</v>
      </c>
      <c r="C49" s="55">
        <f>IF($B$49="","",SUMIFS(tblReceipts[Standard cost],tblReceipts[Supplier],$B$49,tblReceipts[View date],"&gt;0"))</f>
        <v>45796.1</v>
      </c>
      <c r="D49" s="55">
        <f>IF($B$49="","",SUMIFS(tblReceipts[Actual cost],tblReceipts[Supplier],$B$49,tblReceipts[View date],"&gt;0"))</f>
        <v>46068.48</v>
      </c>
      <c r="E49" s="55">
        <f>IF($B$49="","",SUMIFS(tblReceipts[PPV],tblReceipts[Supplier],$B$49,tblReceipts[View date],"&gt;0",tblReceipts[PPV],"&gt;0"))</f>
        <v>510.320000000001</v>
      </c>
      <c r="F49" s="55">
        <f>IF($B$49="","",SUMIFS(tblReceipts[PPV],tblReceipts[Supplier],$B$49,tblReceipts[View date],"&gt;0",tblReceipts[PPV],"&lt;0"))</f>
        <v>-237.939999999999</v>
      </c>
      <c r="G49" s="55">
        <f>IF($B$49="","",SUMIFS(tblReceipts[PPV],tblReceipts[Supplier],$B$49,tblReceipts[View date],"&gt;0"))</f>
        <v>272.380000000002</v>
      </c>
      <c r="H49" s="40">
        <f>IF($B$49="","",IF((SUMIFS(tblReceipts[Standard cost],tblReceipts[Supplier],$B$49,tblReceipts[View date],"&gt;0"))=0,"",(SUMIFS(tblReceipts[PPV],tblReceipts[Supplier],$B$49,tblReceipts[View date],"&gt;0"))/(SUMIFS(tblReceipts[Standard cost],tblReceipts[Supplier],$B$49,tblReceipts[View date],"&gt;0"))))</f>
        <v>0.00594766803286747</v>
      </c>
      <c r="I49" s="55">
        <f>IF($B$49="","",COUNTIFS(tblReceipts[Supplier],$B$49,tblReceipts[View date],"&gt;0"))</f>
        <v>12</v>
      </c>
      <c r="J49" s="55">
        <f>IF($B$49="","",COUNTIFS(tblReceipts[Supplier],$B$49,tblReceipts[Line status],"Above target",tblReceipts[View date],"&gt;0"))</f>
        <v>1</v>
      </c>
    </row>
    <row r="50" spans="2:10" x14ac:dyDescent="0.25">
      <c r="B50" s="56" t="str">
        <f>IFERROR(INDEX(tblSuppliers[Supplier],3)&amp;"","")</f>
        <v>Pellan Seals</v>
      </c>
      <c r="C50" s="55">
        <f>IF($B$50="","",SUMIFS(tblReceipts[Standard cost],tblReceipts[Supplier],$B$50,tblReceipts[View date],"&gt;0"))</f>
        <v>24188.9</v>
      </c>
      <c r="D50" s="55">
        <f>IF($B$50="","",SUMIFS(tblReceipts[Actual cost],tblReceipts[Supplier],$B$50,tblReceipts[View date],"&gt;0"))</f>
        <v>24182.88</v>
      </c>
      <c r="E50" s="55">
        <f>IF($B$50="","",SUMIFS(tblReceipts[PPV],tblReceipts[Supplier],$B$50,tblReceipts[View date],"&gt;0",tblReceipts[PPV],"&gt;0"))</f>
        <v>43.8799999999999</v>
      </c>
      <c r="F50" s="55">
        <f>IF($B$50="","",SUMIFS(tblReceipts[PPV],tblReceipts[Supplier],$B$50,tblReceipts[View date],"&gt;0",tblReceipts[PPV],"&lt;0"))</f>
        <v>-49.9000000000005</v>
      </c>
      <c r="G50" s="55">
        <f>IF($B$50="","",SUMIFS(tblReceipts[PPV],tblReceipts[Supplier],$B$50,tblReceipts[View date],"&gt;0"))</f>
        <v>-6.02000000000056</v>
      </c>
      <c r="H50" s="40">
        <f>IF($B$50="","",IF((SUMIFS(tblReceipts[Standard cost],tblReceipts[Supplier],$B$50,tblReceipts[View date],"&gt;0"))=0,"",(SUMIFS(tblReceipts[PPV],tblReceipts[Supplier],$B$50,tblReceipts[View date],"&gt;0"))/(SUMIFS(tblReceipts[Standard cost],tblReceipts[Supplier],$B$50,tblReceipts[View date],"&gt;0"))))</f>
        <v>-0.000248874483750834</v>
      </c>
      <c r="I50" s="55">
        <f>IF($B$50="","",COUNTIFS(tblReceipts[Supplier],$B$50,tblReceipts[View date],"&gt;0"))</f>
        <v>24</v>
      </c>
      <c r="J50" s="55">
        <f>IF($B$50="","",COUNTIFS(tblReceipts[Supplier],$B$50,tblReceipts[Line status],"Above target",tblReceipts[View date],"&gt;0"))</f>
        <v>0</v>
      </c>
    </row>
    <row r="51" spans="2:10" x14ac:dyDescent="0.25">
      <c r="B51" s="56" t="str">
        <f>IFERROR(INDEX(tblSuppliers[Supplier],4)&amp;"","")</f>
        <v>Gritton Fasteners</v>
      </c>
      <c r="C51" s="55">
        <f>IF($B$51="","",SUMIFS(tblReceipts[Standard cost],tblReceipts[Supplier],$B$51,tblReceipts[View date],"&gt;0"))</f>
        <v>10106.5</v>
      </c>
      <c r="D51" s="55">
        <f>IF($B$51="","",SUMIFS(tblReceipts[Actual cost],tblReceipts[Supplier],$B$51,tblReceipts[View date],"&gt;0"))</f>
        <v>9679.78</v>
      </c>
      <c r="E51" s="55">
        <f>IF($B$51="","",SUMIFS(tblReceipts[PPV],tblReceipts[Supplier],$B$51,tblReceipts[View date],"&gt;0",tblReceipts[PPV],"&gt;0"))</f>
        <v>49.28</v>
      </c>
      <c r="F51" s="55">
        <f>IF($B$51="","",SUMIFS(tblReceipts[PPV],tblReceipts[Supplier],$B$51,tblReceipts[View date],"&gt;0",tblReceipts[PPV],"&lt;0"))</f>
        <v>-476</v>
      </c>
      <c r="G51" s="55">
        <f>IF($B$51="","",SUMIFS(tblReceipts[PPV],tblReceipts[Supplier],$B$51,tblReceipts[View date],"&gt;0"))</f>
        <v>-426.72</v>
      </c>
      <c r="H51" s="40">
        <f>IF($B$51="","",IF((SUMIFS(tblReceipts[Standard cost],tblReceipts[Supplier],$B$51,tblReceipts[View date],"&gt;0"))=0,"",(SUMIFS(tblReceipts[PPV],tblReceipts[Supplier],$B$51,tblReceipts[View date],"&gt;0"))/(SUMIFS(tblReceipts[Standard cost],tblReceipts[Supplier],$B$51,tblReceipts[View date],"&gt;0"))))</f>
        <v>-0.0422223321624697</v>
      </c>
      <c r="I51" s="55">
        <f>IF($B$51="","",COUNTIFS(tblReceipts[Supplier],$B$51,tblReceipts[View date],"&gt;0"))</f>
        <v>6</v>
      </c>
      <c r="J51" s="55">
        <f>IF($B$51="","",COUNTIFS(tblReceipts[Supplier],$B$51,tblReceipts[Line status],"Above target",tblReceipts[View date],"&gt;0"))</f>
        <v>0</v>
      </c>
    </row>
    <row r="52" spans="2:10" x14ac:dyDescent="0.25">
      <c r="B52" s="56" t="str">
        <f>IFERROR(INDEX(tblSuppliers[Supplier],5)&amp;"","")</f>
        <v>Kelso Electronics</v>
      </c>
      <c r="C52" s="55">
        <f>IF($B$52="","",SUMIFS(tblReceipts[Standard cost],tblReceipts[Supplier],$B$52,tblReceipts[View date],"&gt;0"))</f>
        <v>44416.2</v>
      </c>
      <c r="D52" s="55">
        <f>IF($B$52="","",SUMIFS(tblReceipts[Actual cost],tblReceipts[Supplier],$B$52,tblReceipts[View date],"&gt;0"))</f>
        <v>46529.25</v>
      </c>
      <c r="E52" s="55">
        <f>IF($B$52="","",SUMIFS(tblReceipts[PPV],tblReceipts[Supplier],$B$52,tblReceipts[View date],"&gt;0",tblReceipts[PPV],"&gt;0"))</f>
        <v>2137.76</v>
      </c>
      <c r="F52" s="55">
        <f>IF($B$52="","",SUMIFS(tblReceipts[PPV],tblReceipts[Supplier],$B$52,tblReceipts[View date],"&gt;0",tblReceipts[PPV],"&lt;0"))</f>
        <v>-24.7100000000001</v>
      </c>
      <c r="G52" s="55">
        <f>IF($B$52="","",SUMIFS(tblReceipts[PPV],tblReceipts[Supplier],$B$52,tblReceipts[View date],"&gt;0"))</f>
        <v>2113.05</v>
      </c>
      <c r="H52" s="40">
        <f>IF($B$52="","",IF((SUMIFS(tblReceipts[Standard cost],tblReceipts[Supplier],$B$52,tblReceipts[View date],"&gt;0"))=0,"",(SUMIFS(tblReceipts[PPV],tblReceipts[Supplier],$B$52,tblReceipts[View date],"&gt;0"))/(SUMIFS(tblReceipts[Standard cost],tblReceipts[Supplier],$B$52,tblReceipts[View date],"&gt;0"))))</f>
        <v>0.0475738581868778</v>
      </c>
      <c r="I52" s="55">
        <f>IF($B$52="","",COUNTIFS(tblReceipts[Supplier],$B$52,tblReceipts[View date],"&gt;0"))</f>
        <v>16</v>
      </c>
      <c r="J52" s="55">
        <f>IF($B$52="","",COUNTIFS(tblReceipts[Supplier],$B$52,tblReceipts[Line status],"Above target",tblReceipts[View date],"&gt;0"))</f>
        <v>8</v>
      </c>
    </row>
    <row r="53" spans="2:10" x14ac:dyDescent="0.25">
      <c r="B53" s="56" t="str">
        <f>IFERROR(INDEX(tblSuppliers[Supplier],6)&amp;"","")</f>
        <v>Ambry Packaging</v>
      </c>
      <c r="C53" s="55">
        <f>IF($B$53="","",SUMIFS(tblReceipts[Standard cost],tblReceipts[Supplier],$B$53,tblReceipts[View date],"&gt;0"))</f>
        <v>13373.4</v>
      </c>
      <c r="D53" s="55">
        <f>IF($B$53="","",SUMIFS(tblReceipts[Actual cost],tblReceipts[Supplier],$B$53,tblReceipts[View date],"&gt;0"))</f>
        <v>13072.4</v>
      </c>
      <c r="E53" s="55">
        <f>IF($B$53="","",SUMIFS(tblReceipts[PPV],tblReceipts[Supplier],$B$53,tblReceipts[View date],"&gt;0",tblReceipts[PPV],"&gt;0"))</f>
        <v>0</v>
      </c>
      <c r="F53" s="55">
        <f>IF($B$53="","",SUMIFS(tblReceipts[PPV],tblReceipts[Supplier],$B$53,tblReceipts[View date],"&gt;0",tblReceipts[PPV],"&lt;0"))</f>
        <v>-301</v>
      </c>
      <c r="G53" s="55">
        <f>IF($B$53="","",SUMIFS(tblReceipts[PPV],tblReceipts[Supplier],$B$53,tblReceipts[View date],"&gt;0"))</f>
        <v>-301</v>
      </c>
      <c r="H53" s="40">
        <f>IF($B$53="","",IF((SUMIFS(tblReceipts[Standard cost],tblReceipts[Supplier],$B$53,tblReceipts[View date],"&gt;0"))=0,"",(SUMIFS(tblReceipts[PPV],tblReceipts[Supplier],$B$53,tblReceipts[View date],"&gt;0"))/(SUMIFS(tblReceipts[Standard cost],tblReceipts[Supplier],$B$53,tblReceipts[View date],"&gt;0"))))</f>
        <v>-0.022507365367072</v>
      </c>
      <c r="I53" s="55">
        <f>IF($B$53="","",COUNTIFS(tblReceipts[Supplier],$B$53,tblReceipts[View date],"&gt;0"))</f>
        <v>24</v>
      </c>
      <c r="J53" s="55">
        <f>IF($B$53="","",COUNTIFS(tblReceipts[Supplier],$B$53,tblReceipts[Line status],"Above target",tblReceipts[View date],"&gt;0"))</f>
        <v>0</v>
      </c>
    </row>
    <row r="55" spans="2:10" x14ac:dyDescent="0.25">
      <c r="B55" s="30" t="s">
        <v>319</v>
      </c>
      <c r="C55" s="30"/>
      <c r="D55" s="30"/>
      <c r="E55" s="30"/>
      <c r="F55" s="30"/>
      <c r="G55" s="30"/>
      <c r="H55" s="30"/>
      <c r="I55" s="30"/>
      <c r="J55" s="30"/>
    </row>
    <row r="56" spans="2:10" ht="32" customHeight="1" x14ac:dyDescent="0.25">
      <c r="B56" s="53" t="s">
        <v>65</v>
      </c>
      <c r="C56" s="31" t="s">
        <v>305</v>
      </c>
      <c r="D56" s="31" t="s">
        <v>306</v>
      </c>
      <c r="E56" s="31" t="s">
        <v>314</v>
      </c>
      <c r="F56" s="31" t="s">
        <v>315</v>
      </c>
      <c r="G56" s="31" t="s">
        <v>309</v>
      </c>
      <c r="H56" s="31" t="s">
        <v>310</v>
      </c>
      <c r="I56" s="31" t="s">
        <v>316</v>
      </c>
      <c r="J56" s="31" t="s">
        <v>317</v>
      </c>
    </row>
    <row r="57" spans="2:10" ht="14" customHeight="1" x14ac:dyDescent="0.25">
      <c r="B57" s="32"/>
      <c r="C57" s="32" t="str">
        <f>Currency</f>
        <v>USD</v>
      </c>
      <c r="D57" s="32" t="str">
        <f>Currency</f>
        <v>USD</v>
      </c>
      <c r="E57" s="32" t="str">
        <f>Currency</f>
        <v>USD</v>
      </c>
      <c r="F57" s="32" t="str">
        <f>Currency</f>
        <v>USD</v>
      </c>
      <c r="G57" s="32" t="str">
        <f>Currency</f>
        <v>USD</v>
      </c>
      <c r="H57" s="32" t="s">
        <v>312</v>
      </c>
      <c r="I57" s="32" t="s">
        <v>318</v>
      </c>
      <c r="J57" s="32" t="s">
        <v>318</v>
      </c>
    </row>
    <row r="58" spans="2:10" x14ac:dyDescent="0.25">
      <c r="B58" s="56" t="str">
        <f>IFERROR(INDEX(tblCategories[Category],1)&amp;"","")</f>
        <v>Castings</v>
      </c>
      <c r="C58" s="55">
        <f>IF($B$58="","",SUMIFS(tblReceipts[Standard cost],tblReceipts[Category],$B$58,tblReceipts[View date],"&gt;0"))</f>
        <v>104728.5</v>
      </c>
      <c r="D58" s="55">
        <f>IF($B$58="","",SUMIFS(tblReceipts[Actual cost],tblReceipts[Category],$B$58,tblReceipts[View date],"&gt;0"))</f>
        <v>107981.6</v>
      </c>
      <c r="E58" s="55">
        <f>IF($B$58="","",SUMIFS(tblReceipts[PPV],tblReceipts[Category],$B$58,tblReceipts[View date],"&gt;0",tblReceipts[PPV],"&gt;0"))</f>
        <v>3331.7</v>
      </c>
      <c r="F58" s="55">
        <f>IF($B$58="","",SUMIFS(tblReceipts[PPV],tblReceipts[Category],$B$58,tblReceipts[View date],"&gt;0",tblReceipts[PPV],"&lt;0"))</f>
        <v>-78.5999999999991</v>
      </c>
      <c r="G58" s="55">
        <f>IF($B$58="","",SUMIFS(tblReceipts[PPV],tblReceipts[Category],$B$58,tblReceipts[View date],"&gt;0"))</f>
        <v>3253.1</v>
      </c>
      <c r="H58" s="40">
        <f>IF($B$58="","",IF((SUMIFS(tblReceipts[Standard cost],tblReceipts[Category],$B$58,tblReceipts[View date],"&gt;0"))=0,"",(SUMIFS(tblReceipts[PPV],tblReceipts[Category],$B$58,tblReceipts[View date],"&gt;0"))/(SUMIFS(tblReceipts[Standard cost],tblReceipts[Category],$B$58,tblReceipts[View date],"&gt;0"))))</f>
        <v>0.0310622227951322</v>
      </c>
      <c r="I58" s="55">
        <f>IF($B$58="","",COUNTIFS(tblReceipts[Category],$B$58,tblReceipts[View date],"&gt;0"))</f>
        <v>36</v>
      </c>
      <c r="J58" s="55">
        <f>IF($B$58="","",COUNTIFS(tblReceipts[Category],$B$58,tblReceipts[Line status],"Above target",tblReceipts[View date],"&gt;0"))</f>
        <v>18</v>
      </c>
    </row>
    <row r="59" spans="2:10" x14ac:dyDescent="0.25">
      <c r="B59" s="56" t="str">
        <f>IFERROR(INDEX(tblCategories[Category],2)&amp;"","")</f>
        <v>Bar stock</v>
      </c>
      <c r="C59" s="55">
        <f>IF($B$59="","",SUMIFS(tblReceipts[Standard cost],tblReceipts[Category],$B$59,tblReceipts[View date],"&gt;0"))</f>
        <v>45796.1</v>
      </c>
      <c r="D59" s="55">
        <f>IF($B$59="","",SUMIFS(tblReceipts[Actual cost],tblReceipts[Category],$B$59,tblReceipts[View date],"&gt;0"))</f>
        <v>46068.48</v>
      </c>
      <c r="E59" s="55">
        <f>IF($B$59="","",SUMIFS(tblReceipts[PPV],tblReceipts[Category],$B$59,tblReceipts[View date],"&gt;0",tblReceipts[PPV],"&gt;0"))</f>
        <v>510.320000000001</v>
      </c>
      <c r="F59" s="55">
        <f>IF($B$59="","",SUMIFS(tblReceipts[PPV],tblReceipts[Category],$B$59,tblReceipts[View date],"&gt;0",tblReceipts[PPV],"&lt;0"))</f>
        <v>-237.939999999999</v>
      </c>
      <c r="G59" s="55">
        <f>IF($B$59="","",SUMIFS(tblReceipts[PPV],tblReceipts[Category],$B$59,tblReceipts[View date],"&gt;0"))</f>
        <v>272.380000000002</v>
      </c>
      <c r="H59" s="40">
        <f>IF($B$59="","",IF((SUMIFS(tblReceipts[Standard cost],tblReceipts[Category],$B$59,tblReceipts[View date],"&gt;0"))=0,"",(SUMIFS(tblReceipts[PPV],tblReceipts[Category],$B$59,tblReceipts[View date],"&gt;0"))/(SUMIFS(tblReceipts[Standard cost],tblReceipts[Category],$B$59,tblReceipts[View date],"&gt;0"))))</f>
        <v>0.00594766803286747</v>
      </c>
      <c r="I59" s="55">
        <f>IF($B$59="","",COUNTIFS(tblReceipts[Category],$B$59,tblReceipts[View date],"&gt;0"))</f>
        <v>12</v>
      </c>
      <c r="J59" s="55">
        <f>IF($B$59="","",COUNTIFS(tblReceipts[Category],$B$59,tblReceipts[Line status],"Above target",tblReceipts[View date],"&gt;0"))</f>
        <v>1</v>
      </c>
    </row>
    <row r="60" spans="2:10" x14ac:dyDescent="0.25">
      <c r="B60" s="56" t="str">
        <f>IFERROR(INDEX(tblCategories[Category],3)&amp;"","")</f>
        <v>Seals</v>
      </c>
      <c r="C60" s="55">
        <f>IF($B$60="","",SUMIFS(tblReceipts[Standard cost],tblReceipts[Category],$B$60,tblReceipts[View date],"&gt;0"))</f>
        <v>24188.9</v>
      </c>
      <c r="D60" s="55">
        <f>IF($B$60="","",SUMIFS(tblReceipts[Actual cost],tblReceipts[Category],$B$60,tblReceipts[View date],"&gt;0"))</f>
        <v>24182.88</v>
      </c>
      <c r="E60" s="55">
        <f>IF($B$60="","",SUMIFS(tblReceipts[PPV],tblReceipts[Category],$B$60,tblReceipts[View date],"&gt;0",tblReceipts[PPV],"&gt;0"))</f>
        <v>43.8799999999999</v>
      </c>
      <c r="F60" s="55">
        <f>IF($B$60="","",SUMIFS(tblReceipts[PPV],tblReceipts[Category],$B$60,tblReceipts[View date],"&gt;0",tblReceipts[PPV],"&lt;0"))</f>
        <v>-49.9000000000005</v>
      </c>
      <c r="G60" s="55">
        <f>IF($B$60="","",SUMIFS(tblReceipts[PPV],tblReceipts[Category],$B$60,tblReceipts[View date],"&gt;0"))</f>
        <v>-6.02000000000056</v>
      </c>
      <c r="H60" s="40">
        <f>IF($B$60="","",IF((SUMIFS(tblReceipts[Standard cost],tblReceipts[Category],$B$60,tblReceipts[View date],"&gt;0"))=0,"",(SUMIFS(tblReceipts[PPV],tblReceipts[Category],$B$60,tblReceipts[View date],"&gt;0"))/(SUMIFS(tblReceipts[Standard cost],tblReceipts[Category],$B$60,tblReceipts[View date],"&gt;0"))))</f>
        <v>-0.000248874483750834</v>
      </c>
      <c r="I60" s="55">
        <f>IF($B$60="","",COUNTIFS(tblReceipts[Category],$B$60,tblReceipts[View date],"&gt;0"))</f>
        <v>24</v>
      </c>
      <c r="J60" s="55">
        <f>IF($B$60="","",COUNTIFS(tblReceipts[Category],$B$60,tblReceipts[Line status],"Above target",tblReceipts[View date],"&gt;0"))</f>
        <v>0</v>
      </c>
    </row>
    <row r="61" spans="2:10" x14ac:dyDescent="0.25">
      <c r="B61" s="56" t="str">
        <f>IFERROR(INDEX(tblCategories[Category],4)&amp;"","")</f>
        <v>Fasteners</v>
      </c>
      <c r="C61" s="55">
        <f>IF($B$61="","",SUMIFS(tblReceipts[Standard cost],tblReceipts[Category],$B$61,tblReceipts[View date],"&gt;0"))</f>
        <v>10106.5</v>
      </c>
      <c r="D61" s="55">
        <f>IF($B$61="","",SUMIFS(tblReceipts[Actual cost],tblReceipts[Category],$B$61,tblReceipts[View date],"&gt;0"))</f>
        <v>9679.78</v>
      </c>
      <c r="E61" s="55">
        <f>IF($B$61="","",SUMIFS(tblReceipts[PPV],tblReceipts[Category],$B$61,tblReceipts[View date],"&gt;0",tblReceipts[PPV],"&gt;0"))</f>
        <v>49.28</v>
      </c>
      <c r="F61" s="55">
        <f>IF($B$61="","",SUMIFS(tblReceipts[PPV],tblReceipts[Category],$B$61,tblReceipts[View date],"&gt;0",tblReceipts[PPV],"&lt;0"))</f>
        <v>-476</v>
      </c>
      <c r="G61" s="55">
        <f>IF($B$61="","",SUMIFS(tblReceipts[PPV],tblReceipts[Category],$B$61,tblReceipts[View date],"&gt;0"))</f>
        <v>-426.72</v>
      </c>
      <c r="H61" s="40">
        <f>IF($B$61="","",IF((SUMIFS(tblReceipts[Standard cost],tblReceipts[Category],$B$61,tblReceipts[View date],"&gt;0"))=0,"",(SUMIFS(tblReceipts[PPV],tblReceipts[Category],$B$61,tblReceipts[View date],"&gt;0"))/(SUMIFS(tblReceipts[Standard cost],tblReceipts[Category],$B$61,tblReceipts[View date],"&gt;0"))))</f>
        <v>-0.0422223321624697</v>
      </c>
      <c r="I61" s="55">
        <f>IF($B$61="","",COUNTIFS(tblReceipts[Category],$B$61,tblReceipts[View date],"&gt;0"))</f>
        <v>6</v>
      </c>
      <c r="J61" s="55">
        <f>IF($B$61="","",COUNTIFS(tblReceipts[Category],$B$61,tblReceipts[Line status],"Above target",tblReceipts[View date],"&gt;0"))</f>
        <v>0</v>
      </c>
    </row>
    <row r="62" spans="2:10" x14ac:dyDescent="0.25">
      <c r="B62" s="56" t="str">
        <f>IFERROR(INDEX(tblCategories[Category],5)&amp;"","")</f>
        <v>Electronics</v>
      </c>
      <c r="C62" s="55">
        <f>IF($B$62="","",SUMIFS(tblReceipts[Standard cost],tblReceipts[Category],$B$62,tblReceipts[View date],"&gt;0"))</f>
        <v>44416.2</v>
      </c>
      <c r="D62" s="55">
        <f>IF($B$62="","",SUMIFS(tblReceipts[Actual cost],tblReceipts[Category],$B$62,tblReceipts[View date],"&gt;0"))</f>
        <v>46529.25</v>
      </c>
      <c r="E62" s="55">
        <f>IF($B$62="","",SUMIFS(tblReceipts[PPV],tblReceipts[Category],$B$62,tblReceipts[View date],"&gt;0",tblReceipts[PPV],"&gt;0"))</f>
        <v>2137.76</v>
      </c>
      <c r="F62" s="55">
        <f>IF($B$62="","",SUMIFS(tblReceipts[PPV],tblReceipts[Category],$B$62,tblReceipts[View date],"&gt;0",tblReceipts[PPV],"&lt;0"))</f>
        <v>-24.7100000000001</v>
      </c>
      <c r="G62" s="55">
        <f>IF($B$62="","",SUMIFS(tblReceipts[PPV],tblReceipts[Category],$B$62,tblReceipts[View date],"&gt;0"))</f>
        <v>2113.05</v>
      </c>
      <c r="H62" s="40">
        <f>IF($B$62="","",IF((SUMIFS(tblReceipts[Standard cost],tblReceipts[Category],$B$62,tblReceipts[View date],"&gt;0"))=0,"",(SUMIFS(tblReceipts[PPV],tblReceipts[Category],$B$62,tblReceipts[View date],"&gt;0"))/(SUMIFS(tblReceipts[Standard cost],tblReceipts[Category],$B$62,tblReceipts[View date],"&gt;0"))))</f>
        <v>0.0475738581868778</v>
      </c>
      <c r="I62" s="55">
        <f>IF($B$62="","",COUNTIFS(tblReceipts[Category],$B$62,tblReceipts[View date],"&gt;0"))</f>
        <v>16</v>
      </c>
      <c r="J62" s="55">
        <f>IF($B$62="","",COUNTIFS(tblReceipts[Category],$B$62,tblReceipts[Line status],"Above target",tblReceipts[View date],"&gt;0"))</f>
        <v>8</v>
      </c>
    </row>
    <row r="63" spans="2:10" x14ac:dyDescent="0.25">
      <c r="B63" s="56" t="str">
        <f>IFERROR(INDEX(tblCategories[Category],6)&amp;"","")</f>
        <v>Packaging</v>
      </c>
      <c r="C63" s="55">
        <f>IF($B$63="","",SUMIFS(tblReceipts[Standard cost],tblReceipts[Category],$B$63,tblReceipts[View date],"&gt;0"))</f>
        <v>13373.4</v>
      </c>
      <c r="D63" s="55">
        <f>IF($B$63="","",SUMIFS(tblReceipts[Actual cost],tblReceipts[Category],$B$63,tblReceipts[View date],"&gt;0"))</f>
        <v>13072.4</v>
      </c>
      <c r="E63" s="55">
        <f>IF($B$63="","",SUMIFS(tblReceipts[PPV],tblReceipts[Category],$B$63,tblReceipts[View date],"&gt;0",tblReceipts[PPV],"&gt;0"))</f>
        <v>0</v>
      </c>
      <c r="F63" s="55">
        <f>IF($B$63="","",SUMIFS(tblReceipts[PPV],tblReceipts[Category],$B$63,tblReceipts[View date],"&gt;0",tblReceipts[PPV],"&lt;0"))</f>
        <v>-301</v>
      </c>
      <c r="G63" s="55">
        <f>IF($B$63="","",SUMIFS(tblReceipts[PPV],tblReceipts[Category],$B$63,tblReceipts[View date],"&gt;0"))</f>
        <v>-301</v>
      </c>
      <c r="H63" s="40">
        <f>IF($B$63="","",IF((SUMIFS(tblReceipts[Standard cost],tblReceipts[Category],$B$63,tblReceipts[View date],"&gt;0"))=0,"",(SUMIFS(tblReceipts[PPV],tblReceipts[Category],$B$63,tblReceipts[View date],"&gt;0"))/(SUMIFS(tblReceipts[Standard cost],tblReceipts[Category],$B$63,tblReceipts[View date],"&gt;0"))))</f>
        <v>-0.022507365367072</v>
      </c>
      <c r="I63" s="55">
        <f>IF($B$63="","",COUNTIFS(tblReceipts[Category],$B$63,tblReceipts[View date],"&gt;0"))</f>
        <v>24</v>
      </c>
      <c r="J63" s="55">
        <f>IF($B$63="","",COUNTIFS(tblReceipts[Category],$B$63,tblReceipts[Line status],"Above target",tblReceipts[View date],"&gt;0"))</f>
        <v>0</v>
      </c>
    </row>
    <row r="65" spans="2:43" x14ac:dyDescent="0.25">
      <c r="B65" s="30" t="s">
        <v>320</v>
      </c>
      <c r="C65" s="30"/>
      <c r="D65" s="30"/>
      <c r="E65" s="30"/>
      <c r="F65" s="30"/>
      <c r="G65" s="30"/>
    </row>
    <row r="66" spans="2:43" ht="20" customHeight="1" x14ac:dyDescent="0.25">
      <c r="B66" s="31" t="s">
        <v>321</v>
      </c>
      <c r="C66" s="53" t="s">
        <v>69</v>
      </c>
      <c r="D66" s="53"/>
      <c r="E66" s="31" t="s">
        <v>307</v>
      </c>
      <c r="F66" s="31" t="s">
        <v>322</v>
      </c>
      <c r="G66" s="31" t="s">
        <v>323</v>
      </c>
      <c r="AO66" s="7" t="s">
        <v>324</v>
      </c>
      <c r="AP66" s="7" t="s">
        <v>325</v>
      </c>
      <c r="AQ66" s="7" t="s">
        <v>326</v>
      </c>
    </row>
    <row r="67" spans="2:43" x14ac:dyDescent="0.25">
      <c r="B67" s="32"/>
      <c r="C67" s="32"/>
      <c r="D67" s="32"/>
      <c r="E67" s="32" t="str">
        <f>Currency</f>
        <v>USD</v>
      </c>
      <c r="F67" s="32" t="s">
        <v>312</v>
      </c>
      <c r="G67" s="32" t="s">
        <v>312</v>
      </c>
    </row>
    <row r="68" spans="2:43" x14ac:dyDescent="0.25">
      <c r="B68" s="57">
        <v>1</v>
      </c>
      <c r="C68" s="36" t="str">
        <f>IF(INDEX($AP$68:$AP$79,MATCH(1,$AQ$68:$AQ$79,0))&lt;0,"",INDEX($AO$68:$AO$79,MATCH(1,$AQ$68:$AQ$79,0)))</f>
        <v>Valve body VB-2</v>
      </c>
      <c r="D68" s="36"/>
      <c r="E68" s="55">
        <f>IF($C$68="","",INDEX($AP$68:$AP$79,MATCH(1,$AQ$68:$AQ$79,0)))</f>
        <v>1903.9</v>
      </c>
      <c r="F68" s="58">
        <f>IF(OR($C$68="",$E$80=0),"",$E$68/$E$80)</f>
        <v>0.313505484987502</v>
      </c>
      <c r="G68" s="58">
        <f>IF(OR($C$68="",$E$80=0),"",SUM($E$68:$E$68)/$E$80)</f>
        <v>0.313505484987502</v>
      </c>
      <c r="AO68" s="11" t="str">
        <f>IFERROR(INDEX(tblItems[Item],1)&amp;"","")</f>
        <v>Valve body VB-2</v>
      </c>
      <c r="AP68" s="59">
        <f>IF($AO$68="",-1,SUMIFS(tblReceipts[PPV],tblReceipts[Item],$AO$68,tblReceipts[PPV],"&gt;0",tblReceipts[View date],"&gt;0"))</f>
        <v>1903.9</v>
      </c>
      <c r="AQ68" s="59">
        <f>COUNTIF($AP$68:$AP$79,"&gt;"&amp;$AP$68)+COUNTIF($AP$68:$AP$68,$AP$68)</f>
        <v>1</v>
      </c>
    </row>
    <row r="69" spans="2:43" x14ac:dyDescent="0.25">
      <c r="B69" s="57">
        <v>2</v>
      </c>
      <c r="C69" s="36" t="str">
        <f>IF(INDEX($AP$68:$AP$79,MATCH(2,$AQ$68:$AQ$79,0))&lt;0,"",INDEX($AO$68:$AO$79,MATCH(2,$AQ$68:$AQ$79,0)))</f>
        <v>Actuator PCB AC-3</v>
      </c>
      <c r="D69" s="36"/>
      <c r="E69" s="55">
        <f>IF($C$69="","",INDEX($AP$68:$AP$79,MATCH(2,$AQ$68:$AQ$79,0)))</f>
        <v>1364.36</v>
      </c>
      <c r="F69" s="58">
        <f>IF(OR($C$69="",$E$80=0),"",$E$69/$E$80)</f>
        <v>0.224662189977177</v>
      </c>
      <c r="G69" s="58">
        <f>IF(OR($C$69="",$E$80=0),"",SUM($E$68:$E$69)/$E$80)</f>
        <v>0.53816767496468</v>
      </c>
      <c r="AO69" s="11" t="str">
        <f>IFERROR(INDEX(tblItems[Item],2)&amp;"","")</f>
        <v>Bonnet BN-2</v>
      </c>
      <c r="AP69" s="59">
        <f>IF($AO$69="",-1,SUMIFS(tblReceipts[PPV],tblReceipts[Item],$AO$69,tblReceipts[PPV],"&gt;0",tblReceipts[View date],"&gt;0"))</f>
        <v>989.6</v>
      </c>
      <c r="AQ69" s="59">
        <f>COUNTIF($AP$68:$AP$79,"&gt;"&amp;$AP$69)+COUNTIF($AP$68:$AP$69,$AP$69)</f>
        <v>3</v>
      </c>
    </row>
    <row r="70" spans="2:43" x14ac:dyDescent="0.25">
      <c r="B70" s="57">
        <v>3</v>
      </c>
      <c r="C70" s="36" t="str">
        <f>IF(INDEX($AP$68:$AP$79,MATCH(3,$AQ$68:$AQ$79,0))&lt;0,"",INDEX($AO$68:$AO$79,MATCH(3,$AQ$68:$AQ$79,0)))</f>
        <v>Bonnet BN-2</v>
      </c>
      <c r="D70" s="36"/>
      <c r="E70" s="55">
        <f>IF($C$70="","",INDEX($AP$68:$AP$79,MATCH(3,$AQ$68:$AQ$79,0)))</f>
        <v>989.6</v>
      </c>
      <c r="F70" s="58">
        <f>IF(OR($C$70="",$E$80=0),"",$E$70/$E$80)</f>
        <v>0.162952375620375</v>
      </c>
      <c r="G70" s="58">
        <f>IF(OR($C$70="",$E$80=0),"",SUM($E$68:$E$70)/$E$80)</f>
        <v>0.701120050585054</v>
      </c>
      <c r="AO70" s="11" t="str">
        <f>IFERROR(INDEX(tblItems[Item],3)&amp;"","")</f>
        <v>Handwheel HW-80</v>
      </c>
      <c r="AP70" s="59">
        <f>IF($AO$70="",-1,SUMIFS(tblReceipts[PPV],tblReceipts[Item],$AO$70,tblReceipts[PPV],"&gt;0",tblReceipts[View date],"&gt;0"))</f>
        <v>438.2</v>
      </c>
      <c r="AQ70" s="59">
        <f>COUNTIF($AP$68:$AP$79,"&gt;"&amp;$AP$70)+COUNTIF($AP$68:$AP$70,$AP$70)</f>
        <v>5</v>
      </c>
    </row>
    <row r="71" spans="2:43" x14ac:dyDescent="0.25">
      <c r="B71" s="57">
        <v>4</v>
      </c>
      <c r="C71" s="36" t="str">
        <f>IF(INDEX($AP$68:$AP$79,MATCH(4,$AQ$68:$AQ$79,0))&lt;0,"",INDEX($AO$68:$AO$79,MATCH(4,$AQ$68:$AQ$79,0)))</f>
        <v>Position sensor PS-1</v>
      </c>
      <c r="D71" s="36"/>
      <c r="E71" s="55">
        <f>IF($C$71="","",INDEX($AP$68:$AP$79,MATCH(4,$AQ$68:$AQ$79,0)))</f>
        <v>773.4</v>
      </c>
      <c r="F71" s="58">
        <f>IF(OR($C$71="",$E$80=0),"",$E$71/$E$80)</f>
        <v>0.1273518262983</v>
      </c>
      <c r="G71" s="58">
        <f>IF(OR($C$71="",$E$80=0),"",SUM($E$68:$E$71)/$E$80)</f>
        <v>0.828471876883355</v>
      </c>
      <c r="AO71" s="11" t="str">
        <f>IFERROR(INDEX(tblItems[Item],4)&amp;"","")</f>
        <v>316 SS bar 25 mm</v>
      </c>
      <c r="AP71" s="59">
        <f>IF($AO$71="",-1,SUMIFS(tblReceipts[PPV],tblReceipts[Item],$AO$71,tblReceipts[PPV],"&gt;0",tblReceipts[View date],"&gt;0"))</f>
        <v>305.71</v>
      </c>
      <c r="AQ71" s="59">
        <f>COUNTIF($AP$68:$AP$79,"&gt;"&amp;$AP$71)+COUNTIF($AP$68:$AP$71,$AP$71)</f>
        <v>6</v>
      </c>
    </row>
    <row r="72" spans="2:43" x14ac:dyDescent="0.25">
      <c r="B72" s="57">
        <v>5</v>
      </c>
      <c r="C72" s="36" t="str">
        <f>IF(INDEX($AP$68:$AP$79,MATCH(5,$AQ$68:$AQ$79,0))&lt;0,"",INDEX($AO$68:$AO$79,MATCH(5,$AQ$68:$AQ$79,0)))</f>
        <v>Handwheel HW-80</v>
      </c>
      <c r="D72" s="36"/>
      <c r="E72" s="55">
        <f>IF($C$72="","",INDEX($AP$68:$AP$79,MATCH(5,$AQ$68:$AQ$79,0)))</f>
        <v>438.2</v>
      </c>
      <c r="F72" s="58">
        <f>IF(OR($C$72="",$E$80=0),"",$E$72/$E$80)</f>
        <v>0.0721561550089412</v>
      </c>
      <c r="G72" s="58">
        <f>IF(OR($C$72="",$E$80=0),"",SUM($E$68:$E$72)/$E$80)</f>
        <v>0.900628031892296</v>
      </c>
      <c r="AO72" s="11" t="str">
        <f>IFERROR(INDEX(tblItems[Item],5)&amp;"","")</f>
        <v>Brass bar 32 mm</v>
      </c>
      <c r="AP72" s="59">
        <f>IF($AO$72="",-1,SUMIFS(tblReceipts[PPV],tblReceipts[Item],$AO$72,tblReceipts[PPV],"&gt;0",tblReceipts[View date],"&gt;0"))</f>
        <v>204.610000000001</v>
      </c>
      <c r="AQ72" s="59">
        <f>COUNTIF($AP$68:$AP$79,"&gt;"&amp;$AP$72)+COUNTIF($AP$68:$AP$72,$AP$72)</f>
        <v>7</v>
      </c>
    </row>
    <row r="73" spans="2:43" x14ac:dyDescent="0.25">
      <c r="B73" s="57">
        <v>6</v>
      </c>
      <c r="C73" s="36" t="str">
        <f>IF(INDEX($AP$68:$AP$79,MATCH(6,$AQ$68:$AQ$79,0))&lt;0,"",INDEX($AO$68:$AO$79,MATCH(6,$AQ$68:$AQ$79,0)))</f>
        <v>316 SS bar 25 mm</v>
      </c>
      <c r="D73" s="36"/>
      <c r="E73" s="55">
        <f>IF($C$73="","",INDEX($AP$68:$AP$79,MATCH(6,$AQ$68:$AQ$79,0)))</f>
        <v>305.71</v>
      </c>
      <c r="F73" s="58">
        <f>IF(OR($C$73="",$E$80=0),"",$E$73/$E$80)</f>
        <v>0.0503397036690631</v>
      </c>
      <c r="G73" s="58">
        <f>IF(OR($C$73="",$E$80=0),"",SUM($E$68:$E$73)/$E$80)</f>
        <v>0.950967735561359</v>
      </c>
      <c r="AO73" s="11" t="str">
        <f>IFERROR(INDEX(tblItems[Item],6)&amp;"","")</f>
        <v>Stem seal kit SK-10</v>
      </c>
      <c r="AP73" s="59">
        <f>IF($AO$73="",-1,SUMIFS(tblReceipts[PPV],tblReceipts[Item],$AO$73,tblReceipts[PPV],"&gt;0",tblReceipts[View date],"&gt;0"))</f>
        <v>22.5299999999999</v>
      </c>
      <c r="AQ73" s="59">
        <f>COUNTIF($AP$68:$AP$79,"&gt;"&amp;$AP$73)+COUNTIF($AP$68:$AP$73,$AP$73)</f>
        <v>9</v>
      </c>
    </row>
    <row r="74" spans="2:43" x14ac:dyDescent="0.25">
      <c r="B74" s="57">
        <v>7</v>
      </c>
      <c r="C74" s="36" t="str">
        <f>IF(INDEX($AP$68:$AP$79,MATCH(7,$AQ$68:$AQ$79,0))&lt;0,"",INDEX($AO$68:$AO$79,MATCH(7,$AQ$68:$AQ$79,0)))</f>
        <v>Brass bar 32 mm</v>
      </c>
      <c r="D74" s="36"/>
      <c r="E74" s="55">
        <f>IF($C$74="","",INDEX($AP$68:$AP$79,MATCH(7,$AQ$68:$AQ$79,0)))</f>
        <v>204.610000000001</v>
      </c>
      <c r="F74" s="58">
        <f>IF(OR($C$74="",$E$80=0),"",$E$74/$E$80)</f>
        <v>0.0336920832413956</v>
      </c>
      <c r="G74" s="58">
        <f>IF(OR($C$74="",$E$80=0),"",SUM($E$68:$E$74)/$E$80)</f>
        <v>0.984659818802755</v>
      </c>
      <c r="AO74" s="11" t="str">
        <f>IFERROR(INDEX(tblItems[Item],7)&amp;"","")</f>
        <v>PTFE seat ring SR-25</v>
      </c>
      <c r="AP74" s="59">
        <f>IF($AO$74="",-1,SUMIFS(tblReceipts[PPV],tblReceipts[Item],$AO$74,tblReceipts[PPV],"&gt;0",tblReceipts[View date],"&gt;0"))</f>
        <v>21.35</v>
      </c>
      <c r="AQ74" s="59">
        <f>COUNTIF($AP$68:$AP$79,"&gt;"&amp;$AP$74)+COUNTIF($AP$68:$AP$74,$AP$74)</f>
        <v>10</v>
      </c>
    </row>
    <row r="75" spans="2:43" x14ac:dyDescent="0.25">
      <c r="B75" s="57">
        <v>8</v>
      </c>
      <c r="C75" s="36" t="str">
        <f>IF(INDEX($AP$68:$AP$79,MATCH(8,$AQ$68:$AQ$79,0))&lt;0,"",INDEX($AO$68:$AO$79,MATCH(8,$AQ$68:$AQ$79,0)))</f>
        <v>Hex bolt M10x40 A4</v>
      </c>
      <c r="D75" s="36"/>
      <c r="E75" s="55">
        <f>IF($C$75="","",INDEX($AP$68:$AP$79,MATCH(8,$AQ$68:$AQ$79,0)))</f>
        <v>49.28</v>
      </c>
      <c r="F75" s="58">
        <f>IF(OR($C$75="",$E$80=0),"",$E$75/$E$80)</f>
        <v>0.00811468580292247</v>
      </c>
      <c r="G75" s="58">
        <f>IF(OR($C$75="",$E$80=0),"",SUM($E$68:$E$75)/$E$80)</f>
        <v>0.992774504605677</v>
      </c>
      <c r="AO75" s="11" t="str">
        <f>IFERROR(INDEX(tblItems[Item],8)&amp;"","")</f>
        <v>Hex bolt M10x40 A4</v>
      </c>
      <c r="AP75" s="59">
        <f>IF($AO$75="",-1,SUMIFS(tblReceipts[PPV],tblReceipts[Item],$AO$75,tblReceipts[PPV],"&gt;0",tblReceipts[View date],"&gt;0"))</f>
        <v>49.28</v>
      </c>
      <c r="AQ75" s="59">
        <f>COUNTIF($AP$68:$AP$79,"&gt;"&amp;$AP$75)+COUNTIF($AP$68:$AP$75,$AP$75)</f>
        <v>8</v>
      </c>
    </row>
    <row r="76" spans="2:43" x14ac:dyDescent="0.25">
      <c r="B76" s="57">
        <v>9</v>
      </c>
      <c r="C76" s="36" t="str">
        <f>IF(INDEX($AP$68:$AP$79,MATCH(9,$AQ$68:$AQ$79,0))&lt;0,"",INDEX($AO$68:$AO$79,MATCH(9,$AQ$68:$AQ$79,0)))</f>
        <v>Stem seal kit SK-10</v>
      </c>
      <c r="D76" s="36"/>
      <c r="E76" s="55">
        <f>IF($C$76="","",INDEX($AP$68:$AP$79,MATCH(9,$AQ$68:$AQ$79,0)))</f>
        <v>22.5299999999999</v>
      </c>
      <c r="F76" s="58">
        <f>IF(OR($C$76="",$E$80=0),"",$E$76/$E$80)</f>
        <v>0.0037098999825455</v>
      </c>
      <c r="G76" s="58">
        <f>IF(OR($C$76="",$E$80=0),"",SUM($E$68:$E$76)/$E$80)</f>
        <v>0.996484404588222</v>
      </c>
      <c r="AO76" s="11" t="str">
        <f>IFERROR(INDEX(tblItems[Item],9)&amp;"","")</f>
        <v>Actuator PCB AC-3</v>
      </c>
      <c r="AP76" s="59">
        <f>IF($AO$76="",-1,SUMIFS(tblReceipts[PPV],tblReceipts[Item],$AO$76,tblReceipts[PPV],"&gt;0",tblReceipts[View date],"&gt;0"))</f>
        <v>1364.36</v>
      </c>
      <c r="AQ76" s="59">
        <f>COUNTIF($AP$68:$AP$79,"&gt;"&amp;$AP$76)+COUNTIF($AP$68:$AP$76,$AP$76)</f>
        <v>2</v>
      </c>
    </row>
    <row r="77" spans="2:43" x14ac:dyDescent="0.25">
      <c r="B77" s="57">
        <v>10</v>
      </c>
      <c r="C77" s="36" t="str">
        <f>IF(INDEX($AP$68:$AP$79,MATCH(10,$AQ$68:$AQ$79,0))&lt;0,"",INDEX($AO$68:$AO$79,MATCH(10,$AQ$68:$AQ$79,0)))</f>
        <v>PTFE seat ring SR-25</v>
      </c>
      <c r="D77" s="36"/>
      <c r="E77" s="55">
        <f>IF($C$77="","",INDEX($AP$68:$AP$79,MATCH(10,$AQ$68:$AQ$79,0)))</f>
        <v>21.35</v>
      </c>
      <c r="F77" s="58">
        <f>IF(OR($C$77="",$E$80=0),"",$E$77/$E$80)</f>
        <v>0.00351559541177749</v>
      </c>
      <c r="G77" s="58">
        <f>IF(OR($C$77="",$E$80=0),"",SUM($E$68:$E$77)/$E$80)</f>
        <v>1</v>
      </c>
      <c r="AO77" s="11" t="str">
        <f>IFERROR(INDEX(tblItems[Item],10)&amp;"","")</f>
        <v>Position sensor PS-1</v>
      </c>
      <c r="AP77" s="59">
        <f>IF($AO$77="",-1,SUMIFS(tblReceipts[PPV],tblReceipts[Item],$AO$77,tblReceipts[PPV],"&gt;0",tblReceipts[View date],"&gt;0"))</f>
        <v>773.4</v>
      </c>
      <c r="AQ77" s="59">
        <f>COUNTIF($AP$68:$AP$79,"&gt;"&amp;$AP$77)+COUNTIF($AP$68:$AP$77,$AP$77)</f>
        <v>4</v>
      </c>
    </row>
    <row r="78" spans="2:43" x14ac:dyDescent="0.25">
      <c r="B78" s="57">
        <v>11</v>
      </c>
      <c r="C78" s="36" t="str">
        <f>IF(INDEX($AP$68:$AP$79,MATCH(11,$AQ$68:$AQ$79,0))&lt;0,"",INDEX($AO$68:$AO$79,MATCH(11,$AQ$68:$AQ$79,0)))</f>
        <v>Carton C-40</v>
      </c>
      <c r="D78" s="36"/>
      <c r="E78" s="55">
        <f>IF($C$78="","",INDEX($AP$68:$AP$79,MATCH(11,$AQ$68:$AQ$79,0)))</f>
        <v>0</v>
      </c>
      <c r="F78" s="58">
        <f>IF(OR($C$78="",$E$80=0),"",$E$78/$E$80)</f>
        <v>0</v>
      </c>
      <c r="G78" s="58">
        <f>IF(OR($C$78="",$E$80=0),"",SUM($E$68:$E$78)/$E$80)</f>
        <v>1</v>
      </c>
      <c r="AO78" s="11" t="str">
        <f>IFERROR(INDEX(tblItems[Item],11)&amp;"","")</f>
        <v>Carton C-40</v>
      </c>
      <c r="AP78" s="59">
        <f>IF($AO$78="",-1,SUMIFS(tblReceipts[PPV],tblReceipts[Item],$AO$78,tblReceipts[PPV],"&gt;0",tblReceipts[View date],"&gt;0"))</f>
        <v>0</v>
      </c>
      <c r="AQ78" s="59">
        <f>COUNTIF($AP$68:$AP$79,"&gt;"&amp;$AP$78)+COUNTIF($AP$68:$AP$78,$AP$78)</f>
        <v>11</v>
      </c>
    </row>
    <row r="79" spans="2:43" x14ac:dyDescent="0.25">
      <c r="B79" s="57">
        <v>12</v>
      </c>
      <c r="C79" s="36" t="str">
        <f>IF(INDEX($AP$68:$AP$79,MATCH(12,$AQ$68:$AQ$79,0))&lt;0,"",INDEX($AO$68:$AO$79,MATCH(12,$AQ$68:$AQ$79,0)))</f>
        <v>Foam insert F-40</v>
      </c>
      <c r="D79" s="36"/>
      <c r="E79" s="55">
        <f>IF($C$79="","",INDEX($AP$68:$AP$79,MATCH(12,$AQ$68:$AQ$79,0)))</f>
        <v>0</v>
      </c>
      <c r="F79" s="58">
        <f>IF(OR($C$79="",$E$80=0),"",$E$79/$E$80)</f>
        <v>0</v>
      </c>
      <c r="G79" s="58">
        <f>IF(OR($C$79="",$E$80=0),"",SUM($E$68:$E$79)/$E$80)</f>
        <v>1</v>
      </c>
      <c r="AO79" s="11" t="str">
        <f>IFERROR(INDEX(tblItems[Item],12)&amp;"","")</f>
        <v>Foam insert F-40</v>
      </c>
      <c r="AP79" s="59">
        <f>IF($AO$79="",-1,SUMIFS(tblReceipts[PPV],tblReceipts[Item],$AO$79,tblReceipts[PPV],"&gt;0",tblReceipts[View date],"&gt;0"))</f>
        <v>0</v>
      </c>
      <c r="AQ79" s="59">
        <f>COUNTIF($AP$68:$AP$79,"&gt;"&amp;$AP$79)+COUNTIF($AP$68:$AP$79,$AP$79)</f>
        <v>12</v>
      </c>
    </row>
    <row r="80" spans="2:43" x14ac:dyDescent="0.25">
      <c r="B80" s="60"/>
      <c r="C80" s="60" t="s">
        <v>327</v>
      </c>
      <c r="D80" s="60"/>
      <c r="E80" s="61">
        <f>SUMIF($AP$68:$AP$79,"&gt;0")</f>
        <v>6072.94000000001</v>
      </c>
      <c r="F80" s="60"/>
      <c r="G80" s="60"/>
    </row>
    <row r="82" spans="2:12" ht="8" customHeight="1" x14ac:dyDescent="0.25"/>
    <row r="83" spans="2:12" ht="26.76" customHeight="1" x14ac:dyDescent="0.25">
      <c r="B83" s="21" t="s">
        <v>328</v>
      </c>
      <c r="C83" s="21"/>
      <c r="D83" s="21"/>
      <c r="E83" s="21"/>
      <c r="F83" s="21"/>
      <c r="G83" s="21"/>
      <c r="H83" s="21"/>
      <c r="I83" s="21"/>
      <c r="J83" s="21"/>
      <c r="K83" s="21"/>
      <c r="L83" s="21"/>
    </row>
    <row r="84" spans="2:12" x14ac:dyDescent="0.25">
      <c r="B84" s="62">
        <f>IF(OR(COUNTA(tblSuppliers[Supplier])&gt;6,COUNTA(tblCategories[Category])&gt;6,COUNTA(tblItems[Item])&gt;12),"Setup lists are longer than the Dashboard blocks: some suppliers, categories or items are not shown.","")</f>
        <v/>
      </c>
      <c r="C84" s="62"/>
      <c r="D84" s="62"/>
      <c r="E84" s="62"/>
      <c r="F84" s="62"/>
      <c r="G84" s="62"/>
      <c r="H84" s="62"/>
      <c r="I84" s="62"/>
      <c r="J84" s="62"/>
      <c r="K84" s="62"/>
      <c r="L84" s="62"/>
    </row>
  </sheetData>
  <sheetProtection sheet="1" formatColumns="0" formatRows="0"/>
  <mergeCells count="68">
    <mergeCell ref="A1:L1"/>
    <mergeCell ref="B2:J2"/>
    <mergeCell ref="K2:L2"/>
    <mergeCell ref="C4:D4"/>
    <mergeCell ref="G4:H4"/>
    <mergeCell ref="K4:L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35:J35"/>
    <mergeCell ref="I36:J36"/>
    <mergeCell ref="I37:J37"/>
    <mergeCell ref="I38:J38"/>
    <mergeCell ref="I39:J39"/>
    <mergeCell ref="I40:J40"/>
    <mergeCell ref="I41:J41"/>
    <mergeCell ref="I42:J42"/>
    <mergeCell ref="I43:J43"/>
    <mergeCell ref="B45:J45"/>
    <mergeCell ref="B55:J55"/>
    <mergeCell ref="B65:G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B83:L83"/>
    <mergeCell ref="B84:L84"/>
  </mergeCells>
  <conditionalFormatting sqref="D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E68:E79">
    <cfRule type="dataBar" priority="50">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H38:H43">
    <cfRule type="expression" dxfId="3" priority="21" stopIfTrue="1">
      <formula>AND(ISNUMBER(H38),H38&lt;=(PPVTol))</formula>
    </cfRule>
    <cfRule type="expression" dxfId="4" priority="22" stopIfTrue="1">
      <formula>AND(ISNUMBER(H38),H38&lt;=(PPVTol)*(1+0.05))</formula>
    </cfRule>
    <cfRule type="expression" dxfId="5" priority="23">
      <formula>ISNUMBER(H38)</formula>
    </cfRule>
  </conditionalFormatting>
  <conditionalFormatting sqref="H48:H53">
    <cfRule type="expression" dxfId="3" priority="44" stopIfTrue="1">
      <formula>AND(ISNUMBER(H48),H48&lt;=(PPVTol))</formula>
    </cfRule>
    <cfRule type="expression" dxfId="4" priority="45" stopIfTrue="1">
      <formula>AND(ISNUMBER(H48),H48&lt;=(PPVTol)*(1+0.05))</formula>
    </cfRule>
    <cfRule type="expression" dxfId="5" priority="46">
      <formula>ISNUMBER(H48)</formula>
    </cfRule>
  </conditionalFormatting>
  <conditionalFormatting sqref="H58:H63">
    <cfRule type="expression" dxfId="3" priority="47" stopIfTrue="1">
      <formula>AND(ISNUMBER(H58),H58&lt;=(PPVTol))</formula>
    </cfRule>
    <cfRule type="expression" dxfId="4" priority="48" stopIfTrue="1">
      <formula>AND(ISNUMBER(H58),H58&lt;=(PPVTol)*(1+0.05))</formula>
    </cfRule>
    <cfRule type="expression" dxfId="5" priority="49">
      <formula>ISNUMBER(H58)</formula>
    </cfRule>
  </conditionalFormatting>
  <conditionalFormatting sqref="I38:I43">
    <cfRule type="cellIs" dxfId="0" priority="24" operator="equal">
      <formula>"On target"</formula>
    </cfRule>
    <cfRule type="cellIs" dxfId="0" priority="25" operator="equal">
      <formula>"PASS"</formula>
    </cfRule>
    <cfRule type="cellIs" dxfId="0" priority="26" operator="equal">
      <formula>"OK"</formula>
    </cfRule>
    <cfRule type="cellIs" dxfId="0" priority="27" operator="equal">
      <formula>"Within limits"</formula>
    </cfRule>
    <cfRule type="cellIs" dxfId="0" priority="28" operator="equal">
      <formula>"Under capacity"</formula>
    </cfRule>
    <cfRule type="cellIs" dxfId="0" priority="29" operator="equal">
      <formula>"Complete"</formula>
    </cfRule>
    <cfRule type="cellIs" dxfId="0" priority="30" operator="equal">
      <formula>"Yes"</formula>
    </cfRule>
    <cfRule type="cellIs" dxfId="1" priority="31" operator="equal">
      <formula>"Near target"</formula>
    </cfRule>
    <cfRule type="cellIs" dxfId="1" priority="32" operator="equal">
      <formula>"Check"</formula>
    </cfRule>
    <cfRule type="cellIs" dxfId="1" priority="33" operator="equal">
      <formula>"Due soon"</formula>
    </cfRule>
    <cfRule type="cellIs" dxfId="1" priority="34" operator="equal">
      <formula>"Near capacity"</formula>
    </cfRule>
    <cfRule type="cellIs" dxfId="1" priority="35" operator="equal">
      <formula>"In progress"</formula>
    </cfRule>
    <cfRule type="cellIs" dxfId="1" priority="36" operator="equal">
      <formula>"Partial"</formula>
    </cfRule>
    <cfRule type="cellIs" dxfId="2" priority="37" operator="equal">
      <formula>"Below target"</formula>
    </cfRule>
    <cfRule type="cellIs" dxfId="2" priority="38" operator="equal">
      <formula>"Above target"</formula>
    </cfRule>
    <cfRule type="cellIs" dxfId="2" priority="39" operator="equal">
      <formula>"FAIL"</formula>
    </cfRule>
    <cfRule type="cellIs" dxfId="2" priority="40" operator="equal">
      <formula>"Over capacity"</formula>
    </cfRule>
    <cfRule type="cellIs" dxfId="2" priority="41" operator="equal">
      <formula>"Overdue"</formula>
    </cfRule>
    <cfRule type="cellIs" dxfId="2" priority="42" operator="equal">
      <formula>"Out of limits"</formula>
    </cfRule>
    <cfRule type="cellIs" dxfId="2" priority="43" operator="equal">
      <formula>"No"</formula>
    </cfRule>
  </conditionalFormatting>
  <dataValidations count="3">
    <dataValidation type="list" allowBlank="1" showInputMessage="1" showErrorMessage="1" errorTitle="Check this entry" error="Pick from the list (edit the list on Setup: Categories)." promptTitle="Category" prompt="Leave blank for all categories. Pick from the list (edit the list on Setup: Categories)." sqref="C4">
      <formula1>Categories</formula1>
    </dataValidation>
    <dataValidation type="date" allowBlank="1" showInputMessage="1" showErrorMessage="1" errorTitle="Check this entry" error="Enter a date between 01 Jan 2000 and 31 Dec 2100." promptTitle="From" prompt="First receipt date to include. Leave blank to start at the first record. Enter a date between 01 Jan 2000 and 31 Dec 2100." sqref="G4">
      <formula1>36526</formula1>
      <formula2>73415</formula2>
    </dataValidation>
    <dataValidation type="date" allowBlank="1" showInputMessage="1" showErrorMessage="1" errorTitle="Check this entry" error="Enter a date between 01 Jan 2000 and 31 Dec 2100." promptTitle="To" prompt="Last receipt date to include. Leave blank to end at the latest record. Enter a date between 01 Jan 2000 and 31 Dec 2100." sqref="K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Purchase Price Variance Tracker&amp;R&amp;8&amp;A</oddHeader>
    <oddFooter>&amp;L&amp;8mfgcalcs.com - free manufacturing templates&amp;R&amp;8Page &amp;P of &amp;N</oddFooter>
  </headerFooter>
  <rowBreaks count="2" manualBreakCount="2">
    <brk id="28" max="16383" man="1"/>
    <brk id="54"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E68:E79</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8"/>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329</v>
      </c>
      <c r="C4" s="8"/>
      <c r="D4" s="8"/>
    </row>
    <row r="5" spans="1:4" ht="5" customHeight="1"/>
    <row r="6" spans="1:4" ht="55.8" customHeight="1">
      <c r="B6" s="10" t="s">
        <v>330</v>
      </c>
      <c r="C6" s="10"/>
      <c r="D6" s="10"/>
    </row>
    <row r="8" spans="1:4" ht="21" customHeight="1">
      <c r="B8" s="8" t="s">
        <v>331</v>
      </c>
      <c r="C8" s="8"/>
      <c r="D8" s="8"/>
    </row>
    <row r="9" spans="1:4" ht="5" customHeight="1"/>
    <row r="10" spans="1:4" ht="20" customHeight="1">
      <c r="B10" s="53" t="s">
        <v>158</v>
      </c>
      <c r="C10" s="53" t="s">
        <v>332</v>
      </c>
      <c r="D10" s="31" t="s">
        <v>333</v>
      </c>
    </row>
    <row r="11" spans="1:4" ht="30.4" customHeight="1">
      <c r="B11" s="63" t="s">
        <v>71</v>
      </c>
      <c r="C11" s="64" t="s">
        <v>334</v>
      </c>
      <c r="D11" s="65" t="s">
        <v>335</v>
      </c>
    </row>
    <row r="12" spans="1:4" ht="17.2" customHeight="1">
      <c r="B12" s="63" t="s">
        <v>160</v>
      </c>
      <c r="C12" s="64" t="s">
        <v>336</v>
      </c>
      <c r="D12" s="65" t="s">
        <v>337</v>
      </c>
    </row>
    <row r="13" spans="1:4" ht="17.2" customHeight="1">
      <c r="B13" s="63" t="s">
        <v>161</v>
      </c>
      <c r="C13" s="64" t="s">
        <v>338</v>
      </c>
      <c r="D13" s="65" t="s">
        <v>337</v>
      </c>
    </row>
    <row r="14" spans="1:4" ht="30.4" customHeight="1">
      <c r="B14" s="63" t="s">
        <v>162</v>
      </c>
      <c r="C14" s="64" t="s">
        <v>339</v>
      </c>
      <c r="D14" s="65" t="s">
        <v>337</v>
      </c>
    </row>
    <row r="15" spans="1:4" ht="30.4" customHeight="1">
      <c r="B15" s="63" t="s">
        <v>163</v>
      </c>
      <c r="C15" s="64" t="s">
        <v>340</v>
      </c>
      <c r="D15" s="65" t="s">
        <v>312</v>
      </c>
    </row>
    <row r="16" spans="1:4" ht="17.2" customHeight="1">
      <c r="B16" s="63" t="s">
        <v>164</v>
      </c>
      <c r="C16" s="64" t="s">
        <v>341</v>
      </c>
      <c r="D16" s="65" t="s">
        <v>342</v>
      </c>
    </row>
    <row r="17" spans="2:4" ht="30.4" customHeight="1">
      <c r="B17" s="63" t="s">
        <v>165</v>
      </c>
      <c r="C17" s="64" t="s">
        <v>343</v>
      </c>
      <c r="D17" s="65" t="s">
        <v>342</v>
      </c>
    </row>
    <row r="18" spans="2:4" ht="30.4" customHeight="1">
      <c r="B18" s="63" t="s">
        <v>344</v>
      </c>
      <c r="C18" s="64" t="s">
        <v>345</v>
      </c>
      <c r="D18" s="65" t="s">
        <v>337</v>
      </c>
    </row>
    <row r="19" spans="2:4" ht="30.4" customHeight="1">
      <c r="B19" s="63" t="s">
        <v>346</v>
      </c>
      <c r="C19" s="64" t="s">
        <v>347</v>
      </c>
      <c r="D19" s="65" t="s">
        <v>312</v>
      </c>
    </row>
    <row r="20" spans="2:4" ht="43.6" customHeight="1">
      <c r="B20" s="63" t="s">
        <v>348</v>
      </c>
      <c r="C20" s="64" t="s">
        <v>349</v>
      </c>
      <c r="D20" s="65" t="s">
        <v>342</v>
      </c>
    </row>
    <row r="21" spans="2:4" ht="43.6" customHeight="1">
      <c r="B21" s="63" t="s">
        <v>350</v>
      </c>
      <c r="C21" s="64" t="s">
        <v>351</v>
      </c>
      <c r="D21" s="65" t="s">
        <v>352</v>
      </c>
    </row>
    <row r="23" spans="2:4" ht="21" customHeight="1">
      <c r="B23" s="8" t="s">
        <v>353</v>
      </c>
      <c r="C23" s="8"/>
      <c r="D23" s="8"/>
    </row>
    <row r="24" spans="2:4" ht="5" customHeight="1"/>
    <row r="25" spans="2:4" ht="29.4" customHeight="1">
      <c r="B25" s="26" t="s">
        <v>53</v>
      </c>
      <c r="C25" s="10" t="s">
        <v>354</v>
      </c>
      <c r="D25" s="10"/>
    </row>
    <row r="26" spans="2:4" ht="29.4" customHeight="1">
      <c r="B26" s="26" t="s">
        <v>53</v>
      </c>
      <c r="C26" s="10" t="s">
        <v>355</v>
      </c>
      <c r="D26" s="10"/>
    </row>
    <row r="27" spans="2:4" ht="16.2" customHeight="1">
      <c r="B27" s="26" t="s">
        <v>53</v>
      </c>
      <c r="C27" s="10" t="s">
        <v>356</v>
      </c>
      <c r="D27" s="10"/>
    </row>
    <row r="28" spans="2:4" ht="16.2" customHeight="1">
      <c r="B28" s="26" t="s">
        <v>53</v>
      </c>
      <c r="C28" s="10" t="s">
        <v>357</v>
      </c>
      <c r="D28" s="10"/>
    </row>
    <row r="30" spans="2:4" ht="21" customHeight="1">
      <c r="B30" s="8" t="s">
        <v>358</v>
      </c>
      <c r="C30" s="8"/>
      <c r="D30" s="8"/>
    </row>
    <row r="31" spans="2:4" ht="5" customHeight="1"/>
    <row r="32" spans="2:4" ht="29.4" customHeight="1">
      <c r="B32" s="26" t="s">
        <v>53</v>
      </c>
      <c r="C32" s="10" t="s">
        <v>359</v>
      </c>
      <c r="D32" s="10"/>
    </row>
    <row r="33" spans="2:4" ht="29.4" customHeight="1">
      <c r="B33" s="26" t="s">
        <v>53</v>
      </c>
      <c r="C33" s="10" t="s">
        <v>360</v>
      </c>
      <c r="D33" s="10"/>
    </row>
    <row r="34" spans="2:4" ht="29.4" customHeight="1">
      <c r="B34" s="26" t="s">
        <v>53</v>
      </c>
      <c r="C34" s="10" t="s">
        <v>361</v>
      </c>
      <c r="D34" s="10"/>
    </row>
    <row r="35" spans="2:4" ht="16.2" customHeight="1">
      <c r="B35" s="26" t="s">
        <v>53</v>
      </c>
      <c r="C35" s="10" t="s">
        <v>362</v>
      </c>
      <c r="D35" s="10"/>
    </row>
    <row r="37" spans="2:4" ht="21" customHeight="1">
      <c r="B37" s="8" t="s">
        <v>363</v>
      </c>
      <c r="C37" s="8"/>
      <c r="D37" s="8"/>
    </row>
    <row r="38" spans="2:4" ht="5" customHeight="1"/>
    <row r="39" spans="2:4" ht="69" customHeight="1">
      <c r="B39" s="10" t="s">
        <v>364</v>
      </c>
      <c r="C39" s="10"/>
      <c r="D39" s="10"/>
    </row>
    <row r="40" spans="2:4">
      <c r="B40" s="24" t="s">
        <v>365</v>
      </c>
      <c r="C40" s="24"/>
      <c r="D40" s="24"/>
    </row>
    <row r="42" spans="2:4" ht="21" customHeight="1">
      <c r="B42" s="8" t="s">
        <v>40</v>
      </c>
      <c r="C42" s="8"/>
      <c r="D42" s="8"/>
    </row>
    <row r="43" spans="2:4" ht="5" customHeight="1"/>
    <row r="44" spans="2:4" ht="42.6" customHeight="1">
      <c r="B44" s="10" t="s">
        <v>366</v>
      </c>
      <c r="C44" s="10"/>
      <c r="D44" s="10"/>
    </row>
    <row r="46" spans="2:4" ht="21" customHeight="1">
      <c r="B46" s="8" t="s">
        <v>367</v>
      </c>
      <c r="C46" s="8"/>
      <c r="D46" s="8"/>
    </row>
    <row r="47" spans="2:4" ht="5" customHeight="1"/>
    <row r="48" spans="2:4" ht="29.4" customHeight="1">
      <c r="B48" s="26" t="s">
        <v>53</v>
      </c>
      <c r="C48" s="10" t="s">
        <v>368</v>
      </c>
      <c r="D48" s="10"/>
    </row>
    <row r="49" spans="2:4" ht="16.2" customHeight="1">
      <c r="B49" s="26" t="s">
        <v>53</v>
      </c>
      <c r="C49" s="10" t="s">
        <v>369</v>
      </c>
      <c r="D49" s="10"/>
    </row>
    <row r="50" spans="2:4" ht="16.2" customHeight="1">
      <c r="B50" s="26" t="s">
        <v>53</v>
      </c>
      <c r="C50" s="10" t="s">
        <v>370</v>
      </c>
      <c r="D50" s="10"/>
    </row>
    <row r="51" spans="2:4">
      <c r="B51" s="21" t="s">
        <v>371</v>
      </c>
      <c r="C51" s="21"/>
      <c r="D51" s="21"/>
    </row>
    <row r="53" spans="2:4" ht="21" customHeight="1">
      <c r="B53" s="8" t="s">
        <v>372</v>
      </c>
      <c r="C53" s="8"/>
      <c r="D53" s="8"/>
    </row>
    <row r="54" spans="2:4" ht="5" customHeight="1"/>
    <row r="55" spans="2:4">
      <c r="B55" s="53" t="s">
        <v>48</v>
      </c>
      <c r="C55" s="53" t="s">
        <v>373</v>
      </c>
      <c r="D55" s="31" t="s">
        <v>156</v>
      </c>
    </row>
    <row r="56" spans="2:4" ht="16.2" customHeight="1">
      <c r="B56" s="66" t="s">
        <v>374</v>
      </c>
      <c r="C56" s="67" t="s">
        <v>375</v>
      </c>
      <c r="D56" s="68" t="s">
        <v>376</v>
      </c>
    </row>
    <row r="58" spans="2:4">
      <c r="B58" s="21" t="s">
        <v>59</v>
      </c>
      <c r="C58" s="21"/>
      <c r="D58" s="21"/>
    </row>
  </sheetData>
  <sheetProtection sheet="1" formatColumns="0" formatRows="0"/>
  <mergeCells count="27">
    <mergeCell ref="A1:D1"/>
    <mergeCell ref="B2:C2"/>
    <mergeCell ref="B4:D4"/>
    <mergeCell ref="B6:D6"/>
    <mergeCell ref="B8:D8"/>
    <mergeCell ref="B23:D23"/>
    <mergeCell ref="C25:D25"/>
    <mergeCell ref="C26:D26"/>
    <mergeCell ref="C27:D27"/>
    <mergeCell ref="C28:D28"/>
    <mergeCell ref="B30:D30"/>
    <mergeCell ref="C32:D32"/>
    <mergeCell ref="C33:D33"/>
    <mergeCell ref="C34:D34"/>
    <mergeCell ref="C35:D35"/>
    <mergeCell ref="B37:D37"/>
    <mergeCell ref="B39:D39"/>
    <mergeCell ref="B40:D40"/>
    <mergeCell ref="B42:D42"/>
    <mergeCell ref="B44:D44"/>
    <mergeCell ref="B46:D46"/>
    <mergeCell ref="C48:D48"/>
    <mergeCell ref="C49:D49"/>
    <mergeCell ref="C50:D50"/>
    <mergeCell ref="B51:D51"/>
    <mergeCell ref="B53:D53"/>
    <mergeCell ref="B58:D58"/>
  </mergeCells>
  <hyperlinks>
    <hyperlink ref="D2" r:id="rId1" tooltip="Free manufacturing calculators and templates"/>
    <hyperlink ref="B40" r:id="rId2"/>
  </hyperlinks>
  <printOptions horizontalCentered="1"/>
  <pageMargins left="0.4" right="0.4" top="0.7" bottom="0.65" header="0.3" footer="0.3"/>
  <pageSetup fitToHeight="0" orientation="portrait"/>
  <headerFooter>
    <oddHeader>&amp;L&amp;8MFG Calcs - Purchase Price Variance Tracker&amp;R&amp;8&amp;A</oddHeader>
    <oddFooter>&amp;L&amp;8mfgcalcs.com - free manufacturing templates&amp;R&amp;8Page &amp;P of &amp;N</oddFooter>
  </headerFooter>
  <rowBreaks count="1" manualBreakCount="1">
    <brk id="28"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S59"/>
  <sheetViews>
    <sheetView showGridLines="0" workbookViewId="0"/>
  </sheetViews>
  <sheetFormatPr defaultRowHeight="15"/>
  <cols>
    <col min="1" max="1" width="2.7109375" customWidth="1"/>
    <col min="2" max="19" width="12.7109375" customWidth="1"/>
  </cols>
  <sheetData>
    <row r="1" spans="1:19" ht="30" customHeight="1">
      <c r="A1" s="1" t="s">
        <v>0</v>
      </c>
      <c r="B1" s="1"/>
      <c r="C1" s="1"/>
      <c r="D1" s="1"/>
      <c r="E1" s="1"/>
      <c r="F1" s="1"/>
      <c r="G1" s="1"/>
      <c r="H1" s="1"/>
      <c r="I1" s="1"/>
      <c r="J1" s="1"/>
      <c r="K1" s="1"/>
      <c r="L1" s="1"/>
      <c r="M1" s="1"/>
      <c r="N1" s="1"/>
      <c r="O1" s="1"/>
      <c r="P1" s="1"/>
      <c r="Q1" s="1"/>
      <c r="R1" s="1"/>
      <c r="S1" s="1"/>
    </row>
    <row r="2" spans="1:19" ht="21" customHeight="1">
      <c r="B2" s="2" t="s">
        <v>26</v>
      </c>
      <c r="C2" s="2"/>
      <c r="D2" s="2"/>
      <c r="E2" s="2"/>
      <c r="F2" s="2"/>
      <c r="G2" s="2"/>
      <c r="H2" s="2"/>
      <c r="I2" s="2"/>
      <c r="J2" s="2"/>
      <c r="K2" s="2"/>
      <c r="L2" s="2"/>
      <c r="M2" s="2"/>
      <c r="N2" s="2"/>
      <c r="O2" s="2"/>
      <c r="P2" s="2"/>
      <c r="Q2" s="2"/>
      <c r="R2" s="2"/>
      <c r="S2" s="3" t="s">
        <v>2</v>
      </c>
    </row>
    <row r="3" spans="1:19" ht="6" customHeight="1"/>
    <row r="4" spans="1:19" ht="30" customHeight="1">
      <c r="B4" s="69" t="s">
        <v>377</v>
      </c>
      <c r="C4" s="69"/>
      <c r="D4" s="22" t="str">
        <f>IF(COUNTIF($K$11:$K$35,"PASS")=25,"PASS","FAIL")</f>
        <v>PASS</v>
      </c>
      <c r="E4" s="22"/>
      <c r="F4" s="23" t="str">
        <f>COUNTIF($K$11:$K$35,"PASS")&amp;" of 25 checks pass"</f>
        <v>25 of 25 checks pass</v>
      </c>
      <c r="G4" s="23"/>
      <c r="H4" s="23"/>
      <c r="I4" s="23"/>
      <c r="J4" s="23"/>
    </row>
    <row r="6" spans="1:19" ht="29.4" customHeight="1">
      <c r="B6" s="10" t="s">
        <v>378</v>
      </c>
      <c r="C6" s="10"/>
      <c r="D6" s="10"/>
      <c r="E6" s="10"/>
      <c r="F6" s="10"/>
      <c r="G6" s="10"/>
      <c r="H6" s="10"/>
      <c r="I6" s="10"/>
      <c r="J6" s="10"/>
      <c r="K6" s="10"/>
      <c r="L6" s="10"/>
    </row>
    <row r="8" spans="1:19" ht="21" customHeight="1">
      <c r="B8" s="8" t="s">
        <v>379</v>
      </c>
      <c r="C8" s="8"/>
      <c r="D8" s="8"/>
      <c r="E8" s="8"/>
      <c r="F8" s="8"/>
      <c r="G8" s="8"/>
      <c r="H8" s="8"/>
      <c r="I8" s="8"/>
      <c r="J8" s="8"/>
      <c r="K8" s="8"/>
      <c r="L8" s="8"/>
    </row>
    <row r="9" spans="1:19" ht="5" customHeight="1"/>
    <row r="10" spans="1:19" ht="30" customHeight="1">
      <c r="B10" s="31" t="s">
        <v>380</v>
      </c>
      <c r="C10" s="53" t="s">
        <v>167</v>
      </c>
      <c r="D10" s="53"/>
      <c r="E10" s="53"/>
      <c r="F10" s="53"/>
      <c r="G10" s="31" t="s">
        <v>381</v>
      </c>
      <c r="H10" s="31" t="s">
        <v>382</v>
      </c>
      <c r="I10" s="31" t="s">
        <v>383</v>
      </c>
      <c r="J10" s="31" t="s">
        <v>384</v>
      </c>
      <c r="K10" s="31" t="s">
        <v>385</v>
      </c>
    </row>
    <row r="11" spans="1:19" ht="16.2" customHeight="1">
      <c r="B11" s="57">
        <v>1</v>
      </c>
      <c r="C11" s="67" t="s">
        <v>386</v>
      </c>
      <c r="D11" s="67"/>
      <c r="E11" s="67"/>
      <c r="F11" s="67"/>
      <c r="G11" s="70">
        <v>5200</v>
      </c>
      <c r="H11" s="39">
        <f>$K$55</f>
        <v>5200</v>
      </c>
      <c r="I11" s="71">
        <f>IF(AND(ISNUMBER($G$11),ISNUMBER($H$11)),ABS($H$11-$G$11),"")</f>
        <v>0</v>
      </c>
      <c r="J11" s="72">
        <v>1E-09</v>
      </c>
      <c r="K11" s="41" t="str">
        <f>IF(AND(ISNUMBER($G$11),ISNUMBER($H$11)),IF(ABS($H$11-$G$11)&lt;=$J$11,"PASS","FAIL"),"FAIL")</f>
        <v>PASS</v>
      </c>
    </row>
    <row r="12" spans="1:19" ht="16.2" customHeight="1">
      <c r="B12" s="57">
        <v>2</v>
      </c>
      <c r="C12" s="67" t="s">
        <v>387</v>
      </c>
      <c r="D12" s="67"/>
      <c r="E12" s="67"/>
      <c r="F12" s="67"/>
      <c r="G12" s="70">
        <v>5000</v>
      </c>
      <c r="H12" s="39">
        <f>$L$55</f>
        <v>5000</v>
      </c>
      <c r="I12" s="71">
        <f>IF(AND(ISNUMBER($G$12),ISNUMBER($H$12)),ABS($H$12-$G$12),"")</f>
        <v>0</v>
      </c>
      <c r="J12" s="72">
        <v>1E-09</v>
      </c>
      <c r="K12" s="41" t="str">
        <f>IF(AND(ISNUMBER($G$12),ISNUMBER($H$12)),IF(ABS($H$12-$G$12)&lt;=$J$12,"PASS","FAIL"),"FAIL")</f>
        <v>PASS</v>
      </c>
    </row>
    <row r="13" spans="1:19" ht="16.2" customHeight="1">
      <c r="B13" s="57">
        <v>3</v>
      </c>
      <c r="C13" s="67" t="s">
        <v>388</v>
      </c>
      <c r="D13" s="67"/>
      <c r="E13" s="67"/>
      <c r="F13" s="67"/>
      <c r="G13" s="70">
        <v>200</v>
      </c>
      <c r="H13" s="39">
        <f>$M$55</f>
        <v>200</v>
      </c>
      <c r="I13" s="71">
        <f>IF(AND(ISNUMBER($G$13),ISNUMBER($H$13)),ABS($H$13-$G$13),"")</f>
        <v>0</v>
      </c>
      <c r="J13" s="72">
        <v>1E-06</v>
      </c>
      <c r="K13" s="41" t="str">
        <f>IF(AND(ISNUMBER($G$13),ISNUMBER($H$13)),IF(ABS($H$13-$G$13)&lt;=$J$13,"PASS","FAIL"),"FAIL")</f>
        <v>PASS</v>
      </c>
    </row>
    <row r="14" spans="1:19" ht="16.2" customHeight="1">
      <c r="B14" s="57">
        <v>4</v>
      </c>
      <c r="C14" s="67" t="s">
        <v>389</v>
      </c>
      <c r="D14" s="67"/>
      <c r="E14" s="67"/>
      <c r="F14" s="67"/>
      <c r="G14" s="73">
        <v>0.04</v>
      </c>
      <c r="H14" s="40">
        <f>$N$55</f>
        <v>0.04</v>
      </c>
      <c r="I14" s="71">
        <f>IF(AND(ISNUMBER($G$14),ISNUMBER($H$14)),ABS($H$14-$G$14),"")</f>
        <v>0</v>
      </c>
      <c r="J14" s="72">
        <v>1E-09</v>
      </c>
      <c r="K14" s="41" t="str">
        <f>IF(AND(ISNUMBER($G$14),ISNUMBER($H$14)),IF(ABS($H$14-$G$14)&lt;=$J$14,"PASS","FAIL"),"FAIL")</f>
        <v>PASS</v>
      </c>
    </row>
    <row r="15" spans="1:19" ht="16.2" customHeight="1">
      <c r="B15" s="57">
        <v>5</v>
      </c>
      <c r="C15" s="67" t="s">
        <v>390</v>
      </c>
      <c r="D15" s="67"/>
      <c r="E15" s="67"/>
      <c r="F15" s="67"/>
      <c r="G15" s="70">
        <v>3872</v>
      </c>
      <c r="H15" s="39">
        <f>$K$56</f>
        <v>3872</v>
      </c>
      <c r="I15" s="71">
        <f>IF(AND(ISNUMBER($G$15),ISNUMBER($H$15)),ABS($H$15-$G$15),"")</f>
        <v>0</v>
      </c>
      <c r="J15" s="72">
        <v>1E-09</v>
      </c>
      <c r="K15" s="41" t="str">
        <f>IF(AND(ISNUMBER($G$15),ISNUMBER($H$15)),IF(ABS($H$15-$G$15)&lt;=$J$15,"PASS","FAIL"),"FAIL")</f>
        <v>PASS</v>
      </c>
    </row>
    <row r="16" spans="1:19" ht="16.2" customHeight="1">
      <c r="B16" s="57">
        <v>6</v>
      </c>
      <c r="C16" s="67" t="s">
        <v>391</v>
      </c>
      <c r="D16" s="67"/>
      <c r="E16" s="67"/>
      <c r="F16" s="67"/>
      <c r="G16" s="70">
        <v>3968</v>
      </c>
      <c r="H16" s="39">
        <f>$L$56</f>
        <v>3968</v>
      </c>
      <c r="I16" s="71">
        <f>IF(AND(ISNUMBER($G$16),ISNUMBER($H$16)),ABS($H$16-$G$16),"")</f>
        <v>0</v>
      </c>
      <c r="J16" s="72">
        <v>1E-09</v>
      </c>
      <c r="K16" s="41" t="str">
        <f>IF(AND(ISNUMBER($G$16),ISNUMBER($H$16)),IF(ABS($H$16-$G$16)&lt;=$J$16,"PASS","FAIL"),"FAIL")</f>
        <v>PASS</v>
      </c>
    </row>
    <row r="17" spans="2:11" ht="16.2" customHeight="1">
      <c r="B17" s="57">
        <v>7</v>
      </c>
      <c r="C17" s="67" t="s">
        <v>392</v>
      </c>
      <c r="D17" s="67"/>
      <c r="E17" s="67"/>
      <c r="F17" s="67"/>
      <c r="G17" s="70">
        <v>-96</v>
      </c>
      <c r="H17" s="39">
        <f>$M$56</f>
        <v>-96.0000000000002</v>
      </c>
      <c r="I17" s="71">
        <f>IF(AND(ISNUMBER($G$17),ISNUMBER($H$17)),ABS($H$17-$G$17),"")</f>
        <v>0</v>
      </c>
      <c r="J17" s="72">
        <v>1E-06</v>
      </c>
      <c r="K17" s="41" t="str">
        <f>IF(AND(ISNUMBER($G$17),ISNUMBER($H$17)),IF(ABS($H$17-$G$17)&lt;=$J$17,"PASS","FAIL"),"FAIL")</f>
        <v>PASS</v>
      </c>
    </row>
    <row r="18" spans="2:11" ht="16.2" customHeight="1">
      <c r="B18" s="57">
        <v>8</v>
      </c>
      <c r="C18" s="67" t="s">
        <v>393</v>
      </c>
      <c r="D18" s="67"/>
      <c r="E18" s="67"/>
      <c r="F18" s="67"/>
      <c r="G18" s="73">
        <v>-0.02419354838709677</v>
      </c>
      <c r="H18" s="40">
        <f>$N$56</f>
        <v>-0.0241935483870968</v>
      </c>
      <c r="I18" s="71">
        <f>IF(AND(ISNUMBER($G$18),ISNUMBER($H$18)),ABS($H$18-$G$18),"")</f>
        <v>0</v>
      </c>
      <c r="J18" s="72">
        <v>1E-09</v>
      </c>
      <c r="K18" s="41" t="str">
        <f>IF(AND(ISNUMBER($G$18),ISNUMBER($H$18)),IF(ABS($H$18-$G$18)&lt;=$J$18,"PASS","FAIL"),"FAIL")</f>
        <v>PASS</v>
      </c>
    </row>
    <row r="19" spans="2:11" ht="16.2" customHeight="1">
      <c r="B19" s="57">
        <v>9</v>
      </c>
      <c r="C19" s="67" t="s">
        <v>394</v>
      </c>
      <c r="D19" s="67"/>
      <c r="E19" s="67"/>
      <c r="F19" s="67"/>
      <c r="G19" s="70">
        <v>4742.5</v>
      </c>
      <c r="H19" s="39">
        <f>$K$57</f>
        <v>4742.5</v>
      </c>
      <c r="I19" s="71">
        <f>IF(AND(ISNUMBER($G$19),ISNUMBER($H$19)),ABS($H$19-$G$19),"")</f>
        <v>0</v>
      </c>
      <c r="J19" s="72">
        <v>1E-09</v>
      </c>
      <c r="K19" s="41" t="str">
        <f>IF(AND(ISNUMBER($G$19),ISNUMBER($H$19)),IF(ABS($H$19-$G$19)&lt;=$J$19,"PASS","FAIL"),"FAIL")</f>
        <v>PASS</v>
      </c>
    </row>
    <row r="20" spans="2:11" ht="16.2" customHeight="1">
      <c r="B20" s="57">
        <v>10</v>
      </c>
      <c r="C20" s="67" t="s">
        <v>395</v>
      </c>
      <c r="D20" s="67"/>
      <c r="E20" s="67"/>
      <c r="F20" s="67"/>
      <c r="G20" s="70">
        <v>4600</v>
      </c>
      <c r="H20" s="39">
        <f>$L$57</f>
        <v>4600</v>
      </c>
      <c r="I20" s="71">
        <f>IF(AND(ISNUMBER($G$20),ISNUMBER($H$20)),ABS($H$20-$G$20),"")</f>
        <v>0</v>
      </c>
      <c r="J20" s="72">
        <v>1E-09</v>
      </c>
      <c r="K20" s="41" t="str">
        <f>IF(AND(ISNUMBER($G$20),ISNUMBER($H$20)),IF(ABS($H$20-$G$20)&lt;=$J$20,"PASS","FAIL"),"FAIL")</f>
        <v>PASS</v>
      </c>
    </row>
    <row r="21" spans="2:11" ht="16.2" customHeight="1">
      <c r="B21" s="57">
        <v>11</v>
      </c>
      <c r="C21" s="67" t="s">
        <v>396</v>
      </c>
      <c r="D21" s="67"/>
      <c r="E21" s="67"/>
      <c r="F21" s="67"/>
      <c r="G21" s="70">
        <v>142.5</v>
      </c>
      <c r="H21" s="39">
        <f>$M$57</f>
        <v>142.5</v>
      </c>
      <c r="I21" s="71">
        <f>IF(AND(ISNUMBER($G$21),ISNUMBER($H$21)),ABS($H$21-$G$21),"")</f>
        <v>0</v>
      </c>
      <c r="J21" s="72">
        <v>1E-06</v>
      </c>
      <c r="K21" s="41" t="str">
        <f>IF(AND(ISNUMBER($G$21),ISNUMBER($H$21)),IF(ABS($H$21-$G$21)&lt;=$J$21,"PASS","FAIL"),"FAIL")</f>
        <v>PASS</v>
      </c>
    </row>
    <row r="22" spans="2:11" ht="16.2" customHeight="1">
      <c r="B22" s="57">
        <v>12</v>
      </c>
      <c r="C22" s="67" t="s">
        <v>397</v>
      </c>
      <c r="D22" s="67"/>
      <c r="E22" s="67"/>
      <c r="F22" s="67"/>
      <c r="G22" s="73">
        <v>0.03097826086956522</v>
      </c>
      <c r="H22" s="40">
        <f>$N$57</f>
        <v>0.0309782608695652</v>
      </c>
      <c r="I22" s="71">
        <f>IF(AND(ISNUMBER($G$22),ISNUMBER($H$22)),ABS($H$22-$G$22),"")</f>
        <v>0</v>
      </c>
      <c r="J22" s="72">
        <v>1E-09</v>
      </c>
      <c r="K22" s="41" t="str">
        <f>IF(AND(ISNUMBER($G$22),ISNUMBER($H$22)),IF(ABS($H$22-$G$22)&lt;=$J$22,"PASS","FAIL"),"FAIL")</f>
        <v>PASS</v>
      </c>
    </row>
    <row r="23" spans="2:11" ht="16.2" customHeight="1">
      <c r="B23" s="57">
        <v>13</v>
      </c>
      <c r="C23" s="67" t="s">
        <v>398</v>
      </c>
      <c r="D23" s="67"/>
      <c r="E23" s="67"/>
      <c r="F23" s="67"/>
      <c r="G23" s="66" t="s">
        <v>314</v>
      </c>
      <c r="H23" s="36" t="str">
        <f>$O$55</f>
        <v>Unfavourable</v>
      </c>
      <c r="I23" s="36"/>
      <c r="J23" s="68" t="s">
        <v>399</v>
      </c>
      <c r="K23" s="41" t="str">
        <f>IF($H$23&amp;""=$G$23&amp;"","PASS","FAIL")</f>
        <v>PASS</v>
      </c>
    </row>
    <row r="24" spans="2:11" ht="16.2" customHeight="1">
      <c r="B24" s="57">
        <v>14</v>
      </c>
      <c r="C24" s="67" t="s">
        <v>400</v>
      </c>
      <c r="D24" s="67"/>
      <c r="E24" s="67"/>
      <c r="F24" s="67"/>
      <c r="G24" s="66" t="s">
        <v>401</v>
      </c>
      <c r="H24" s="36" t="str">
        <f>$P$55</f>
        <v>Above target</v>
      </c>
      <c r="I24" s="36"/>
      <c r="J24" s="68" t="s">
        <v>399</v>
      </c>
      <c r="K24" s="41" t="str">
        <f>IF($H$24&amp;""=$G$24&amp;"","PASS","FAIL")</f>
        <v>PASS</v>
      </c>
    </row>
    <row r="25" spans="2:11" ht="16.2" customHeight="1">
      <c r="B25" s="57">
        <v>15</v>
      </c>
      <c r="C25" s="67" t="s">
        <v>402</v>
      </c>
      <c r="D25" s="67"/>
      <c r="E25" s="67"/>
      <c r="F25" s="67"/>
      <c r="G25" s="66" t="s">
        <v>315</v>
      </c>
      <c r="H25" s="36" t="str">
        <f>$O$56</f>
        <v>Favourable</v>
      </c>
      <c r="I25" s="36"/>
      <c r="J25" s="68" t="s">
        <v>399</v>
      </c>
      <c r="K25" s="41" t="str">
        <f>IF($H$25&amp;""=$G$25&amp;"","PASS","FAIL")</f>
        <v>PASS</v>
      </c>
    </row>
    <row r="26" spans="2:11" ht="16.2" customHeight="1">
      <c r="B26" s="57">
        <v>16</v>
      </c>
      <c r="C26" s="67" t="s">
        <v>403</v>
      </c>
      <c r="D26" s="67"/>
      <c r="E26" s="67"/>
      <c r="F26" s="67"/>
      <c r="G26" s="66" t="s">
        <v>404</v>
      </c>
      <c r="H26" s="36" t="str">
        <f>$P$56</f>
        <v>On target</v>
      </c>
      <c r="I26" s="36"/>
      <c r="J26" s="68" t="s">
        <v>399</v>
      </c>
      <c r="K26" s="41" t="str">
        <f>IF($H$26&amp;""=$G$26&amp;"","PASS","FAIL")</f>
        <v>PASS</v>
      </c>
    </row>
    <row r="27" spans="2:11" ht="16.2" customHeight="1">
      <c r="B27" s="57">
        <v>17</v>
      </c>
      <c r="C27" s="67" t="s">
        <v>405</v>
      </c>
      <c r="D27" s="67"/>
      <c r="E27" s="67"/>
      <c r="F27" s="67"/>
      <c r="G27" s="66" t="s">
        <v>406</v>
      </c>
      <c r="H27" s="36" t="str">
        <f>$P$57</f>
        <v>Near target</v>
      </c>
      <c r="I27" s="36"/>
      <c r="J27" s="68" t="s">
        <v>399</v>
      </c>
      <c r="K27" s="41" t="str">
        <f>IF($H$27&amp;""=$G$27&amp;"","PASS","FAIL")</f>
        <v>PASS</v>
      </c>
    </row>
    <row r="28" spans="2:11" ht="16.2" customHeight="1">
      <c r="B28" s="57">
        <v>18</v>
      </c>
      <c r="C28" s="67" t="s">
        <v>407</v>
      </c>
      <c r="D28" s="67"/>
      <c r="E28" s="67"/>
      <c r="F28" s="67"/>
      <c r="G28" s="66" t="s">
        <v>408</v>
      </c>
      <c r="H28" s="36" t="str">
        <f>$R$58</f>
        <v>Item not on Setup list</v>
      </c>
      <c r="I28" s="36"/>
      <c r="J28" s="68" t="s">
        <v>399</v>
      </c>
      <c r="K28" s="41" t="str">
        <f>IF($H$28&amp;""=$G$28&amp;"","PASS","FAIL")</f>
        <v>PASS</v>
      </c>
    </row>
    <row r="29" spans="2:11" ht="16.2" customHeight="1">
      <c r="B29" s="57">
        <v>19</v>
      </c>
      <c r="C29" s="67" t="s">
        <v>409</v>
      </c>
      <c r="D29" s="67"/>
      <c r="E29" s="67"/>
      <c r="F29" s="67"/>
      <c r="G29" s="66" t="s">
        <v>410</v>
      </c>
      <c r="H29" s="36" t="str">
        <f>$R$59</f>
        <v>Supplier not on Setup list</v>
      </c>
      <c r="I29" s="36"/>
      <c r="J29" s="68" t="s">
        <v>399</v>
      </c>
      <c r="K29" s="41" t="str">
        <f>IF($H$29&amp;""=$G$29&amp;"","PASS","FAIL")</f>
        <v>PASS</v>
      </c>
    </row>
    <row r="30" spans="2:11" ht="16.2" customHeight="1">
      <c r="B30" s="57">
        <v>20</v>
      </c>
      <c r="C30" s="67" t="s">
        <v>411</v>
      </c>
      <c r="D30" s="67"/>
      <c r="E30" s="67"/>
      <c r="F30" s="67"/>
      <c r="G30" s="66" t="s">
        <v>412</v>
      </c>
      <c r="H30" s="36" t="str">
        <f>$R$55</f>
        <v>OK</v>
      </c>
      <c r="I30" s="36"/>
      <c r="J30" s="68" t="s">
        <v>399</v>
      </c>
      <c r="K30" s="41" t="str">
        <f>IF($H$30&amp;""=$G$30&amp;"","PASS","FAIL")</f>
        <v>PASS</v>
      </c>
    </row>
    <row r="31" spans="2:11" ht="16.2" customHeight="1">
      <c r="B31" s="57">
        <v>21</v>
      </c>
      <c r="C31" s="67" t="s">
        <v>413</v>
      </c>
      <c r="D31" s="67"/>
      <c r="E31" s="67"/>
      <c r="F31" s="67"/>
      <c r="G31" s="70">
        <v>246.5</v>
      </c>
      <c r="H31" s="39">
        <f>SUMIFS(tblVerifyReceipts[PPV],tblVerifyReceipts[View date],"&gt;0")</f>
        <v>246.5</v>
      </c>
      <c r="I31" s="71">
        <f>IF(AND(ISNUMBER($G$31),ISNUMBER($H$31)),ABS($H$31-$G$31),"")</f>
        <v>0</v>
      </c>
      <c r="J31" s="72">
        <v>1E-06</v>
      </c>
      <c r="K31" s="41" t="str">
        <f>IF(AND(ISNUMBER($G$31),ISNUMBER($H$31)),IF(ABS($H$31-$G$31)&lt;=$J$31,"PASS","FAIL"),"FAIL")</f>
        <v>PASS</v>
      </c>
    </row>
    <row r="32" spans="2:11" ht="16.2" customHeight="1">
      <c r="B32" s="57">
        <v>22</v>
      </c>
      <c r="C32" s="67" t="s">
        <v>414</v>
      </c>
      <c r="D32" s="67"/>
      <c r="E32" s="67"/>
      <c r="F32" s="67"/>
      <c r="G32" s="73">
        <v>0.01730674717405041</v>
      </c>
      <c r="H32" s="40">
        <f>IF((SUMIFS(tblVerifyReceipts[Standard cost],tblVerifyReceipts[View date],"&gt;0"))=0,"",(SUMIFS(tblVerifyReceipts[PPV],tblVerifyReceipts[View date],"&gt;0"))/(SUMIFS(tblVerifyReceipts[Standard cost],tblVerifyReceipts[View date],"&gt;0")))</f>
        <v>0.0173067471740504</v>
      </c>
      <c r="I32" s="71">
        <f>IF(AND(ISNUMBER($G$32),ISNUMBER($H$32)),ABS($H$32-$G$32),"")</f>
        <v>0</v>
      </c>
      <c r="J32" s="72">
        <v>1E-09</v>
      </c>
      <c r="K32" s="41" t="str">
        <f>IF(AND(ISNUMBER($G$32),ISNUMBER($H$32)),IF(ABS($H$32-$G$32)&lt;=$J$32,"PASS","FAIL"),"FAIL")</f>
        <v>PASS</v>
      </c>
    </row>
    <row r="33" spans="2:12" ht="16.2" customHeight="1">
      <c r="B33" s="57">
        <v>23</v>
      </c>
      <c r="C33" s="67" t="s">
        <v>415</v>
      </c>
      <c r="D33" s="67"/>
      <c r="E33" s="67"/>
      <c r="F33" s="67"/>
      <c r="G33" s="70">
        <v>342.5000000000002</v>
      </c>
      <c r="H33" s="39">
        <f>SUMIFS(tblVerifyReceipts[PPV],tblVerifyReceipts[View date],"&gt;0",tblVerifyReceipts[PPV],"&gt;0")</f>
        <v>342.5</v>
      </c>
      <c r="I33" s="71">
        <f>IF(AND(ISNUMBER($G$33),ISNUMBER($H$33)),ABS($H$33-$G$33),"")</f>
        <v>0</v>
      </c>
      <c r="J33" s="72">
        <v>1E-06</v>
      </c>
      <c r="K33" s="41" t="str">
        <f>IF(AND(ISNUMBER($G$33),ISNUMBER($H$33)),IF(ABS($H$33-$G$33)&lt;=$J$33,"PASS","FAIL"),"FAIL")</f>
        <v>PASS</v>
      </c>
    </row>
    <row r="34" spans="2:12" ht="16.2" customHeight="1">
      <c r="B34" s="57">
        <v>24</v>
      </c>
      <c r="C34" s="67" t="s">
        <v>416</v>
      </c>
      <c r="D34" s="67"/>
      <c r="E34" s="67"/>
      <c r="F34" s="67"/>
      <c r="G34" s="70">
        <v>-96.00000000000023</v>
      </c>
      <c r="H34" s="39">
        <f>SUMIFS(tblVerifyReceipts[PPV],tblVerifyReceipts[View date],"&gt;0",tblVerifyReceipts[PPV],"&lt;0")</f>
        <v>-96.0000000000002</v>
      </c>
      <c r="I34" s="71">
        <f>IF(AND(ISNUMBER($G$34),ISNUMBER($H$34)),ABS($H$34-$G$34),"")</f>
        <v>0</v>
      </c>
      <c r="J34" s="72">
        <v>1E-06</v>
      </c>
      <c r="K34" s="41" t="str">
        <f>IF(AND(ISNUMBER($G$34),ISNUMBER($H$34)),IF(ABS($H$34-$G$34)&lt;=$J$34,"PASS","FAIL"),"FAIL")</f>
        <v>PASS</v>
      </c>
    </row>
    <row r="35" spans="2:12" ht="16.2" customHeight="1">
      <c r="B35" s="57">
        <v>25</v>
      </c>
      <c r="C35" s="67" t="s">
        <v>417</v>
      </c>
      <c r="D35" s="67"/>
      <c r="E35" s="67"/>
      <c r="F35" s="67"/>
      <c r="G35" s="70">
        <v>14243</v>
      </c>
      <c r="H35" s="39">
        <f>SUMIFS(tblVerifyReceipts[Standard cost],tblVerifyReceipts[View date],"&gt;0")</f>
        <v>14243</v>
      </c>
      <c r="I35" s="71">
        <f>IF(AND(ISNUMBER($G$35),ISNUMBER($H$35)),ABS($H$35-$G$35),"")</f>
        <v>0</v>
      </c>
      <c r="J35" s="72">
        <v>1E-06</v>
      </c>
      <c r="K35" s="41" t="str">
        <f>IF(AND(ISNUMBER($G$35),ISNUMBER($H$35)),IF(ABS($H$35-$G$35)&lt;=$J$35,"PASS","FAIL"),"FAIL")</f>
        <v>PASS</v>
      </c>
    </row>
    <row r="37" spans="2:12" ht="21" customHeight="1">
      <c r="B37" s="8" t="s">
        <v>418</v>
      </c>
      <c r="C37" s="8"/>
      <c r="D37" s="8"/>
      <c r="E37" s="8"/>
      <c r="F37" s="8"/>
      <c r="G37" s="8"/>
      <c r="H37" s="8"/>
      <c r="I37" s="8"/>
      <c r="J37" s="8"/>
      <c r="K37" s="8"/>
      <c r="L37" s="8"/>
    </row>
    <row r="38" spans="2:12" ht="5" customHeight="1"/>
    <row r="39" spans="2:12">
      <c r="B39" s="21" t="s">
        <v>419</v>
      </c>
      <c r="C39" s="21"/>
      <c r="D39" s="21"/>
      <c r="E39" s="21"/>
      <c r="F39" s="21"/>
      <c r="G39" s="21"/>
      <c r="H39" s="21"/>
      <c r="I39" s="21"/>
      <c r="J39" s="21"/>
      <c r="K39" s="21"/>
      <c r="L39" s="21"/>
    </row>
    <row r="40" spans="2:12">
      <c r="B40" s="30" t="s">
        <v>420</v>
      </c>
      <c r="C40" s="30"/>
      <c r="D40" s="30"/>
      <c r="E40" s="30"/>
      <c r="F40" s="30"/>
    </row>
    <row r="41" spans="2:12">
      <c r="B41" s="27" t="s">
        <v>421</v>
      </c>
      <c r="C41" s="27"/>
      <c r="D41" s="27"/>
      <c r="E41" s="74">
        <v>0</v>
      </c>
      <c r="F41" s="7"/>
    </row>
    <row r="42" spans="2:12">
      <c r="B42" s="27" t="s">
        <v>422</v>
      </c>
      <c r="C42" s="27"/>
      <c r="D42" s="27"/>
      <c r="E42" s="74">
        <v>2958465</v>
      </c>
      <c r="F42" s="7"/>
    </row>
    <row r="43" spans="2:12">
      <c r="B43" s="27" t="s">
        <v>423</v>
      </c>
      <c r="C43" s="27"/>
      <c r="D43" s="27"/>
      <c r="E43" s="66" t="s">
        <v>171</v>
      </c>
      <c r="F43" s="66"/>
    </row>
    <row r="44" spans="2:12">
      <c r="B44" s="27" t="s">
        <v>424</v>
      </c>
      <c r="C44" s="27"/>
      <c r="D44" s="27"/>
      <c r="E44" s="75">
        <v>0.03</v>
      </c>
      <c r="F44" s="7"/>
    </row>
    <row r="45" spans="2:12">
      <c r="B45" s="27" t="s">
        <v>425</v>
      </c>
      <c r="C45" s="27"/>
      <c r="D45" s="27"/>
      <c r="E45" s="75">
        <v>0.01</v>
      </c>
      <c r="F45" s="7"/>
    </row>
    <row r="47" spans="2:12">
      <c r="B47" s="30" t="s">
        <v>426</v>
      </c>
      <c r="C47" s="30"/>
      <c r="D47" s="30"/>
      <c r="E47" s="30"/>
      <c r="F47" s="30"/>
      <c r="G47" s="30"/>
      <c r="H47" s="30"/>
      <c r="I47" s="30"/>
      <c r="J47" s="30"/>
      <c r="K47" s="30"/>
      <c r="L47" s="30"/>
    </row>
    <row r="48" spans="2:12" ht="20" customHeight="1">
      <c r="B48" s="31" t="s">
        <v>60</v>
      </c>
      <c r="C48" s="31" t="s">
        <v>61</v>
      </c>
      <c r="D48" s="31" t="s">
        <v>62</v>
      </c>
      <c r="E48" s="31" t="s">
        <v>63</v>
      </c>
      <c r="F48" s="31" t="s">
        <v>64</v>
      </c>
    </row>
    <row r="49" spans="2:19">
      <c r="B49" s="66" t="s">
        <v>427</v>
      </c>
      <c r="C49" s="66" t="s">
        <v>171</v>
      </c>
      <c r="D49" s="66"/>
      <c r="E49" s="66"/>
      <c r="F49" s="66" t="s">
        <v>171</v>
      </c>
    </row>
    <row r="50" spans="2:19">
      <c r="B50" s="66" t="s">
        <v>428</v>
      </c>
      <c r="C50" s="66" t="s">
        <v>171</v>
      </c>
      <c r="D50" s="66"/>
      <c r="E50" s="66"/>
      <c r="F50" s="66" t="s">
        <v>171</v>
      </c>
    </row>
    <row r="52" spans="2:19">
      <c r="B52" s="30" t="s">
        <v>429</v>
      </c>
      <c r="C52" s="30"/>
      <c r="D52" s="30"/>
      <c r="E52" s="30"/>
      <c r="F52" s="30"/>
      <c r="G52" s="30"/>
      <c r="H52" s="30"/>
      <c r="I52" s="30"/>
      <c r="J52" s="30"/>
      <c r="K52" s="30"/>
      <c r="L52" s="30"/>
    </row>
    <row r="53" spans="2:19" ht="14" customHeight="1">
      <c r="B53" s="32"/>
      <c r="C53" s="32"/>
      <c r="D53" s="32"/>
      <c r="E53" s="32"/>
      <c r="F53" s="32"/>
      <c r="G53" s="32"/>
      <c r="H53" s="32" t="str">
        <f>Currency&amp;"/UoM"</f>
        <v>USD/UoM</v>
      </c>
      <c r="I53" s="32" t="str">
        <f>Currency&amp;"/UoM"</f>
        <v>USD/UoM</v>
      </c>
      <c r="J53" s="32"/>
      <c r="K53" s="32" t="str">
        <f>Currency</f>
        <v>USD</v>
      </c>
      <c r="L53" s="32" t="str">
        <f>Currency</f>
        <v>USD</v>
      </c>
      <c r="M53" s="32" t="str">
        <f>Currency</f>
        <v>USD</v>
      </c>
      <c r="N53" s="32" t="s">
        <v>169</v>
      </c>
      <c r="O53" s="32"/>
      <c r="P53" s="32"/>
      <c r="Q53" s="32"/>
      <c r="R53" s="32"/>
      <c r="S53" s="32"/>
    </row>
    <row r="54" spans="2:19" ht="32" customHeight="1">
      <c r="B54" s="31" t="s">
        <v>156</v>
      </c>
      <c r="C54" s="31" t="s">
        <v>157</v>
      </c>
      <c r="D54" s="31" t="s">
        <v>60</v>
      </c>
      <c r="E54" s="31" t="s">
        <v>69</v>
      </c>
      <c r="F54" s="31" t="s">
        <v>158</v>
      </c>
      <c r="G54" s="31" t="s">
        <v>70</v>
      </c>
      <c r="H54" s="31" t="s">
        <v>159</v>
      </c>
      <c r="I54" s="31" t="s">
        <v>71</v>
      </c>
      <c r="J54" s="31" t="s">
        <v>65</v>
      </c>
      <c r="K54" s="31" t="s">
        <v>160</v>
      </c>
      <c r="L54" s="31" t="s">
        <v>161</v>
      </c>
      <c r="M54" s="31" t="s">
        <v>162</v>
      </c>
      <c r="N54" s="31" t="s">
        <v>163</v>
      </c>
      <c r="O54" s="31" t="s">
        <v>164</v>
      </c>
      <c r="P54" s="31" t="s">
        <v>165</v>
      </c>
      <c r="Q54" s="31" t="s">
        <v>166</v>
      </c>
      <c r="R54" s="31" t="s">
        <v>167</v>
      </c>
      <c r="S54" s="31" t="s">
        <v>64</v>
      </c>
    </row>
    <row r="55" spans="2:19">
      <c r="B55" s="76">
        <v>46083</v>
      </c>
      <c r="C55" s="66" t="s">
        <v>430</v>
      </c>
      <c r="D55" s="66" t="s">
        <v>427</v>
      </c>
      <c r="E55" s="66" t="s">
        <v>431</v>
      </c>
      <c r="F55" s="70">
        <v>1000</v>
      </c>
      <c r="G55" s="66" t="s">
        <v>136</v>
      </c>
      <c r="H55" s="77">
        <v>5.2</v>
      </c>
      <c r="I55" s="77">
        <v>5</v>
      </c>
      <c r="J55" s="66" t="s">
        <v>432</v>
      </c>
      <c r="K55" s="39">
        <f>IF(tblVerifyReceipts[[#This Row],[Date]]="","",tblVerifyReceipts[[#This Row],[Quantity]]*tblVerifyReceipts[[#This Row],[Actual price]])</f>
        <v>5200</v>
      </c>
      <c r="L55" s="39">
        <f>IF(tblVerifyReceipts[[#This Row],[Date]]="","",IF(tblVerifyReceipts[[#This Row],[Standard price]]="","",tblVerifyReceipts[[#This Row],[Quantity]]*tblVerifyReceipts[[#This Row],[Standard price]]))</f>
        <v>5000</v>
      </c>
      <c r="M55" s="39">
        <f>IF(tblVerifyReceipts[[#This Row],[Date]]="","",IF(tblVerifyReceipts[[#This Row],[Standard price]]="","",tblVerifyReceipts[[#This Row],[Quantity]]*(tblVerifyReceipts[[#This Row],[Actual price]]-tblVerifyReceipts[[#This Row],[Standard price]])))</f>
        <v>200</v>
      </c>
      <c r="N55" s="40">
        <f>IF(tblVerifyReceipts[[#This Row],[Date]]="","",IF(OR(tblVerifyReceipts[[#This Row],[Standard price]]="",tblVerifyReceipts[[#This Row],[Standard price]]=0),"",(tblVerifyReceipts[[#This Row],[Actual price]]-tblVerifyReceipts[[#This Row],[Standard price]])/tblVerifyReceipts[[#This Row],[Standard price]]))</f>
        <v>0.04</v>
      </c>
      <c r="O55" s="36" t="str">
        <f>IF(tblVerifyReceipts[[#This Row],[Date]]="","",IF(tblVerifyReceipts[[#This Row],[PPV]]="","",IF(tblVerifyReceipts[[#This Row],[PPV]]&gt;0,"Unfavourable",IF(tblVerifyReceipts[[#This Row],[PPV]]&lt;0,"Favourable","At standard"))))</f>
        <v>Unfavourable</v>
      </c>
      <c r="P55" s="41" t="str">
        <f>IF(NOT(ISNUMBER(tblVerifyReceipts[[#This Row],[PPV %]])),"",IF(tblVerifyReceipts[[#This Row],[PPV %]]&lt;=$E$44,"On target",IF(tblVerifyReceipts[[#This Row],[PPV %]]&lt;=$E$44*(1+0.05),"Near target","Above target")))</f>
        <v>Above target</v>
      </c>
      <c r="Q55" s="42">
        <f>IF(tblVerifyReceipts[[#This Row],[Date]]="","",IF(AND(tblVerifyReceipts[[#This Row],[Date]]&gt;=$E$41,tblVerifyReceipts[[#This Row],[Date]]&lt;=$E$42,OR($E$43="",tblVerifyReceipts[[#This Row],[Category]]=$E$43)),tblVerifyReceipts[[#This Row],[Date]],""))</f>
        <v>46083</v>
      </c>
      <c r="R55" s="43" t="str">
        <f>IF(tblVerifyReceipts[[#This Row],[Date]]="","",IF(tblVerifyReceipts[[#This Row],[PO number]]="","Missing po number",IF(tblVerifyReceipts[[#This Row],[Supplier]]="","Missing supplier",IF(tblVerifyReceipts[[#This Row],[Item]]="","Missing item",IF(tblVerifyReceipts[[#This Row],[Quantity]]="","Missing quantity",IF(tblVerifyReceipts[[#This Row],[Actual price]]="","Missing actual price",IF(tblVerifyReceipts[[#This Row],[Standard price]]="","Item not on Setup list",IF(COUNTIF(tblVerifySuppliers[Supplier],tblVerifyReceipts[[#This Row],[Supplier]])=0,"Supplier not on Setup list",IF(tblVerifyReceipts[[#This Row],[Quantity]]&lt;=0,"Quantity must be above zero",IF(ABS(tblVerifyReceipts[[#This Row],[PPV %]])&gt;0.5,"Price 50% off standard: check UoM",IF(COUNTIFS(tblVerifyReceipts[PO number],tblVerifyReceipts[[#This Row],[PO number]],tblVerifyReceipts[Item],tblVerifyReceipts[[#This Row],[Item]],tblVerifyReceipts[Date],tblVerifyReceipts[[#This Row],[Date]])&gt;1,"Duplicate receipt line","OK")))))))))))</f>
        <v>OK</v>
      </c>
      <c r="S55" s="66" t="s">
        <v>171</v>
      </c>
    </row>
    <row r="56" spans="2:19">
      <c r="B56" s="76">
        <v>46090</v>
      </c>
      <c r="C56" s="66" t="s">
        <v>433</v>
      </c>
      <c r="D56" s="66" t="s">
        <v>428</v>
      </c>
      <c r="E56" s="66" t="s">
        <v>434</v>
      </c>
      <c r="F56" s="70">
        <v>640</v>
      </c>
      <c r="G56" s="66" t="s">
        <v>141</v>
      </c>
      <c r="H56" s="77">
        <v>6.05</v>
      </c>
      <c r="I56" s="77">
        <v>6.2</v>
      </c>
      <c r="J56" s="66" t="s">
        <v>435</v>
      </c>
      <c r="K56" s="39">
        <f>IF(tblVerifyReceipts[[#This Row],[Date]]="","",tblVerifyReceipts[[#This Row],[Quantity]]*tblVerifyReceipts[[#This Row],[Actual price]])</f>
        <v>3872</v>
      </c>
      <c r="L56" s="39">
        <f>IF(tblVerifyReceipts[[#This Row],[Date]]="","",IF(tblVerifyReceipts[[#This Row],[Standard price]]="","",tblVerifyReceipts[[#This Row],[Quantity]]*tblVerifyReceipts[[#This Row],[Standard price]]))</f>
        <v>3968</v>
      </c>
      <c r="M56" s="39">
        <f>IF(tblVerifyReceipts[[#This Row],[Date]]="","",IF(tblVerifyReceipts[[#This Row],[Standard price]]="","",tblVerifyReceipts[[#This Row],[Quantity]]*(tblVerifyReceipts[[#This Row],[Actual price]]-tblVerifyReceipts[[#This Row],[Standard price]])))</f>
        <v>-96.0000000000002</v>
      </c>
      <c r="N56" s="40">
        <f>IF(tblVerifyReceipts[[#This Row],[Date]]="","",IF(OR(tblVerifyReceipts[[#This Row],[Standard price]]="",tblVerifyReceipts[[#This Row],[Standard price]]=0),"",(tblVerifyReceipts[[#This Row],[Actual price]]-tblVerifyReceipts[[#This Row],[Standard price]])/tblVerifyReceipts[[#This Row],[Standard price]]))</f>
        <v>-0.0241935483870968</v>
      </c>
      <c r="O56" s="36" t="str">
        <f>IF(tblVerifyReceipts[[#This Row],[Date]]="","",IF(tblVerifyReceipts[[#This Row],[PPV]]="","",IF(tblVerifyReceipts[[#This Row],[PPV]]&gt;0,"Unfavourable",IF(tblVerifyReceipts[[#This Row],[PPV]]&lt;0,"Favourable","At standard"))))</f>
        <v>Favourable</v>
      </c>
      <c r="P56" s="41" t="str">
        <f>IF(NOT(ISNUMBER(tblVerifyReceipts[[#This Row],[PPV %]])),"",IF(tblVerifyReceipts[[#This Row],[PPV %]]&lt;=$E$44,"On target",IF(tblVerifyReceipts[[#This Row],[PPV %]]&lt;=$E$44*(1+0.05),"Near target","Above target")))</f>
        <v>On target</v>
      </c>
      <c r="Q56" s="42">
        <f>IF(tblVerifyReceipts[[#This Row],[Date]]="","",IF(AND(tblVerifyReceipts[[#This Row],[Date]]&gt;=$E$41,tblVerifyReceipts[[#This Row],[Date]]&lt;=$E$42,OR($E$43="",tblVerifyReceipts[[#This Row],[Category]]=$E$43)),tblVerifyReceipts[[#This Row],[Date]],""))</f>
        <v>46090</v>
      </c>
      <c r="R56" s="43" t="str">
        <f>IF(tblVerifyReceipts[[#This Row],[Date]]="","",IF(tblVerifyReceipts[[#This Row],[PO number]]="","Missing po number",IF(tblVerifyReceipts[[#This Row],[Supplier]]="","Missing supplier",IF(tblVerifyReceipts[[#This Row],[Item]]="","Missing item",IF(tblVerifyReceipts[[#This Row],[Quantity]]="","Missing quantity",IF(tblVerifyReceipts[[#This Row],[Actual price]]="","Missing actual price",IF(tblVerifyReceipts[[#This Row],[Standard price]]="","Item not on Setup list",IF(COUNTIF(tblVerifySuppliers[Supplier],tblVerifyReceipts[[#This Row],[Supplier]])=0,"Supplier not on Setup list",IF(tblVerifyReceipts[[#This Row],[Quantity]]&lt;=0,"Quantity must be above zero",IF(ABS(tblVerifyReceipts[[#This Row],[PPV %]])&gt;0.5,"Price 50% off standard: check UoM",IF(COUNTIFS(tblVerifyReceipts[PO number],tblVerifyReceipts[[#This Row],[PO number]],tblVerifyReceipts[Item],tblVerifyReceipts[[#This Row],[Item]],tblVerifyReceipts[Date],tblVerifyReceipts[[#This Row],[Date]])&gt;1,"Duplicate receipt line","OK")))))))))))</f>
        <v>OK</v>
      </c>
      <c r="S56" s="66" t="s">
        <v>171</v>
      </c>
    </row>
    <row r="57" spans="2:19">
      <c r="B57" s="76">
        <v>46097</v>
      </c>
      <c r="C57" s="66" t="s">
        <v>436</v>
      </c>
      <c r="D57" s="66" t="s">
        <v>427</v>
      </c>
      <c r="E57" s="66" t="s">
        <v>437</v>
      </c>
      <c r="F57" s="70">
        <v>250</v>
      </c>
      <c r="G57" s="66" t="s">
        <v>136</v>
      </c>
      <c r="H57" s="77">
        <v>18.97</v>
      </c>
      <c r="I57" s="77">
        <v>18.4</v>
      </c>
      <c r="J57" s="66" t="s">
        <v>432</v>
      </c>
      <c r="K57" s="39">
        <f>IF(tblVerifyReceipts[[#This Row],[Date]]="","",tblVerifyReceipts[[#This Row],[Quantity]]*tblVerifyReceipts[[#This Row],[Actual price]])</f>
        <v>4742.5</v>
      </c>
      <c r="L57" s="39">
        <f>IF(tblVerifyReceipts[[#This Row],[Date]]="","",IF(tblVerifyReceipts[[#This Row],[Standard price]]="","",tblVerifyReceipts[[#This Row],[Quantity]]*tblVerifyReceipts[[#This Row],[Standard price]]))</f>
        <v>4600</v>
      </c>
      <c r="M57" s="39">
        <f>IF(tblVerifyReceipts[[#This Row],[Date]]="","",IF(tblVerifyReceipts[[#This Row],[Standard price]]="","",tblVerifyReceipts[[#This Row],[Quantity]]*(tblVerifyReceipts[[#This Row],[Actual price]]-tblVerifyReceipts[[#This Row],[Standard price]])))</f>
        <v>142.5</v>
      </c>
      <c r="N57" s="40">
        <f>IF(tblVerifyReceipts[[#This Row],[Date]]="","",IF(OR(tblVerifyReceipts[[#This Row],[Standard price]]="",tblVerifyReceipts[[#This Row],[Standard price]]=0),"",(tblVerifyReceipts[[#This Row],[Actual price]]-tblVerifyReceipts[[#This Row],[Standard price]])/tblVerifyReceipts[[#This Row],[Standard price]]))</f>
        <v>0.0309782608695652</v>
      </c>
      <c r="O57" s="36" t="str">
        <f>IF(tblVerifyReceipts[[#This Row],[Date]]="","",IF(tblVerifyReceipts[[#This Row],[PPV]]="","",IF(tblVerifyReceipts[[#This Row],[PPV]]&gt;0,"Unfavourable",IF(tblVerifyReceipts[[#This Row],[PPV]]&lt;0,"Favourable","At standard"))))</f>
        <v>Unfavourable</v>
      </c>
      <c r="P57" s="41" t="str">
        <f>IF(NOT(ISNUMBER(tblVerifyReceipts[[#This Row],[PPV %]])),"",IF(tblVerifyReceipts[[#This Row],[PPV %]]&lt;=$E$44,"On target",IF(tblVerifyReceipts[[#This Row],[PPV %]]&lt;=$E$44*(1+0.05),"Near target","Above target")))</f>
        <v>Near target</v>
      </c>
      <c r="Q57" s="42">
        <f>IF(tblVerifyReceipts[[#This Row],[Date]]="","",IF(AND(tblVerifyReceipts[[#This Row],[Date]]&gt;=$E$41,tblVerifyReceipts[[#This Row],[Date]]&lt;=$E$42,OR($E$43="",tblVerifyReceipts[[#This Row],[Category]]=$E$43)),tblVerifyReceipts[[#This Row],[Date]],""))</f>
        <v>46097</v>
      </c>
      <c r="R57" s="43" t="str">
        <f>IF(tblVerifyReceipts[[#This Row],[Date]]="","",IF(tblVerifyReceipts[[#This Row],[PO number]]="","Missing po number",IF(tblVerifyReceipts[[#This Row],[Supplier]]="","Missing supplier",IF(tblVerifyReceipts[[#This Row],[Item]]="","Missing item",IF(tblVerifyReceipts[[#This Row],[Quantity]]="","Missing quantity",IF(tblVerifyReceipts[[#This Row],[Actual price]]="","Missing actual price",IF(tblVerifyReceipts[[#This Row],[Standard price]]="","Item not on Setup list",IF(COUNTIF(tblVerifySuppliers[Supplier],tblVerifyReceipts[[#This Row],[Supplier]])=0,"Supplier not on Setup list",IF(tblVerifyReceipts[[#This Row],[Quantity]]&lt;=0,"Quantity must be above zero",IF(ABS(tblVerifyReceipts[[#This Row],[PPV %]])&gt;0.5,"Price 50% off standard: check UoM",IF(COUNTIFS(tblVerifyReceipts[PO number],tblVerifyReceipts[[#This Row],[PO number]],tblVerifyReceipts[Item],tblVerifyReceipts[[#This Row],[Item]],tblVerifyReceipts[Date],tblVerifyReceipts[[#This Row],[Date]])&gt;1,"Duplicate receipt line","OK")))))))))))</f>
        <v>OK</v>
      </c>
      <c r="S57" s="66" t="s">
        <v>171</v>
      </c>
    </row>
    <row r="58" spans="2:19">
      <c r="B58" s="76">
        <v>46104</v>
      </c>
      <c r="C58" s="66" t="s">
        <v>438</v>
      </c>
      <c r="D58" s="66" t="s">
        <v>428</v>
      </c>
      <c r="E58" s="66" t="s">
        <v>439</v>
      </c>
      <c r="F58" s="70">
        <v>10</v>
      </c>
      <c r="G58" s="66" t="s">
        <v>171</v>
      </c>
      <c r="H58" s="77">
        <v>4</v>
      </c>
      <c r="I58" s="77" t="s">
        <v>171</v>
      </c>
      <c r="J58" s="66" t="s">
        <v>171</v>
      </c>
      <c r="K58" s="39">
        <f>IF(tblVerifyReceipts[[#This Row],[Date]]="","",tblVerifyReceipts[[#This Row],[Quantity]]*tblVerifyReceipts[[#This Row],[Actual price]])</f>
        <v>40</v>
      </c>
      <c r="L58" s="39">
        <f>IF(tblVerifyReceipts[[#This Row],[Date]]="","",IF(tblVerifyReceipts[[#This Row],[Standard price]]="","",tblVerifyReceipts[[#This Row],[Quantity]]*tblVerifyReceipts[[#This Row],[Standard price]]))</f>
        <v/>
      </c>
      <c r="M58" s="39">
        <f>IF(tblVerifyReceipts[[#This Row],[Date]]="","",IF(tblVerifyReceipts[[#This Row],[Standard price]]="","",tblVerifyReceipts[[#This Row],[Quantity]]*(tblVerifyReceipts[[#This Row],[Actual price]]-tblVerifyReceipts[[#This Row],[Standard price]])))</f>
        <v/>
      </c>
      <c r="N58" s="40">
        <f>IF(tblVerifyReceipts[[#This Row],[Date]]="","",IF(OR(tblVerifyReceipts[[#This Row],[Standard price]]="",tblVerifyReceipts[[#This Row],[Standard price]]=0),"",(tblVerifyReceipts[[#This Row],[Actual price]]-tblVerifyReceipts[[#This Row],[Standard price]])/tblVerifyReceipts[[#This Row],[Standard price]]))</f>
        <v/>
      </c>
      <c r="O58" s="36">
        <f>IF(tblVerifyReceipts[[#This Row],[Date]]="","",IF(tblVerifyReceipts[[#This Row],[PPV]]="","",IF(tblVerifyReceipts[[#This Row],[PPV]]&gt;0,"Unfavourable",IF(tblVerifyReceipts[[#This Row],[PPV]]&lt;0,"Favourable","At standard"))))</f>
        <v/>
      </c>
      <c r="P58" s="41">
        <f>IF(NOT(ISNUMBER(tblVerifyReceipts[[#This Row],[PPV %]])),"",IF(tblVerifyReceipts[[#This Row],[PPV %]]&lt;=$E$44,"On target",IF(tblVerifyReceipts[[#This Row],[PPV %]]&lt;=$E$44*(1+0.05),"Near target","Above target")))</f>
        <v/>
      </c>
      <c r="Q58" s="42">
        <f>IF(tblVerifyReceipts[[#This Row],[Date]]="","",IF(AND(tblVerifyReceipts[[#This Row],[Date]]&gt;=$E$41,tblVerifyReceipts[[#This Row],[Date]]&lt;=$E$42,OR($E$43="",tblVerifyReceipts[[#This Row],[Category]]=$E$43)),tblVerifyReceipts[[#This Row],[Date]],""))</f>
        <v>46104</v>
      </c>
      <c r="R58" s="43" t="str">
        <f>IF(tblVerifyReceipts[[#This Row],[Date]]="","",IF(tblVerifyReceipts[[#This Row],[PO number]]="","Missing po number",IF(tblVerifyReceipts[[#This Row],[Supplier]]="","Missing supplier",IF(tblVerifyReceipts[[#This Row],[Item]]="","Missing item",IF(tblVerifyReceipts[[#This Row],[Quantity]]="","Missing quantity",IF(tblVerifyReceipts[[#This Row],[Actual price]]="","Missing actual price",IF(tblVerifyReceipts[[#This Row],[Standard price]]="","Item not on Setup list",IF(COUNTIF(tblVerifySuppliers[Supplier],tblVerifyReceipts[[#This Row],[Supplier]])=0,"Supplier not on Setup list",IF(tblVerifyReceipts[[#This Row],[Quantity]]&lt;=0,"Quantity must be above zero",IF(ABS(tblVerifyReceipts[[#This Row],[PPV %]])&gt;0.5,"Price 50% off standard: check UoM",IF(COUNTIFS(tblVerifyReceipts[PO number],tblVerifyReceipts[[#This Row],[PO number]],tblVerifyReceipts[Item],tblVerifyReceipts[[#This Row],[Item]],tblVerifyReceipts[Date],tblVerifyReceipts[[#This Row],[Date]])&gt;1,"Duplicate receipt line","OK")))))))))))</f>
        <v>Item not on Setup list</v>
      </c>
      <c r="S58" s="66" t="s">
        <v>171</v>
      </c>
    </row>
    <row r="59" spans="2:19">
      <c r="B59" s="76">
        <v>46111</v>
      </c>
      <c r="C59" s="66" t="s">
        <v>440</v>
      </c>
      <c r="D59" s="66" t="s">
        <v>441</v>
      </c>
      <c r="E59" s="66" t="s">
        <v>442</v>
      </c>
      <c r="F59" s="70">
        <v>500</v>
      </c>
      <c r="G59" s="66" t="s">
        <v>136</v>
      </c>
      <c r="H59" s="77">
        <v>1.35</v>
      </c>
      <c r="I59" s="77">
        <v>1.35</v>
      </c>
      <c r="J59" s="66" t="s">
        <v>435</v>
      </c>
      <c r="K59" s="39">
        <f>IF(tblVerifyReceipts[[#This Row],[Date]]="","",tblVerifyReceipts[[#This Row],[Quantity]]*tblVerifyReceipts[[#This Row],[Actual price]])</f>
        <v>675</v>
      </c>
      <c r="L59" s="39">
        <f>IF(tblVerifyReceipts[[#This Row],[Date]]="","",IF(tblVerifyReceipts[[#This Row],[Standard price]]="","",tblVerifyReceipts[[#This Row],[Quantity]]*tblVerifyReceipts[[#This Row],[Standard price]]))</f>
        <v>675</v>
      </c>
      <c r="M59" s="39">
        <f>IF(tblVerifyReceipts[[#This Row],[Date]]="","",IF(tblVerifyReceipts[[#This Row],[Standard price]]="","",tblVerifyReceipts[[#This Row],[Quantity]]*(tblVerifyReceipts[[#This Row],[Actual price]]-tblVerifyReceipts[[#This Row],[Standard price]])))</f>
        <v>0</v>
      </c>
      <c r="N59" s="40">
        <f>IF(tblVerifyReceipts[[#This Row],[Date]]="","",IF(OR(tblVerifyReceipts[[#This Row],[Standard price]]="",tblVerifyReceipts[[#This Row],[Standard price]]=0),"",(tblVerifyReceipts[[#This Row],[Actual price]]-tblVerifyReceipts[[#This Row],[Standard price]])/tblVerifyReceipts[[#This Row],[Standard price]]))</f>
        <v>0</v>
      </c>
      <c r="O59" s="36" t="str">
        <f>IF(tblVerifyReceipts[[#This Row],[Date]]="","",IF(tblVerifyReceipts[[#This Row],[PPV]]="","",IF(tblVerifyReceipts[[#This Row],[PPV]]&gt;0,"Unfavourable",IF(tblVerifyReceipts[[#This Row],[PPV]]&lt;0,"Favourable","At standard"))))</f>
        <v>At standard</v>
      </c>
      <c r="P59" s="41" t="str">
        <f>IF(NOT(ISNUMBER(tblVerifyReceipts[[#This Row],[PPV %]])),"",IF(tblVerifyReceipts[[#This Row],[PPV %]]&lt;=$E$44,"On target",IF(tblVerifyReceipts[[#This Row],[PPV %]]&lt;=$E$44*(1+0.05),"Near target","Above target")))</f>
        <v>On target</v>
      </c>
      <c r="Q59" s="42">
        <f>IF(tblVerifyReceipts[[#This Row],[Date]]="","",IF(AND(tblVerifyReceipts[[#This Row],[Date]]&gt;=$E$41,tblVerifyReceipts[[#This Row],[Date]]&lt;=$E$42,OR($E$43="",tblVerifyReceipts[[#This Row],[Category]]=$E$43)),tblVerifyReceipts[[#This Row],[Date]],""))</f>
        <v>46111</v>
      </c>
      <c r="R59" s="43" t="str">
        <f>IF(tblVerifyReceipts[[#This Row],[Date]]="","",IF(tblVerifyReceipts[[#This Row],[PO number]]="","Missing po number",IF(tblVerifyReceipts[[#This Row],[Supplier]]="","Missing supplier",IF(tblVerifyReceipts[[#This Row],[Item]]="","Missing item",IF(tblVerifyReceipts[[#This Row],[Quantity]]="","Missing quantity",IF(tblVerifyReceipts[[#This Row],[Actual price]]="","Missing actual price",IF(tblVerifyReceipts[[#This Row],[Standard price]]="","Item not on Setup list",IF(COUNTIF(tblVerifySuppliers[Supplier],tblVerifyReceipts[[#This Row],[Supplier]])=0,"Supplier not on Setup list",IF(tblVerifyReceipts[[#This Row],[Quantity]]&lt;=0,"Quantity must be above zero",IF(ABS(tblVerifyReceipts[[#This Row],[PPV %]])&gt;0.5,"Price 50% off standard: check UoM",IF(COUNTIFS(tblVerifyReceipts[PO number],tblVerifyReceipts[[#This Row],[PO number]],tblVerifyReceipts[Item],tblVerifyReceipts[[#This Row],[Item]],tblVerifyReceipts[Date],tblVerifyReceipts[[#This Row],[Date]])&gt;1,"Duplicate receipt line","OK")))))))))))</f>
        <v>Supplier not on Setup list</v>
      </c>
      <c r="S59" s="66" t="s">
        <v>171</v>
      </c>
    </row>
  </sheetData>
  <sheetProtection sheet="1" formatColumns="0" formatRows="0"/>
  <mergeCells count="44">
    <mergeCell ref="A1:S1"/>
    <mergeCell ref="B2:R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B37:L37"/>
    <mergeCell ref="B39:L39"/>
    <mergeCell ref="B40:F40"/>
    <mergeCell ref="B41:D41"/>
    <mergeCell ref="B42:D42"/>
    <mergeCell ref="B43:D43"/>
    <mergeCell ref="E43:F43"/>
    <mergeCell ref="B44:D44"/>
    <mergeCell ref="B45:D45"/>
    <mergeCell ref="B47:L47"/>
    <mergeCell ref="B52:L52"/>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35">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R55:R59">
    <cfRule type="expression" dxfId="3" priority="41">
      <formula>$R55="OK"</formula>
    </cfRule>
    <cfRule type="expression" dxfId="1" priority="42">
      <formula>AND($R55&lt;&gt;"",$R55&lt;&gt;"OK")</formula>
    </cfRule>
  </conditionalFormatting>
  <hyperlinks>
    <hyperlink ref="S2" r:id="rId1" tooltip="Free manufacturing calculators and templates"/>
  </hyperlinks>
  <printOptions horizontalCentered="1"/>
  <pageMargins left="0.4" right="0.4" top="0.7" bottom="0.65" header="0.3" footer="0.3"/>
  <pageSetup fitToHeight="0" orientation="landscape"/>
  <headerFooter>
    <oddHeader>&amp;L&amp;8MFG Calcs - Purchase Price Variance Tracker&amp;R&amp;8&amp;A</oddHeader>
    <oddFooter>&amp;L&amp;8mfgcalcs.com - free manufacturing templates&amp;R&amp;8Page &amp;P of &amp;N</oddFooter>
  </headerFooter>
  <rowBreaks count="1" manualBreakCount="1">
    <brk id="46" max="16383" man="1"/>
  </rowBreaks>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26</vt:i4>
      </vt:variant>
    </vt:vector>
  </HeadingPairs>
  <TitlesOfParts>
    <vt:vector size="32" baseType="lpstr">
      <vt:lpstr>Start Here</vt:lpstr>
      <vt:lpstr>Setup</vt:lpstr>
      <vt:lpstr>PPV Log</vt:lpstr>
      <vt:lpstr>Dashboard</vt:lpstr>
      <vt:lpstr>Method</vt:lpstr>
      <vt:lpstr>Verify</vt:lpstr>
      <vt:lpstr>CoName</vt:lpstr>
      <vt:lpstr>Currency</vt:lpstr>
      <vt:lpstr>DashCat</vt:lpstr>
      <vt:lpstr>DashFrom</vt:lpstr>
      <vt:lpstr>DashTo</vt:lpstr>
      <vt:lpstr>KpiAct</vt:lpstr>
      <vt:lpstr>KpiFav</vt:lpstr>
      <vt:lpstr>KpiFlagged</vt:lpstr>
      <vt:lpstr>KpiPct</vt:lpstr>
      <vt:lpstr>KpiPPV</vt:lpstr>
      <vt:lpstr>KpiStd</vt:lpstr>
      <vt:lpstr>KpiTop</vt:lpstr>
      <vt:lpstr>KpiUnfav</vt:lpstr>
      <vt:lpstr>LineLimit</vt:lpstr>
      <vt:lpstr>PPVTol</vt:lpstr>
      <vt:lpstr>Dashboard!Print_Area</vt:lpstr>
      <vt:lpstr>Method!Print_Area</vt:lpstr>
      <vt:lpstr>'PPV Log'!Print_Area</vt:lpstr>
      <vt:lpstr>Setup!Print_Area</vt:lpstr>
      <vt:lpstr>'Start Here'!Print_Area</vt:lpstr>
      <vt:lpstr>Verify!Print_Area</vt:lpstr>
      <vt:lpstr>Method!Print_Titles</vt:lpstr>
      <vt:lpstr>'PPV Log'!Print_Titles</vt:lpstr>
      <vt:lpstr>SelfCheck</vt:lpstr>
      <vt:lpstr>SelfCheckSummary</vt:lpstr>
      <vt:lpstr>StdBasis</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Purchase Price Variance Tracker - free Excel template from MFG Calcs</dc:title>
  <dc:subject>Log every receipt against its standard price and see net, unfavourable and favourable PPV by month, supplier, category and item.</dc:subject>
  <dc:creator>MFG Calcs</dc:creator>
  <cp:keywords>purchase price variance, PPV, standard cost, material price variance, procurement, spend analysis, cost accounting</cp:keywords>
  <dc:description>https://www.mfgcalcs.com/templates/purchase-price-variance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purchase-price-variance</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https://www.mfgcalcs.com/templates/purchase-price-variance</vt:lpwstr>
  </property>
  <property fmtid="{D5CDD505-2E9C-101B-9397-08002B2CF9AE}" pid="7" name="Template sheet roles">
    <vt:lpwstr>Start Here=start;Setup=setup;PPV Log=work;Dashboard=dashboard;Method=method;Verify=verify</vt:lpwstr>
  </property>
</Properties>
</file>