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Quote Lines" sheetId="3" r:id="rId3"/>
    <sheet name="Quote" sheetId="4" r:id="rId4"/>
    <sheet name="Method" sheetId="5" r:id="rId5"/>
    <sheet name="Verify" sheetId="6" r:id="rId6"/>
  </sheets>
  <definedNames>
    <definedName name="ChartLine">'Quote Lines'!$D$44</definedName>
    <definedName name="ChartRow">'Quote Lines'!$D$45</definedName>
    <definedName name="CoAddress1">Setup!$C$7</definedName>
    <definedName name="CoAddress2">Setup!$C$8</definedName>
    <definedName name="CoEmail">Setup!$C$10</definedName>
    <definedName name="CoName">Setup!$C$6</definedName>
    <definedName name="Contact">'Quote Lines'!$D$11</definedName>
    <definedName name="CoPhone">Setup!$C$9</definedName>
    <definedName name="Currency">Setup!$C$14</definedName>
    <definedName name="Customer">'Quote Lines'!$D$10</definedName>
    <definedName name="DelTerms">Setup!$C$17</definedName>
    <definedName name="LeadText">'Quote Lines'!$D$14</definedName>
    <definedName name="Margin">Setup!$C$22</definedName>
    <definedName name="PartList">tblLines[Part number]</definedName>
    <definedName name="PayTerms">Setup!$C$16</definedName>
    <definedName name="PreparedBy">'Quote Lines'!$D$13</definedName>
    <definedName name="_xlnm.Print_Area" localSheetId="4">Method!$A$1:$D$55</definedName>
    <definedName name="_xlnm.Print_Area" localSheetId="2">'Quote Lines'!$A$1:$W$81</definedName>
    <definedName name="_xlnm.Print_Area" localSheetId="3">Quote!$A$4:$H$49</definedName>
    <definedName name="_xlnm.Print_Area" localSheetId="1">Setup!$A$1:$F$37</definedName>
    <definedName name="_xlnm.Print_Area" localSheetId="0">'Start Here'!$A$1:$F$57</definedName>
    <definedName name="_xlnm.Print_Area" localSheetId="5">Verify!$A$1:$W$71</definedName>
    <definedName name="_xlnm.Print_Titles" localSheetId="4">Method!$1:$2</definedName>
    <definedName name="Processes">tblProcesses[Process]</definedName>
    <definedName name="QuoteDate">'Quote Lines'!$D$9</definedName>
    <definedName name="QuoteNo">'Quote Lines'!$D$8</definedName>
    <definedName name="RFQRef">'Quote Lines'!$D$12</definedName>
    <definedName name="RoundStep">Setup!$C$23</definedName>
    <definedName name="SelfCheck">Verify!$D$4</definedName>
    <definedName name="SelfCheckSummary">Verify!$F$4</definedName>
    <definedName name="SetupShare">Setup!$C$24</definedName>
    <definedName name="Terms">Setup!$C$18</definedName>
    <definedName name="ToolingTotal">'Quote Lines'!$D$40</definedName>
    <definedName name="Validity">Setup!$C$15</definedName>
  </definedNames>
  <calcPr calcId="124519" fullCalcOnLoad="1"/>
</workbook>
</file>

<file path=xl/sharedStrings.xml><?xml version="1.0" encoding="utf-8"?>
<sst xmlns="http://schemas.openxmlformats.org/spreadsheetml/2006/main" count="492" uniqueCount="303">
  <si>
    <t>Price Quote with Quantity Breaks</t>
  </si>
  <si>
    <t>Read this first: what the workbook does and how to use it.</t>
  </si>
  <si>
    <t>mfgcalcs.com</t>
  </si>
  <si>
    <t>Price every part of an RFQ at five quantities from its cost per part and setup per lot, and print a customer-ready quote with tooling and terms.</t>
  </si>
  <si>
    <t>For: Estimators, sales engineers and owners in contract manufacturers, injection moulders and machine shops.</t>
  </si>
  <si>
    <t>Version 1.0.0  ·  updated 15 October 2026</t>
  </si>
  <si>
    <t>Quick start</t>
  </si>
  <si>
    <t>1.</t>
  </si>
  <si>
    <t>On Setup, enter your company details, currency, terms, margin on price, price rounding step and your process rates.</t>
  </si>
  <si>
    <t>2.</t>
  </si>
  <si>
    <t>On Quote Lines, fill in the RFQ details, then one row per part: process, material per part, run minutes, setup hours, setup scrap and five quantities.</t>
  </si>
  <si>
    <t>3.</t>
  </si>
  <si>
    <t>List any moulds, fixtures or programming billed separately under Tooling.</t>
  </si>
  <si>
    <t>4.</t>
  </si>
  <si>
    <t>Check the unit prices, the economic lot and the Check column; pick a line to chart its price build-up.</t>
  </si>
  <si>
    <t>5.</t>
  </si>
  <si>
    <t>Print the Quote sheet or save it as PDF and send it.</t>
  </si>
  <si>
    <t>What is in this workbook</t>
  </si>
  <si>
    <t>Start Here</t>
  </si>
  <si>
    <t>Setup</t>
  </si>
  <si>
    <t>Your company, currency, terms, pricing rules and the process rates every quote line uses.</t>
  </si>
  <si>
    <t>Quote Lines</t>
  </si>
  <si>
    <t>Everything that sets the prices: RFQ details, one row per part with five quantity breaks, tooling, and two charts.</t>
  </si>
  <si>
    <t>Quote</t>
  </si>
  <si>
    <t>The customer-facing quotation. Print it or save it as PDF; it fills itself from Quote Lines.</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</si>
  <si>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</si>
  <si>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</si>
  <si>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</si>
  <si>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</si>
  <si>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</si>
  <si>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</si>
  <si>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</si>
  <si>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</si>
  <si>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</si>
  <si>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</si>
  <si>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</si>
  <si>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</si>
  <si>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</si>
  <si>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</si>
  <si>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</si>
  <si>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</si>
  <si>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</si>
  <si>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</si>
  <si>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</si>
  <si>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</si>
  <si>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Setup Amortization Calculator on mfgcalcs.com</t>
  </si>
  <si>
    <t>Latest version</t>
  </si>
  <si>
    <t>mfgcalcs.com/templates/quote-quantity-breaks</t>
  </si>
  <si>
    <t>More free templates</t>
  </si>
  <si>
    <t>mfgcalcs.com/templates</t>
  </si>
  <si>
    <t>Version</t>
  </si>
  <si>
    <t>1.0.0 (updated 15 October 2026)</t>
  </si>
  <si>
    <t>About the example data</t>
  </si>
  <si>
    <t>Every number already in this workbook is example data for Ridgeway Contract Manufacturing, a fictional business invented for this template, so the dashboard and charts show something meaningful on day one. The example quotes eight moulded and machined parts for a fictional instrument maker; every rate, cost and price is invented for the example. To start with your own data, overwrite the yellow cells.</t>
  </si>
  <si>
    <t>Good to know</t>
  </si>
  <si>
    <t>•</t>
  </si>
  <si>
    <t>Sheets Start Here, Quote,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</si>
  <si>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</si>
  <si>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</si>
  <si>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</si>
  <si>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The Quote sheet prints without the MFG Calcs band at the top; its page footer keeps a small mfgcalcs.com credit, which you can change in Page Layout &gt; Header &amp; Footer after unprotecting the sheet.</t>
  </si>
  <si>
    <t>Free from MFG Calcs - keep this credit when you share it.</t>
  </si>
  <si>
    <t>Engineering estimates for planning and improvement work. Verify the results against your own process, data and standards before you rely on them.</t>
  </si>
  <si>
    <t>Process</t>
  </si>
  <si>
    <t>Rate per hour</t>
  </si>
  <si>
    <t>Notes</t>
  </si>
  <si>
    <t>Your company (printed on the quote)</t>
  </si>
  <si>
    <t>Company name</t>
  </si>
  <si>
    <t>Ridgeway Contract Manufacturing (example)</t>
  </si>
  <si>
    <t>Address line 1</t>
  </si>
  <si>
    <t>Unit 12, Ridgeway Business Park</t>
  </si>
  <si>
    <t>Address line 2</t>
  </si>
  <si>
    <t>Ridgeway, RW4 7QT</t>
  </si>
  <si>
    <t>Phone</t>
  </si>
  <si>
    <t>+1 555 0163</t>
  </si>
  <si>
    <t>Email</t>
  </si>
  <si>
    <t>sales@example.com</t>
  </si>
  <si>
    <t>Commercial terms</t>
  </si>
  <si>
    <t>Currency label</t>
  </si>
  <si>
    <t>USD</t>
  </si>
  <si>
    <t>Quote valid for</t>
  </si>
  <si>
    <t>days</t>
  </si>
  <si>
    <t>Payment terms</t>
  </si>
  <si>
    <t>Net 30 days from invoice; tooling 50% with order, 50% on sample approval</t>
  </si>
  <si>
    <t>Delivery terms</t>
  </si>
  <si>
    <t>Ex works, packed in returnable totes</t>
  </si>
  <si>
    <t>Standard terms (printed on the quote)</t>
  </si>
  <si>
    <t>Unit prices are per part in the currency shown, for the quantity called off and made in one lot, and exclude sales taxes, duties and freight. Tooling is billed separately and becomes the customer's property on payment. Replace this example text with your own terms of sale.</t>
  </si>
  <si>
    <t>Pricing rules</t>
  </si>
  <si>
    <t>Target margin on price</t>
  </si>
  <si>
    <t>Round unit prices up to the nearest</t>
  </si>
  <si>
    <t>Setup share target for the economic lot</t>
  </si>
  <si>
    <t>These are your rules, not industry figures. Rates and prices on this sheet are examples: use your own costed rates.</t>
  </si>
  <si>
    <t>Process rates</t>
  </si>
  <si>
    <t>Processes (example rates)</t>
  </si>
  <si>
    <t>Moulding 150 t press</t>
  </si>
  <si>
    <t>Machine and part-share of a setter</t>
  </si>
  <si>
    <t>Moulding 300 t press</t>
  </si>
  <si>
    <t>CNC turning</t>
  </si>
  <si>
    <t>Lathe with bar feed, operator included</t>
  </si>
  <si>
    <t>CNC milling 3-axis</t>
  </si>
  <si>
    <t>Vertical machining centre, operator included</t>
  </si>
  <si>
    <t>Assembly and pack</t>
  </si>
  <si>
    <t>Bench assembly, bagging and labelling</t>
  </si>
  <si>
    <t>Part number</t>
  </si>
  <si>
    <t>Description</t>
  </si>
  <si>
    <t>Material</t>
  </si>
  <si>
    <t>Run (min/part)</t>
  </si>
  <si>
    <t>Setup (h/lot)</t>
  </si>
  <si>
    <t>Setup scrap (parts/lot)</t>
  </si>
  <si>
    <t>Qty 1</t>
  </si>
  <si>
    <t>Qty 2</t>
  </si>
  <si>
    <t>Qty 3</t>
  </si>
  <si>
    <t>Qty 4</t>
  </si>
  <si>
    <t>Qty 5</t>
  </si>
  <si>
    <t>Rate</t>
  </si>
  <si>
    <t>Variable cost</t>
  </si>
  <si>
    <t>Setup cost</t>
  </si>
  <si>
    <t>Economic lot</t>
  </si>
  <si>
    <t>Price 1</t>
  </si>
  <si>
    <t>Price 2</t>
  </si>
  <si>
    <t>Price 3</t>
  </si>
  <si>
    <t>Price 4</t>
  </si>
  <si>
    <t>Price 5</t>
  </si>
  <si>
    <t>Check</t>
  </si>
  <si>
    <t>Item</t>
  </si>
  <si>
    <t>Cost</t>
  </si>
  <si>
    <t>Example quote for Ridgeway Contract Manufacturing (fictional). Overwrite the yellow cells with your RFQ; edit or delete the example table rows. Blue cells calculate. The Quote sheet prints from here.</t>
  </si>
  <si>
    <t>RFQ details</t>
  </si>
  <si>
    <t>Quote number</t>
  </si>
  <si>
    <t>Q-2026-0388</t>
  </si>
  <si>
    <t>Quote date</t>
  </si>
  <si>
    <t>Customer</t>
  </si>
  <si>
    <t>Tallis Instruments (example)</t>
  </si>
  <si>
    <t>Attention</t>
  </si>
  <si>
    <t>Supply chain manager</t>
  </si>
  <si>
    <t>Customer RFQ reference</t>
  </si>
  <si>
    <t>RFQ-T-5521</t>
  </si>
  <si>
    <t>Prepared by</t>
  </si>
  <si>
    <t>Estimating</t>
  </si>
  <si>
    <t>Delivery (printed on the quote)</t>
  </si>
  <si>
    <t>Samples 6 weeks after tooling order; production 3 weeks after sample approval, then to schedule</t>
  </si>
  <si>
    <t>Quote lines: one row per part, five quantities each</t>
  </si>
  <si>
    <t>Variable cost = material + run minutes / 60 x process rate. Setup cost per lot = setup hours x rate + setup scrap x variable cost. Unit price = (variable cost + setup cost per lot / quantity) / (1 - margin), rounded up to the price step. Each quantity is assumed to be made in one lot (one setup).</t>
  </si>
  <si>
    <t>parts</t>
  </si>
  <si>
    <t>TI-4410-01</t>
  </si>
  <si>
    <t>Housing, PC/ABS, black, textured</t>
  </si>
  <si>
    <t>TI-4410-02</t>
  </si>
  <si>
    <t>Cover, PC/ABS, black</t>
  </si>
  <si>
    <t>TI-4410-05</t>
  </si>
  <si>
    <t>Battery door, ABS, grey</t>
  </si>
  <si>
    <t>TI-4410-08</t>
  </si>
  <si>
    <t>Light pipe, clear PC</t>
  </si>
  <si>
    <t>TI-4410-12</t>
  </si>
  <si>
    <t>Knob, POM, brass insert</t>
  </si>
  <si>
    <t>TI-2207-11</t>
  </si>
  <si>
    <t>Mounting bracket, 6082-T6</t>
  </si>
  <si>
    <t>TI-2207-14</t>
  </si>
  <si>
    <t>Drive shaft, 303 stainless</t>
  </si>
  <si>
    <t>TI-2207-19</t>
  </si>
  <si>
    <t>Spacer bush, brass</t>
  </si>
  <si>
    <t>Tooling and one-off charges (billed separately)</t>
  </si>
  <si>
    <t>2-cavity mould, housing TI-4410-01</t>
  </si>
  <si>
    <t>Customer-owned, 500k shot life</t>
  </si>
  <si>
    <t>2-cavity mould, cover TI-4410-02</t>
  </si>
  <si>
    <t/>
  </si>
  <si>
    <t>4-cavity mould, battery door TI-4410-05</t>
  </si>
  <si>
    <t>8-cavity mould, light pipe TI-4410-08</t>
  </si>
  <si>
    <t>Polished, hot-runner</t>
  </si>
  <si>
    <t>Milling fixture and programming, TI-2207-11</t>
  </si>
  <si>
    <t>Tooling and one-off charges, total</t>
  </si>
  <si>
    <t>Charts: one line's price build-up, and the quantity discount of every line</t>
  </si>
  <si>
    <t>Part number to chart</t>
  </si>
  <si>
    <t>Its row in the quote lines</t>
  </si>
  <si>
    <t>row</t>
  </si>
  <si>
    <t>Chart data: the chosen line by quantity break</t>
  </si>
  <si>
    <t>Price break</t>
  </si>
  <si>
    <t>Unit</t>
  </si>
  <si>
    <t>Quantity</t>
  </si>
  <si>
    <t>Setup per part</t>
  </si>
  <si>
    <t>Unit price</t>
  </si>
  <si>
    <t>Margin and rounding</t>
  </si>
  <si>
    <t>Setup share of cost</t>
  </si>
  <si>
    <t>%</t>
  </si>
  <si>
    <t>Chart data: price drop from the first to the largest quantity, by line</t>
  </si>
  <si>
    <t>Price at qty 1</t>
  </si>
  <si>
    <t>Price at the largest quantity</t>
  </si>
  <si>
    <t>Price drop, first to last break</t>
  </si>
  <si>
    <t>Your logo here
(Insert &gt; Pictures, then drag it onto this box)</t>
  </si>
  <si>
    <t>QUOTATION</t>
  </si>
  <si>
    <t>To</t>
  </si>
  <si>
    <t>Date</t>
  </si>
  <si>
    <t>Your reference</t>
  </si>
  <si>
    <t>Valid until</t>
  </si>
  <si>
    <t>Terms</t>
  </si>
  <si>
    <t>Payment</t>
  </si>
  <si>
    <t>Delivery</t>
  </si>
  <si>
    <t>Validity</t>
  </si>
  <si>
    <t>Acceptance</t>
  </si>
  <si>
    <t>Accepted for and on behalf of</t>
  </si>
  <si>
    <t>Name and position</t>
  </si>
  <si>
    <t>Signature and date</t>
  </si>
  <si>
    <t>Purchase order number</t>
  </si>
  <si>
    <t>What this workbook calculates</t>
  </si>
  <si>
    <t>Each part's price at a quantity is its variable cost per part plus its setup cost per lot spread over that quantity, marked up to the target margin on price and rounded up to your price step. Setup is fixed per lot, so the price falls as the quantity grows; how fast depends on how big setup is next to the variable cost. Tooling is a one-off charge billed separately, not spread into the unit price.</t>
  </si>
  <si>
    <t>Calculations</t>
  </si>
  <si>
    <t>How it is calculated</t>
  </si>
  <si>
    <t>Units</t>
  </si>
  <si>
    <t>Process rate</t>
  </si>
  <si>
    <t>Looked up from the Processes list on Setup.</t>
  </si>
  <si>
    <t>currency/h</t>
  </si>
  <si>
    <t>Material and bought-in per part + run minutes per part / 60 x process rate.</t>
  </si>
  <si>
    <t>currency/part</t>
  </si>
  <si>
    <t>Setup cost per lot</t>
  </si>
  <si>
    <t>Setup hours x process rate + setup scrap parts x variable cost.</t>
  </si>
  <si>
    <t>currency/lot</t>
  </si>
  <si>
    <t>CEILING(setup cost x (1 - setup share target) / (setup share target x variable cost)): the smallest lot at which setup is at most the target share of unit cost.</t>
  </si>
  <si>
    <t>CEILING((variable cost + setup cost / quantity) / (1 - margin), rounding step), at each quantity.</t>
  </si>
  <si>
    <t>Price build-up</t>
  </si>
  <si>
    <t>For the charted line: variable cost, setup cost / quantity, and price minus both (margin and rounding).</t>
  </si>
  <si>
    <t>Setup share</t>
  </si>
  <si>
    <t>Setup cost per part / (variable cost + setup cost per part).</t>
  </si>
  <si>
    <t>Price drop</t>
  </si>
  <si>
    <t>1 - lowest unit price / price at the first quantity, per line.</t>
  </si>
  <si>
    <t>Tooling total</t>
  </si>
  <si>
    <t>Sum of the tooling and one-off charges, printed on the Quote as separate lines.</t>
  </si>
  <si>
    <t>currency</t>
  </si>
  <si>
    <t>Assumptions</t>
  </si>
  <si>
    <t>Each quantity break is made as one lot with one setup. For scheduled call-offs, quote the call-off quantity.</t>
  </si>
  <si>
    <t>Setup scrap parts cost the variable cost each; parts scrapped during the run belong in material per part and run minutes.</t>
  </si>
  <si>
    <t>Process rates are what you charge per hour of that resource; any overhead not in the rate needs to be in the margin.</t>
  </si>
  <si>
    <t>Margin is on price: price = cost / (1 - margin).</t>
  </si>
  <si>
    <t>Limitations</t>
  </si>
  <si>
    <t>The Quote prints the first 8 lines and 5 tooling items, and the drop chart shows 8 lines; a note on the Quote says when there are more.</t>
  </si>
  <si>
    <t>One process per line. A part with several operations needs a combined run time and setup at a blended rate, or the Job Shop Quote template's routing.</t>
  </si>
  <si>
    <t>Material price breaks by quantity are not modelled; type the material cost per part for the quantities you expect.</t>
  </si>
  <si>
    <t>No taxes, duties, freight, currency conversion or payment discounts are calculated.</t>
  </si>
  <si>
    <t>Agreement with the live calculator</t>
  </si>
  <si>
    <t>The live Setup Amortization calculator computes setup cost per lot (setup hours x shop rate + setup scrap parts x run and material cost per part), setup cost per part, unit cost and the lot size for a target setup share. For a line whose variable cost equals the calculator's run and material cost, this workbook's setup cost, unit cost (before margin) and economic lot are the same numbers: the build checks them against the calculator's engine for its own example (6.5 h at 125 per hour, 2 scrap parts, 38.00 per part, 250 parts, 10% target: 888.50 per lot, 41.554 per part, lot 211) and the Verify sheet runs that example through the Quote Lines formulas. The Custom Part Cost calculator's cost per part and price at target margin agree too (checked for its example: 100 parts, 14.50 material, 12 min at 95 per hour, 5 h setup, 30% margin: 38.25 cost, 54.64 price). Difference: this workbook rounds the price up to your price step and prices five quantities for many parts at once.</t>
  </si>
  <si>
    <t>Open the Setup Amortization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</si>
  <si>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</si>
  <si>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</si>
  <si>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Shop costing practice: setup cost per lot spread over the lot size, margin on price.</t>
  </si>
  <si>
    <t>MFG Calcs Setup Amortization calculator (setup-amortization) and Custom Part Cost calculator (custom-part-cost).</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</si>
  <si>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</si>
  <si>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</si>
  <si>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</si>
  <si>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</si>
  <si>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</si>
  <si>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</si>
  <si>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</si>
  <si>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</si>
  <si>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</si>
  <si>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</si>
  <si>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</si>
  <si>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</si>
  <si>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</si>
  <si>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</si>
  <si>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</si>
  <si>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Setup Amortization example: variable cost = 38.00</t>
  </si>
  <si>
    <t>Setup Amortization example: setup cost per lot = 888.50</t>
  </si>
  <si>
    <t>Setup Amortization example: economic lot for 10% = 211</t>
  </si>
  <si>
    <t>Setup Amortization example: price at qty 250</t>
  </si>
  <si>
    <t>Setup Amortization example: price at qty 500</t>
  </si>
  <si>
    <t>Setup Amortization example: price at qty 1000</t>
  </si>
  <si>
    <t>Setup Amortization example: no 4th quantity, price blank</t>
  </si>
  <si>
    <t>exact</t>
  </si>
  <si>
    <t>Custom Part Cost example: price at 100 parts (54.64 rounded up)</t>
  </si>
  <si>
    <t>Custom Part Cost example: price at 250 parts</t>
  </si>
  <si>
    <t>Quantities out of order: Check says so</t>
  </si>
  <si>
    <t>Quantities not rising</t>
  </si>
  <si>
    <t>Process not on the list: Check says so</t>
  </si>
  <si>
    <t>Process not on Setup list</t>
  </si>
  <si>
    <t>Process not on the list: price blank</t>
  </si>
  <si>
    <t>Chart: setup per part at qty 250</t>
  </si>
  <si>
    <t>Chart: margin and rounding at qty 1000</t>
  </si>
  <si>
    <t>Chart: 4th break blank</t>
  </si>
  <si>
    <t>Price drop, SA-EX</t>
  </si>
  <si>
    <t>Fixed test inputs</t>
  </si>
  <si>
    <t>White cells are fixed test inputs; blue cells are the workbook's formulas evaluated on them.</t>
  </si>
  <si>
    <t>Parameters</t>
  </si>
  <si>
    <t>Target margin on price (the Custom Part Cost example)</t>
  </si>
  <si>
    <t>Price rounding step</t>
  </si>
  <si>
    <t>Setup share target</t>
  </si>
  <si>
    <t>Test table: Lines</t>
  </si>
  <si>
    <t>SA-EX</t>
  </si>
  <si>
    <t>Setup Amortization example</t>
  </si>
  <si>
    <t>Example 125</t>
  </si>
  <si>
    <t>CP-EX</t>
  </si>
  <si>
    <t>Custom Part Cost example</t>
  </si>
  <si>
    <t>Example 95</t>
  </si>
  <si>
    <t>BAD-QTY</t>
  </si>
  <si>
    <t>Quantities out of order</t>
  </si>
  <si>
    <t>BAD-PROC</t>
  </si>
  <si>
    <t>Process not on the list</t>
  </si>
  <si>
    <t>Laser cutting</t>
  </si>
  <si>
    <t>Test table: Tooling</t>
  </si>
  <si>
    <t>Mould</t>
  </si>
  <si>
    <t>Fixture</t>
  </si>
  <si>
    <t>Test tooling total</t>
  </si>
  <si>
    <t>Test chart line (same formulas as the Quote Lines sheet)</t>
  </si>
  <si>
    <t>Test price build-up of the charted line</t>
  </si>
  <si>
    <t>Test price drop by line</t>
  </si>
</sst>
</file>

<file path=xl/styles.xml><?xml version="1.0" encoding="utf-8"?>
<styleSheet xmlns="http://schemas.openxmlformats.org/spreadsheetml/2006/main">
  <numFmts count="8">
    <numFmt numFmtId="164" formatCode="#,##0"/>
    <numFmt numFmtId="165" formatCode="0.0%"/>
    <numFmt numFmtId="166" formatCode="#,##0.00"/>
    <numFmt numFmtId="167" formatCode="d mmm yyyy"/>
    <numFmt numFmtId="168" formatCode="#,##0.0000"/>
    <numFmt numFmtId="169" formatCode="#,##0.000"/>
    <numFmt numFmtId="170" formatCode="0.0E+00"/>
    <numFmt numFmtId="171" formatCode="0.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20"/>
      <color rgb="FF14386C"/>
      <name val="Calibri"/>
      <family val="2"/>
      <scheme val="minor"/>
    </font>
    <font>
      <b/>
      <sz val="9"/>
      <color rgb="FF4A5361"/>
      <name val="Calibri"/>
      <family val="2"/>
      <scheme val="minor"/>
    </font>
  </fonts>
  <fills count="9">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s>
  <borders count="8">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thin">
        <color rgb="FFD6DBE3"/>
      </top>
      <bottom style="thin">
        <color rgb="FFD6DBE3"/>
      </bottom>
      <diagonal/>
    </border>
    <border>
      <left/>
      <right/>
      <top/>
      <bottom style="thin">
        <color rgb="FFD6DBE3"/>
      </bottom>
      <diagonal/>
    </border>
  </borders>
  <cellStyleXfs count="1">
    <xf numFmtId="0" fontId="0" fillId="0" borderId="0"/>
  </cellStyleXfs>
  <cellXfs count="82">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0" fontId="10" fillId="3" borderId="2" xfId="0" applyFont="1" applyFill="1" applyBorder="1" applyAlignment="1" applyProtection="1">
      <alignment vertical="top" wrapText="1"/>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0" fontId="20" fillId="7" borderId="2" xfId="0" applyFont="1" applyFill="1" applyBorder="1" applyAlignment="1">
      <alignment vertical="center" wrapText="1"/>
    </xf>
    <xf numFmtId="167" fontId="10" fillId="3" borderId="2" xfId="0" applyNumberFormat="1" applyFont="1" applyFill="1" applyBorder="1" applyAlignment="1" applyProtection="1">
      <alignment horizontal="left" vertical="center"/>
      <protection locked="0"/>
    </xf>
    <xf numFmtId="168" fontId="10" fillId="3" borderId="2" xfId="0" applyNumberFormat="1" applyFont="1" applyFill="1" applyBorder="1" applyAlignment="1" applyProtection="1">
      <alignment vertical="center"/>
      <protection locked="0"/>
    </xf>
    <xf numFmtId="169" fontId="10" fillId="3" borderId="2" xfId="0" applyNumberFormat="1" applyFont="1" applyFill="1" applyBorder="1" applyAlignment="1" applyProtection="1">
      <alignment vertical="center"/>
      <protection locked="0"/>
    </xf>
    <xf numFmtId="166" fontId="10" fillId="4" borderId="3" xfId="0" applyNumberFormat="1" applyFont="1" applyFill="1" applyBorder="1" applyAlignment="1">
      <alignment vertical="center"/>
    </xf>
    <xf numFmtId="168" fontId="10" fillId="4" borderId="3" xfId="0" applyNumberFormat="1" applyFont="1" applyFill="1" applyBorder="1" applyAlignment="1">
      <alignment vertical="center"/>
    </xf>
    <xf numFmtId="164" fontId="10" fillId="4" borderId="3" xfId="0" applyNumberFormat="1" applyFont="1" applyFill="1" applyBorder="1" applyAlignment="1">
      <alignment vertical="center"/>
    </xf>
    <xf numFmtId="0" fontId="21" fillId="4" borderId="3" xfId="0" applyFont="1" applyFill="1" applyBorder="1" applyAlignment="1">
      <alignment vertical="center"/>
    </xf>
    <xf numFmtId="164" fontId="9" fillId="4" borderId="3" xfId="0" applyNumberFormat="1" applyFont="1" applyFill="1" applyBorder="1" applyAlignment="1">
      <alignment vertical="center"/>
    </xf>
    <xf numFmtId="0" fontId="19" fillId="2" borderId="5" xfId="0" applyFont="1" applyFill="1" applyBorder="1" applyAlignment="1">
      <alignment horizontal="left" vertical="center" wrapText="1"/>
    </xf>
    <xf numFmtId="164" fontId="9" fillId="0" borderId="6" xfId="0" applyNumberFormat="1" applyFont="1" applyBorder="1" applyAlignment="1">
      <alignment horizontal="center" vertical="center"/>
    </xf>
    <xf numFmtId="166" fontId="9" fillId="4" borderId="3" xfId="0" applyNumberFormat="1" applyFont="1" applyFill="1" applyBorder="1" applyAlignment="1">
      <alignment vertical="center"/>
    </xf>
    <xf numFmtId="165" fontId="10" fillId="4" borderId="3" xfId="0" applyNumberFormat="1" applyFont="1" applyFill="1" applyBorder="1" applyAlignment="1">
      <alignment vertical="center"/>
    </xf>
    <xf numFmtId="0" fontId="9" fillId="0" borderId="6" xfId="0" applyFont="1" applyBorder="1" applyAlignment="1">
      <alignment horizontal="center" vertical="center"/>
    </xf>
    <xf numFmtId="0" fontId="7" fillId="0" borderId="6" xfId="0" applyFont="1" applyBorder="1" applyAlignment="1">
      <alignment horizontal="center" vertical="center" wrapText="1"/>
    </xf>
    <xf numFmtId="0" fontId="22" fillId="0" borderId="0" xfId="0" applyFont="1" applyAlignment="1">
      <alignment horizontal="right" vertical="center"/>
    </xf>
    <xf numFmtId="0" fontId="9" fillId="0" borderId="0" xfId="0" applyFont="1" applyAlignment="1">
      <alignment horizontal="right" vertical="center"/>
    </xf>
    <xf numFmtId="0" fontId="10" fillId="0" borderId="0" xfId="0" applyFont="1" applyAlignment="1">
      <alignment horizontal="right" vertical="center"/>
    </xf>
    <xf numFmtId="0" fontId="23" fillId="0" borderId="0" xfId="0" applyFont="1" applyAlignment="1">
      <alignment vertical="center"/>
    </xf>
    <xf numFmtId="0" fontId="10" fillId="0" borderId="7" xfId="0" applyFont="1" applyBorder="1" applyAlignment="1">
      <alignment vertical="center"/>
    </xf>
    <xf numFmtId="0" fontId="10" fillId="0" borderId="7" xfId="0" applyFont="1" applyBorder="1" applyAlignment="1">
      <alignment horizontal="left" vertical="center"/>
    </xf>
    <xf numFmtId="167" fontId="10" fillId="0" borderId="7" xfId="0" applyNumberFormat="1" applyFont="1" applyBorder="1" applyAlignment="1">
      <alignment horizontal="left" vertical="center"/>
    </xf>
    <xf numFmtId="0" fontId="19" fillId="2" borderId="0" xfId="0" applyFont="1" applyFill="1" applyAlignment="1">
      <alignment horizontal="center" vertical="center" wrapText="1"/>
    </xf>
    <xf numFmtId="164" fontId="18" fillId="0" borderId="0" xfId="0" applyNumberFormat="1" applyFont="1" applyAlignment="1">
      <alignment horizontal="right" vertical="center"/>
    </xf>
    <xf numFmtId="0" fontId="18" fillId="0" borderId="0" xfId="0" applyFont="1" applyAlignment="1">
      <alignment horizontal="right" vertical="center"/>
    </xf>
    <xf numFmtId="166" fontId="9" fillId="0" borderId="0" xfId="0" applyNumberFormat="1" applyFont="1" applyAlignment="1">
      <alignment horizontal="right" vertical="center"/>
    </xf>
    <xf numFmtId="0" fontId="10" fillId="0" borderId="6" xfId="0" applyFont="1" applyBorder="1" applyAlignment="1">
      <alignment vertical="center"/>
    </xf>
    <xf numFmtId="0" fontId="10" fillId="0" borderId="6" xfId="0" applyFont="1" applyBorder="1" applyAlignment="1">
      <alignment horizontal="right" vertical="center"/>
    </xf>
    <xf numFmtId="164" fontId="10" fillId="0" borderId="6" xfId="0" applyNumberFormat="1" applyFont="1" applyBorder="1" applyAlignment="1">
      <alignment vertical="center"/>
    </xf>
    <xf numFmtId="0" fontId="23" fillId="0" borderId="0" xfId="0" applyFont="1" applyAlignment="1"/>
    <xf numFmtId="0" fontId="9" fillId="0" borderId="6" xfId="0" applyFont="1" applyBorder="1" applyAlignment="1">
      <alignment vertical="top" wrapText="1"/>
    </xf>
    <xf numFmtId="0" fontId="10" fillId="0" borderId="6" xfId="0" applyFont="1" applyBorder="1" applyAlignment="1">
      <alignment vertical="top" wrapText="1"/>
    </xf>
    <xf numFmtId="0" fontId="10" fillId="0" borderId="6" xfId="0" applyFont="1" applyBorder="1" applyAlignment="1">
      <alignment horizontal="center" vertical="top"/>
    </xf>
    <xf numFmtId="0" fontId="10" fillId="0" borderId="6" xfId="0" applyFont="1" applyBorder="1" applyAlignment="1">
      <alignment vertical="center" wrapText="1"/>
    </xf>
    <xf numFmtId="0" fontId="10" fillId="0" borderId="6" xfId="0" applyFont="1" applyBorder="1" applyAlignment="1">
      <alignment horizontal="center" vertical="center"/>
    </xf>
    <xf numFmtId="0" fontId="8" fillId="0" borderId="0" xfId="0" applyFont="1" applyAlignment="1">
      <alignment vertical="center"/>
    </xf>
    <xf numFmtId="168" fontId="10" fillId="0" borderId="6" xfId="0" applyNumberFormat="1" applyFont="1" applyBorder="1" applyAlignment="1">
      <alignment vertical="center"/>
    </xf>
    <xf numFmtId="170" fontId="10" fillId="4" borderId="3" xfId="0" applyNumberFormat="1" applyFont="1" applyFill="1" applyBorder="1" applyAlignment="1">
      <alignment vertical="center"/>
    </xf>
    <xf numFmtId="170" fontId="10" fillId="0" borderId="6" xfId="0" applyNumberFormat="1" applyFont="1" applyBorder="1" applyAlignment="1">
      <alignment vertical="center"/>
    </xf>
    <xf numFmtId="0" fontId="10" fillId="4" borderId="3" xfId="0" applyFont="1" applyFill="1" applyBorder="1" applyAlignment="1">
      <alignment horizontal="center" vertical="center"/>
    </xf>
    <xf numFmtId="166" fontId="10" fillId="0" borderId="6" xfId="0" applyNumberFormat="1" applyFont="1" applyBorder="1" applyAlignment="1">
      <alignment vertical="center"/>
    </xf>
    <xf numFmtId="0" fontId="10" fillId="4" borderId="3" xfId="0" applyFont="1" applyFill="1" applyBorder="1" applyAlignment="1">
      <alignment vertical="center"/>
    </xf>
    <xf numFmtId="171" fontId="10" fillId="0" borderId="6" xfId="0" applyNumberFormat="1" applyFont="1" applyBorder="1" applyAlignment="1">
      <alignment vertical="center"/>
    </xf>
    <xf numFmtId="171" fontId="10" fillId="4" borderId="3" xfId="0" applyNumberFormat="1" applyFont="1" applyFill="1" applyBorder="1" applyAlignment="1">
      <alignment vertical="center"/>
    </xf>
    <xf numFmtId="165" fontId="10" fillId="0" borderId="6" xfId="0" applyNumberFormat="1" applyFont="1" applyBorder="1" applyAlignment="1">
      <alignment vertical="center"/>
    </xf>
    <xf numFmtId="169" fontId="10" fillId="0" borderId="6"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Price build-up of the chosen line by quantity</a:t>
            </a:r>
          </a:p>
        </c:rich>
      </c:tx>
      <c:layout/>
    </c:title>
    <c:plotArea>
      <c:layout/>
      <c:barChart>
        <c:barDir val="col"/>
        <c:grouping val="stacked"/>
        <c:ser>
          <c:idx val="0"/>
          <c:order val="0"/>
          <c:tx>
            <c:v>Variable cost</c:v>
          </c:tx>
          <c:spPr>
            <a:solidFill>
              <a:srgbClr val="3B64D8"/>
            </a:solidFill>
            <a:ln w="9525">
              <a:solidFill>
                <a:srgbClr val="FFFFFF"/>
              </a:solidFill>
            </a:ln>
          </c:spPr>
          <c:cat>
            <c:numRef>
              <c:f>'Quote Lines'!$E$49:$I$49</c:f>
              <c:numCache>
                <c:formatCode>General</c:formatCode>
                <c:ptCount val="5"/>
                <c:pt idx="0">
                  <c:v>50</c:v>
                </c:pt>
                <c:pt idx="1">
                  <c:v>100</c:v>
                </c:pt>
                <c:pt idx="2">
                  <c:v>250</c:v>
                </c:pt>
                <c:pt idx="3">
                  <c:v>500</c:v>
                </c:pt>
                <c:pt idx="4">
                  <c:v>1000</c:v>
                </c:pt>
              </c:numCache>
            </c:numRef>
          </c:cat>
          <c:val>
            <c:numRef>
              <c:f>'Quote Lines'!$E$50:$I$50</c:f>
              <c:numCache>
                <c:formatCode>General</c:formatCode>
                <c:ptCount val="5"/>
                <c:pt idx="0">
                  <c:v>12.3666666666667</c:v>
                </c:pt>
                <c:pt idx="1">
                  <c:v>12.3666666666667</c:v>
                </c:pt>
                <c:pt idx="2">
                  <c:v>12.3666666666667</c:v>
                </c:pt>
                <c:pt idx="3">
                  <c:v>12.3666666666667</c:v>
                </c:pt>
                <c:pt idx="4">
                  <c:v>12.3666666666667</c:v>
                </c:pt>
              </c:numCache>
            </c:numRef>
          </c:val>
        </c:ser>
        <c:ser>
          <c:idx val="1"/>
          <c:order val="1"/>
          <c:tx>
            <c:v>Setup per part</c:v>
          </c:tx>
          <c:spPr>
            <a:solidFill>
              <a:srgbClr val="E8702A"/>
            </a:solidFill>
            <a:ln w="9525">
              <a:solidFill>
                <a:srgbClr val="FFFFFF"/>
              </a:solidFill>
            </a:ln>
          </c:spPr>
          <c:cat>
            <c:numRef>
              <c:f>'Quote Lines'!$E$49:$I$49</c:f>
              <c:numCache>
                <c:formatCode>General</c:formatCode>
                <c:ptCount val="5"/>
                <c:pt idx="0">
                  <c:v>50</c:v>
                </c:pt>
                <c:pt idx="1">
                  <c:v>100</c:v>
                </c:pt>
                <c:pt idx="2">
                  <c:v>250</c:v>
                </c:pt>
                <c:pt idx="3">
                  <c:v>500</c:v>
                </c:pt>
                <c:pt idx="4">
                  <c:v>1000</c:v>
                </c:pt>
              </c:numCache>
            </c:numRef>
          </c:cat>
          <c:val>
            <c:numRef>
              <c:f>'Quote Lines'!$E$51:$I$51</c:f>
              <c:numCache>
                <c:formatCode>General</c:formatCode>
                <c:ptCount val="5"/>
                <c:pt idx="0">
                  <c:v>5.09466666666667</c:v>
                </c:pt>
                <c:pt idx="1">
                  <c:v>2.54733333333333</c:v>
                </c:pt>
                <c:pt idx="2">
                  <c:v>1.01893333333333</c:v>
                </c:pt>
                <c:pt idx="3">
                  <c:v>0.509466666666667</c:v>
                </c:pt>
                <c:pt idx="4">
                  <c:v>0.254733333333333</c:v>
                </c:pt>
              </c:numCache>
            </c:numRef>
          </c:val>
        </c:ser>
        <c:ser>
          <c:idx val="2"/>
          <c:order val="2"/>
          <c:tx>
            <c:v>Margin and rounding</c:v>
          </c:tx>
          <c:spPr>
            <a:solidFill>
              <a:srgbClr val="1BA37A"/>
            </a:solidFill>
            <a:ln w="9525">
              <a:solidFill>
                <a:srgbClr val="FFFFFF"/>
              </a:solidFill>
            </a:ln>
          </c:spPr>
          <c:cat>
            <c:numRef>
              <c:f>'Quote Lines'!$E$49:$I$49</c:f>
              <c:numCache>
                <c:formatCode>General</c:formatCode>
                <c:ptCount val="5"/>
                <c:pt idx="0">
                  <c:v>50</c:v>
                </c:pt>
                <c:pt idx="1">
                  <c:v>100</c:v>
                </c:pt>
                <c:pt idx="2">
                  <c:v>250</c:v>
                </c:pt>
                <c:pt idx="3">
                  <c:v>500</c:v>
                </c:pt>
                <c:pt idx="4">
                  <c:v>1000</c:v>
                </c:pt>
              </c:numCache>
            </c:numRef>
          </c:cat>
          <c:val>
            <c:numRef>
              <c:f>'Quote Lines'!$E$53:$I$53</c:f>
              <c:numCache>
                <c:formatCode>General</c:formatCode>
                <c:ptCount val="5"/>
                <c:pt idx="0">
                  <c:v>5.82866666666667</c:v>
                </c:pt>
                <c:pt idx="1">
                  <c:v>4.976</c:v>
                </c:pt>
                <c:pt idx="2">
                  <c:v>4.4644</c:v>
                </c:pt>
                <c:pt idx="3">
                  <c:v>4.29386666666667</c:v>
                </c:pt>
                <c:pt idx="4">
                  <c:v>4.2086</c:v>
                </c:pt>
              </c:numCache>
            </c:numRef>
          </c:val>
        </c:ser>
        <c:gapWidth val="60"/>
        <c:overlap val="100"/>
        <c:axId val="50010001"/>
        <c:axId val="50010002"/>
      </c:barChart>
      <c:catAx>
        <c:axId val="50010001"/>
        <c:scaling>
          <c:orientation val="minMax"/>
        </c:scaling>
        <c:axPos val="b"/>
        <c:title>
          <c:tx>
            <c:rich>
              <a:bodyPr/>
              <a:lstStyle/>
              <a:p>
                <a:pPr>
                  <a:defRPr sz="900" b="0" baseline="0">
                    <a:solidFill>
                      <a:srgbClr val="4A5361"/>
                    </a:solidFill>
                    <a:latin typeface="Calibri"/>
                  </a:defRPr>
                </a:pPr>
                <a:r>
                  <a:rPr lang="en-US" sz="900" b="0" baseline="0">
                    <a:solidFill>
                      <a:srgbClr val="4A5361"/>
                    </a:solidFill>
                    <a:latin typeface="Calibri"/>
                  </a:rPr>
                  <a:t>Quantity (parts)</a:t>
                </a:r>
              </a:p>
            </c:rich>
          </c:tx>
          <c:layout/>
        </c:title>
        <c:numFmt formatCode="#,##0"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Price drop from the first to the largest quantity</a:t>
            </a:r>
          </a:p>
        </c:rich>
      </c:tx>
      <c:layout/>
    </c:title>
    <c:plotArea>
      <c:layout/>
      <c:barChart>
        <c:barDir val="col"/>
        <c:grouping val="clustered"/>
        <c:ser>
          <c:idx val="0"/>
          <c:order val="0"/>
          <c:tx>
            <c:v>Price drop</c:v>
          </c:tx>
          <c:spPr>
            <a:solidFill>
              <a:srgbClr val="3B64D8"/>
            </a:solidFill>
            <a:ln w="9525">
              <a:solidFill>
                <a:srgbClr val="FFFFFF"/>
              </a:solidFill>
            </a:ln>
          </c:spPr>
          <c:dLbls>
            <c:numFmt formatCode="0%" sourceLinked="0"/>
            <c:txPr>
              <a:bodyPr/>
              <a:lstStyle/>
              <a:p>
                <a:pPr>
                  <a:defRPr sz="800" b="1" baseline="0">
                    <a:solidFill>
                      <a:srgbClr val="FFFFFF"/>
                    </a:solidFill>
                    <a:latin typeface="Calibri"/>
                  </a:defRPr>
                </a:pPr>
                <a:endParaRPr lang="en-US"/>
              </a:p>
            </c:txPr>
            <c:dLblPos val="inBase"/>
            <c:showVal val="1"/>
          </c:dLbls>
          <c:cat>
            <c:strRef>
              <c:f>'Quote Lines'!$E$57:$L$57</c:f>
              <c:strCache>
                <c:ptCount val="8"/>
                <c:pt idx="0">
                  <c:v>TI-4410-01</c:v>
                </c:pt>
                <c:pt idx="1">
                  <c:v>TI-4410-02</c:v>
                </c:pt>
                <c:pt idx="2">
                  <c:v>TI-4410-05</c:v>
                </c:pt>
                <c:pt idx="3">
                  <c:v>TI-4410-08</c:v>
                </c:pt>
                <c:pt idx="4">
                  <c:v>TI-4410-12</c:v>
                </c:pt>
                <c:pt idx="5">
                  <c:v>TI-2207-11</c:v>
                </c:pt>
                <c:pt idx="6">
                  <c:v>TI-2207-14</c:v>
                </c:pt>
                <c:pt idx="7">
                  <c:v>TI-2207-19</c:v>
                </c:pt>
              </c:strCache>
            </c:strRef>
          </c:cat>
          <c:val>
            <c:numRef>
              <c:f>'Quote Lines'!$E$60:$L$60</c:f>
              <c:numCache>
                <c:formatCode>General</c:formatCode>
                <c:ptCount val="8"/>
                <c:pt idx="0">
                  <c:v>0.113888888888889</c:v>
                </c:pt>
                <c:pt idx="1">
                  <c:v>0.169642857142857</c:v>
                </c:pt>
                <c:pt idx="2">
                  <c:v>0.288135593220339</c:v>
                </c:pt>
                <c:pt idx="3">
                  <c:v>0.380952380952381</c:v>
                </c:pt>
                <c:pt idx="4">
                  <c:v>0.168316831683168</c:v>
                </c:pt>
                <c:pt idx="5">
                  <c:v>0.277372262773723</c:v>
                </c:pt>
                <c:pt idx="6">
                  <c:v>0.240177439797212</c:v>
                </c:pt>
                <c:pt idx="7">
                  <c:v>0.340175953079179</c:v>
                </c:pt>
              </c:numCache>
            </c:numRef>
          </c:val>
        </c:ser>
        <c:gapWidth val="60"/>
        <c:overlap val="-10"/>
        <c:axId val="50020001"/>
        <c:axId val="50020002"/>
      </c:bar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spPr>
        <a:solidFill>
          <a:srgbClr val="FFFFFF"/>
        </a:solidFill>
        <a:ln>
          <a:noFill/>
        </a:ln>
      </c:spPr>
    </c:plotArea>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61</xdr:row>
      <xdr:rowOff>38100</xdr:rowOff>
    </xdr:from>
    <xdr:to>
      <xdr:col>6</xdr:col>
      <xdr:colOff>676275</xdr:colOff>
      <xdr:row>80</xdr:row>
      <xdr:rowOff>152400</xdr:rowOff>
    </xdr:to>
    <xdr:graphicFrame macro="">
      <xdr:nvGraphicFramePr>
        <xdr:cNvPr id="2" name="Chart 1" descr="Stacked column chart of the chosen quote line's unit price at each quantity break, split into variable cost, setup cost per part and margin."/>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38100</xdr:colOff>
      <xdr:row>61</xdr:row>
      <xdr:rowOff>38100</xdr:rowOff>
    </xdr:from>
    <xdr:to>
      <xdr:col>15</xdr:col>
      <xdr:colOff>676275</xdr:colOff>
      <xdr:row>80</xdr:row>
      <xdr:rowOff>152400</xdr:rowOff>
    </xdr:to>
    <xdr:graphicFrame macro="">
      <xdr:nvGraphicFramePr>
        <xdr:cNvPr id="3" name="Chart 2" descr="Column chart of how much each quote line's unit price falls from its first quantity break to its largest, showing which parts are most sensitive to setup cos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Processes" displayName="tblProcesses" ref="B32:D37" totalsRowShown="0">
  <autoFilter ref="B32:D37"/>
  <tableColumns count="3">
    <tableColumn id="1" name="Process"/>
    <tableColumn id="2" name="Rate per hour"/>
    <tableColumn id="3" name="Notes"/>
  </tableColumns>
  <tableStyleInfo name="TableStyleLight1" showFirstColumn="0" showLastColumn="0" showRowStripes="0" showColumnStripes="0"/>
</table>
</file>

<file path=xl/tables/table2.xml><?xml version="1.0" encoding="utf-8"?>
<table xmlns="http://schemas.openxmlformats.org/spreadsheetml/2006/main" id="2" name="tblLines" displayName="tblLines" ref="B20:W28" totalsRowShown="0">
  <autoFilter ref="B20:W28"/>
  <tableColumns count="22">
    <tableColumn id="1" name="Part number"/>
    <tableColumn id="2" name="Description"/>
    <tableColumn id="3" name="Process"/>
    <tableColumn id="4" name="Material"/>
    <tableColumn id="5" name="Run (min/part)"/>
    <tableColumn id="6" name="Setup (h/lot)"/>
    <tableColumn id="7" name="Setup scrap (parts/lot)"/>
    <tableColumn id="8" name="Qty 1"/>
    <tableColumn id="9" name="Qty 2"/>
    <tableColumn id="10" name="Qty 3"/>
    <tableColumn id="11" name="Qty 4"/>
    <tableColumn id="12" name="Qty 5"/>
    <tableColumn id="13" name="Rate">
      <calculatedColumnFormula>IF(tblLines[[#This Row],[Part number]]="","",IFERROR(INDEX(tblProcesses[Rate per hour],MATCH(tblLines[[#This Row],[Process]],tblProcesses[Process],0)),""))</calculatedColumnFormula>
    </tableColumn>
    <tableColumn id="14" name="Variable cost">
      <calculatedColumnFormula>IF(tblLines[[#This Row],[Part number]]="","",IF(tblLines[[#This Row],[Rate]]="","",tblLines[[#This Row],[Material]]+tblLines[[#This Row],[Run (min/part)]]/60*tblLines[[#This Row],[Rate]]))</calculatedColumnFormula>
    </tableColumn>
    <tableColumn id="15" name="Setup cost">
      <calculatedColumnFormula>IF(tblLines[[#This Row],[Part number]]="","",IF(tblLines[[#This Row],[Rate]]="","",tblLines[[#This Row],[Setup (h/lot)]]*tblLines[[#This Row],[Rate]]+tblLines[[#This Row],[Setup scrap (parts/lot)]]*tblLines[[#This Row],[Variable cost]]))</calculatedColumnFormula>
    </tableColumn>
    <tableColumn id="16" name="Economic lot">
      <calculatedColumnFormula>IF(tblLines[[#This Row],[Part number]]="","",IF(OR(tblLines[[#This Row],[Variable cost]]="",N(tblLines[[#This Row],[Variable cost]])=0),"",CEILING(tblLines[[#This Row],[Setup cost]]*(1-SetupShare)/(SetupShare*tblLines[[#This Row],[Variable cost]]),1)))</calculatedColumnFormula>
    </tableColumn>
    <tableColumn id="17" name="Price 1">
      <calculatedColumnFormula>IF(tblLines[[#This Row],[Part number]]="","",IF(OR(tblLines[[#This Row],[Qty 1]]="",tblLines[[#This Row],[Variable cost]]=""),"",CEILING((tblLines[[#This Row],[Variable cost]]+tblLines[[#This Row],[Setup cost]]/tblLines[[#This Row],[Qty 1]])/(1-Margin),RoundStep)))</calculatedColumnFormula>
    </tableColumn>
    <tableColumn id="18" name="Price 2">
      <calculatedColumnFormula>IF(tblLines[[#This Row],[Part number]]="","",IF(OR(tblLines[[#This Row],[Qty 2]]="",tblLines[[#This Row],[Variable cost]]=""),"",CEILING((tblLines[[#This Row],[Variable cost]]+tblLines[[#This Row],[Setup cost]]/tblLines[[#This Row],[Qty 2]])/(1-Margin),RoundStep)))</calculatedColumnFormula>
    </tableColumn>
    <tableColumn id="19" name="Price 3">
      <calculatedColumnFormula>IF(tblLines[[#This Row],[Part number]]="","",IF(OR(tblLines[[#This Row],[Qty 3]]="",tblLines[[#This Row],[Variable cost]]=""),"",CEILING((tblLines[[#This Row],[Variable cost]]+tblLines[[#This Row],[Setup cost]]/tblLines[[#This Row],[Qty 3]])/(1-Margin),RoundStep)))</calculatedColumnFormula>
    </tableColumn>
    <tableColumn id="20" name="Price 4">
      <calculatedColumnFormula>IF(tblLines[[#This Row],[Part number]]="","",IF(OR(tblLines[[#This Row],[Qty 4]]="",tblLines[[#This Row],[Variable cost]]=""),"",CEILING((tblLines[[#This Row],[Variable cost]]+tblLines[[#This Row],[Setup cost]]/tblLines[[#This Row],[Qty 4]])/(1-Margin),RoundStep)))</calculatedColumnFormula>
    </tableColumn>
    <tableColumn id="21" name="Price 5">
      <calculatedColumnFormula>IF(tblLines[[#This Row],[Part number]]="","",IF(OR(tblLines[[#This Row],[Qty 5]]="",tblLines[[#This Row],[Variable cost]]=""),"",CEILING((tblLines[[#This Row],[Variable cost]]+tblLines[[#This Row],[Setup cost]]/tblLines[[#This Row],[Qty 5]])/(1-Margin),RoundStep)))</calculatedColumnFormula>
    </tableColumn>
    <tableColumn id="22" name="Check">
      <calculatedColumnFormula>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calculatedColumnFormula>
    </tableColumn>
  </tableColumns>
  <tableStyleInfo name="TableStyleLight1" showFirstColumn="0" showLastColumn="0" showRowStripes="0" showColumnStripes="0"/>
</table>
</file>

<file path=xl/tables/table3.xml><?xml version="1.0" encoding="utf-8"?>
<table xmlns="http://schemas.openxmlformats.org/spreadsheetml/2006/main" id="3" name="tblTooling" displayName="tblTooling" ref="C33:E38" totalsRowShown="0">
  <autoFilter ref="C33:E38"/>
  <tableColumns count="3">
    <tableColumn id="1" name="Item"/>
    <tableColumn id="2" name="Notes"/>
    <tableColumn id="3" name="Cost"/>
  </tableColumns>
  <tableStyleInfo name="TableStyleLight1" showFirstColumn="0" showLastColumn="0" showRowStripes="0" showColumnStripes="0"/>
</table>
</file>

<file path=xl/tables/table4.xml><?xml version="1.0" encoding="utf-8"?>
<table xmlns="http://schemas.openxmlformats.org/spreadsheetml/2006/main" id="4" name="tblVerifyLines" displayName="tblVerifyLines" ref="B39:W43" totalsRowShown="0">
  <tableColumns count="22">
    <tableColumn id="1" name="Part number"/>
    <tableColumn id="2" name="Description"/>
    <tableColumn id="3" name="Process"/>
    <tableColumn id="4" name="Material"/>
    <tableColumn id="5" name="Run (min/part)"/>
    <tableColumn id="6" name="Setup (h/lot)"/>
    <tableColumn id="7" name="Setup scrap (parts/lot)"/>
    <tableColumn id="8" name="Qty 1"/>
    <tableColumn id="9" name="Qty 2"/>
    <tableColumn id="10" name="Qty 3"/>
    <tableColumn id="11" name="Qty 4"/>
    <tableColumn id="12" name="Qty 5"/>
    <tableColumn id="13" name="Rate"/>
    <tableColumn id="14" name="Variable cost">
      <calculatedColumnFormula>IF(tblVerifyLines[[#This Row],[Part number]]="","",IF(tblVerifyLines[[#This Row],[Rate]]="","",tblVerifyLines[[#This Row],[Material]]+tblVerifyLines[[#This Row],[Run (min/part)]]/60*tblVerifyLines[[#This Row],[Rate]]))</calculatedColumnFormula>
    </tableColumn>
    <tableColumn id="15" name="Setup cost">
      <calculatedColumnFormula>IF(tblVerifyLines[[#This Row],[Part number]]="","",IF(tblVerifyLines[[#This Row],[Rate]]="","",tblVerifyLines[[#This Row],[Setup (h/lot)]]*tblVerifyLines[[#This Row],[Rate]]+tblVerifyLines[[#This Row],[Setup scrap (parts/lot)]]*tblVerifyLines[[#This Row],[Variable cost]]))</calculatedColumnFormula>
    </tableColumn>
    <tableColumn id="16" name="Economic lot">
      <calculatedColumnFormula>IF(tblVerifyLines[[#This Row],[Part number]]="","",IF(OR(tblVerifyLines[[#This Row],[Variable cost]]="",N(tblVerifyLines[[#This Row],[Variable cost]])=0),"",CEILING(tblVerifyLines[[#This Row],[Setup cost]]*(1-$E$35)/($E$35*tblVerifyLines[[#This Row],[Variable cost]]),1)))</calculatedColumnFormula>
    </tableColumn>
    <tableColumn id="17" name="Price 1">
      <calculatedColumnFormula>IF(tblVerifyLines[[#This Row],[Part number]]="","",IF(OR(tblVerifyLines[[#This Row],[Qty 1]]="",tblVerifyLines[[#This Row],[Variable cost]]=""),"",CEILING((tblVerifyLines[[#This Row],[Variable cost]]+tblVerifyLines[[#This Row],[Setup cost]]/tblVerifyLines[[#This Row],[Qty 1]])/(1-$E$33),$E$34)))</calculatedColumnFormula>
    </tableColumn>
    <tableColumn id="18" name="Price 2">
      <calculatedColumnFormula>IF(tblVerifyLines[[#This Row],[Part number]]="","",IF(OR(tblVerifyLines[[#This Row],[Qty 2]]="",tblVerifyLines[[#This Row],[Variable cost]]=""),"",CEILING((tblVerifyLines[[#This Row],[Variable cost]]+tblVerifyLines[[#This Row],[Setup cost]]/tblVerifyLines[[#This Row],[Qty 2]])/(1-$E$33),$E$34)))</calculatedColumnFormula>
    </tableColumn>
    <tableColumn id="19" name="Price 3">
      <calculatedColumnFormula>IF(tblVerifyLines[[#This Row],[Part number]]="","",IF(OR(tblVerifyLines[[#This Row],[Qty 3]]="",tblVerifyLines[[#This Row],[Variable cost]]=""),"",CEILING((tblVerifyLines[[#This Row],[Variable cost]]+tblVerifyLines[[#This Row],[Setup cost]]/tblVerifyLines[[#This Row],[Qty 3]])/(1-$E$33),$E$34)))</calculatedColumnFormula>
    </tableColumn>
    <tableColumn id="20" name="Price 4">
      <calculatedColumnFormula>IF(tblVerifyLines[[#This Row],[Part number]]="","",IF(OR(tblVerifyLines[[#This Row],[Qty 4]]="",tblVerifyLines[[#This Row],[Variable cost]]=""),"",CEILING((tblVerifyLines[[#This Row],[Variable cost]]+tblVerifyLines[[#This Row],[Setup cost]]/tblVerifyLines[[#This Row],[Qty 4]])/(1-$E$33),$E$34)))</calculatedColumnFormula>
    </tableColumn>
    <tableColumn id="21" name="Price 5">
      <calculatedColumnFormula>IF(tblVerifyLines[[#This Row],[Part number]]="","",IF(OR(tblVerifyLines[[#This Row],[Qty 5]]="",tblVerifyLines[[#This Row],[Variable cost]]=""),"",CEILING((tblVerifyLines[[#This Row],[Variable cost]]+tblVerifyLines[[#This Row],[Setup cost]]/tblVerifyLines[[#This Row],[Qty 5]])/(1-$E$33),$E$34)))</calculatedColumnFormula>
    </tableColumn>
    <tableColumn id="22" name="Check">
      <calculatedColumnFormula>IF(tblVerifyLines[[#This Row],[Part number]]="","",IF(tblVerifyLines[[#This Row],[Part number]]="","Missing part number",IF(tblVerifyLines[[#This Row],[Process]]="","Missing process",IF(tblVerifyLines[[#This Row],[Rate]]="","Process not on Setup list",IF(tblVerifyLines[[#This Row],[Qty 1]]="","Missing qty 1",IF(COUNTIFS(tblVerifyLines[Part number],tblVerifyLines[[#This Row],[Part number]])&gt;1,"Part listed twice",IF(OR(AND(N(tblVerifyLines[[#This Row],[Qty 2]])&gt;0,tblVerifyLines[[#This Row],[Qty 2]]&lt;=tblVerifyLines[[#This Row],[Qty 1]]),AND(N(tblVerifyLines[[#This Row],[Qty 3]])&gt;0,tblVerifyLines[[#This Row],[Qty 3]]&lt;=tblVerifyLines[[#This Row],[Qty 2]]),AND(N(tblVerifyLines[[#This Row],[Qty 4]])&gt;0,tblVerifyLines[[#This Row],[Qty 4]]&lt;=tblVerifyLines[[#This Row],[Qty 3]]),AND(N(tblVerifyLines[[#This Row],[Qty 5]])&gt;0,tblVerifyLines[[#This Row],[Qty 5]]&lt;=tblVerifyLines[[#This Row],[Qty 4]])),"Quantities not rising",IF(AND(tblVerifyLines[[#This Row],[Material]]=0,tblVerifyLines[[#This Row],[Run (min/part)]]=0),"No material or run time","OK"))))))))</calculatedColumnFormula>
    </tableColumn>
  </tableColumns>
  <tableStyleInfo name="TableStyleLight1" showFirstColumn="0" showLastColumn="0" showRowStripes="0" showColumnStripes="0"/>
</table>
</file>

<file path=xl/tables/table5.xml><?xml version="1.0" encoding="utf-8"?>
<table xmlns="http://schemas.openxmlformats.org/spreadsheetml/2006/main" id="5" name="tblVerifyTooling" displayName="tblVerifyTooling" ref="B47:D49" totalsRowShown="0">
  <tableColumns count="3">
    <tableColumn id="1" name="Item"/>
    <tableColumn id="2" name="Notes"/>
    <tableColumn id="3" name="Cost"/>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quote-quantity-breaks" TargetMode="External"/><Relationship Id="rId2" Type="http://schemas.openxmlformats.org/officeDocument/2006/relationships/hyperlink" Target="https://www.mfgcalcs.com/calculators/contract-manufacturing-job-shop-quoting/setup-amortization?utm_source=mfgcalcs-template&amp;utm_medium=xlsx&amp;utm_campaign=quote-quantity-breaks" TargetMode="External"/><Relationship Id="rId3" Type="http://schemas.openxmlformats.org/officeDocument/2006/relationships/hyperlink" Target="https://www.mfgcalcs.com/templates/quote-quantity-breaks?utm_source=mfgcalcs-template&amp;utm_medium=xlsx&amp;utm_campaign=quote-quantity-breaks" TargetMode="External"/><Relationship Id="rId4" Type="http://schemas.openxmlformats.org/officeDocument/2006/relationships/hyperlink" Target="https://www.mfgcalcs.com/templates?utm_source=mfgcalcs-template&amp;utm_medium=xlsx&amp;utm_campaign=quote-quantity-breaks"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quote-quantity-breaks" TargetMode="External"/><Relationship Id="rId2"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quote-quantity-breaks" TargetMode="External"/><Relationship Id="rId2" Type="http://schemas.openxmlformats.org/officeDocument/2006/relationships/drawing" Target="../drawings/drawing2.xml"/><Relationship Id="rId3" Type="http://schemas.openxmlformats.org/officeDocument/2006/relationships/table" Target="../tables/table2.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quote-quantity-breaks"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quote-quantity-breaks" TargetMode="External"/><Relationship Id="rId2" Type="http://schemas.openxmlformats.org/officeDocument/2006/relationships/hyperlink" Target="https://www.mfgcalcs.com/calculators/contract-manufacturing-job-shop-quoting/setup-amortization?utm_source=mfgcalcs-template&amp;utm_medium=xlsx&amp;utm_campaign=quote-quantity-breaks"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quote-quantity-breaks" TargetMode="External"/><Relationship Id="rId2" Type="http://schemas.openxmlformats.org/officeDocument/2006/relationships/table" Target="../tables/table4.xml"/><Relationship Id="rId3"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16.2" customHeight="1">
      <c r="B12" s="9" t="s">
        <v>7</v>
      </c>
      <c r="C12" s="10" t="s">
        <v>8</v>
      </c>
      <c r="D12" s="10"/>
      <c r="E12" s="10"/>
      <c r="F12" s="10"/>
    </row>
    <row r="13" spans="1:6" ht="29.4" customHeight="1">
      <c r="B13" s="9" t="s">
        <v>9</v>
      </c>
      <c r="C13" s="10" t="s">
        <v>10</v>
      </c>
      <c r="D13" s="10"/>
      <c r="E13" s="10"/>
      <c r="F13" s="10"/>
    </row>
    <row r="14" spans="1:6" ht="16.2"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29.4" customHeight="1">
      <c r="B25" s="11"/>
      <c r="C25" s="12" t="s">
        <v>27</v>
      </c>
      <c r="D25" s="10" t="s">
        <v>28</v>
      </c>
      <c r="E25" s="10"/>
      <c r="F25" s="10"/>
    </row>
    <row r="27" spans="2:6" ht="21" customHeight="1">
      <c r="B27" s="8" t="s">
        <v>29</v>
      </c>
      <c r="C27" s="8"/>
      <c r="D27" s="8"/>
      <c r="E27" s="8"/>
      <c r="F27" s="8"/>
    </row>
    <row r="28" spans="2:6" ht="5" customHeight="1"/>
    <row r="29" spans="2:6" ht="29.4" customHeight="1">
      <c r="C29" s="13" t="s">
        <v>30</v>
      </c>
      <c r="D29" s="14" t="s">
        <v>31</v>
      </c>
      <c r="E29" s="14"/>
      <c r="F29" s="14"/>
    </row>
    <row r="30" spans="2:6" ht="29.4" customHeight="1">
      <c r="C30" s="15" t="s">
        <v>32</v>
      </c>
      <c r="D30" s="14" t="s">
        <v>33</v>
      </c>
      <c r="E30" s="14"/>
      <c r="F30" s="14"/>
    </row>
    <row r="31" spans="2:6" ht="16.2" customHeight="1">
      <c r="C31" s="16" t="s">
        <v>34</v>
      </c>
      <c r="D31" s="14" t="s">
        <v>35</v>
      </c>
      <c r="E31" s="14"/>
      <c r="F31" s="14"/>
    </row>
    <row r="32" spans="2:6" ht="18" customHeight="1">
      <c r="C32" s="17" t="s">
        <v>36</v>
      </c>
      <c r="D32" s="18" t="s">
        <v>37</v>
      </c>
      <c r="E32" s="19" t="s">
        <v>38</v>
      </c>
      <c r="F32" s="20" t="s">
        <v>39</v>
      </c>
    </row>
    <row r="33" spans="2:6" ht="26.76" customHeight="1">
      <c r="C33" s="21" t="s">
        <v>40</v>
      </c>
      <c r="D33" s="21"/>
      <c r="E33" s="21"/>
      <c r="F33" s="21"/>
    </row>
    <row r="35" spans="2:6" ht="21" customHeight="1">
      <c r="B35" s="8" t="s">
        <v>41</v>
      </c>
      <c r="C35" s="8"/>
      <c r="D35" s="8"/>
      <c r="E35" s="8"/>
      <c r="F35" s="8"/>
    </row>
    <row r="36" spans="2:6" ht="5" customHeight="1"/>
    <row r="37" spans="2:6" ht="26" customHeight="1">
      <c r="C37" s="17" t="s">
        <v>42</v>
      </c>
      <c r="D37" s="22" t="str">
        <f>SelfCheck</f>
        <v>PASS</v>
      </c>
      <c r="E37" s="23" t="str">
        <f>SelfCheckSummary</f>
        <v>17 of 17 checks pass</v>
      </c>
      <c r="F37" s="23"/>
    </row>
    <row r="38" spans="2:6" ht="26.76" customHeight="1">
      <c r="C38" s="21" t="s">
        <v>43</v>
      </c>
      <c r="D38" s="21"/>
      <c r="E38" s="21"/>
      <c r="F38" s="21"/>
    </row>
    <row r="39" spans="2:6">
      <c r="C39" s="17" t="s">
        <v>44</v>
      </c>
      <c r="D39" s="24" t="s">
        <v>45</v>
      </c>
      <c r="E39" s="24"/>
      <c r="F39" s="24"/>
    </row>
    <row r="40" spans="2:6">
      <c r="C40" s="17" t="s">
        <v>46</v>
      </c>
      <c r="D40" s="24" t="s">
        <v>47</v>
      </c>
      <c r="E40" s="24"/>
      <c r="F40" s="24"/>
    </row>
    <row r="41" spans="2:6">
      <c r="C41" s="17" t="s">
        <v>48</v>
      </c>
      <c r="D41" s="24" t="s">
        <v>49</v>
      </c>
      <c r="E41" s="24"/>
      <c r="F41" s="24"/>
    </row>
    <row r="42" spans="2:6">
      <c r="C42" s="17" t="s">
        <v>50</v>
      </c>
      <c r="D42" s="11" t="s">
        <v>51</v>
      </c>
      <c r="E42" s="11"/>
      <c r="F42" s="11"/>
    </row>
    <row r="44" spans="2:6" ht="21" customHeight="1">
      <c r="B44" s="8" t="s">
        <v>52</v>
      </c>
      <c r="C44" s="8"/>
      <c r="D44" s="8"/>
      <c r="E44" s="8"/>
      <c r="F44" s="8"/>
    </row>
    <row r="45" spans="2:6" ht="5" customHeight="1"/>
    <row r="46" spans="2:6" ht="61.8" customHeight="1">
      <c r="B46" s="25" t="s">
        <v>53</v>
      </c>
      <c r="C46" s="25"/>
      <c r="D46" s="25"/>
      <c r="E46" s="25"/>
      <c r="F46" s="25"/>
    </row>
    <row r="48" spans="2:6" ht="21" customHeight="1">
      <c r="B48" s="8" t="s">
        <v>54</v>
      </c>
      <c r="C48" s="8"/>
      <c r="D48" s="8"/>
      <c r="E48" s="8"/>
      <c r="F48" s="8"/>
    </row>
    <row r="49" spans="2:6" ht="5" customHeight="1"/>
    <row r="50" spans="2:6" ht="29.4" customHeight="1">
      <c r="B50" s="26" t="s">
        <v>55</v>
      </c>
      <c r="C50" s="10" t="s">
        <v>56</v>
      </c>
      <c r="D50" s="10"/>
      <c r="E50" s="10"/>
      <c r="F50" s="10"/>
    </row>
    <row r="51" spans="2:6" ht="16.2" customHeight="1">
      <c r="B51" s="26" t="s">
        <v>55</v>
      </c>
      <c r="C51" s="10" t="s">
        <v>57</v>
      </c>
      <c r="D51" s="10"/>
      <c r="E51" s="10"/>
      <c r="F51" s="10"/>
    </row>
    <row r="52" spans="2:6" ht="29.4" customHeight="1">
      <c r="B52" s="26" t="s">
        <v>55</v>
      </c>
      <c r="C52" s="10" t="s">
        <v>58</v>
      </c>
      <c r="D52" s="10"/>
      <c r="E52" s="10"/>
      <c r="F52" s="10"/>
    </row>
    <row r="53" spans="2:6" ht="16.2" customHeight="1">
      <c r="B53" s="26" t="s">
        <v>55</v>
      </c>
      <c r="C53" s="10" t="s">
        <v>59</v>
      </c>
      <c r="D53" s="10"/>
      <c r="E53" s="10"/>
      <c r="F53" s="10"/>
    </row>
    <row r="54" spans="2:6" ht="29.4" customHeight="1">
      <c r="B54" s="26" t="s">
        <v>55</v>
      </c>
      <c r="C54" s="10" t="s">
        <v>60</v>
      </c>
      <c r="D54" s="10"/>
      <c r="E54" s="10"/>
      <c r="F54" s="10"/>
    </row>
    <row r="56" spans="2:6" ht="16.2" customHeight="1">
      <c r="B56" s="17" t="s">
        <v>61</v>
      </c>
      <c r="C56" s="17"/>
      <c r="D56" s="17"/>
      <c r="E56" s="17"/>
      <c r="F56" s="17"/>
    </row>
    <row r="57" spans="2:6" ht="26.76" customHeight="1">
      <c r="B57" s="21" t="s">
        <v>62</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B27:F27"/>
    <mergeCell ref="D29:F29"/>
    <mergeCell ref="D30:F30"/>
    <mergeCell ref="D31:F31"/>
    <mergeCell ref="C33:F33"/>
    <mergeCell ref="B35:F35"/>
    <mergeCell ref="E37:F37"/>
    <mergeCell ref="C38:F38"/>
    <mergeCell ref="D39:F39"/>
    <mergeCell ref="D40:F40"/>
    <mergeCell ref="D41:F41"/>
    <mergeCell ref="D42:F42"/>
    <mergeCell ref="B44:F44"/>
    <mergeCell ref="B46:F46"/>
    <mergeCell ref="B48:F48"/>
    <mergeCell ref="C50:F50"/>
    <mergeCell ref="C51:F51"/>
    <mergeCell ref="C52:F52"/>
    <mergeCell ref="C53:F53"/>
    <mergeCell ref="C54:F54"/>
    <mergeCell ref="B56:F56"/>
    <mergeCell ref="B57:F57"/>
  </mergeCells>
  <conditionalFormatting sqref="D3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Quote Lines'!A1" tooltip="Go to Quote Lines" display="Quote Lines"/>
    <hyperlink ref="C23" location="Quote!A1" tooltip="Go to Quote" display="Quote"/>
    <hyperlink ref="C24" location="Method!A1" tooltip="Go to Method" display="Method"/>
    <hyperlink ref="C25" location="Verify!A1" tooltip="Go to Verify" display="Verify"/>
    <hyperlink ref="D39" r:id="rId2"/>
    <hyperlink ref="D40" r:id="rId3"/>
    <hyperlink ref="D41" r:id="rId4"/>
  </hyperlinks>
  <printOptions horizontalCentered="1"/>
  <pageMargins left="0.4" right="0.4" top="0.7" bottom="0.65" header="0.3" footer="0.3"/>
  <pageSetup fitToHeight="0" orientation="portrait"/>
  <headerFooter>
    <oddHeader>&amp;L&amp;8MFG Calcs - Price Quote with Quantity Breaks&amp;R&amp;8&amp;A</oddHeader>
    <oddFooter>&amp;L&amp;8mfgcalcs.com - free manufacturing templates&amp;R&amp;8Page &amp;P of &amp;N</oddFooter>
  </headerFooter>
  <rowBreaks count="1" manualBreakCount="1">
    <brk id="33"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37"/>
  <sheetViews>
    <sheetView showGridLines="0" workbookViewId="0"/>
  </sheetViews>
  <sheetFormatPr defaultRowHeight="15"/>
  <cols>
    <col min="1" max="1" width="2.7109375" customWidth="1"/>
    <col min="2" max="2" width="32.7109375" customWidth="1"/>
    <col min="3" max="3" width="14.7109375" customWidth="1"/>
    <col min="4" max="4" width="24.7109375" customWidth="1"/>
    <col min="5" max="5" width="8.7109375" customWidth="1"/>
    <col min="6" max="6" width="30.7109375" customWidth="1"/>
  </cols>
  <sheetData>
    <row r="1" spans="1:6" ht="30" customHeight="1">
      <c r="A1" s="1" t="s">
        <v>0</v>
      </c>
      <c r="B1" s="1"/>
      <c r="C1" s="1"/>
      <c r="D1" s="1"/>
      <c r="E1" s="1"/>
      <c r="F1" s="1"/>
    </row>
    <row r="2" spans="1:6" ht="21" customHeight="1">
      <c r="B2" s="2" t="s">
        <v>20</v>
      </c>
      <c r="C2" s="2"/>
      <c r="D2" s="2"/>
      <c r="E2" s="2"/>
      <c r="F2" s="3" t="s">
        <v>2</v>
      </c>
    </row>
    <row r="3" spans="1:6" ht="6" customHeight="1"/>
    <row r="4" spans="1:6" ht="21" customHeight="1">
      <c r="B4" s="8" t="s">
        <v>66</v>
      </c>
      <c r="C4" s="8"/>
      <c r="D4" s="8"/>
      <c r="E4" s="8"/>
      <c r="F4" s="8"/>
    </row>
    <row r="5" spans="1:6" ht="5" customHeight="1"/>
    <row r="6" spans="1:6">
      <c r="B6" s="27" t="s">
        <v>67</v>
      </c>
      <c r="C6" s="28" t="s">
        <v>68</v>
      </c>
      <c r="D6" s="28"/>
    </row>
    <row r="7" spans="1:6">
      <c r="B7" s="27" t="s">
        <v>69</v>
      </c>
      <c r="C7" s="28" t="s">
        <v>70</v>
      </c>
      <c r="D7" s="28"/>
    </row>
    <row r="8" spans="1:6">
      <c r="B8" s="27" t="s">
        <v>71</v>
      </c>
      <c r="C8" s="28" t="s">
        <v>72</v>
      </c>
      <c r="D8" s="28"/>
    </row>
    <row r="9" spans="1:6">
      <c r="B9" s="27" t="s">
        <v>73</v>
      </c>
      <c r="C9" s="28" t="s">
        <v>74</v>
      </c>
      <c r="D9" s="28"/>
    </row>
    <row r="10" spans="1:6">
      <c r="B10" s="27" t="s">
        <v>75</v>
      </c>
      <c r="C10" s="28" t="s">
        <v>76</v>
      </c>
      <c r="D10" s="28"/>
    </row>
    <row r="12" spans="1:6" ht="21" customHeight="1">
      <c r="B12" s="8" t="s">
        <v>77</v>
      </c>
      <c r="C12" s="8"/>
      <c r="D12" s="8"/>
      <c r="E12" s="8"/>
      <c r="F12" s="8"/>
    </row>
    <row r="13" spans="1:6" ht="5" customHeight="1"/>
    <row r="14" spans="1:6">
      <c r="B14" s="27" t="s">
        <v>78</v>
      </c>
      <c r="C14" s="28" t="s">
        <v>79</v>
      </c>
      <c r="D14" s="28"/>
    </row>
    <row r="15" spans="1:6">
      <c r="B15" s="27" t="s">
        <v>80</v>
      </c>
      <c r="C15" s="29">
        <v>30</v>
      </c>
      <c r="D15" s="7" t="s">
        <v>81</v>
      </c>
    </row>
    <row r="16" spans="1:6">
      <c r="B16" s="27" t="s">
        <v>82</v>
      </c>
      <c r="C16" s="28" t="s">
        <v>83</v>
      </c>
      <c r="D16" s="28"/>
    </row>
    <row r="17" spans="2:6">
      <c r="B17" s="27" t="s">
        <v>84</v>
      </c>
      <c r="C17" s="28" t="s">
        <v>85</v>
      </c>
      <c r="D17" s="28"/>
    </row>
    <row r="18" spans="2:6" ht="84.2" customHeight="1">
      <c r="B18" s="27" t="s">
        <v>86</v>
      </c>
      <c r="C18" s="30" t="s">
        <v>87</v>
      </c>
      <c r="D18" s="30"/>
    </row>
    <row r="20" spans="2:6" ht="21" customHeight="1">
      <c r="B20" s="8" t="s">
        <v>88</v>
      </c>
      <c r="C20" s="8"/>
      <c r="D20" s="8"/>
      <c r="E20" s="8"/>
      <c r="F20" s="8"/>
    </row>
    <row r="21" spans="2:6" ht="5" customHeight="1"/>
    <row r="22" spans="2:6">
      <c r="B22" s="27" t="s">
        <v>89</v>
      </c>
      <c r="C22" s="31">
        <v>0.25</v>
      </c>
      <c r="D22" s="7"/>
    </row>
    <row r="23" spans="2:6">
      <c r="B23" s="27" t="s">
        <v>90</v>
      </c>
      <c r="C23" s="32">
        <v>0.01</v>
      </c>
      <c r="D23" s="7" t="str">
        <f>Currency</f>
        <v>USD</v>
      </c>
    </row>
    <row r="24" spans="2:6">
      <c r="B24" s="27" t="s">
        <v>91</v>
      </c>
      <c r="C24" s="31">
        <v>0.1</v>
      </c>
      <c r="D24" s="7"/>
    </row>
    <row r="26" spans="2:6" ht="22.2" customHeight="1">
      <c r="B26" s="25" t="s">
        <v>92</v>
      </c>
      <c r="C26" s="25"/>
      <c r="D26" s="25"/>
      <c r="E26" s="25"/>
      <c r="F26" s="25"/>
    </row>
    <row r="28" spans="2:6" ht="21" customHeight="1">
      <c r="B28" s="8" t="s">
        <v>93</v>
      </c>
      <c r="C28" s="8"/>
      <c r="D28" s="8"/>
      <c r="E28" s="8"/>
      <c r="F28" s="8"/>
    </row>
    <row r="29" spans="2:6" ht="5" customHeight="1"/>
    <row r="30" spans="2:6">
      <c r="B30" s="33" t="s">
        <v>94</v>
      </c>
      <c r="C30" s="33"/>
      <c r="D30" s="33"/>
    </row>
    <row r="31" spans="2:6" ht="14" customHeight="1">
      <c r="B31" s="34"/>
      <c r="C31" s="34" t="str">
        <f>Currency&amp;"/h"</f>
        <v>USD/h</v>
      </c>
      <c r="D31" s="34"/>
    </row>
    <row r="32" spans="2:6" ht="20" customHeight="1">
      <c r="B32" s="35" t="s">
        <v>63</v>
      </c>
      <c r="C32" s="35" t="s">
        <v>64</v>
      </c>
      <c r="D32" s="35" t="s">
        <v>65</v>
      </c>
    </row>
    <row r="33" spans="2:4">
      <c r="B33" s="28" t="s">
        <v>95</v>
      </c>
      <c r="C33" s="32">
        <v>62</v>
      </c>
      <c r="D33" s="28" t="s">
        <v>96</v>
      </c>
    </row>
    <row r="34" spans="2:4">
      <c r="B34" s="28" t="s">
        <v>97</v>
      </c>
      <c r="C34" s="32">
        <v>88</v>
      </c>
      <c r="D34" s="28" t="s">
        <v>96</v>
      </c>
    </row>
    <row r="35" spans="2:4">
      <c r="B35" s="28" t="s">
        <v>98</v>
      </c>
      <c r="C35" s="32">
        <v>82</v>
      </c>
      <c r="D35" s="28" t="s">
        <v>99</v>
      </c>
    </row>
    <row r="36" spans="2:4">
      <c r="B36" s="28" t="s">
        <v>100</v>
      </c>
      <c r="C36" s="32">
        <v>92</v>
      </c>
      <c r="D36" s="28" t="s">
        <v>101</v>
      </c>
    </row>
    <row r="37" spans="2:4">
      <c r="B37" s="28" t="s">
        <v>102</v>
      </c>
      <c r="C37" s="32">
        <v>38</v>
      </c>
      <c r="D37" s="28" t="s">
        <v>103</v>
      </c>
    </row>
  </sheetData>
  <mergeCells count="17">
    <mergeCell ref="A1:F1"/>
    <mergeCell ref="B2:E2"/>
    <mergeCell ref="B4:F4"/>
    <mergeCell ref="C6:D6"/>
    <mergeCell ref="C7:D7"/>
    <mergeCell ref="C8:D8"/>
    <mergeCell ref="C9:D9"/>
    <mergeCell ref="C10:D10"/>
    <mergeCell ref="B12:F12"/>
    <mergeCell ref="C14:D14"/>
    <mergeCell ref="C16:D16"/>
    <mergeCell ref="C17:D17"/>
    <mergeCell ref="C18:D18"/>
    <mergeCell ref="B20:F20"/>
    <mergeCell ref="B26:F26"/>
    <mergeCell ref="B28:F28"/>
    <mergeCell ref="B30:D30"/>
  </mergeCells>
  <dataValidations count="16">
    <dataValidation type="textLength" allowBlank="1" showInputMessage="1" showErrorMessage="1" errorTitle="Check this entry" error="Text up to 80 characters." promptTitle="Company name" prompt="Text up to 80 characters." sqref="C6">
      <formula1>0</formula1>
      <formula2>80</formula2>
    </dataValidation>
    <dataValidation type="textLength" allowBlank="1" showInputMessage="1" showErrorMessage="1" errorTitle="Check this entry" error="Text up to 80 characters." promptTitle="Address line 1" prompt="Text up to 80 characters." sqref="C7">
      <formula1>0</formula1>
      <formula2>80</formula2>
    </dataValidation>
    <dataValidation type="textLength" allowBlank="1" showInputMessage="1" showErrorMessage="1" errorTitle="Check this entry" error="Text up to 80 characters." promptTitle="Address line 2" prompt="Text up to 80 characters." sqref="C8">
      <formula1>0</formula1>
      <formula2>80</formula2>
    </dataValidation>
    <dataValidation type="textLength" allowBlank="1" showInputMessage="1" showErrorMessage="1" errorTitle="Check this entry" error="Text up to 40 characters." promptTitle="Phone" prompt="Text up to 40 characters." sqref="C9">
      <formula1>0</formula1>
      <formula2>40</formula2>
    </dataValidation>
    <dataValidation type="textLength" allowBlank="1" showInputMessage="1" showErrorMessage="1" errorTitle="Check this entry" error="Text up to 80 characters." promptTitle="Email" prompt="Text up to 80 characters." sqref="C10">
      <formula1>0</formula1>
      <formula2>80</formula2>
    </dataValidation>
    <dataValidation type="textLength" allowBlank="1" showInputMessage="1" showErrorMessage="1" errorTitle="Check this entry" error="Text up to 12 characters." promptTitle="Currency label" prompt="Text shown with every price, e.g. USD, INR, GBP, EUR, MXN. No exchange rate is applied. Text up to 12 characters." sqref="C14">
      <formula1>0</formula1>
      <formula2>12</formula2>
    </dataValidation>
    <dataValidation type="whole" allowBlank="1" showInputMessage="1" showErrorMessage="1" errorTitle="Check this entry" error="Enter a whole number from 1 to 365." promptTitle="Quote valid for" prompt="Enter a whole number from 1 to 365." sqref="C15">
      <formula1>1</formula1>
      <formula2>365</formula2>
    </dataValidation>
    <dataValidation type="textLength" allowBlank="1" showInputMessage="1" showErrorMessage="1" errorTitle="Check this entry" error="Text up to 120 characters." promptTitle="Payment terms" prompt="Text up to 120 characters." sqref="C16">
      <formula1>0</formula1>
      <formula2>120</formula2>
    </dataValidation>
    <dataValidation type="textLength" allowBlank="1" showInputMessage="1" showErrorMessage="1" errorTitle="Check this entry" error="Text up to 120 characters." promptTitle="Delivery terms" prompt="Text up to 120 characters." sqref="C17">
      <formula1>0</formula1>
      <formula2>120</formula2>
    </dataValidation>
    <dataValidation type="textLength" allowBlank="1" showInputMessage="1" showErrorMessage="1" errorTitle="Check this entry" error="Text up to 255 characters." promptTitle="Standard terms (printed on th..." prompt="Text up to 255 characters." sqref="C18">
      <formula1>0</formula1>
      <formula2>255</formula2>
    </dataValidation>
    <dataValidation type="decimal" allowBlank="1" showInputMessage="1" showErrorMessage="1" errorTitle="Check this entry" error="Enter a percentage from 0% to 95% (type 85% or 0.85)." promptTitle="Target margin on price" prompt="Margin on selling price: price = cost / (1 - margin). 25% margin is a 33% markup on cost. Enter a percentage from 0% to 95% (type 85% or 0.85)." sqref="C22">
      <formula1>0</formula1>
      <formula2>0.95</formula2>
    </dataValidation>
    <dataValidation type="decimal" allowBlank="1" showInputMessage="1" showErrorMessage="1" errorTitle="Check this entry" error="Enter a number from 0.0001 to 1,000." promptTitle="Round unit prices up to the n..." prompt="E.g. 0.01, or 0.05 for parts priced in tenths. Enter a number from 0.0001 to 1,000." sqref="C23">
      <formula1>0.0001</formula1>
      <formula2>1000</formula2>
    </dataValidation>
    <dataValidation type="decimal" allowBlank="1" showInputMessage="1" showErrorMessage="1" errorTitle="Check this entry" error="Enter a percentage from 1% to 99% (type 85% or 0.85)." promptTitle="Setup share target for the ec..." prompt="The largest share of unit cost you want setup to take. Each line shows the smallest lot that meets it. Enter a percentage from 1% to 99% (type 85% or 0.85)." sqref="C24">
      <formula1>0.01</formula1>
      <formula2>0.99</formula2>
    </dataValidation>
    <dataValidation type="textLength" allowBlank="1" showInputMessage="1" showErrorMessage="1" errorTitle="Check this entry" error="Text up to 40 characters." promptTitle="Process" prompt="Text up to 40 characters." sqref="B33:B137">
      <formula1>0</formula1>
      <formula2>40</formula2>
    </dataValidation>
    <dataValidation type="decimal" allowBlank="1" showInputMessage="1" showErrorMessage="1" errorTitle="Check this entry" error="Enter a number from 0 to 100,000." promptTitle="Rate per hour" prompt="Your costed rate for this process per hour: machine and labour, with overhead if your rates are fully burdened. Enter a number from 0 to 100,000." sqref="C33:C137">
      <formula1>0</formula1>
      <formula2>100000</formula2>
    </dataValidation>
    <dataValidation type="textLength" allowBlank="1" showInputMessage="1" showErrorMessage="1" errorTitle="Check this entry" error="Text up to 120 characters." promptTitle="Notes" prompt="Text up to 120 characters." sqref="D33:D137">
      <formula1>0</formula1>
      <formula2>120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Price Quote with Quantity Breaks&amp;R&amp;8&amp;A</oddHeader>
    <oddFooter>&amp;L&amp;8mfgcalcs.com - free manufacturing templates&amp;R&amp;8Page &amp;P of &amp;N</oddFooter>
  </headerFooter>
  <tableParts count="1">
    <tablePart r:id="rId2"/>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W60"/>
  <sheetViews>
    <sheetView showGridLines="0" workbookViewId="0"/>
  </sheetViews>
  <sheetFormatPr defaultRowHeight="15"/>
  <cols>
    <col min="1" max="1" width="2.7109375" customWidth="1"/>
    <col min="2" max="2" width="14.7109375" customWidth="1"/>
    <col min="3" max="3" width="28.7109375" customWidth="1"/>
    <col min="4" max="4" width="20.7109375" customWidth="1"/>
    <col min="5" max="22" width="10.7109375" customWidth="1"/>
    <col min="23" max="23" width="24.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22</v>
      </c>
      <c r="C2" s="2"/>
      <c r="D2" s="2"/>
      <c r="E2" s="2"/>
      <c r="F2" s="2"/>
      <c r="G2" s="2"/>
      <c r="H2" s="2"/>
      <c r="I2" s="2"/>
      <c r="J2" s="2"/>
      <c r="K2" s="2"/>
      <c r="L2" s="2"/>
      <c r="M2" s="2"/>
      <c r="N2" s="2"/>
      <c r="O2" s="2"/>
      <c r="P2" s="2"/>
      <c r="Q2" s="2"/>
      <c r="R2" s="2"/>
      <c r="S2" s="2"/>
      <c r="T2" s="2"/>
      <c r="U2" s="2"/>
      <c r="V2" s="2"/>
      <c r="W2" s="3" t="s">
        <v>2</v>
      </c>
    </row>
    <row r="3" spans="1:23" ht="6" customHeight="1"/>
    <row r="4" spans="1:23" ht="21" customHeight="1">
      <c r="B4" s="36" t="s">
        <v>127</v>
      </c>
      <c r="C4" s="36"/>
      <c r="D4" s="36"/>
      <c r="E4" s="36"/>
      <c r="F4" s="36"/>
      <c r="G4" s="36"/>
      <c r="H4" s="36"/>
      <c r="I4" s="36"/>
      <c r="J4" s="36"/>
      <c r="K4" s="36"/>
      <c r="L4" s="36"/>
      <c r="M4" s="36"/>
    </row>
    <row r="6" spans="1:23" ht="21" customHeight="1">
      <c r="B6" s="8" t="s">
        <v>128</v>
      </c>
      <c r="C6" s="8"/>
      <c r="D6" s="8"/>
      <c r="E6" s="8"/>
      <c r="F6" s="8"/>
      <c r="G6" s="8"/>
      <c r="H6" s="8"/>
      <c r="I6" s="8"/>
      <c r="J6" s="8"/>
      <c r="K6" s="8"/>
      <c r="L6" s="8"/>
      <c r="M6" s="8"/>
    </row>
    <row r="7" spans="1:23" ht="5" customHeight="1"/>
    <row r="8" spans="1:23">
      <c r="B8" s="27" t="s">
        <v>129</v>
      </c>
      <c r="C8" s="27"/>
      <c r="D8" s="30" t="s">
        <v>130</v>
      </c>
      <c r="E8" s="30"/>
      <c r="F8" s="30"/>
      <c r="G8" s="30"/>
      <c r="H8" s="30"/>
      <c r="I8" s="30"/>
    </row>
    <row r="9" spans="1:23">
      <c r="B9" s="27" t="s">
        <v>131</v>
      </c>
      <c r="C9" s="27"/>
      <c r="D9" s="37">
        <v>46308</v>
      </c>
      <c r="E9" s="37"/>
      <c r="F9" s="37"/>
      <c r="G9" s="37"/>
      <c r="H9" s="37"/>
      <c r="I9" s="37"/>
    </row>
    <row r="10" spans="1:23">
      <c r="B10" s="27" t="s">
        <v>132</v>
      </c>
      <c r="C10" s="27"/>
      <c r="D10" s="30" t="s">
        <v>133</v>
      </c>
      <c r="E10" s="30"/>
      <c r="F10" s="30"/>
      <c r="G10" s="30"/>
      <c r="H10" s="30"/>
      <c r="I10" s="30"/>
    </row>
    <row r="11" spans="1:23">
      <c r="B11" s="27" t="s">
        <v>134</v>
      </c>
      <c r="C11" s="27"/>
      <c r="D11" s="30" t="s">
        <v>135</v>
      </c>
      <c r="E11" s="30"/>
      <c r="F11" s="30"/>
      <c r="G11" s="30"/>
      <c r="H11" s="30"/>
      <c r="I11" s="30"/>
    </row>
    <row r="12" spans="1:23">
      <c r="B12" s="27" t="s">
        <v>136</v>
      </c>
      <c r="C12" s="27"/>
      <c r="D12" s="30" t="s">
        <v>137</v>
      </c>
      <c r="E12" s="30"/>
      <c r="F12" s="30"/>
      <c r="G12" s="30"/>
      <c r="H12" s="30"/>
      <c r="I12" s="30"/>
    </row>
    <row r="13" spans="1:23">
      <c r="B13" s="27" t="s">
        <v>138</v>
      </c>
      <c r="C13" s="27"/>
      <c r="D13" s="30" t="s">
        <v>139</v>
      </c>
      <c r="E13" s="30"/>
      <c r="F13" s="30"/>
      <c r="G13" s="30"/>
      <c r="H13" s="30"/>
      <c r="I13" s="30"/>
    </row>
    <row r="14" spans="1:23">
      <c r="B14" s="27" t="s">
        <v>140</v>
      </c>
      <c r="C14" s="27"/>
      <c r="D14" s="30" t="s">
        <v>141</v>
      </c>
      <c r="E14" s="30"/>
      <c r="F14" s="30"/>
      <c r="G14" s="30"/>
      <c r="H14" s="30"/>
      <c r="I14" s="30"/>
    </row>
    <row r="16" spans="1:23" ht="21" customHeight="1">
      <c r="B16" s="8" t="s">
        <v>142</v>
      </c>
      <c r="C16" s="8"/>
      <c r="D16" s="8"/>
      <c r="E16" s="8"/>
      <c r="F16" s="8"/>
      <c r="G16" s="8"/>
      <c r="H16" s="8"/>
      <c r="I16" s="8"/>
      <c r="J16" s="8"/>
      <c r="K16" s="8"/>
      <c r="L16" s="8"/>
      <c r="M16" s="8"/>
    </row>
    <row r="17" spans="2:23" ht="5" customHeight="1"/>
    <row r="18" spans="2:23" ht="26.76" customHeight="1">
      <c r="B18" s="21" t="s">
        <v>143</v>
      </c>
      <c r="C18" s="21"/>
      <c r="D18" s="21"/>
      <c r="E18" s="21"/>
      <c r="F18" s="21"/>
      <c r="G18" s="21"/>
      <c r="H18" s="21"/>
      <c r="I18" s="21"/>
      <c r="J18" s="21"/>
      <c r="K18" s="21"/>
      <c r="L18" s="21"/>
      <c r="M18" s="21"/>
    </row>
    <row r="19" spans="2:23" ht="14" customHeight="1">
      <c r="B19" s="34"/>
      <c r="C19" s="34"/>
      <c r="D19" s="34"/>
      <c r="E19" s="34" t="str">
        <f>Currency&amp;"/part"</f>
        <v>USD/part</v>
      </c>
      <c r="F19" s="34"/>
      <c r="G19" s="34"/>
      <c r="H19" s="34"/>
      <c r="I19" s="34" t="s">
        <v>144</v>
      </c>
      <c r="J19" s="34" t="s">
        <v>144</v>
      </c>
      <c r="K19" s="34" t="s">
        <v>144</v>
      </c>
      <c r="L19" s="34" t="s">
        <v>144</v>
      </c>
      <c r="M19" s="34" t="s">
        <v>144</v>
      </c>
      <c r="N19" s="34" t="str">
        <f>Currency&amp;"/h"</f>
        <v>USD/h</v>
      </c>
      <c r="O19" s="34" t="str">
        <f>Currency&amp;"/part"</f>
        <v>USD/part</v>
      </c>
      <c r="P19" s="34" t="str">
        <f>Currency&amp;"/lot"</f>
        <v>USD/lot</v>
      </c>
      <c r="Q19" s="34" t="s">
        <v>144</v>
      </c>
      <c r="R19" s="34" t="str">
        <f>Currency&amp;"/part"</f>
        <v>USD/part</v>
      </c>
      <c r="S19" s="34" t="str">
        <f>Currency&amp;"/part"</f>
        <v>USD/part</v>
      </c>
      <c r="T19" s="34" t="str">
        <f>Currency&amp;"/part"</f>
        <v>USD/part</v>
      </c>
      <c r="U19" s="34" t="str">
        <f>Currency&amp;"/part"</f>
        <v>USD/part</v>
      </c>
      <c r="V19" s="34" t="str">
        <f>Currency&amp;"/part"</f>
        <v>USD/part</v>
      </c>
      <c r="W19" s="34"/>
    </row>
    <row r="20" spans="2:23" ht="45.5" customHeight="1">
      <c r="B20" s="35" t="s">
        <v>104</v>
      </c>
      <c r="C20" s="35" t="s">
        <v>105</v>
      </c>
      <c r="D20" s="35" t="s">
        <v>63</v>
      </c>
      <c r="E20" s="35" t="s">
        <v>106</v>
      </c>
      <c r="F20" s="35" t="s">
        <v>107</v>
      </c>
      <c r="G20" s="35" t="s">
        <v>108</v>
      </c>
      <c r="H20" s="35" t="s">
        <v>109</v>
      </c>
      <c r="I20" s="35" t="s">
        <v>110</v>
      </c>
      <c r="J20" s="35" t="s">
        <v>111</v>
      </c>
      <c r="K20" s="35" t="s">
        <v>112</v>
      </c>
      <c r="L20" s="35" t="s">
        <v>113</v>
      </c>
      <c r="M20" s="35" t="s">
        <v>114</v>
      </c>
      <c r="N20" s="35" t="s">
        <v>115</v>
      </c>
      <c r="O20" s="35" t="s">
        <v>116</v>
      </c>
      <c r="P20" s="35" t="s">
        <v>117</v>
      </c>
      <c r="Q20" s="35" t="s">
        <v>118</v>
      </c>
      <c r="R20" s="35" t="s">
        <v>119</v>
      </c>
      <c r="S20" s="35" t="s">
        <v>120</v>
      </c>
      <c r="T20" s="35" t="s">
        <v>121</v>
      </c>
      <c r="U20" s="35" t="s">
        <v>122</v>
      </c>
      <c r="V20" s="35" t="s">
        <v>123</v>
      </c>
      <c r="W20" s="35" t="s">
        <v>124</v>
      </c>
    </row>
    <row r="21" spans="2:23">
      <c r="B21" s="28" t="s">
        <v>145</v>
      </c>
      <c r="C21" s="28" t="s">
        <v>146</v>
      </c>
      <c r="D21" s="28" t="s">
        <v>97</v>
      </c>
      <c r="E21" s="38">
        <v>1.86</v>
      </c>
      <c r="F21" s="39">
        <v>0.35</v>
      </c>
      <c r="G21" s="32">
        <v>3</v>
      </c>
      <c r="H21" s="29">
        <v>25</v>
      </c>
      <c r="I21" s="29">
        <v>1000</v>
      </c>
      <c r="J21" s="29">
        <v>2500</v>
      </c>
      <c r="K21" s="29">
        <v>5000</v>
      </c>
      <c r="L21" s="29">
        <v>10000</v>
      </c>
      <c r="M21" s="29">
        <v>25000</v>
      </c>
      <c r="N21" s="40">
        <f>IF(tblLines[[#This Row],[Part number]]="","",IFERROR(INDEX(tblProcesses[Rate per hour],MATCH(tblLines[[#This Row],[Process]],tblProcesses[Process],0)),""))</f>
        <v>88</v>
      </c>
      <c r="O21" s="41">
        <f>IF(tblLines[[#This Row],[Part number]]="","",IF(tblLines[[#This Row],[Rate]]="","",tblLines[[#This Row],[Material]]+tblLines[[#This Row],[Run (min/part)]]/60*tblLines[[#This Row],[Rate]]))</f>
        <v>2.37333333333333</v>
      </c>
      <c r="P21" s="40">
        <f>IF(tblLines[[#This Row],[Part number]]="","",IF(tblLines[[#This Row],[Rate]]="","",tblLines[[#This Row],[Setup (h/lot)]]*tblLines[[#This Row],[Rate]]+tblLines[[#This Row],[Setup scrap (parts/lot)]]*tblLines[[#This Row],[Variable cost]]))</f>
        <v>323.333333333333</v>
      </c>
      <c r="Q21" s="42">
        <f>IF(tblLines[[#This Row],[Part number]]="","",IF(OR(tblLines[[#This Row],[Variable cost]]="",N(tblLines[[#This Row],[Variable cost]])=0),"",CEILING(tblLines[[#This Row],[Setup cost]]*(1-SetupShare)/(SetupShare*tblLines[[#This Row],[Variable cost]]),1)))</f>
        <v>1227</v>
      </c>
      <c r="R21" s="40">
        <f>IF(tblLines[[#This Row],[Part number]]="","",IF(OR(tblLines[[#This Row],[Qty 1]]="",tblLines[[#This Row],[Variable cost]]=""),"",CEILING((tblLines[[#This Row],[Variable cost]]+tblLines[[#This Row],[Setup cost]]/tblLines[[#This Row],[Qty 1]])/(1-Margin),RoundStep)))</f>
        <v>3.6</v>
      </c>
      <c r="S21" s="40">
        <f>IF(tblLines[[#This Row],[Part number]]="","",IF(OR(tblLines[[#This Row],[Qty 2]]="",tblLines[[#This Row],[Variable cost]]=""),"",CEILING((tblLines[[#This Row],[Variable cost]]+tblLines[[#This Row],[Setup cost]]/tblLines[[#This Row],[Qty 2]])/(1-Margin),RoundStep)))</f>
        <v>3.34</v>
      </c>
      <c r="T21" s="40">
        <f>IF(tblLines[[#This Row],[Part number]]="","",IF(OR(tblLines[[#This Row],[Qty 3]]="",tblLines[[#This Row],[Variable cost]]=""),"",CEILING((tblLines[[#This Row],[Variable cost]]+tblLines[[#This Row],[Setup cost]]/tblLines[[#This Row],[Qty 3]])/(1-Margin),RoundStep)))</f>
        <v>3.26</v>
      </c>
      <c r="U21" s="40">
        <f>IF(tblLines[[#This Row],[Part number]]="","",IF(OR(tblLines[[#This Row],[Qty 4]]="",tblLines[[#This Row],[Variable cost]]=""),"",CEILING((tblLines[[#This Row],[Variable cost]]+tblLines[[#This Row],[Setup cost]]/tblLines[[#This Row],[Qty 4]])/(1-Margin),RoundStep)))</f>
        <v>3.21</v>
      </c>
      <c r="V21" s="40">
        <f>IF(tblLines[[#This Row],[Part number]]="","",IF(OR(tblLines[[#This Row],[Qty 5]]="",tblLines[[#This Row],[Variable cost]]=""),"",CEILING((tblLines[[#This Row],[Variable cost]]+tblLines[[#This Row],[Setup cost]]/tblLines[[#This Row],[Qty 5]])/(1-Margin),RoundStep)))</f>
        <v>3.19</v>
      </c>
      <c r="W21" s="43" t="str">
        <f>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f>
        <v>OK</v>
      </c>
    </row>
    <row r="22" spans="2:23">
      <c r="B22" s="28" t="s">
        <v>147</v>
      </c>
      <c r="C22" s="28" t="s">
        <v>148</v>
      </c>
      <c r="D22" s="28" t="s">
        <v>97</v>
      </c>
      <c r="E22" s="38">
        <v>0.9399999999999999</v>
      </c>
      <c r="F22" s="39">
        <v>0.3</v>
      </c>
      <c r="G22" s="32">
        <v>3</v>
      </c>
      <c r="H22" s="29">
        <v>25</v>
      </c>
      <c r="I22" s="29">
        <v>1000</v>
      </c>
      <c r="J22" s="29">
        <v>2500</v>
      </c>
      <c r="K22" s="29">
        <v>5000</v>
      </c>
      <c r="L22" s="29">
        <v>10000</v>
      </c>
      <c r="M22" s="29">
        <v>25000</v>
      </c>
      <c r="N22" s="40">
        <f>IF(tblLines[[#This Row],[Part number]]="","",IFERROR(INDEX(tblProcesses[Rate per hour],MATCH(tblLines[[#This Row],[Process]],tblProcesses[Process],0)),""))</f>
        <v>88</v>
      </c>
      <c r="O22" s="41">
        <f>IF(tblLines[[#This Row],[Part number]]="","",IF(tblLines[[#This Row],[Rate]]="","",tblLines[[#This Row],[Material]]+tblLines[[#This Row],[Run (min/part)]]/60*tblLines[[#This Row],[Rate]]))</f>
        <v>1.38</v>
      </c>
      <c r="P22" s="40">
        <f>IF(tblLines[[#This Row],[Part number]]="","",IF(tblLines[[#This Row],[Rate]]="","",tblLines[[#This Row],[Setup (h/lot)]]*tblLines[[#This Row],[Rate]]+tblLines[[#This Row],[Setup scrap (parts/lot)]]*tblLines[[#This Row],[Variable cost]]))</f>
        <v>298.5</v>
      </c>
      <c r="Q22" s="42">
        <f>IF(tblLines[[#This Row],[Part number]]="","",IF(OR(tblLines[[#This Row],[Variable cost]]="",N(tblLines[[#This Row],[Variable cost]])=0),"",CEILING(tblLines[[#This Row],[Setup cost]]*(1-SetupShare)/(SetupShare*tblLines[[#This Row],[Variable cost]]),1)))</f>
        <v>1947</v>
      </c>
      <c r="R22" s="40">
        <f>IF(tblLines[[#This Row],[Part number]]="","",IF(OR(tblLines[[#This Row],[Qty 1]]="",tblLines[[#This Row],[Variable cost]]=""),"",CEILING((tblLines[[#This Row],[Variable cost]]+tblLines[[#This Row],[Setup cost]]/tblLines[[#This Row],[Qty 1]])/(1-Margin),RoundStep)))</f>
        <v>2.24</v>
      </c>
      <c r="S22" s="40">
        <f>IF(tblLines[[#This Row],[Part number]]="","",IF(OR(tblLines[[#This Row],[Qty 2]]="",tblLines[[#This Row],[Variable cost]]=""),"",CEILING((tblLines[[#This Row],[Variable cost]]+tblLines[[#This Row],[Setup cost]]/tblLines[[#This Row],[Qty 2]])/(1-Margin),RoundStep)))</f>
        <v>2</v>
      </c>
      <c r="T22" s="40">
        <f>IF(tblLines[[#This Row],[Part number]]="","",IF(OR(tblLines[[#This Row],[Qty 3]]="",tblLines[[#This Row],[Variable cost]]=""),"",CEILING((tblLines[[#This Row],[Variable cost]]+tblLines[[#This Row],[Setup cost]]/tblLines[[#This Row],[Qty 3]])/(1-Margin),RoundStep)))</f>
        <v>1.92</v>
      </c>
      <c r="U22" s="40">
        <f>IF(tblLines[[#This Row],[Part number]]="","",IF(OR(tblLines[[#This Row],[Qty 4]]="",tblLines[[#This Row],[Variable cost]]=""),"",CEILING((tblLines[[#This Row],[Variable cost]]+tblLines[[#This Row],[Setup cost]]/tblLines[[#This Row],[Qty 4]])/(1-Margin),RoundStep)))</f>
        <v>1.88</v>
      </c>
      <c r="V22" s="40">
        <f>IF(tblLines[[#This Row],[Part number]]="","",IF(OR(tblLines[[#This Row],[Qty 5]]="",tblLines[[#This Row],[Variable cost]]=""),"",CEILING((tblLines[[#This Row],[Variable cost]]+tblLines[[#This Row],[Setup cost]]/tblLines[[#This Row],[Qty 5]])/(1-Margin),RoundStep)))</f>
        <v>1.86</v>
      </c>
      <c r="W22" s="43" t="str">
        <f>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f>
        <v>OK</v>
      </c>
    </row>
    <row r="23" spans="2:23">
      <c r="B23" s="28" t="s">
        <v>149</v>
      </c>
      <c r="C23" s="28" t="s">
        <v>150</v>
      </c>
      <c r="D23" s="28" t="s">
        <v>95</v>
      </c>
      <c r="E23" s="38">
        <v>0.21</v>
      </c>
      <c r="F23" s="39">
        <v>0.092</v>
      </c>
      <c r="G23" s="32">
        <v>2</v>
      </c>
      <c r="H23" s="29">
        <v>40</v>
      </c>
      <c r="I23" s="29">
        <v>1000</v>
      </c>
      <c r="J23" s="29">
        <v>2500</v>
      </c>
      <c r="K23" s="29">
        <v>5000</v>
      </c>
      <c r="L23" s="29">
        <v>10000</v>
      </c>
      <c r="M23" s="29">
        <v>25000</v>
      </c>
      <c r="N23" s="40">
        <f>IF(tblLines[[#This Row],[Part number]]="","",IFERROR(INDEX(tblProcesses[Rate per hour],MATCH(tblLines[[#This Row],[Process]],tblProcesses[Process],0)),""))</f>
        <v>62</v>
      </c>
      <c r="O23" s="41">
        <f>IF(tblLines[[#This Row],[Part number]]="","",IF(tblLines[[#This Row],[Rate]]="","",tblLines[[#This Row],[Material]]+tblLines[[#This Row],[Run (min/part)]]/60*tblLines[[#This Row],[Rate]]))</f>
        <v>0.305066666666667</v>
      </c>
      <c r="P23" s="40">
        <f>IF(tblLines[[#This Row],[Part number]]="","",IF(tblLines[[#This Row],[Rate]]="","",tblLines[[#This Row],[Setup (h/lot)]]*tblLines[[#This Row],[Rate]]+tblLines[[#This Row],[Setup scrap (parts/lot)]]*tblLines[[#This Row],[Variable cost]]))</f>
        <v>136.202666666667</v>
      </c>
      <c r="Q23" s="42">
        <f>IF(tblLines[[#This Row],[Part number]]="","",IF(OR(tblLines[[#This Row],[Variable cost]]="",N(tblLines[[#This Row],[Variable cost]])=0),"",CEILING(tblLines[[#This Row],[Setup cost]]*(1-SetupShare)/(SetupShare*tblLines[[#This Row],[Variable cost]]),1)))</f>
        <v>4019</v>
      </c>
      <c r="R23" s="40">
        <f>IF(tblLines[[#This Row],[Part number]]="","",IF(OR(tblLines[[#This Row],[Qty 1]]="",tblLines[[#This Row],[Variable cost]]=""),"",CEILING((tblLines[[#This Row],[Variable cost]]+tblLines[[#This Row],[Setup cost]]/tblLines[[#This Row],[Qty 1]])/(1-Margin),RoundStep)))</f>
        <v>0.59</v>
      </c>
      <c r="S23" s="40">
        <f>IF(tblLines[[#This Row],[Part number]]="","",IF(OR(tblLines[[#This Row],[Qty 2]]="",tblLines[[#This Row],[Variable cost]]=""),"",CEILING((tblLines[[#This Row],[Variable cost]]+tblLines[[#This Row],[Setup cost]]/tblLines[[#This Row],[Qty 2]])/(1-Margin),RoundStep)))</f>
        <v>0.48</v>
      </c>
      <c r="T23" s="40">
        <f>IF(tblLines[[#This Row],[Part number]]="","",IF(OR(tblLines[[#This Row],[Qty 3]]="",tblLines[[#This Row],[Variable cost]]=""),"",CEILING((tblLines[[#This Row],[Variable cost]]+tblLines[[#This Row],[Setup cost]]/tblLines[[#This Row],[Qty 3]])/(1-Margin),RoundStep)))</f>
        <v>0.45</v>
      </c>
      <c r="U23" s="40">
        <f>IF(tblLines[[#This Row],[Part number]]="","",IF(OR(tblLines[[#This Row],[Qty 4]]="",tblLines[[#This Row],[Variable cost]]=""),"",CEILING((tblLines[[#This Row],[Variable cost]]+tblLines[[#This Row],[Setup cost]]/tblLines[[#This Row],[Qty 4]])/(1-Margin),RoundStep)))</f>
        <v>0.43</v>
      </c>
      <c r="V23" s="40">
        <f>IF(tblLines[[#This Row],[Part number]]="","",IF(OR(tblLines[[#This Row],[Qty 5]]="",tblLines[[#This Row],[Variable cost]]=""),"",CEILING((tblLines[[#This Row],[Variable cost]]+tblLines[[#This Row],[Setup cost]]/tblLines[[#This Row],[Qty 5]])/(1-Margin),RoundStep)))</f>
        <v>0.42</v>
      </c>
      <c r="W23" s="43" t="str">
        <f>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f>
        <v>OK</v>
      </c>
    </row>
    <row r="24" spans="2:23">
      <c r="B24" s="28" t="s">
        <v>151</v>
      </c>
      <c r="C24" s="28" t="s">
        <v>152</v>
      </c>
      <c r="D24" s="28" t="s">
        <v>95</v>
      </c>
      <c r="E24" s="38">
        <v>0.05</v>
      </c>
      <c r="F24" s="39">
        <v>0.038</v>
      </c>
      <c r="G24" s="32">
        <v>2.5</v>
      </c>
      <c r="H24" s="29">
        <v>60</v>
      </c>
      <c r="I24" s="29">
        <v>2500</v>
      </c>
      <c r="J24" s="29">
        <v>5000</v>
      </c>
      <c r="K24" s="29">
        <v>10000</v>
      </c>
      <c r="L24" s="29">
        <v>25000</v>
      </c>
      <c r="M24" s="29">
        <v>50000</v>
      </c>
      <c r="N24" s="40">
        <f>IF(tblLines[[#This Row],[Part number]]="","",IFERROR(INDEX(tblProcesses[Rate per hour],MATCH(tblLines[[#This Row],[Process]],tblProcesses[Process],0)),""))</f>
        <v>62</v>
      </c>
      <c r="O24" s="41">
        <f>IF(tblLines[[#This Row],[Part number]]="","",IF(tblLines[[#This Row],[Rate]]="","",tblLines[[#This Row],[Material]]+tblLines[[#This Row],[Run (min/part)]]/60*tblLines[[#This Row],[Rate]]))</f>
        <v>0.0892666666666667</v>
      </c>
      <c r="P24" s="40">
        <f>IF(tblLines[[#This Row],[Part number]]="","",IF(tblLines[[#This Row],[Rate]]="","",tblLines[[#This Row],[Setup (h/lot)]]*tblLines[[#This Row],[Rate]]+tblLines[[#This Row],[Setup scrap (parts/lot)]]*tblLines[[#This Row],[Variable cost]]))</f>
        <v>160.356</v>
      </c>
      <c r="Q24" s="42">
        <f>IF(tblLines[[#This Row],[Part number]]="","",IF(OR(tblLines[[#This Row],[Variable cost]]="",N(tblLines[[#This Row],[Variable cost]])=0),"",CEILING(tblLines[[#This Row],[Setup cost]]*(1-SetupShare)/(SetupShare*tblLines[[#This Row],[Variable cost]]),1)))</f>
        <v>16168</v>
      </c>
      <c r="R24" s="40">
        <f>IF(tblLines[[#This Row],[Part number]]="","",IF(OR(tblLines[[#This Row],[Qty 1]]="",tblLines[[#This Row],[Variable cost]]=""),"",CEILING((tblLines[[#This Row],[Variable cost]]+tblLines[[#This Row],[Setup cost]]/tblLines[[#This Row],[Qty 1]])/(1-Margin),RoundStep)))</f>
        <v>0.21</v>
      </c>
      <c r="S24" s="40">
        <f>IF(tblLines[[#This Row],[Part number]]="","",IF(OR(tblLines[[#This Row],[Qty 2]]="",tblLines[[#This Row],[Variable cost]]=""),"",CEILING((tblLines[[#This Row],[Variable cost]]+tblLines[[#This Row],[Setup cost]]/tblLines[[#This Row],[Qty 2]])/(1-Margin),RoundStep)))</f>
        <v>0.17</v>
      </c>
      <c r="T24" s="40">
        <f>IF(tblLines[[#This Row],[Part number]]="","",IF(OR(tblLines[[#This Row],[Qty 3]]="",tblLines[[#This Row],[Variable cost]]=""),"",CEILING((tblLines[[#This Row],[Variable cost]]+tblLines[[#This Row],[Setup cost]]/tblLines[[#This Row],[Qty 3]])/(1-Margin),RoundStep)))</f>
        <v>0.15</v>
      </c>
      <c r="U24" s="40">
        <f>IF(tblLines[[#This Row],[Part number]]="","",IF(OR(tblLines[[#This Row],[Qty 4]]="",tblLines[[#This Row],[Variable cost]]=""),"",CEILING((tblLines[[#This Row],[Variable cost]]+tblLines[[#This Row],[Setup cost]]/tblLines[[#This Row],[Qty 4]])/(1-Margin),RoundStep)))</f>
        <v>0.13</v>
      </c>
      <c r="V24" s="40">
        <f>IF(tblLines[[#This Row],[Part number]]="","",IF(OR(tblLines[[#This Row],[Qty 5]]="",tblLines[[#This Row],[Variable cost]]=""),"",CEILING((tblLines[[#This Row],[Variable cost]]+tblLines[[#This Row],[Setup cost]]/tblLines[[#This Row],[Qty 5]])/(1-Margin),RoundStep)))</f>
        <v>0.13</v>
      </c>
      <c r="W24" s="43" t="str">
        <f>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f>
        <v>OK</v>
      </c>
    </row>
    <row r="25" spans="2:23">
      <c r="B25" s="28" t="s">
        <v>153</v>
      </c>
      <c r="C25" s="28" t="s">
        <v>154</v>
      </c>
      <c r="D25" s="28" t="s">
        <v>95</v>
      </c>
      <c r="E25" s="38">
        <v>0.38</v>
      </c>
      <c r="F25" s="39">
        <v>0.233</v>
      </c>
      <c r="G25" s="32">
        <v>2</v>
      </c>
      <c r="H25" s="29">
        <v>20</v>
      </c>
      <c r="I25" s="29">
        <v>1000</v>
      </c>
      <c r="J25" s="29">
        <v>2500</v>
      </c>
      <c r="K25" s="29">
        <v>5000</v>
      </c>
      <c r="L25" s="29">
        <v>10000</v>
      </c>
      <c r="M25" s="29">
        <v>25000</v>
      </c>
      <c r="N25" s="40">
        <f>IF(tblLines[[#This Row],[Part number]]="","",IFERROR(INDEX(tblProcesses[Rate per hour],MATCH(tblLines[[#This Row],[Process]],tblProcesses[Process],0)),""))</f>
        <v>62</v>
      </c>
      <c r="O25" s="41">
        <f>IF(tblLines[[#This Row],[Part number]]="","",IF(tblLines[[#This Row],[Rate]]="","",tblLines[[#This Row],[Material]]+tblLines[[#This Row],[Run (min/part)]]/60*tblLines[[#This Row],[Rate]]))</f>
        <v>0.620766666666667</v>
      </c>
      <c r="P25" s="40">
        <f>IF(tblLines[[#This Row],[Part number]]="","",IF(tblLines[[#This Row],[Rate]]="","",tblLines[[#This Row],[Setup (h/lot)]]*tblLines[[#This Row],[Rate]]+tblLines[[#This Row],[Setup scrap (parts/lot)]]*tblLines[[#This Row],[Variable cost]]))</f>
        <v>136.415333333333</v>
      </c>
      <c r="Q25" s="42">
        <f>IF(tblLines[[#This Row],[Part number]]="","",IF(OR(tblLines[[#This Row],[Variable cost]]="",N(tblLines[[#This Row],[Variable cost]])=0),"",CEILING(tblLines[[#This Row],[Setup cost]]*(1-SetupShare)/(SetupShare*tblLines[[#This Row],[Variable cost]]),1)))</f>
        <v>1978</v>
      </c>
      <c r="R25" s="40">
        <f>IF(tblLines[[#This Row],[Part number]]="","",IF(OR(tblLines[[#This Row],[Qty 1]]="",tblLines[[#This Row],[Variable cost]]=""),"",CEILING((tblLines[[#This Row],[Variable cost]]+tblLines[[#This Row],[Setup cost]]/tblLines[[#This Row],[Qty 1]])/(1-Margin),RoundStep)))</f>
        <v>1.01</v>
      </c>
      <c r="S25" s="40">
        <f>IF(tblLines[[#This Row],[Part number]]="","",IF(OR(tblLines[[#This Row],[Qty 2]]="",tblLines[[#This Row],[Variable cost]]=""),"",CEILING((tblLines[[#This Row],[Variable cost]]+tblLines[[#This Row],[Setup cost]]/tblLines[[#This Row],[Qty 2]])/(1-Margin),RoundStep)))</f>
        <v>0.91</v>
      </c>
      <c r="T25" s="40">
        <f>IF(tblLines[[#This Row],[Part number]]="","",IF(OR(tblLines[[#This Row],[Qty 3]]="",tblLines[[#This Row],[Variable cost]]=""),"",CEILING((tblLines[[#This Row],[Variable cost]]+tblLines[[#This Row],[Setup cost]]/tblLines[[#This Row],[Qty 3]])/(1-Margin),RoundStep)))</f>
        <v>0.87</v>
      </c>
      <c r="U25" s="40">
        <f>IF(tblLines[[#This Row],[Part number]]="","",IF(OR(tblLines[[#This Row],[Qty 4]]="",tblLines[[#This Row],[Variable cost]]=""),"",CEILING((tblLines[[#This Row],[Variable cost]]+tblLines[[#This Row],[Setup cost]]/tblLines[[#This Row],[Qty 4]])/(1-Margin),RoundStep)))</f>
        <v>0.85</v>
      </c>
      <c r="V25" s="40">
        <f>IF(tblLines[[#This Row],[Part number]]="","",IF(OR(tblLines[[#This Row],[Qty 5]]="",tblLines[[#This Row],[Variable cost]]=""),"",CEILING((tblLines[[#This Row],[Variable cost]]+tblLines[[#This Row],[Setup cost]]/tblLines[[#This Row],[Qty 5]])/(1-Margin),RoundStep)))</f>
        <v>0.84</v>
      </c>
      <c r="W25" s="43" t="str">
        <f>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f>
        <v>OK</v>
      </c>
    </row>
    <row r="26" spans="2:23">
      <c r="B26" s="28" t="s">
        <v>155</v>
      </c>
      <c r="C26" s="28" t="s">
        <v>156</v>
      </c>
      <c r="D26" s="28" t="s">
        <v>100</v>
      </c>
      <c r="E26" s="38">
        <v>2.4</v>
      </c>
      <c r="F26" s="39">
        <v>6.5</v>
      </c>
      <c r="G26" s="32">
        <v>2.5</v>
      </c>
      <c r="H26" s="29">
        <v>2</v>
      </c>
      <c r="I26" s="29">
        <v>50</v>
      </c>
      <c r="J26" s="29">
        <v>100</v>
      </c>
      <c r="K26" s="29">
        <v>250</v>
      </c>
      <c r="L26" s="29">
        <v>500</v>
      </c>
      <c r="M26" s="29">
        <v>1000</v>
      </c>
      <c r="N26" s="40">
        <f>IF(tblLines[[#This Row],[Part number]]="","",IFERROR(INDEX(tblProcesses[Rate per hour],MATCH(tblLines[[#This Row],[Process]],tblProcesses[Process],0)),""))</f>
        <v>92</v>
      </c>
      <c r="O26" s="41">
        <f>IF(tblLines[[#This Row],[Part number]]="","",IF(tblLines[[#This Row],[Rate]]="","",tblLines[[#This Row],[Material]]+tblLines[[#This Row],[Run (min/part)]]/60*tblLines[[#This Row],[Rate]]))</f>
        <v>12.3666666666667</v>
      </c>
      <c r="P26" s="40">
        <f>IF(tblLines[[#This Row],[Part number]]="","",IF(tblLines[[#This Row],[Rate]]="","",tblLines[[#This Row],[Setup (h/lot)]]*tblLines[[#This Row],[Rate]]+tblLines[[#This Row],[Setup scrap (parts/lot)]]*tblLines[[#This Row],[Variable cost]]))</f>
        <v>254.733333333333</v>
      </c>
      <c r="Q26" s="42">
        <f>IF(tblLines[[#This Row],[Part number]]="","",IF(OR(tblLines[[#This Row],[Variable cost]]="",N(tblLines[[#This Row],[Variable cost]])=0),"",CEILING(tblLines[[#This Row],[Setup cost]]*(1-SetupShare)/(SetupShare*tblLines[[#This Row],[Variable cost]]),1)))</f>
        <v>186</v>
      </c>
      <c r="R26" s="40">
        <f>IF(tblLines[[#This Row],[Part number]]="","",IF(OR(tblLines[[#This Row],[Qty 1]]="",tblLines[[#This Row],[Variable cost]]=""),"",CEILING((tblLines[[#This Row],[Variable cost]]+tblLines[[#This Row],[Setup cost]]/tblLines[[#This Row],[Qty 1]])/(1-Margin),RoundStep)))</f>
        <v>23.29</v>
      </c>
      <c r="S26" s="40">
        <f>IF(tblLines[[#This Row],[Part number]]="","",IF(OR(tblLines[[#This Row],[Qty 2]]="",tblLines[[#This Row],[Variable cost]]=""),"",CEILING((tblLines[[#This Row],[Variable cost]]+tblLines[[#This Row],[Setup cost]]/tblLines[[#This Row],[Qty 2]])/(1-Margin),RoundStep)))</f>
        <v>19.89</v>
      </c>
      <c r="T26" s="40">
        <f>IF(tblLines[[#This Row],[Part number]]="","",IF(OR(tblLines[[#This Row],[Qty 3]]="",tblLines[[#This Row],[Variable cost]]=""),"",CEILING((tblLines[[#This Row],[Variable cost]]+tblLines[[#This Row],[Setup cost]]/tblLines[[#This Row],[Qty 3]])/(1-Margin),RoundStep)))</f>
        <v>17.85</v>
      </c>
      <c r="U26" s="40">
        <f>IF(tblLines[[#This Row],[Part number]]="","",IF(OR(tblLines[[#This Row],[Qty 4]]="",tblLines[[#This Row],[Variable cost]]=""),"",CEILING((tblLines[[#This Row],[Variable cost]]+tblLines[[#This Row],[Setup cost]]/tblLines[[#This Row],[Qty 4]])/(1-Margin),RoundStep)))</f>
        <v>17.17</v>
      </c>
      <c r="V26" s="40">
        <f>IF(tblLines[[#This Row],[Part number]]="","",IF(OR(tblLines[[#This Row],[Qty 5]]="",tblLines[[#This Row],[Variable cost]]=""),"",CEILING((tblLines[[#This Row],[Variable cost]]+tblLines[[#This Row],[Setup cost]]/tblLines[[#This Row],[Qty 5]])/(1-Margin),RoundStep)))</f>
        <v>16.83</v>
      </c>
      <c r="W26" s="43" t="str">
        <f>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f>
        <v>OK</v>
      </c>
    </row>
    <row r="27" spans="2:23">
      <c r="B27" s="28" t="s">
        <v>157</v>
      </c>
      <c r="C27" s="28" t="s">
        <v>158</v>
      </c>
      <c r="D27" s="28" t="s">
        <v>98</v>
      </c>
      <c r="E27" s="38">
        <v>3.1</v>
      </c>
      <c r="F27" s="39">
        <v>4.2</v>
      </c>
      <c r="G27" s="32">
        <v>1.5</v>
      </c>
      <c r="H27" s="29">
        <v>3</v>
      </c>
      <c r="I27" s="29">
        <v>50</v>
      </c>
      <c r="J27" s="29">
        <v>100</v>
      </c>
      <c r="K27" s="29">
        <v>250</v>
      </c>
      <c r="L27" s="29">
        <v>500</v>
      </c>
      <c r="M27" s="29">
        <v>1000</v>
      </c>
      <c r="N27" s="40">
        <f>IF(tblLines[[#This Row],[Part number]]="","",IFERROR(INDEX(tblProcesses[Rate per hour],MATCH(tblLines[[#This Row],[Process]],tblProcesses[Process],0)),""))</f>
        <v>82</v>
      </c>
      <c r="O27" s="41">
        <f>IF(tblLines[[#This Row],[Part number]]="","",IF(tblLines[[#This Row],[Rate]]="","",tblLines[[#This Row],[Material]]+tblLines[[#This Row],[Run (min/part)]]/60*tblLines[[#This Row],[Rate]]))</f>
        <v>8.84</v>
      </c>
      <c r="P27" s="40">
        <f>IF(tblLines[[#This Row],[Part number]]="","",IF(tblLines[[#This Row],[Rate]]="","",tblLines[[#This Row],[Setup (h/lot)]]*tblLines[[#This Row],[Rate]]+tblLines[[#This Row],[Setup scrap (parts/lot)]]*tblLines[[#This Row],[Variable cost]]))</f>
        <v>149.52</v>
      </c>
      <c r="Q27" s="42">
        <f>IF(tblLines[[#This Row],[Part number]]="","",IF(OR(tblLines[[#This Row],[Variable cost]]="",N(tblLines[[#This Row],[Variable cost]])=0),"",CEILING(tblLines[[#This Row],[Setup cost]]*(1-SetupShare)/(SetupShare*tblLines[[#This Row],[Variable cost]]),1)))</f>
        <v>153</v>
      </c>
      <c r="R27" s="40">
        <f>IF(tblLines[[#This Row],[Part number]]="","",IF(OR(tblLines[[#This Row],[Qty 1]]="",tblLines[[#This Row],[Variable cost]]=""),"",CEILING((tblLines[[#This Row],[Variable cost]]+tblLines[[#This Row],[Setup cost]]/tblLines[[#This Row],[Qty 1]])/(1-Margin),RoundStep)))</f>
        <v>15.78</v>
      </c>
      <c r="S27" s="40">
        <f>IF(tblLines[[#This Row],[Part number]]="","",IF(OR(tblLines[[#This Row],[Qty 2]]="",tblLines[[#This Row],[Variable cost]]=""),"",CEILING((tblLines[[#This Row],[Variable cost]]+tblLines[[#This Row],[Setup cost]]/tblLines[[#This Row],[Qty 2]])/(1-Margin),RoundStep)))</f>
        <v>13.79</v>
      </c>
      <c r="T27" s="40">
        <f>IF(tblLines[[#This Row],[Part number]]="","",IF(OR(tblLines[[#This Row],[Qty 3]]="",tblLines[[#This Row],[Variable cost]]=""),"",CEILING((tblLines[[#This Row],[Variable cost]]+tblLines[[#This Row],[Setup cost]]/tblLines[[#This Row],[Qty 3]])/(1-Margin),RoundStep)))</f>
        <v>12.59</v>
      </c>
      <c r="U27" s="40">
        <f>IF(tblLines[[#This Row],[Part number]]="","",IF(OR(tblLines[[#This Row],[Qty 4]]="",tblLines[[#This Row],[Variable cost]]=""),"",CEILING((tblLines[[#This Row],[Variable cost]]+tblLines[[#This Row],[Setup cost]]/tblLines[[#This Row],[Qty 4]])/(1-Margin),RoundStep)))</f>
        <v>12.19</v>
      </c>
      <c r="V27" s="40">
        <f>IF(tblLines[[#This Row],[Part number]]="","",IF(OR(tblLines[[#This Row],[Qty 5]]="",tblLines[[#This Row],[Variable cost]]=""),"",CEILING((tblLines[[#This Row],[Variable cost]]+tblLines[[#This Row],[Setup cost]]/tblLines[[#This Row],[Qty 5]])/(1-Margin),RoundStep)))</f>
        <v>11.99</v>
      </c>
      <c r="W27" s="43" t="str">
        <f>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f>
        <v>OK</v>
      </c>
    </row>
    <row r="28" spans="2:23">
      <c r="B28" s="28" t="s">
        <v>159</v>
      </c>
      <c r="C28" s="28" t="s">
        <v>160</v>
      </c>
      <c r="D28" s="28" t="s">
        <v>98</v>
      </c>
      <c r="E28" s="38">
        <v>0.42</v>
      </c>
      <c r="F28" s="39">
        <v>0.9</v>
      </c>
      <c r="G28" s="32">
        <v>1</v>
      </c>
      <c r="H28" s="29">
        <v>5</v>
      </c>
      <c r="I28" s="29">
        <v>100</v>
      </c>
      <c r="J28" s="29">
        <v>250</v>
      </c>
      <c r="K28" s="29">
        <v>500</v>
      </c>
      <c r="L28" s="29">
        <v>1000</v>
      </c>
      <c r="M28" s="29">
        <v>2500</v>
      </c>
      <c r="N28" s="40">
        <f>IF(tblLines[[#This Row],[Part number]]="","",IFERROR(INDEX(tblProcesses[Rate per hour],MATCH(tblLines[[#This Row],[Process]],tblProcesses[Process],0)),""))</f>
        <v>82</v>
      </c>
      <c r="O28" s="41">
        <f>IF(tblLines[[#This Row],[Part number]]="","",IF(tblLines[[#This Row],[Rate]]="","",tblLines[[#This Row],[Material]]+tblLines[[#This Row],[Run (min/part)]]/60*tblLines[[#This Row],[Rate]]))</f>
        <v>1.65</v>
      </c>
      <c r="P28" s="40">
        <f>IF(tblLines[[#This Row],[Part number]]="","",IF(tblLines[[#This Row],[Rate]]="","",tblLines[[#This Row],[Setup (h/lot)]]*tblLines[[#This Row],[Rate]]+tblLines[[#This Row],[Setup scrap (parts/lot)]]*tblLines[[#This Row],[Variable cost]]))</f>
        <v>90.25</v>
      </c>
      <c r="Q28" s="42">
        <f>IF(tblLines[[#This Row],[Part number]]="","",IF(OR(tblLines[[#This Row],[Variable cost]]="",N(tblLines[[#This Row],[Variable cost]])=0),"",CEILING(tblLines[[#This Row],[Setup cost]]*(1-SetupShare)/(SetupShare*tblLines[[#This Row],[Variable cost]]),1)))</f>
        <v>493</v>
      </c>
      <c r="R28" s="40">
        <f>IF(tblLines[[#This Row],[Part number]]="","",IF(OR(tblLines[[#This Row],[Qty 1]]="",tblLines[[#This Row],[Variable cost]]=""),"",CEILING((tblLines[[#This Row],[Variable cost]]+tblLines[[#This Row],[Setup cost]]/tblLines[[#This Row],[Qty 1]])/(1-Margin),RoundStep)))</f>
        <v>3.41</v>
      </c>
      <c r="S28" s="40">
        <f>IF(tblLines[[#This Row],[Part number]]="","",IF(OR(tblLines[[#This Row],[Qty 2]]="",tblLines[[#This Row],[Variable cost]]=""),"",CEILING((tblLines[[#This Row],[Variable cost]]+tblLines[[#This Row],[Setup cost]]/tblLines[[#This Row],[Qty 2]])/(1-Margin),RoundStep)))</f>
        <v>2.69</v>
      </c>
      <c r="T28" s="40">
        <f>IF(tblLines[[#This Row],[Part number]]="","",IF(OR(tblLines[[#This Row],[Qty 3]]="",tblLines[[#This Row],[Variable cost]]=""),"",CEILING((tblLines[[#This Row],[Variable cost]]+tblLines[[#This Row],[Setup cost]]/tblLines[[#This Row],[Qty 3]])/(1-Margin),RoundStep)))</f>
        <v>2.45</v>
      </c>
      <c r="U28" s="40">
        <f>IF(tblLines[[#This Row],[Part number]]="","",IF(OR(tblLines[[#This Row],[Qty 4]]="",tblLines[[#This Row],[Variable cost]]=""),"",CEILING((tblLines[[#This Row],[Variable cost]]+tblLines[[#This Row],[Setup cost]]/tblLines[[#This Row],[Qty 4]])/(1-Margin),RoundStep)))</f>
        <v>2.33</v>
      </c>
      <c r="V28" s="40">
        <f>IF(tblLines[[#This Row],[Part number]]="","",IF(OR(tblLines[[#This Row],[Qty 5]]="",tblLines[[#This Row],[Variable cost]]=""),"",CEILING((tblLines[[#This Row],[Variable cost]]+tblLines[[#This Row],[Setup cost]]/tblLines[[#This Row],[Qty 5]])/(1-Margin),RoundStep)))</f>
        <v>2.25</v>
      </c>
      <c r="W28" s="43" t="str">
        <f>IF(tblLines[[#This Row],[Part number]]="","",IF(tblLines[[#This Row],[Part number]]="","Missing part number",IF(tblLines[[#This Row],[Process]]="","Missing process",IF(tblLines[[#This Row],[Rate]]="","Process not on Setup list",IF(tblLines[[#This Row],[Qty 1]]="","Missing qty 1",IF(COUNTIFS(tblLines[Part number],tblLines[[#This Row],[Part number]])&gt;1,"Part listed twice",IF(OR(AND(N(tblLines[[#This Row],[Qty 2]])&gt;0,tblLines[[#This Row],[Qty 2]]&lt;=tblLines[[#This Row],[Qty 1]]),AND(N(tblLines[[#This Row],[Qty 3]])&gt;0,tblLines[[#This Row],[Qty 3]]&lt;=tblLines[[#This Row],[Qty 2]]),AND(N(tblLines[[#This Row],[Qty 4]])&gt;0,tblLines[[#This Row],[Qty 4]]&lt;=tblLines[[#This Row],[Qty 3]]),AND(N(tblLines[[#This Row],[Qty 5]])&gt;0,tblLines[[#This Row],[Qty 5]]&lt;=tblLines[[#This Row],[Qty 4]])),"Quantities not rising",IF(AND(tblLines[[#This Row],[Material]]=0,tblLines[[#This Row],[Run (min/part)]]=0),"No material or run time","OK"))))))))</f>
        <v>OK</v>
      </c>
    </row>
    <row r="30" spans="2:23" ht="21" customHeight="1">
      <c r="B30" s="8" t="s">
        <v>161</v>
      </c>
      <c r="C30" s="8"/>
      <c r="D30" s="8"/>
      <c r="E30" s="8"/>
      <c r="F30" s="8"/>
      <c r="G30" s="8"/>
      <c r="H30" s="8"/>
      <c r="I30" s="8"/>
      <c r="J30" s="8"/>
      <c r="K30" s="8"/>
      <c r="L30" s="8"/>
      <c r="M30" s="8"/>
    </row>
    <row r="31" spans="2:23" ht="5" customHeight="1"/>
    <row r="32" spans="2:23" ht="14" customHeight="1">
      <c r="C32" s="34"/>
      <c r="D32" s="34"/>
      <c r="E32" s="34" t="str">
        <f>Currency</f>
        <v>USD</v>
      </c>
    </row>
    <row r="33" spans="2:13" ht="20" customHeight="1">
      <c r="C33" s="35" t="s">
        <v>125</v>
      </c>
      <c r="D33" s="35" t="s">
        <v>65</v>
      </c>
      <c r="E33" s="35" t="s">
        <v>126</v>
      </c>
    </row>
    <row r="34" spans="2:13">
      <c r="C34" s="28" t="s">
        <v>162</v>
      </c>
      <c r="D34" s="28" t="s">
        <v>163</v>
      </c>
      <c r="E34" s="29">
        <v>28500</v>
      </c>
    </row>
    <row r="35" spans="2:13">
      <c r="C35" s="28" t="s">
        <v>164</v>
      </c>
      <c r="D35" s="28" t="s">
        <v>165</v>
      </c>
      <c r="E35" s="29">
        <v>21000</v>
      </c>
    </row>
    <row r="36" spans="2:13">
      <c r="C36" s="28" t="s">
        <v>166</v>
      </c>
      <c r="D36" s="28" t="s">
        <v>165</v>
      </c>
      <c r="E36" s="29">
        <v>14800</v>
      </c>
    </row>
    <row r="37" spans="2:13">
      <c r="C37" s="28" t="s">
        <v>167</v>
      </c>
      <c r="D37" s="28" t="s">
        <v>168</v>
      </c>
      <c r="E37" s="29">
        <v>19600</v>
      </c>
    </row>
    <row r="38" spans="2:13">
      <c r="C38" s="28" t="s">
        <v>169</v>
      </c>
      <c r="D38" s="28" t="s">
        <v>165</v>
      </c>
      <c r="E38" s="29">
        <v>650</v>
      </c>
    </row>
    <row r="40" spans="2:13">
      <c r="B40" s="17" t="s">
        <v>170</v>
      </c>
      <c r="C40" s="17"/>
      <c r="D40" s="44">
        <f>SUM(tblTooling[Cost])</f>
        <v>84550</v>
      </c>
      <c r="E40" s="7" t="str">
        <f>Currency</f>
        <v>USD</v>
      </c>
    </row>
    <row r="42" spans="2:13" ht="21" customHeight="1">
      <c r="B42" s="8" t="s">
        <v>171</v>
      </c>
      <c r="C42" s="8"/>
      <c r="D42" s="8"/>
      <c r="E42" s="8"/>
      <c r="F42" s="8"/>
      <c r="G42" s="8"/>
      <c r="H42" s="8"/>
      <c r="I42" s="8"/>
      <c r="J42" s="8"/>
      <c r="K42" s="8"/>
      <c r="L42" s="8"/>
      <c r="M42" s="8"/>
    </row>
    <row r="43" spans="2:13" ht="5" customHeight="1"/>
    <row r="44" spans="2:13">
      <c r="B44" s="27" t="s">
        <v>172</v>
      </c>
      <c r="C44" s="27"/>
      <c r="D44" s="28" t="s">
        <v>155</v>
      </c>
      <c r="E44" s="28"/>
      <c r="F44" s="28"/>
    </row>
    <row r="45" spans="2:13">
      <c r="B45" s="27" t="s">
        <v>173</v>
      </c>
      <c r="C45" s="27"/>
      <c r="D45" s="42">
        <f>IFERROR(MATCH(ChartLine,tblLines[Part number],0),"")</f>
        <v>6</v>
      </c>
      <c r="E45" s="42"/>
      <c r="F45" s="7" t="s">
        <v>174</v>
      </c>
    </row>
    <row r="47" spans="2:13">
      <c r="B47" s="33" t="s">
        <v>175</v>
      </c>
      <c r="C47" s="33"/>
      <c r="D47" s="33"/>
      <c r="E47" s="33"/>
      <c r="F47" s="33"/>
      <c r="G47" s="33"/>
      <c r="H47" s="33"/>
      <c r="I47" s="33"/>
    </row>
    <row r="48" spans="2:13">
      <c r="B48" s="45" t="s">
        <v>176</v>
      </c>
      <c r="C48" s="45"/>
      <c r="D48" s="35" t="s">
        <v>177</v>
      </c>
      <c r="E48" s="46">
        <v>1</v>
      </c>
      <c r="F48" s="46">
        <v>2</v>
      </c>
      <c r="G48" s="46">
        <v>3</v>
      </c>
      <c r="H48" s="46">
        <v>4</v>
      </c>
      <c r="I48" s="46">
        <v>5</v>
      </c>
    </row>
    <row r="49" spans="2:12">
      <c r="B49" s="27" t="s">
        <v>178</v>
      </c>
      <c r="C49" s="27"/>
      <c r="D49" s="7" t="s">
        <v>144</v>
      </c>
      <c r="E49" s="42">
        <f>IF(ChartRow="","",IF(CHOOSE($E$48,INDEX(tblLines[Qty 1],ChartRow),INDEX(tblLines[Qty 2],ChartRow),INDEX(tblLines[Qty 3],ChartRow),INDEX(tblLines[Qty 4],ChartRow),INDEX(tblLines[Qty 5],ChartRow))="","",CHOOSE($E$48,INDEX(tblLines[Qty 1],ChartRow),INDEX(tblLines[Qty 2],ChartRow),INDEX(tblLines[Qty 3],ChartRow),INDEX(tblLines[Qty 4],ChartRow),INDEX(tblLines[Qty 5],ChartRow))))</f>
        <v>50</v>
      </c>
      <c r="F49" s="42">
        <f>IF(ChartRow="","",IF(CHOOSE($F$48,INDEX(tblLines[Qty 1],ChartRow),INDEX(tblLines[Qty 2],ChartRow),INDEX(tblLines[Qty 3],ChartRow),INDEX(tblLines[Qty 4],ChartRow),INDEX(tblLines[Qty 5],ChartRow))="","",CHOOSE($F$48,INDEX(tblLines[Qty 1],ChartRow),INDEX(tblLines[Qty 2],ChartRow),INDEX(tblLines[Qty 3],ChartRow),INDEX(tblLines[Qty 4],ChartRow),INDEX(tblLines[Qty 5],ChartRow))))</f>
        <v>100</v>
      </c>
      <c r="G49" s="42">
        <f>IF(ChartRow="","",IF(CHOOSE($G$48,INDEX(tblLines[Qty 1],ChartRow),INDEX(tblLines[Qty 2],ChartRow),INDEX(tblLines[Qty 3],ChartRow),INDEX(tblLines[Qty 4],ChartRow),INDEX(tblLines[Qty 5],ChartRow))="","",CHOOSE($G$48,INDEX(tblLines[Qty 1],ChartRow),INDEX(tblLines[Qty 2],ChartRow),INDEX(tblLines[Qty 3],ChartRow),INDEX(tblLines[Qty 4],ChartRow),INDEX(tblLines[Qty 5],ChartRow))))</f>
        <v>250</v>
      </c>
      <c r="H49" s="42">
        <f>IF(ChartRow="","",IF(CHOOSE($H$48,INDEX(tblLines[Qty 1],ChartRow),INDEX(tblLines[Qty 2],ChartRow),INDEX(tblLines[Qty 3],ChartRow),INDEX(tblLines[Qty 4],ChartRow),INDEX(tblLines[Qty 5],ChartRow))="","",CHOOSE($H$48,INDEX(tblLines[Qty 1],ChartRow),INDEX(tblLines[Qty 2],ChartRow),INDEX(tblLines[Qty 3],ChartRow),INDEX(tblLines[Qty 4],ChartRow),INDEX(tblLines[Qty 5],ChartRow))))</f>
        <v>500</v>
      </c>
      <c r="I49" s="42">
        <f>IF(ChartRow="","",IF(CHOOSE($I$48,INDEX(tblLines[Qty 1],ChartRow),INDEX(tblLines[Qty 2],ChartRow),INDEX(tblLines[Qty 3],ChartRow),INDEX(tblLines[Qty 4],ChartRow),INDEX(tblLines[Qty 5],ChartRow))="","",CHOOSE($I$48,INDEX(tblLines[Qty 1],ChartRow),INDEX(tblLines[Qty 2],ChartRow),INDEX(tblLines[Qty 3],ChartRow),INDEX(tblLines[Qty 4],ChartRow),INDEX(tblLines[Qty 5],ChartRow))))</f>
        <v>1000</v>
      </c>
    </row>
    <row r="50" spans="2:12">
      <c r="B50" s="27" t="s">
        <v>116</v>
      </c>
      <c r="C50" s="27"/>
      <c r="D50" s="7" t="str">
        <f>Currency&amp;"/part"</f>
        <v>USD/part</v>
      </c>
      <c r="E50" s="40">
        <f>IF(N($E$49)=0,"",INDEX(tblLines[Variable cost],ChartRow))</f>
        <v>12.3666666666667</v>
      </c>
      <c r="F50" s="40">
        <f>IF(N($F$49)=0,"",INDEX(tblLines[Variable cost],ChartRow))</f>
        <v>12.3666666666667</v>
      </c>
      <c r="G50" s="40">
        <f>IF(N($G$49)=0,"",INDEX(tblLines[Variable cost],ChartRow))</f>
        <v>12.3666666666667</v>
      </c>
      <c r="H50" s="40">
        <f>IF(N($H$49)=0,"",INDEX(tblLines[Variable cost],ChartRow))</f>
        <v>12.3666666666667</v>
      </c>
      <c r="I50" s="40">
        <f>IF(N($I$49)=0,"",INDEX(tblLines[Variable cost],ChartRow))</f>
        <v>12.3666666666667</v>
      </c>
    </row>
    <row r="51" spans="2:12">
      <c r="B51" s="27" t="s">
        <v>179</v>
      </c>
      <c r="C51" s="27"/>
      <c r="D51" s="7" t="str">
        <f>Currency&amp;"/part"</f>
        <v>USD/part</v>
      </c>
      <c r="E51" s="40">
        <f>IF(N($E$49)=0,"",INDEX(tblLines[Setup cost],ChartRow)/$E$49)</f>
        <v>5.09466666666667</v>
      </c>
      <c r="F51" s="40">
        <f>IF(N($F$49)=0,"",INDEX(tblLines[Setup cost],ChartRow)/$F$49)</f>
        <v>2.54733333333333</v>
      </c>
      <c r="G51" s="40">
        <f>IF(N($G$49)=0,"",INDEX(tblLines[Setup cost],ChartRow)/$G$49)</f>
        <v>1.01893333333333</v>
      </c>
      <c r="H51" s="40">
        <f>IF(N($H$49)=0,"",INDEX(tblLines[Setup cost],ChartRow)/$H$49)</f>
        <v>0.509466666666667</v>
      </c>
      <c r="I51" s="40">
        <f>IF(N($I$49)=0,"",INDEX(tblLines[Setup cost],ChartRow)/$I$49)</f>
        <v>0.254733333333333</v>
      </c>
    </row>
    <row r="52" spans="2:12">
      <c r="B52" s="27" t="s">
        <v>180</v>
      </c>
      <c r="C52" s="27"/>
      <c r="D52" s="7" t="str">
        <f>Currency&amp;"/part"</f>
        <v>USD/part</v>
      </c>
      <c r="E52" s="47">
        <f>IF(N($E$49)=0,"",CHOOSE($E$48,INDEX(tblLines[Price 1],ChartRow),INDEX(tblLines[Price 2],ChartRow),INDEX(tblLines[Price 3],ChartRow),INDEX(tblLines[Price 4],ChartRow),INDEX(tblLines[Price 5],ChartRow)))</f>
        <v>23.29</v>
      </c>
      <c r="F52" s="47">
        <f>IF(N($F$49)=0,"",CHOOSE($F$48,INDEX(tblLines[Price 1],ChartRow),INDEX(tblLines[Price 2],ChartRow),INDEX(tblLines[Price 3],ChartRow),INDEX(tblLines[Price 4],ChartRow),INDEX(tblLines[Price 5],ChartRow)))</f>
        <v>19.89</v>
      </c>
      <c r="G52" s="47">
        <f>IF(N($G$49)=0,"",CHOOSE($G$48,INDEX(tblLines[Price 1],ChartRow),INDEX(tblLines[Price 2],ChartRow),INDEX(tblLines[Price 3],ChartRow),INDEX(tblLines[Price 4],ChartRow),INDEX(tblLines[Price 5],ChartRow)))</f>
        <v>17.85</v>
      </c>
      <c r="H52" s="47">
        <f>IF(N($H$49)=0,"",CHOOSE($H$48,INDEX(tblLines[Price 1],ChartRow),INDEX(tblLines[Price 2],ChartRow),INDEX(tblLines[Price 3],ChartRow),INDEX(tblLines[Price 4],ChartRow),INDEX(tblLines[Price 5],ChartRow)))</f>
        <v>17.17</v>
      </c>
      <c r="I52" s="47">
        <f>IF(N($I$49)=0,"",CHOOSE($I$48,INDEX(tblLines[Price 1],ChartRow),INDEX(tblLines[Price 2],ChartRow),INDEX(tblLines[Price 3],ChartRow),INDEX(tblLines[Price 4],ChartRow),INDEX(tblLines[Price 5],ChartRow)))</f>
        <v>16.83</v>
      </c>
    </row>
    <row r="53" spans="2:12">
      <c r="B53" s="27" t="s">
        <v>181</v>
      </c>
      <c r="C53" s="27"/>
      <c r="D53" s="7" t="str">
        <f>Currency&amp;"/part"</f>
        <v>USD/part</v>
      </c>
      <c r="E53" s="40">
        <f>IF($E$52="","",$E$52-$E$50-$E$51)</f>
        <v>5.82866666666667</v>
      </c>
      <c r="F53" s="40">
        <f>IF($F$52="","",$F$52-$F$50-$F$51)</f>
        <v>4.976</v>
      </c>
      <c r="G53" s="40">
        <f>IF($G$52="","",$G$52-$G$50-$G$51)</f>
        <v>4.4644</v>
      </c>
      <c r="H53" s="40">
        <f>IF($H$52="","",$H$52-$H$50-$H$51)</f>
        <v>4.29386666666667</v>
      </c>
      <c r="I53" s="40">
        <f>IF($I$52="","",$I$52-$I$50-$I$51)</f>
        <v>4.2086</v>
      </c>
    </row>
    <row r="54" spans="2:12">
      <c r="B54" s="27" t="s">
        <v>182</v>
      </c>
      <c r="C54" s="27"/>
      <c r="D54" s="7" t="s">
        <v>183</v>
      </c>
      <c r="E54" s="48">
        <f>IF($E$52="","",$E$51/($E$50+$E$51))</f>
        <v>0.291768478924863</v>
      </c>
      <c r="F54" s="48">
        <f>IF($F$52="","",$F$51/($F$50+$F$51))</f>
        <v>0.17080148406419</v>
      </c>
      <c r="G54" s="48">
        <f>IF($G$52="","",$G$51/($G$50+$G$51))</f>
        <v>0.0761216033150052</v>
      </c>
      <c r="H54" s="48">
        <f>IF($H$52="","",$H$51/($H$50+$H$51))</f>
        <v>0.0395667436393949</v>
      </c>
      <c r="I54" s="48">
        <f>IF($I$52="","",$I$51/($I$50+$I$51))</f>
        <v>0.0201826527432245</v>
      </c>
    </row>
    <row r="56" spans="2:12">
      <c r="B56" s="33" t="s">
        <v>184</v>
      </c>
      <c r="C56" s="33"/>
      <c r="D56" s="33"/>
      <c r="E56" s="33"/>
      <c r="F56" s="33"/>
      <c r="G56" s="33"/>
      <c r="H56" s="33"/>
      <c r="I56" s="33"/>
      <c r="J56" s="33"/>
      <c r="K56" s="33"/>
      <c r="L56" s="33"/>
    </row>
    <row r="57" spans="2:12">
      <c r="B57" s="45" t="s">
        <v>104</v>
      </c>
      <c r="C57" s="45"/>
      <c r="D57" s="35" t="s">
        <v>177</v>
      </c>
      <c r="E57" s="49" t="str">
        <f>IFERROR(INDEX(tblLines[Part number],1)&amp;"","")</f>
        <v>TI-4410-01</v>
      </c>
      <c r="F57" s="49" t="str">
        <f>IFERROR(INDEX(tblLines[Part number],2)&amp;"","")</f>
        <v>TI-4410-02</v>
      </c>
      <c r="G57" s="49" t="str">
        <f>IFERROR(INDEX(tblLines[Part number],3)&amp;"","")</f>
        <v>TI-4410-05</v>
      </c>
      <c r="H57" s="49" t="str">
        <f>IFERROR(INDEX(tblLines[Part number],4)&amp;"","")</f>
        <v>TI-4410-08</v>
      </c>
      <c r="I57" s="49" t="str">
        <f>IFERROR(INDEX(tblLines[Part number],5)&amp;"","")</f>
        <v>TI-4410-12</v>
      </c>
      <c r="J57" s="49" t="str">
        <f>IFERROR(INDEX(tblLines[Part number],6)&amp;"","")</f>
        <v>TI-2207-11</v>
      </c>
      <c r="K57" s="49" t="str">
        <f>IFERROR(INDEX(tblLines[Part number],7)&amp;"","")</f>
        <v>TI-2207-14</v>
      </c>
      <c r="L57" s="49" t="str">
        <f>IFERROR(INDEX(tblLines[Part number],8)&amp;"","")</f>
        <v>TI-2207-19</v>
      </c>
    </row>
    <row r="58" spans="2:12">
      <c r="B58" s="27" t="s">
        <v>185</v>
      </c>
      <c r="C58" s="27"/>
      <c r="D58" s="7" t="str">
        <f>Currency&amp;"/part"</f>
        <v>USD/part</v>
      </c>
      <c r="E58" s="40">
        <f>IF($E$57="","",IFERROR(INDEX(tblLines[Price 1],MATCH($E$57,tblLines[Part number],0)),""))</f>
        <v>3.6</v>
      </c>
      <c r="F58" s="40">
        <f>IF($F$57="","",IFERROR(INDEX(tblLines[Price 1],MATCH($F$57,tblLines[Part number],0)),""))</f>
        <v>2.24</v>
      </c>
      <c r="G58" s="40">
        <f>IF($G$57="","",IFERROR(INDEX(tblLines[Price 1],MATCH($G$57,tblLines[Part number],0)),""))</f>
        <v>0.59</v>
      </c>
      <c r="H58" s="40">
        <f>IF($H$57="","",IFERROR(INDEX(tblLines[Price 1],MATCH($H$57,tblLines[Part number],0)),""))</f>
        <v>0.21</v>
      </c>
      <c r="I58" s="40">
        <f>IF($I$57="","",IFERROR(INDEX(tblLines[Price 1],MATCH($I$57,tblLines[Part number],0)),""))</f>
        <v>1.01</v>
      </c>
      <c r="J58" s="40">
        <f>IF($J$57="","",IFERROR(INDEX(tblLines[Price 1],MATCH($J$57,tblLines[Part number],0)),""))</f>
        <v>23.29</v>
      </c>
      <c r="K58" s="40">
        <f>IF($K$57="","",IFERROR(INDEX(tblLines[Price 1],MATCH($K$57,tblLines[Part number],0)),""))</f>
        <v>15.78</v>
      </c>
      <c r="L58" s="40">
        <f>IF($L$57="","",IFERROR(INDEX(tblLines[Price 1],MATCH($L$57,tblLines[Part number],0)),""))</f>
        <v>3.41</v>
      </c>
    </row>
    <row r="59" spans="2:12">
      <c r="B59" s="27" t="s">
        <v>186</v>
      </c>
      <c r="C59" s="27"/>
      <c r="D59" s="7" t="str">
        <f>Currency&amp;"/part"</f>
        <v>USD/part</v>
      </c>
      <c r="E59" s="40">
        <f>IF($E$57="","",IFERROR(MIN(INDEX(tblLines[Price 1],MATCH($E$57,tblLines[Part number],0)),INDEX(tblLines[Price 2],MATCH($E$57,tblLines[Part number],0)),INDEX(tblLines[Price 3],MATCH($E$57,tblLines[Part number],0)),INDEX(tblLines[Price 4],MATCH($E$57,tblLines[Part number],0)),INDEX(tblLines[Price 5],MATCH($E$57,tblLines[Part number],0))),""))</f>
        <v>3.19</v>
      </c>
      <c r="F59" s="40">
        <f>IF($F$57="","",IFERROR(MIN(INDEX(tblLines[Price 1],MATCH($F$57,tblLines[Part number],0)),INDEX(tblLines[Price 2],MATCH($F$57,tblLines[Part number],0)),INDEX(tblLines[Price 3],MATCH($F$57,tblLines[Part number],0)),INDEX(tblLines[Price 4],MATCH($F$57,tblLines[Part number],0)),INDEX(tblLines[Price 5],MATCH($F$57,tblLines[Part number],0))),""))</f>
        <v>1.86</v>
      </c>
      <c r="G59" s="40">
        <f>IF($G$57="","",IFERROR(MIN(INDEX(tblLines[Price 1],MATCH($G$57,tblLines[Part number],0)),INDEX(tblLines[Price 2],MATCH($G$57,tblLines[Part number],0)),INDEX(tblLines[Price 3],MATCH($G$57,tblLines[Part number],0)),INDEX(tblLines[Price 4],MATCH($G$57,tblLines[Part number],0)),INDEX(tblLines[Price 5],MATCH($G$57,tblLines[Part number],0))),""))</f>
        <v>0.42</v>
      </c>
      <c r="H59" s="40">
        <f>IF($H$57="","",IFERROR(MIN(INDEX(tblLines[Price 1],MATCH($H$57,tblLines[Part number],0)),INDEX(tblLines[Price 2],MATCH($H$57,tblLines[Part number],0)),INDEX(tblLines[Price 3],MATCH($H$57,tblLines[Part number],0)),INDEX(tblLines[Price 4],MATCH($H$57,tblLines[Part number],0)),INDEX(tblLines[Price 5],MATCH($H$57,tblLines[Part number],0))),""))</f>
        <v>0.13</v>
      </c>
      <c r="I59" s="40">
        <f>IF($I$57="","",IFERROR(MIN(INDEX(tblLines[Price 1],MATCH($I$57,tblLines[Part number],0)),INDEX(tblLines[Price 2],MATCH($I$57,tblLines[Part number],0)),INDEX(tblLines[Price 3],MATCH($I$57,tblLines[Part number],0)),INDEX(tblLines[Price 4],MATCH($I$57,tblLines[Part number],0)),INDEX(tblLines[Price 5],MATCH($I$57,tblLines[Part number],0))),""))</f>
        <v>0.84</v>
      </c>
      <c r="J59" s="40">
        <f>IF($J$57="","",IFERROR(MIN(INDEX(tblLines[Price 1],MATCH($J$57,tblLines[Part number],0)),INDEX(tblLines[Price 2],MATCH($J$57,tblLines[Part number],0)),INDEX(tblLines[Price 3],MATCH($J$57,tblLines[Part number],0)),INDEX(tblLines[Price 4],MATCH($J$57,tblLines[Part number],0)),INDEX(tblLines[Price 5],MATCH($J$57,tblLines[Part number],0))),""))</f>
        <v>16.83</v>
      </c>
      <c r="K59" s="40">
        <f>IF($K$57="","",IFERROR(MIN(INDEX(tblLines[Price 1],MATCH($K$57,tblLines[Part number],0)),INDEX(tblLines[Price 2],MATCH($K$57,tblLines[Part number],0)),INDEX(tblLines[Price 3],MATCH($K$57,tblLines[Part number],0)),INDEX(tblLines[Price 4],MATCH($K$57,tblLines[Part number],0)),INDEX(tblLines[Price 5],MATCH($K$57,tblLines[Part number],0))),""))</f>
        <v>11.99</v>
      </c>
      <c r="L59" s="40">
        <f>IF($L$57="","",IFERROR(MIN(INDEX(tblLines[Price 1],MATCH($L$57,tblLines[Part number],0)),INDEX(tblLines[Price 2],MATCH($L$57,tblLines[Part number],0)),INDEX(tblLines[Price 3],MATCH($L$57,tblLines[Part number],0)),INDEX(tblLines[Price 4],MATCH($L$57,tblLines[Part number],0)),INDEX(tblLines[Price 5],MATCH($L$57,tblLines[Part number],0))),""))</f>
        <v>2.25</v>
      </c>
    </row>
    <row r="60" spans="2:12">
      <c r="B60" s="27" t="s">
        <v>187</v>
      </c>
      <c r="C60" s="27"/>
      <c r="D60" s="7" t="s">
        <v>183</v>
      </c>
      <c r="E60" s="48">
        <f>IF($E$57="","",IF(OR($E$58="",N($E$58)=0),"",1-$E$59/$E$58))</f>
        <v>0.113888888888889</v>
      </c>
      <c r="F60" s="48">
        <f>IF($F$57="","",IF(OR($F$58="",N($F$58)=0),"",1-$F$59/$F$58))</f>
        <v>0.169642857142857</v>
      </c>
      <c r="G60" s="48">
        <f>IF($G$57="","",IF(OR($G$58="",N($G$58)=0),"",1-$G$59/$G$58))</f>
        <v>0.288135593220339</v>
      </c>
      <c r="H60" s="48">
        <f>IF($H$57="","",IF(OR($H$58="",N($H$58)=0),"",1-$H$59/$H$58))</f>
        <v>0.380952380952381</v>
      </c>
      <c r="I60" s="48">
        <f>IF($I$57="","",IF(OR($I$58="",N($I$58)=0),"",1-$I$59/$I$58))</f>
        <v>0.168316831683168</v>
      </c>
      <c r="J60" s="48">
        <f>IF($J$57="","",IF(OR($J$58="",N($J$58)=0),"",1-$J$59/$J$58))</f>
        <v>0.277372262773723</v>
      </c>
      <c r="K60" s="48">
        <f>IF($K$57="","",IF(OR($K$58="",N($K$58)=0),"",1-$K$59/$K$58))</f>
        <v>0.240177439797212</v>
      </c>
      <c r="L60" s="48">
        <f>IF($L$57="","",IF(OR($L$58="",N($L$58)=0),"",1-$L$59/$L$58))</f>
        <v>0.340175953079179</v>
      </c>
    </row>
  </sheetData>
  <mergeCells count="40">
    <mergeCell ref="A1:W1"/>
    <mergeCell ref="B2:V2"/>
    <mergeCell ref="B4:M4"/>
    <mergeCell ref="B6:M6"/>
    <mergeCell ref="B8:C8"/>
    <mergeCell ref="D8:I8"/>
    <mergeCell ref="B9:C9"/>
    <mergeCell ref="D9:I9"/>
    <mergeCell ref="B10:C10"/>
    <mergeCell ref="D10:I10"/>
    <mergeCell ref="B11:C11"/>
    <mergeCell ref="D11:I11"/>
    <mergeCell ref="B12:C12"/>
    <mergeCell ref="D12:I12"/>
    <mergeCell ref="B13:C13"/>
    <mergeCell ref="D13:I13"/>
    <mergeCell ref="B14:C14"/>
    <mergeCell ref="D14:I14"/>
    <mergeCell ref="B16:M16"/>
    <mergeCell ref="B18:M18"/>
    <mergeCell ref="B30:M30"/>
    <mergeCell ref="B40:C40"/>
    <mergeCell ref="B42:M42"/>
    <mergeCell ref="B44:C44"/>
    <mergeCell ref="D44:F44"/>
    <mergeCell ref="B45:C45"/>
    <mergeCell ref="D45:E45"/>
    <mergeCell ref="B47:I47"/>
    <mergeCell ref="B48:C48"/>
    <mergeCell ref="B49:C49"/>
    <mergeCell ref="B50:C50"/>
    <mergeCell ref="B51:C51"/>
    <mergeCell ref="B52:C52"/>
    <mergeCell ref="B53:C53"/>
    <mergeCell ref="B54:C54"/>
    <mergeCell ref="B56:L56"/>
    <mergeCell ref="B57:C57"/>
    <mergeCell ref="B58:C58"/>
    <mergeCell ref="B59:C59"/>
    <mergeCell ref="B60:C60"/>
  </mergeCells>
  <conditionalFormatting sqref="E54:I54">
    <cfRule type="expression" dxfId="3" priority="3" stopIfTrue="1">
      <formula>AND(ISNUMBER(E54),E54&lt;=(SetupShare))</formula>
    </cfRule>
    <cfRule type="expression" dxfId="4" priority="4" stopIfTrue="1">
      <formula>AND(ISNUMBER(E54),E54&lt;=(SetupShare)*(1+0.05))</formula>
    </cfRule>
    <cfRule type="expression" dxfId="5" priority="5">
      <formula>ISNUMBER(E54)</formula>
    </cfRule>
  </conditionalFormatting>
  <conditionalFormatting sqref="W21:W88">
    <cfRule type="expression" dxfId="3" priority="1">
      <formula>$W21="OK"</formula>
    </cfRule>
    <cfRule type="expression" dxfId="1" priority="2">
      <formula>AND($W21&lt;&gt;"",$W21&lt;&gt;"OK")</formula>
    </cfRule>
  </conditionalFormatting>
  <dataValidations count="23">
    <dataValidation type="textLength" allowBlank="1" showInputMessage="1" showErrorMessage="1" errorTitle="Check this entry" error="Text up to 40 characters." promptTitle="Quote number" prompt="Text up to 40 characters." sqref="D8">
      <formula1>0</formula1>
      <formula2>40</formula2>
    </dataValidation>
    <dataValidation type="date" allowBlank="1" showInputMessage="1" showErrorMessage="1" errorTitle="Check this entry" error="Enter a date between 01 Jan 2000 and 31 Dec 2100." promptTitle="Quote date" prompt="Enter a date between 01 Jan 2000 and 31 Dec 2100." sqref="D9">
      <formula1>36526</formula1>
      <formula2>73415</formula2>
    </dataValidation>
    <dataValidation type="textLength" allowBlank="1" showInputMessage="1" showErrorMessage="1" errorTitle="Check this entry" error="Text up to 80 characters." promptTitle="Customer" prompt="Text up to 80 characters." sqref="D10">
      <formula1>0</formula1>
      <formula2>80</formula2>
    </dataValidation>
    <dataValidation type="textLength" allowBlank="1" showInputMessage="1" showErrorMessage="1" errorTitle="Check this entry" error="Text up to 80 characters." promptTitle="Attention" prompt="Text up to 80 characters." sqref="D11">
      <formula1>0</formula1>
      <formula2>80</formula2>
    </dataValidation>
    <dataValidation type="textLength" allowBlank="1" showInputMessage="1" showErrorMessage="1" errorTitle="Check this entry" error="Text up to 40 characters." promptTitle="Customer RFQ reference" prompt="Text up to 40 characters." sqref="D12">
      <formula1>0</formula1>
      <formula2>40</formula2>
    </dataValidation>
    <dataValidation type="textLength" allowBlank="1" showInputMessage="1" showErrorMessage="1" errorTitle="Check this entry" error="Text up to 60 characters." promptTitle="Prepared by" prompt="Text up to 60 characters." sqref="D13">
      <formula1>0</formula1>
      <formula2>60</formula2>
    </dataValidation>
    <dataValidation type="textLength" allowBlank="1" showInputMessage="1" showErrorMessage="1" errorTitle="Check this entry" error="Text up to 160 characters." promptTitle="Delivery (printed on the quote)" prompt="Text up to 160 characters." sqref="D14">
      <formula1>0</formula1>
      <formula2>160</formula2>
    </dataValidation>
    <dataValidation type="textLength" allowBlank="1" showInputMessage="1" showErrorMessage="1" errorTitle="Check this entry" error="Text up to 40 characters." promptTitle="Part number" prompt="Printed on the Quote in this order. One row per part. Text up to 40 characters." sqref="B21:B88">
      <formula1>0</formula1>
      <formula2>40</formula2>
    </dataValidation>
    <dataValidation type="textLength" allowBlank="1" showInputMessage="1" showErrorMessage="1" errorTitle="Check this entry" error="Text up to 80 characters." promptTitle="Description" prompt="Text up to 80 characters." sqref="C21:C88">
      <formula1>0</formula1>
      <formula2>80</formula2>
    </dataValidation>
    <dataValidation type="list" allowBlank="1" showInputMessage="1" showErrorMessage="1" errorTitle="Check this entry" error="Pick from the list (edit the list on Setup: Processes)." promptTitle="Process" prompt="Pick from the list (edit the list on Setup: Processes)." sqref="D21:D88">
      <formula1>Processes</formula1>
    </dataValidation>
    <dataValidation type="decimal" allowBlank="1" showInputMessage="1" showErrorMessage="1" errorTitle="Check this entry" error="Enter a number from 0 to 10,000,000." promptTitle="Material" prompt="Material and bought-in items per good part: resin incl. runner and regrind loss, bar, inserts, packaging. Enter a number from 0 to 10,000,000." sqref="E21:E88">
      <formula1>0</formula1>
      <formula2>10000000.0</formula2>
    </dataValidation>
    <dataValidation type="decimal" allowBlank="1" showInputMessage="1" showErrorMessage="1" errorTitle="Check this entry" error="Enter a number from 0 to 100,000." promptTitle="Run (min/part)" prompt="Machine or labour minutes per part. Moulding: cycle seconds / cavities / 60. Enter a number from 0 to 100,000." sqref="F21:F88">
      <formula1>0</formula1>
      <formula2>100000</formula2>
    </dataValidation>
    <dataValidation type="decimal" allowBlank="1" showInputMessage="1" showErrorMessage="1" errorTitle="Check this entry" error="Enter a number from 0 to 1,000." promptTitle="Setup (h/lot)" prompt="Setup, mould change, first-off and purge per lot. Enter a number from 0 to 1,000." sqref="G21:G88">
      <formula1>0</formula1>
      <formula2>1000</formula2>
    </dataValidation>
    <dataValidation type="whole" allowBlank="1" showInputMessage="1" showErrorMessage="1" errorTitle="Check this entry" error="Enter a whole number from 0 to 1,000,000." promptTitle="Setup scrap (parts/lot)" prompt="Parts scrapped while setting up each lot (start-up shots, first-off checks). Enter a whole number from 0 to 1,000,000." sqref="H21:H88">
      <formula1>0</formula1>
      <formula2>1000000.0</formula2>
    </dataValidation>
    <dataValidation type="whole" allowBlank="1" showInputMessage="1" showErrorMessage="1" errorTitle="Check this entry" error="Enter a whole number from 1 to 100,000,000." promptTitle="Qty 1" prompt="Quantity of good parts for this price break (one lot). Leave later breaks blank if you quote fewer. Enter a whole number from 1 to 100,000,000." sqref="I21:I88">
      <formula1>1</formula1>
      <formula2>100000000.0</formula2>
    </dataValidation>
    <dataValidation type="whole" allowBlank="1" showInputMessage="1" showErrorMessage="1" errorTitle="Check this entry" error="Enter a whole number from 1 to 100,000,000." promptTitle="Qty 2" prompt="Quantity of good parts for this price break (one lot). Leave later breaks blank if you quote fewer. Enter a whole number from 1 to 100,000,000." sqref="J21:J88">
      <formula1>1</formula1>
      <formula2>100000000.0</formula2>
    </dataValidation>
    <dataValidation type="whole" allowBlank="1" showInputMessage="1" showErrorMessage="1" errorTitle="Check this entry" error="Enter a whole number from 1 to 100,000,000." promptTitle="Qty 3" prompt="Quantity of good parts for this price break (one lot). Leave later breaks blank if you quote fewer. Enter a whole number from 1 to 100,000,000." sqref="K21:K88">
      <formula1>1</formula1>
      <formula2>100000000.0</formula2>
    </dataValidation>
    <dataValidation type="whole" allowBlank="1" showInputMessage="1" showErrorMessage="1" errorTitle="Check this entry" error="Enter a whole number from 1 to 100,000,000." promptTitle="Qty 4" prompt="Quantity of good parts for this price break (one lot). Leave later breaks blank if you quote fewer. Enter a whole number from 1 to 100,000,000." sqref="L21:L88">
      <formula1>1</formula1>
      <formula2>100000000.0</formula2>
    </dataValidation>
    <dataValidation type="whole" allowBlank="1" showInputMessage="1" showErrorMessage="1" errorTitle="Check this entry" error="Enter a whole number from 1 to 100,000,000." promptTitle="Qty 5" prompt="Quantity of good parts for this price break (one lot). Leave later breaks blank if you quote fewer. Enter a whole number from 1 to 100,000,000." sqref="M21:M88">
      <formula1>1</formula1>
      <formula2>100000000.0</formula2>
    </dataValidation>
    <dataValidation type="textLength" allowBlank="1" showInputMessage="1" showErrorMessage="1" errorTitle="Check this entry" error="Text up to 80 characters." promptTitle="Item" prompt="Text up to 80 characters." sqref="C34:C58">
      <formula1>0</formula1>
      <formula2>80</formula2>
    </dataValidation>
    <dataValidation type="textLength" allowBlank="1" showInputMessage="1" showErrorMessage="1" errorTitle="Check this entry" error="Text up to 120 characters." promptTitle="Notes" prompt="Text up to 120 characters." sqref="D34:D58">
      <formula1>0</formula1>
      <formula2>120</formula2>
    </dataValidation>
    <dataValidation type="decimal" allowBlank="1" showInputMessage="1" showErrorMessage="1" errorTitle="Check this entry" error="Enter a number of at least 0." promptTitle="Cost" prompt="Price of the mould, fixture or programming, billed once. Enter a number of at least 0." sqref="E34:E58">
      <formula1>0</formula1>
      <formula2>1000000000.0</formula2>
    </dataValidation>
    <dataValidation type="list" allowBlank="1" showInputMessage="1" showErrorMessage="1" errorTitle="Check this entry" error="Pick from the list (edit the list on Setup: PartList)." promptTitle="Part number to chart" prompt="Pick a part number from the quote lines. Pick from the list (edit the list on Setup: PartList)." sqref="D44">
      <formula1>PartList</formula1>
    </dataValidation>
  </dataValidations>
  <hyperlinks>
    <hyperlink ref="W2" r:id="rId1" tooltip="Free manufacturing calculators and templates"/>
  </hyperlinks>
  <pageMargins left="0.4" right="0.4" top="0.7" bottom="0.65" header="0.3" footer="0.3"/>
  <pageSetup fitToHeight="0" orientation="landscape"/>
  <headerFooter>
    <oddHeader>&amp;L&amp;8MFG Calcs - Price Quote with Quantity Breaks&amp;R&amp;8&amp;A</oddHeader>
    <oddFooter>&amp;L&amp;8mfgcalcs.com - free manufacturing templates&amp;R&amp;8Page &amp;P of &amp;N</oddFooter>
  </headerFooter>
  <rowBreaks count="1" manualBreakCount="1">
    <brk id="61" max="16383" man="1"/>
  </rowBreaks>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sheetPr>
    <tabColor rgb="FF1BA37A"/>
    <pageSetUpPr fitToPage="1"/>
  </sheetPr>
  <dimension ref="A1:H49"/>
  <sheetViews>
    <sheetView showGridLines="0" workbookViewId="0"/>
  </sheetViews>
  <sheetFormatPr defaultRowHeight="15"/>
  <cols>
    <col min="1" max="1" width="2.7109375" customWidth="1"/>
    <col min="2" max="2" width="15.7109375" customWidth="1"/>
    <col min="3" max="3" width="30.7109375" customWidth="1"/>
    <col min="4" max="8" width="13.7109375" customWidth="1"/>
  </cols>
  <sheetData>
    <row r="1" spans="1:8" ht="30" customHeight="1">
      <c r="A1" s="1" t="s">
        <v>0</v>
      </c>
      <c r="B1" s="1"/>
      <c r="C1" s="1"/>
      <c r="D1" s="1"/>
      <c r="E1" s="1"/>
      <c r="F1" s="1"/>
      <c r="G1" s="1"/>
      <c r="H1" s="1"/>
    </row>
    <row r="2" spans="1:8" ht="21" customHeight="1">
      <c r="B2" s="2" t="s">
        <v>24</v>
      </c>
      <c r="C2" s="2"/>
      <c r="D2" s="2"/>
      <c r="E2" s="2"/>
      <c r="F2" s="2"/>
      <c r="G2" s="2"/>
      <c r="H2" s="3" t="s">
        <v>2</v>
      </c>
    </row>
    <row r="3" spans="1:8" ht="6" customHeight="1"/>
    <row r="4" spans="1:8" ht="30" customHeight="1">
      <c r="B4" s="50" t="s">
        <v>188</v>
      </c>
      <c r="C4" s="50"/>
      <c r="D4" s="51" t="s">
        <v>189</v>
      </c>
      <c r="E4" s="51"/>
      <c r="F4" s="51"/>
      <c r="G4" s="51"/>
      <c r="H4" s="51"/>
    </row>
    <row r="5" spans="1:8">
      <c r="B5" s="50"/>
      <c r="C5" s="50"/>
      <c r="D5" s="52" t="str">
        <f>CoName</f>
        <v>Ridgeway Contract Manufacturing (example)</v>
      </c>
      <c r="E5" s="52"/>
      <c r="F5" s="52"/>
      <c r="G5" s="52"/>
      <c r="H5" s="52"/>
    </row>
    <row r="6" spans="1:8">
      <c r="B6" s="50"/>
      <c r="C6" s="50"/>
      <c r="D6" s="53" t="str">
        <f>CoAddress1&amp;", "&amp;CoAddress2</f>
        <v>Unit 12, Ridgeway Business Park, Ridgeway, RW4 7QT</v>
      </c>
      <c r="E6" s="53"/>
      <c r="F6" s="53"/>
      <c r="G6" s="53"/>
      <c r="H6" s="53"/>
    </row>
    <row r="7" spans="1:8">
      <c r="B7" s="50"/>
      <c r="C7" s="50"/>
      <c r="D7" s="53" t="str">
        <f>CoPhone&amp;"   "&amp;CoEmail</f>
        <v>+1 555 0163   sales@example.com</v>
      </c>
      <c r="E7" s="53"/>
      <c r="F7" s="53"/>
      <c r="G7" s="53"/>
      <c r="H7" s="53"/>
    </row>
    <row r="9" spans="1:8">
      <c r="B9" s="54" t="s">
        <v>190</v>
      </c>
      <c r="C9" s="55" t="str">
        <f>Customer</f>
        <v>Tallis Instruments (example)</v>
      </c>
      <c r="D9" s="55"/>
      <c r="E9" s="54" t="s">
        <v>129</v>
      </c>
      <c r="F9" s="56" t="str">
        <f>QuoteNo</f>
        <v>Q-2026-0388</v>
      </c>
      <c r="G9" s="56"/>
      <c r="H9" s="56"/>
    </row>
    <row r="10" spans="1:8">
      <c r="B10" s="54" t="s">
        <v>134</v>
      </c>
      <c r="C10" s="55" t="str">
        <f>Contact</f>
        <v>Supply chain manager</v>
      </c>
      <c r="D10" s="55"/>
      <c r="E10" s="54" t="s">
        <v>191</v>
      </c>
      <c r="F10" s="57">
        <f>QuoteDate</f>
        <v>46308</v>
      </c>
      <c r="G10" s="57"/>
      <c r="H10" s="57"/>
    </row>
    <row r="11" spans="1:8">
      <c r="B11" s="54" t="s">
        <v>192</v>
      </c>
      <c r="C11" s="55" t="str">
        <f>RFQRef</f>
        <v>RFQ-T-5521</v>
      </c>
      <c r="D11" s="55"/>
      <c r="E11" s="54" t="s">
        <v>193</v>
      </c>
      <c r="F11" s="57">
        <f>QuoteDate+Validity</f>
        <v>46338</v>
      </c>
      <c r="G11" s="57"/>
      <c r="H11" s="57"/>
    </row>
    <row r="12" spans="1:8">
      <c r="E12" s="54" t="s">
        <v>138</v>
      </c>
      <c r="F12" s="56" t="str">
        <f>PreparedBy</f>
        <v>Estimating</v>
      </c>
      <c r="G12" s="56"/>
      <c r="H12" s="56"/>
    </row>
    <row r="13" spans="1:8" ht="8" customHeight="1"/>
    <row r="14" spans="1:8" ht="22" customHeight="1">
      <c r="B14" s="58" t="s">
        <v>104</v>
      </c>
      <c r="C14" s="58" t="s">
        <v>105</v>
      </c>
      <c r="D14" s="58" t="str">
        <f>"Quantity (parts) and unit price ("&amp;Currency&amp;" per part)"</f>
        <v>Quantity (parts) and unit price (USD per part)</v>
      </c>
      <c r="E14" s="58"/>
      <c r="F14" s="58"/>
      <c r="G14" s="58"/>
      <c r="H14" s="58"/>
    </row>
    <row r="15" spans="1:8" ht="14" customHeight="1">
      <c r="B15" s="17" t="str">
        <f>IFERROR(INDEX(tblLines[Part number],1)&amp;"","")</f>
        <v>TI-4410-01</v>
      </c>
      <c r="C15" s="11" t="str">
        <f>IFERROR(INDEX(tblLines[Description],1)&amp;"","")</f>
        <v>Housing, PC/ABS, black, textured</v>
      </c>
      <c r="D15" s="59">
        <f>IFERROR(IF(INDEX(tblLines[Qty 1],1)="","",INDEX(tblLines[Qty 1],1)),"")</f>
        <v>1000</v>
      </c>
      <c r="E15" s="59">
        <f>IFERROR(IF(INDEX(tblLines[Qty 2],1)="","",INDEX(tblLines[Qty 2],1)),"")</f>
        <v>2500</v>
      </c>
      <c r="F15" s="59">
        <f>IFERROR(IF(INDEX(tblLines[Qty 3],1)="","",INDEX(tblLines[Qty 3],1)),"")</f>
        <v>5000</v>
      </c>
      <c r="G15" s="59">
        <f>IFERROR(IF(INDEX(tblLines[Qty 4],1)="","",INDEX(tblLines[Qty 4],1)),"")</f>
        <v>10000</v>
      </c>
      <c r="H15" s="59">
        <f>IFERROR(IF(INDEX(tblLines[Qty 5],1)="","",INDEX(tblLines[Qty 5],1)),"")</f>
        <v>25000</v>
      </c>
    </row>
    <row r="16" spans="1:8">
      <c r="C16" s="60" t="str">
        <f>IFERROR(IF(INDEX(tblLines[Part number],1)&amp;""="","","Unit price"),"")</f>
        <v>Unit price</v>
      </c>
      <c r="D16" s="61">
        <f>IFERROR(IF(INDEX(tblLines[Price 1],1)="","",INDEX(tblLines[Price 1],1)),"")</f>
        <v>3.6</v>
      </c>
      <c r="E16" s="61">
        <f>IFERROR(IF(INDEX(tblLines[Price 2],1)="","",INDEX(tblLines[Price 2],1)),"")</f>
        <v>3.34</v>
      </c>
      <c r="F16" s="61">
        <f>IFERROR(IF(INDEX(tblLines[Price 3],1)="","",INDEX(tblLines[Price 3],1)),"")</f>
        <v>3.26</v>
      </c>
      <c r="G16" s="61">
        <f>IFERROR(IF(INDEX(tblLines[Price 4],1)="","",INDEX(tblLines[Price 4],1)),"")</f>
        <v>3.21</v>
      </c>
      <c r="H16" s="61">
        <f>IFERROR(IF(INDEX(tblLines[Price 5],1)="","",INDEX(tblLines[Price 5],1)),"")</f>
        <v>3.19</v>
      </c>
    </row>
    <row r="17" spans="2:8" ht="14" customHeight="1">
      <c r="B17" s="17" t="str">
        <f>IFERROR(INDEX(tblLines[Part number],2)&amp;"","")</f>
        <v>TI-4410-02</v>
      </c>
      <c r="C17" s="11" t="str">
        <f>IFERROR(INDEX(tblLines[Description],2)&amp;"","")</f>
        <v>Cover, PC/ABS, black</v>
      </c>
      <c r="D17" s="59">
        <f>IFERROR(IF(INDEX(tblLines[Qty 1],2)="","",INDEX(tblLines[Qty 1],2)),"")</f>
        <v>1000</v>
      </c>
      <c r="E17" s="59">
        <f>IFERROR(IF(INDEX(tblLines[Qty 2],2)="","",INDEX(tblLines[Qty 2],2)),"")</f>
        <v>2500</v>
      </c>
      <c r="F17" s="59">
        <f>IFERROR(IF(INDEX(tblLines[Qty 3],2)="","",INDEX(tblLines[Qty 3],2)),"")</f>
        <v>5000</v>
      </c>
      <c r="G17" s="59">
        <f>IFERROR(IF(INDEX(tblLines[Qty 4],2)="","",INDEX(tblLines[Qty 4],2)),"")</f>
        <v>10000</v>
      </c>
      <c r="H17" s="59">
        <f>IFERROR(IF(INDEX(tblLines[Qty 5],2)="","",INDEX(tblLines[Qty 5],2)),"")</f>
        <v>25000</v>
      </c>
    </row>
    <row r="18" spans="2:8">
      <c r="C18" s="60" t="str">
        <f>IFERROR(IF(INDEX(tblLines[Part number],2)&amp;""="","","Unit price"),"")</f>
        <v>Unit price</v>
      </c>
      <c r="D18" s="61">
        <f>IFERROR(IF(INDEX(tblLines[Price 1],2)="","",INDEX(tblLines[Price 1],2)),"")</f>
        <v>2.24</v>
      </c>
      <c r="E18" s="61">
        <f>IFERROR(IF(INDEX(tblLines[Price 2],2)="","",INDEX(tblLines[Price 2],2)),"")</f>
        <v>2</v>
      </c>
      <c r="F18" s="61">
        <f>IFERROR(IF(INDEX(tblLines[Price 3],2)="","",INDEX(tblLines[Price 3],2)),"")</f>
        <v>1.92</v>
      </c>
      <c r="G18" s="61">
        <f>IFERROR(IF(INDEX(tblLines[Price 4],2)="","",INDEX(tblLines[Price 4],2)),"")</f>
        <v>1.88</v>
      </c>
      <c r="H18" s="61">
        <f>IFERROR(IF(INDEX(tblLines[Price 5],2)="","",INDEX(tblLines[Price 5],2)),"")</f>
        <v>1.86</v>
      </c>
    </row>
    <row r="19" spans="2:8" ht="14" customHeight="1">
      <c r="B19" s="17" t="str">
        <f>IFERROR(INDEX(tblLines[Part number],3)&amp;"","")</f>
        <v>TI-4410-05</v>
      </c>
      <c r="C19" s="11" t="str">
        <f>IFERROR(INDEX(tblLines[Description],3)&amp;"","")</f>
        <v>Battery door, ABS, grey</v>
      </c>
      <c r="D19" s="59">
        <f>IFERROR(IF(INDEX(tblLines[Qty 1],3)="","",INDEX(tblLines[Qty 1],3)),"")</f>
        <v>1000</v>
      </c>
      <c r="E19" s="59">
        <f>IFERROR(IF(INDEX(tblLines[Qty 2],3)="","",INDEX(tblLines[Qty 2],3)),"")</f>
        <v>2500</v>
      </c>
      <c r="F19" s="59">
        <f>IFERROR(IF(INDEX(tblLines[Qty 3],3)="","",INDEX(tblLines[Qty 3],3)),"")</f>
        <v>5000</v>
      </c>
      <c r="G19" s="59">
        <f>IFERROR(IF(INDEX(tblLines[Qty 4],3)="","",INDEX(tblLines[Qty 4],3)),"")</f>
        <v>10000</v>
      </c>
      <c r="H19" s="59">
        <f>IFERROR(IF(INDEX(tblLines[Qty 5],3)="","",INDEX(tblLines[Qty 5],3)),"")</f>
        <v>25000</v>
      </c>
    </row>
    <row r="20" spans="2:8">
      <c r="C20" s="60" t="str">
        <f>IFERROR(IF(INDEX(tblLines[Part number],3)&amp;""="","","Unit price"),"")</f>
        <v>Unit price</v>
      </c>
      <c r="D20" s="61">
        <f>IFERROR(IF(INDEX(tblLines[Price 1],3)="","",INDEX(tblLines[Price 1],3)),"")</f>
        <v>0.59</v>
      </c>
      <c r="E20" s="61">
        <f>IFERROR(IF(INDEX(tblLines[Price 2],3)="","",INDEX(tblLines[Price 2],3)),"")</f>
        <v>0.48</v>
      </c>
      <c r="F20" s="61">
        <f>IFERROR(IF(INDEX(tblLines[Price 3],3)="","",INDEX(tblLines[Price 3],3)),"")</f>
        <v>0.45</v>
      </c>
      <c r="G20" s="61">
        <f>IFERROR(IF(INDEX(tblLines[Price 4],3)="","",INDEX(tblLines[Price 4],3)),"")</f>
        <v>0.43</v>
      </c>
      <c r="H20" s="61">
        <f>IFERROR(IF(INDEX(tblLines[Price 5],3)="","",INDEX(tblLines[Price 5],3)),"")</f>
        <v>0.42</v>
      </c>
    </row>
    <row r="21" spans="2:8" ht="14" customHeight="1">
      <c r="B21" s="17" t="str">
        <f>IFERROR(INDEX(tblLines[Part number],4)&amp;"","")</f>
        <v>TI-4410-08</v>
      </c>
      <c r="C21" s="11" t="str">
        <f>IFERROR(INDEX(tblLines[Description],4)&amp;"","")</f>
        <v>Light pipe, clear PC</v>
      </c>
      <c r="D21" s="59">
        <f>IFERROR(IF(INDEX(tblLines[Qty 1],4)="","",INDEX(tblLines[Qty 1],4)),"")</f>
        <v>2500</v>
      </c>
      <c r="E21" s="59">
        <f>IFERROR(IF(INDEX(tblLines[Qty 2],4)="","",INDEX(tblLines[Qty 2],4)),"")</f>
        <v>5000</v>
      </c>
      <c r="F21" s="59">
        <f>IFERROR(IF(INDEX(tblLines[Qty 3],4)="","",INDEX(tblLines[Qty 3],4)),"")</f>
        <v>10000</v>
      </c>
      <c r="G21" s="59">
        <f>IFERROR(IF(INDEX(tblLines[Qty 4],4)="","",INDEX(tblLines[Qty 4],4)),"")</f>
        <v>25000</v>
      </c>
      <c r="H21" s="59">
        <f>IFERROR(IF(INDEX(tblLines[Qty 5],4)="","",INDEX(tblLines[Qty 5],4)),"")</f>
        <v>50000</v>
      </c>
    </row>
    <row r="22" spans="2:8">
      <c r="C22" s="60" t="str">
        <f>IFERROR(IF(INDEX(tblLines[Part number],4)&amp;""="","","Unit price"),"")</f>
        <v>Unit price</v>
      </c>
      <c r="D22" s="61">
        <f>IFERROR(IF(INDEX(tblLines[Price 1],4)="","",INDEX(tblLines[Price 1],4)),"")</f>
        <v>0.21</v>
      </c>
      <c r="E22" s="61">
        <f>IFERROR(IF(INDEX(tblLines[Price 2],4)="","",INDEX(tblLines[Price 2],4)),"")</f>
        <v>0.17</v>
      </c>
      <c r="F22" s="61">
        <f>IFERROR(IF(INDEX(tblLines[Price 3],4)="","",INDEX(tblLines[Price 3],4)),"")</f>
        <v>0.15</v>
      </c>
      <c r="G22" s="61">
        <f>IFERROR(IF(INDEX(tblLines[Price 4],4)="","",INDEX(tblLines[Price 4],4)),"")</f>
        <v>0.13</v>
      </c>
      <c r="H22" s="61">
        <f>IFERROR(IF(INDEX(tblLines[Price 5],4)="","",INDEX(tblLines[Price 5],4)),"")</f>
        <v>0.13</v>
      </c>
    </row>
    <row r="23" spans="2:8" ht="14" customHeight="1">
      <c r="B23" s="17" t="str">
        <f>IFERROR(INDEX(tblLines[Part number],5)&amp;"","")</f>
        <v>TI-4410-12</v>
      </c>
      <c r="C23" s="11" t="str">
        <f>IFERROR(INDEX(tblLines[Description],5)&amp;"","")</f>
        <v>Knob, POM, brass insert</v>
      </c>
      <c r="D23" s="59">
        <f>IFERROR(IF(INDEX(tblLines[Qty 1],5)="","",INDEX(tblLines[Qty 1],5)),"")</f>
        <v>1000</v>
      </c>
      <c r="E23" s="59">
        <f>IFERROR(IF(INDEX(tblLines[Qty 2],5)="","",INDEX(tblLines[Qty 2],5)),"")</f>
        <v>2500</v>
      </c>
      <c r="F23" s="59">
        <f>IFERROR(IF(INDEX(tblLines[Qty 3],5)="","",INDEX(tblLines[Qty 3],5)),"")</f>
        <v>5000</v>
      </c>
      <c r="G23" s="59">
        <f>IFERROR(IF(INDEX(tblLines[Qty 4],5)="","",INDEX(tblLines[Qty 4],5)),"")</f>
        <v>10000</v>
      </c>
      <c r="H23" s="59">
        <f>IFERROR(IF(INDEX(tblLines[Qty 5],5)="","",INDEX(tblLines[Qty 5],5)),"")</f>
        <v>25000</v>
      </c>
    </row>
    <row r="24" spans="2:8">
      <c r="C24" s="60" t="str">
        <f>IFERROR(IF(INDEX(tblLines[Part number],5)&amp;""="","","Unit price"),"")</f>
        <v>Unit price</v>
      </c>
      <c r="D24" s="61">
        <f>IFERROR(IF(INDEX(tblLines[Price 1],5)="","",INDEX(tblLines[Price 1],5)),"")</f>
        <v>1.01</v>
      </c>
      <c r="E24" s="61">
        <f>IFERROR(IF(INDEX(tblLines[Price 2],5)="","",INDEX(tblLines[Price 2],5)),"")</f>
        <v>0.91</v>
      </c>
      <c r="F24" s="61">
        <f>IFERROR(IF(INDEX(tblLines[Price 3],5)="","",INDEX(tblLines[Price 3],5)),"")</f>
        <v>0.87</v>
      </c>
      <c r="G24" s="61">
        <f>IFERROR(IF(INDEX(tblLines[Price 4],5)="","",INDEX(tblLines[Price 4],5)),"")</f>
        <v>0.85</v>
      </c>
      <c r="H24" s="61">
        <f>IFERROR(IF(INDEX(tblLines[Price 5],5)="","",INDEX(tblLines[Price 5],5)),"")</f>
        <v>0.84</v>
      </c>
    </row>
    <row r="25" spans="2:8" ht="14" customHeight="1">
      <c r="B25" s="17" t="str">
        <f>IFERROR(INDEX(tblLines[Part number],6)&amp;"","")</f>
        <v>TI-2207-11</v>
      </c>
      <c r="C25" s="11" t="str">
        <f>IFERROR(INDEX(tblLines[Description],6)&amp;"","")</f>
        <v>Mounting bracket, 6082-T6</v>
      </c>
      <c r="D25" s="59">
        <f>IFERROR(IF(INDEX(tblLines[Qty 1],6)="","",INDEX(tblLines[Qty 1],6)),"")</f>
        <v>50</v>
      </c>
      <c r="E25" s="59">
        <f>IFERROR(IF(INDEX(tblLines[Qty 2],6)="","",INDEX(tblLines[Qty 2],6)),"")</f>
        <v>100</v>
      </c>
      <c r="F25" s="59">
        <f>IFERROR(IF(INDEX(tblLines[Qty 3],6)="","",INDEX(tblLines[Qty 3],6)),"")</f>
        <v>250</v>
      </c>
      <c r="G25" s="59">
        <f>IFERROR(IF(INDEX(tblLines[Qty 4],6)="","",INDEX(tblLines[Qty 4],6)),"")</f>
        <v>500</v>
      </c>
      <c r="H25" s="59">
        <f>IFERROR(IF(INDEX(tblLines[Qty 5],6)="","",INDEX(tblLines[Qty 5],6)),"")</f>
        <v>1000</v>
      </c>
    </row>
    <row r="26" spans="2:8">
      <c r="C26" s="60" t="str">
        <f>IFERROR(IF(INDEX(tblLines[Part number],6)&amp;""="","","Unit price"),"")</f>
        <v>Unit price</v>
      </c>
      <c r="D26" s="61">
        <f>IFERROR(IF(INDEX(tblLines[Price 1],6)="","",INDEX(tblLines[Price 1],6)),"")</f>
        <v>23.29</v>
      </c>
      <c r="E26" s="61">
        <f>IFERROR(IF(INDEX(tblLines[Price 2],6)="","",INDEX(tblLines[Price 2],6)),"")</f>
        <v>19.89</v>
      </c>
      <c r="F26" s="61">
        <f>IFERROR(IF(INDEX(tblLines[Price 3],6)="","",INDEX(tblLines[Price 3],6)),"")</f>
        <v>17.85</v>
      </c>
      <c r="G26" s="61">
        <f>IFERROR(IF(INDEX(tblLines[Price 4],6)="","",INDEX(tblLines[Price 4],6)),"")</f>
        <v>17.17</v>
      </c>
      <c r="H26" s="61">
        <f>IFERROR(IF(INDEX(tblLines[Price 5],6)="","",INDEX(tblLines[Price 5],6)),"")</f>
        <v>16.83</v>
      </c>
    </row>
    <row r="27" spans="2:8" ht="14" customHeight="1">
      <c r="B27" s="17" t="str">
        <f>IFERROR(INDEX(tblLines[Part number],7)&amp;"","")</f>
        <v>TI-2207-14</v>
      </c>
      <c r="C27" s="11" t="str">
        <f>IFERROR(INDEX(tblLines[Description],7)&amp;"","")</f>
        <v>Drive shaft, 303 stainless</v>
      </c>
      <c r="D27" s="59">
        <f>IFERROR(IF(INDEX(tblLines[Qty 1],7)="","",INDEX(tblLines[Qty 1],7)),"")</f>
        <v>50</v>
      </c>
      <c r="E27" s="59">
        <f>IFERROR(IF(INDEX(tblLines[Qty 2],7)="","",INDEX(tblLines[Qty 2],7)),"")</f>
        <v>100</v>
      </c>
      <c r="F27" s="59">
        <f>IFERROR(IF(INDEX(tblLines[Qty 3],7)="","",INDEX(tblLines[Qty 3],7)),"")</f>
        <v>250</v>
      </c>
      <c r="G27" s="59">
        <f>IFERROR(IF(INDEX(tblLines[Qty 4],7)="","",INDEX(tblLines[Qty 4],7)),"")</f>
        <v>500</v>
      </c>
      <c r="H27" s="59">
        <f>IFERROR(IF(INDEX(tblLines[Qty 5],7)="","",INDEX(tblLines[Qty 5],7)),"")</f>
        <v>1000</v>
      </c>
    </row>
    <row r="28" spans="2:8">
      <c r="C28" s="60" t="str">
        <f>IFERROR(IF(INDEX(tblLines[Part number],7)&amp;""="","","Unit price"),"")</f>
        <v>Unit price</v>
      </c>
      <c r="D28" s="61">
        <f>IFERROR(IF(INDEX(tblLines[Price 1],7)="","",INDEX(tblLines[Price 1],7)),"")</f>
        <v>15.78</v>
      </c>
      <c r="E28" s="61">
        <f>IFERROR(IF(INDEX(tblLines[Price 2],7)="","",INDEX(tblLines[Price 2],7)),"")</f>
        <v>13.79</v>
      </c>
      <c r="F28" s="61">
        <f>IFERROR(IF(INDEX(tblLines[Price 3],7)="","",INDEX(tblLines[Price 3],7)),"")</f>
        <v>12.59</v>
      </c>
      <c r="G28" s="61">
        <f>IFERROR(IF(INDEX(tblLines[Price 4],7)="","",INDEX(tblLines[Price 4],7)),"")</f>
        <v>12.19</v>
      </c>
      <c r="H28" s="61">
        <f>IFERROR(IF(INDEX(tblLines[Price 5],7)="","",INDEX(tblLines[Price 5],7)),"")</f>
        <v>11.99</v>
      </c>
    </row>
    <row r="29" spans="2:8" ht="14" customHeight="1">
      <c r="B29" s="17" t="str">
        <f>IFERROR(INDEX(tblLines[Part number],8)&amp;"","")</f>
        <v>TI-2207-19</v>
      </c>
      <c r="C29" s="11" t="str">
        <f>IFERROR(INDEX(tblLines[Description],8)&amp;"","")</f>
        <v>Spacer bush, brass</v>
      </c>
      <c r="D29" s="59">
        <f>IFERROR(IF(INDEX(tblLines[Qty 1],8)="","",INDEX(tblLines[Qty 1],8)),"")</f>
        <v>100</v>
      </c>
      <c r="E29" s="59">
        <f>IFERROR(IF(INDEX(tblLines[Qty 2],8)="","",INDEX(tblLines[Qty 2],8)),"")</f>
        <v>250</v>
      </c>
      <c r="F29" s="59">
        <f>IFERROR(IF(INDEX(tblLines[Qty 3],8)="","",INDEX(tblLines[Qty 3],8)),"")</f>
        <v>500</v>
      </c>
      <c r="G29" s="59">
        <f>IFERROR(IF(INDEX(tblLines[Qty 4],8)="","",INDEX(tblLines[Qty 4],8)),"")</f>
        <v>1000</v>
      </c>
      <c r="H29" s="59">
        <f>IFERROR(IF(INDEX(tblLines[Qty 5],8)="","",INDEX(tblLines[Qty 5],8)),"")</f>
        <v>2500</v>
      </c>
    </row>
    <row r="30" spans="2:8">
      <c r="C30" s="60" t="str">
        <f>IFERROR(IF(INDEX(tblLines[Part number],8)&amp;""="","","Unit price"),"")</f>
        <v>Unit price</v>
      </c>
      <c r="D30" s="61">
        <f>IFERROR(IF(INDEX(tblLines[Price 1],8)="","",INDEX(tblLines[Price 1],8)),"")</f>
        <v>3.41</v>
      </c>
      <c r="E30" s="61">
        <f>IFERROR(IF(INDEX(tblLines[Price 2],8)="","",INDEX(tblLines[Price 2],8)),"")</f>
        <v>2.69</v>
      </c>
      <c r="F30" s="61">
        <f>IFERROR(IF(INDEX(tblLines[Price 3],8)="","",INDEX(tblLines[Price 3],8)),"")</f>
        <v>2.45</v>
      </c>
      <c r="G30" s="61">
        <f>IFERROR(IF(INDEX(tblLines[Price 4],8)="","",INDEX(tblLines[Price 4],8)),"")</f>
        <v>2.33</v>
      </c>
      <c r="H30" s="61">
        <f>IFERROR(IF(INDEX(tblLines[Price 5],8)="","",INDEX(tblLines[Price 5],8)),"")</f>
        <v>2.25</v>
      </c>
    </row>
    <row r="31" spans="2:8" ht="6" customHeight="1"/>
    <row r="32" spans="2:8" ht="26" customHeight="1">
      <c r="B32" s="10" t="str">
        <f>IF(COUNTA(tblLines[Part number])&gt;8,"More quote lines are listed on the Quote Lines sheet. ","")&amp;LeadText</f>
        <v>Samples 6 weeks after tooling order; production 3 weeks after sample approval, then to schedule</v>
      </c>
      <c r="C32" s="10"/>
      <c r="D32" s="10"/>
      <c r="E32" s="10"/>
      <c r="F32" s="10"/>
      <c r="G32" s="10"/>
      <c r="H32" s="10"/>
    </row>
    <row r="33" spans="2:8">
      <c r="B33" s="33" t="str">
        <f>"Tooling and one-off charges (billed separately)"&amp;IF(COUNTA(tblTooling[Item])&gt;5,"  -  more items on the Quote Lines sheet","")</f>
        <v>Tooling and one-off charges (billed separately)</v>
      </c>
      <c r="C33" s="33"/>
      <c r="D33" s="33"/>
      <c r="E33" s="33"/>
      <c r="F33" s="33"/>
      <c r="G33" s="33"/>
      <c r="H33" s="33"/>
    </row>
    <row r="34" spans="2:8">
      <c r="B34" s="62" t="str">
        <f>IFERROR(INDEX(tblTooling[Item],1)&amp;"","")</f>
        <v>2-cavity mould, housing TI-4410-01</v>
      </c>
      <c r="C34" s="62"/>
      <c r="D34" s="62"/>
      <c r="E34" s="62"/>
      <c r="F34" s="62"/>
      <c r="G34" s="63" t="str">
        <f>IF(IFERROR(INDEX(tblTooling[Item],1)&amp;"","")="","",Currency)</f>
        <v>USD</v>
      </c>
      <c r="H34" s="64">
        <f>IF(IFERROR(INDEX(tblTooling[Item],1)&amp;"","")="","",INDEX(tblTooling[Cost],1))</f>
        <v>28500</v>
      </c>
    </row>
    <row r="35" spans="2:8">
      <c r="B35" s="62" t="str">
        <f>IFERROR(INDEX(tblTooling[Item],2)&amp;"","")</f>
        <v>2-cavity mould, cover TI-4410-02</v>
      </c>
      <c r="C35" s="62"/>
      <c r="D35" s="62"/>
      <c r="E35" s="62"/>
      <c r="F35" s="62"/>
      <c r="G35" s="63" t="str">
        <f>IF(IFERROR(INDEX(tblTooling[Item],2)&amp;"","")="","",Currency)</f>
        <v>USD</v>
      </c>
      <c r="H35" s="64">
        <f>IF(IFERROR(INDEX(tblTooling[Item],2)&amp;"","")="","",INDEX(tblTooling[Cost],2))</f>
        <v>21000</v>
      </c>
    </row>
    <row r="36" spans="2:8">
      <c r="B36" s="62" t="str">
        <f>IFERROR(INDEX(tblTooling[Item],3)&amp;"","")</f>
        <v>4-cavity mould, battery door TI-4410-05</v>
      </c>
      <c r="C36" s="62"/>
      <c r="D36" s="62"/>
      <c r="E36" s="62"/>
      <c r="F36" s="62"/>
      <c r="G36" s="63" t="str">
        <f>IF(IFERROR(INDEX(tblTooling[Item],3)&amp;"","")="","",Currency)</f>
        <v>USD</v>
      </c>
      <c r="H36" s="64">
        <f>IF(IFERROR(INDEX(tblTooling[Item],3)&amp;"","")="","",INDEX(tblTooling[Cost],3))</f>
        <v>14800</v>
      </c>
    </row>
    <row r="37" spans="2:8">
      <c r="B37" s="62" t="str">
        <f>IFERROR(INDEX(tblTooling[Item],4)&amp;"","")</f>
        <v>8-cavity mould, light pipe TI-4410-08</v>
      </c>
      <c r="C37" s="62"/>
      <c r="D37" s="62"/>
      <c r="E37" s="62"/>
      <c r="F37" s="62"/>
      <c r="G37" s="63" t="str">
        <f>IF(IFERROR(INDEX(tblTooling[Item],4)&amp;"","")="","",Currency)</f>
        <v>USD</v>
      </c>
      <c r="H37" s="64">
        <f>IF(IFERROR(INDEX(tblTooling[Item],4)&amp;"","")="","",INDEX(tblTooling[Cost],4))</f>
        <v>19600</v>
      </c>
    </row>
    <row r="38" spans="2:8">
      <c r="B38" s="62" t="str">
        <f>IFERROR(INDEX(tblTooling[Item],5)&amp;"","")</f>
        <v>Milling fixture and programming, TI-2207-11</v>
      </c>
      <c r="C38" s="62"/>
      <c r="D38" s="62"/>
      <c r="E38" s="62"/>
      <c r="F38" s="62"/>
      <c r="G38" s="63" t="str">
        <f>IF(IFERROR(INDEX(tblTooling[Item],5)&amp;"","")="","",Currency)</f>
        <v>USD</v>
      </c>
      <c r="H38" s="64">
        <f>IF(IFERROR(INDEX(tblTooling[Item],5)&amp;"","")="","",INDEX(tblTooling[Cost],5))</f>
        <v>650</v>
      </c>
    </row>
    <row r="39" spans="2:8" ht="6" customHeight="1"/>
    <row r="40" spans="2:8">
      <c r="B40" s="33" t="s">
        <v>194</v>
      </c>
    </row>
    <row r="41" spans="2:8">
      <c r="B41" s="54" t="s">
        <v>195</v>
      </c>
      <c r="C41" s="55" t="str">
        <f>PayTerms</f>
        <v>Net 30 days from invoice; tooling 50% with order, 50% on sample approval</v>
      </c>
      <c r="D41" s="55"/>
      <c r="E41" s="55"/>
      <c r="F41" s="55"/>
      <c r="G41" s="55"/>
      <c r="H41" s="55"/>
    </row>
    <row r="42" spans="2:8">
      <c r="B42" s="54" t="s">
        <v>196</v>
      </c>
      <c r="C42" s="55" t="str">
        <f>DelTerms</f>
        <v>Ex works, packed in returnable totes</v>
      </c>
      <c r="D42" s="55"/>
      <c r="E42" s="55"/>
      <c r="F42" s="55"/>
      <c r="G42" s="55"/>
      <c r="H42" s="55"/>
    </row>
    <row r="43" spans="2:8">
      <c r="B43" s="54" t="s">
        <v>197</v>
      </c>
      <c r="C43" s="55" t="str">
        <f>"Valid for "&amp;Validity&amp;" days from the quote date."</f>
        <v>Valid for 30 days from the quote date.</v>
      </c>
      <c r="D43" s="55"/>
      <c r="E43" s="55"/>
      <c r="F43" s="55"/>
      <c r="G43" s="55"/>
      <c r="H43" s="55"/>
    </row>
    <row r="44" spans="2:8" ht="40" customHeight="1">
      <c r="B44" s="10" t="str">
        <f>Terms</f>
        <v>Unit prices are per part in the currency shown, for the quantity called off and made in one lot, and exclude sales taxes, duties and freight. Tooling is billed separately and becomes the customer's property on payment. Replace this example text with your own terms of sale.</v>
      </c>
      <c r="C44" s="10"/>
      <c r="D44" s="10"/>
      <c r="E44" s="10"/>
      <c r="F44" s="10"/>
      <c r="G44" s="10"/>
      <c r="H44" s="10"/>
    </row>
    <row r="45" spans="2:8">
      <c r="B45" s="33" t="s">
        <v>198</v>
      </c>
    </row>
    <row r="46" spans="2:8" ht="18" customHeight="1">
      <c r="B46" s="65" t="s">
        <v>199</v>
      </c>
      <c r="C46" s="65"/>
      <c r="D46" s="55"/>
      <c r="E46" s="55"/>
      <c r="F46" s="55"/>
      <c r="G46" s="55"/>
      <c r="H46" s="55"/>
    </row>
    <row r="47" spans="2:8" ht="18" customHeight="1">
      <c r="B47" s="65" t="s">
        <v>200</v>
      </c>
      <c r="C47" s="65"/>
      <c r="D47" s="55"/>
      <c r="E47" s="55"/>
      <c r="F47" s="55"/>
      <c r="G47" s="55"/>
      <c r="H47" s="55"/>
    </row>
    <row r="48" spans="2:8" ht="18" customHeight="1">
      <c r="B48" s="65" t="s">
        <v>201</v>
      </c>
      <c r="C48" s="65"/>
      <c r="D48" s="55"/>
      <c r="E48" s="55"/>
      <c r="F48" s="55"/>
      <c r="G48" s="55"/>
      <c r="H48" s="55"/>
    </row>
    <row r="49" spans="2:8" ht="18" customHeight="1">
      <c r="B49" s="65" t="s">
        <v>202</v>
      </c>
      <c r="C49" s="65"/>
      <c r="D49" s="55"/>
      <c r="E49" s="55"/>
      <c r="F49" s="55"/>
      <c r="G49" s="55"/>
      <c r="H49" s="55"/>
    </row>
  </sheetData>
  <sheetProtection sheet="1" formatColumns="0" formatRows="0"/>
  <mergeCells count="34">
    <mergeCell ref="A1:H1"/>
    <mergeCell ref="B2:G2"/>
    <mergeCell ref="B4:C7"/>
    <mergeCell ref="D4:H4"/>
    <mergeCell ref="D5:H5"/>
    <mergeCell ref="D6:H6"/>
    <mergeCell ref="D7:H7"/>
    <mergeCell ref="C9:D9"/>
    <mergeCell ref="F9:H9"/>
    <mergeCell ref="C10:D10"/>
    <mergeCell ref="F10:H10"/>
    <mergeCell ref="C11:D11"/>
    <mergeCell ref="F11:H11"/>
    <mergeCell ref="F12:H12"/>
    <mergeCell ref="D14:H14"/>
    <mergeCell ref="B32:H32"/>
    <mergeCell ref="B33:H33"/>
    <mergeCell ref="B34:F34"/>
    <mergeCell ref="B35:F35"/>
    <mergeCell ref="B36:F36"/>
    <mergeCell ref="B37:F37"/>
    <mergeCell ref="B38:F38"/>
    <mergeCell ref="C41:H41"/>
    <mergeCell ref="C42:H42"/>
    <mergeCell ref="C43:H43"/>
    <mergeCell ref="B44:H44"/>
    <mergeCell ref="B46:C46"/>
    <mergeCell ref="D46:H46"/>
    <mergeCell ref="B47:C47"/>
    <mergeCell ref="D47:H47"/>
    <mergeCell ref="B48:C48"/>
    <mergeCell ref="D48:H48"/>
    <mergeCell ref="B49:C49"/>
    <mergeCell ref="D49:H49"/>
  </mergeCells>
  <hyperlinks>
    <hyperlink ref="H2" r:id="rId1" tooltip="Free manufacturing calculators and templates"/>
  </hyperlinks>
  <printOptions horizontalCentered="1"/>
  <pageMargins left="0.4" right="0.4" top="0.7" bottom="0.65" header="0.3" footer="0.3"/>
  <pageSetup fitToHeight="0" orientation="portrait"/>
  <headerFooter>
    <oddHeader>&amp;L&amp;8MFG Calcs - Price Quote with Quantity Breaks&amp;R&amp;8&amp;A</oddHeader>
    <oddFooter>&amp;L&amp;8mfgcalcs.com - free manufacturing templates&amp;R&amp;8Page &amp;P of &amp;N</oddFooter>
  </headerFooter>
</worksheet>
</file>

<file path=xl/worksheets/sheet5.xml><?xml version="1.0" encoding="utf-8"?>
<worksheet xmlns="http://schemas.openxmlformats.org/spreadsheetml/2006/main" xmlns:r="http://schemas.openxmlformats.org/officeDocument/2006/relationships">
  <sheetPr>
    <tabColor rgb="FF6B7280"/>
    <pageSetUpPr fitToPage="1"/>
  </sheetPr>
  <dimension ref="A1:D55"/>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26</v>
      </c>
      <c r="C2" s="2"/>
      <c r="D2" s="3" t="s">
        <v>2</v>
      </c>
    </row>
    <row r="3" spans="1:4" ht="6" customHeight="1"/>
    <row r="4" spans="1:4" ht="21" customHeight="1">
      <c r="B4" s="8" t="s">
        <v>203</v>
      </c>
      <c r="C4" s="8"/>
      <c r="D4" s="8"/>
    </row>
    <row r="5" spans="1:4" ht="5" customHeight="1"/>
    <row r="6" spans="1:4" ht="42.6" customHeight="1">
      <c r="B6" s="10" t="s">
        <v>204</v>
      </c>
      <c r="C6" s="10"/>
      <c r="D6" s="10"/>
    </row>
    <row r="8" spans="1:4" ht="21" customHeight="1">
      <c r="B8" s="8" t="s">
        <v>205</v>
      </c>
      <c r="C8" s="8"/>
      <c r="D8" s="8"/>
    </row>
    <row r="9" spans="1:4" ht="5" customHeight="1"/>
    <row r="10" spans="1:4" ht="20" customHeight="1">
      <c r="B10" s="45" t="s">
        <v>178</v>
      </c>
      <c r="C10" s="45" t="s">
        <v>206</v>
      </c>
      <c r="D10" s="35" t="s">
        <v>207</v>
      </c>
    </row>
    <row r="11" spans="1:4" ht="17.2" customHeight="1">
      <c r="B11" s="66" t="s">
        <v>208</v>
      </c>
      <c r="C11" s="67" t="s">
        <v>209</v>
      </c>
      <c r="D11" s="68" t="s">
        <v>210</v>
      </c>
    </row>
    <row r="12" spans="1:4" ht="17.2" customHeight="1">
      <c r="B12" s="66" t="s">
        <v>116</v>
      </c>
      <c r="C12" s="67" t="s">
        <v>211</v>
      </c>
      <c r="D12" s="68" t="s">
        <v>212</v>
      </c>
    </row>
    <row r="13" spans="1:4" ht="17.2" customHeight="1">
      <c r="B13" s="66" t="s">
        <v>213</v>
      </c>
      <c r="C13" s="67" t="s">
        <v>214</v>
      </c>
      <c r="D13" s="68" t="s">
        <v>215</v>
      </c>
    </row>
    <row r="14" spans="1:4" ht="30.4" customHeight="1">
      <c r="B14" s="66" t="s">
        <v>118</v>
      </c>
      <c r="C14" s="67" t="s">
        <v>216</v>
      </c>
      <c r="D14" s="68" t="s">
        <v>144</v>
      </c>
    </row>
    <row r="15" spans="1:4" ht="30.4" customHeight="1">
      <c r="B15" s="66" t="s">
        <v>180</v>
      </c>
      <c r="C15" s="67" t="s">
        <v>217</v>
      </c>
      <c r="D15" s="68" t="s">
        <v>212</v>
      </c>
    </row>
    <row r="16" spans="1:4" ht="30.4" customHeight="1">
      <c r="B16" s="66" t="s">
        <v>218</v>
      </c>
      <c r="C16" s="67" t="s">
        <v>219</v>
      </c>
      <c r="D16" s="68" t="s">
        <v>212</v>
      </c>
    </row>
    <row r="17" spans="2:4" ht="17.2" customHeight="1">
      <c r="B17" s="66" t="s">
        <v>220</v>
      </c>
      <c r="C17" s="67" t="s">
        <v>221</v>
      </c>
      <c r="D17" s="68" t="s">
        <v>183</v>
      </c>
    </row>
    <row r="18" spans="2:4" ht="17.2" customHeight="1">
      <c r="B18" s="66" t="s">
        <v>222</v>
      </c>
      <c r="C18" s="67" t="s">
        <v>223</v>
      </c>
      <c r="D18" s="68" t="s">
        <v>183</v>
      </c>
    </row>
    <row r="19" spans="2:4" ht="17.2" customHeight="1">
      <c r="B19" s="66" t="s">
        <v>224</v>
      </c>
      <c r="C19" s="67" t="s">
        <v>225</v>
      </c>
      <c r="D19" s="68" t="s">
        <v>226</v>
      </c>
    </row>
    <row r="21" spans="2:4" ht="21" customHeight="1">
      <c r="B21" s="8" t="s">
        <v>227</v>
      </c>
      <c r="C21" s="8"/>
      <c r="D21" s="8"/>
    </row>
    <row r="22" spans="2:4" ht="5" customHeight="1"/>
    <row r="23" spans="2:4" ht="29.4" customHeight="1">
      <c r="B23" s="26" t="s">
        <v>55</v>
      </c>
      <c r="C23" s="10" t="s">
        <v>228</v>
      </c>
      <c r="D23" s="10"/>
    </row>
    <row r="24" spans="2:4" ht="29.4" customHeight="1">
      <c r="B24" s="26" t="s">
        <v>55</v>
      </c>
      <c r="C24" s="10" t="s">
        <v>229</v>
      </c>
      <c r="D24" s="10"/>
    </row>
    <row r="25" spans="2:4" ht="29.4" customHeight="1">
      <c r="B25" s="26" t="s">
        <v>55</v>
      </c>
      <c r="C25" s="10" t="s">
        <v>230</v>
      </c>
      <c r="D25" s="10"/>
    </row>
    <row r="26" spans="2:4" ht="16.2" customHeight="1">
      <c r="B26" s="26" t="s">
        <v>55</v>
      </c>
      <c r="C26" s="10" t="s">
        <v>231</v>
      </c>
      <c r="D26" s="10"/>
    </row>
    <row r="28" spans="2:4" ht="21" customHeight="1">
      <c r="B28" s="8" t="s">
        <v>232</v>
      </c>
      <c r="C28" s="8"/>
      <c r="D28" s="8"/>
    </row>
    <row r="29" spans="2:4" ht="5" customHeight="1"/>
    <row r="30" spans="2:4" ht="29.4" customHeight="1">
      <c r="B30" s="26" t="s">
        <v>55</v>
      </c>
      <c r="C30" s="10" t="s">
        <v>233</v>
      </c>
      <c r="D30" s="10"/>
    </row>
    <row r="31" spans="2:4" ht="29.4" customHeight="1">
      <c r="B31" s="26" t="s">
        <v>55</v>
      </c>
      <c r="C31" s="10" t="s">
        <v>234</v>
      </c>
      <c r="D31" s="10"/>
    </row>
    <row r="32" spans="2:4" ht="29.4" customHeight="1">
      <c r="B32" s="26" t="s">
        <v>55</v>
      </c>
      <c r="C32" s="10" t="s">
        <v>235</v>
      </c>
      <c r="D32" s="10"/>
    </row>
    <row r="33" spans="2:4" ht="16.2" customHeight="1">
      <c r="B33" s="26" t="s">
        <v>55</v>
      </c>
      <c r="C33" s="10" t="s">
        <v>236</v>
      </c>
      <c r="D33" s="10"/>
    </row>
    <row r="35" spans="2:4" ht="21" customHeight="1">
      <c r="B35" s="8" t="s">
        <v>237</v>
      </c>
      <c r="C35" s="8"/>
      <c r="D35" s="8"/>
    </row>
    <row r="36" spans="2:4" ht="5" customHeight="1"/>
    <row r="37" spans="2:4" ht="108.6" customHeight="1">
      <c r="B37" s="10" t="s">
        <v>238</v>
      </c>
      <c r="C37" s="10"/>
      <c r="D37" s="10"/>
    </row>
    <row r="38" spans="2:4">
      <c r="B38" s="24" t="s">
        <v>239</v>
      </c>
      <c r="C38" s="24"/>
      <c r="D38" s="24"/>
    </row>
    <row r="40" spans="2:4" ht="21" customHeight="1">
      <c r="B40" s="8" t="s">
        <v>42</v>
      </c>
      <c r="C40" s="8"/>
      <c r="D40" s="8"/>
    </row>
    <row r="41" spans="2:4" ht="5" customHeight="1"/>
    <row r="42" spans="2:4" ht="42.6" customHeight="1">
      <c r="B42" s="10" t="s">
        <v>240</v>
      </c>
      <c r="C42" s="10"/>
      <c r="D42" s="10"/>
    </row>
    <row r="44" spans="2:4" ht="21" customHeight="1">
      <c r="B44" s="8" t="s">
        <v>241</v>
      </c>
      <c r="C44" s="8"/>
      <c r="D44" s="8"/>
    </row>
    <row r="45" spans="2:4" ht="5" customHeight="1"/>
    <row r="46" spans="2:4" ht="16.2" customHeight="1">
      <c r="B46" s="26" t="s">
        <v>55</v>
      </c>
      <c r="C46" s="10" t="s">
        <v>242</v>
      </c>
      <c r="D46" s="10"/>
    </row>
    <row r="47" spans="2:4" ht="29.4" customHeight="1">
      <c r="B47" s="26" t="s">
        <v>55</v>
      </c>
      <c r="C47" s="10" t="s">
        <v>243</v>
      </c>
      <c r="D47" s="10"/>
    </row>
    <row r="48" spans="2:4">
      <c r="B48" s="21" t="s">
        <v>244</v>
      </c>
      <c r="C48" s="21"/>
      <c r="D48" s="21"/>
    </row>
    <row r="50" spans="2:4" ht="21" customHeight="1">
      <c r="B50" s="8" t="s">
        <v>245</v>
      </c>
      <c r="C50" s="8"/>
      <c r="D50" s="8"/>
    </row>
    <row r="51" spans="2:4" ht="5" customHeight="1"/>
    <row r="52" spans="2:4">
      <c r="B52" s="45" t="s">
        <v>50</v>
      </c>
      <c r="C52" s="45" t="s">
        <v>246</v>
      </c>
      <c r="D52" s="35" t="s">
        <v>191</v>
      </c>
    </row>
    <row r="53" spans="2:4" ht="16.2" customHeight="1">
      <c r="B53" s="62" t="s">
        <v>247</v>
      </c>
      <c r="C53" s="69" t="s">
        <v>248</v>
      </c>
      <c r="D53" s="70" t="s">
        <v>249</v>
      </c>
    </row>
    <row r="55" spans="2:4">
      <c r="B55" s="21" t="s">
        <v>62</v>
      </c>
      <c r="C55" s="21"/>
      <c r="D55" s="21"/>
    </row>
  </sheetData>
  <sheetProtection sheet="1" formatColumns="0" formatRows="0"/>
  <mergeCells count="26">
    <mergeCell ref="A1:D1"/>
    <mergeCell ref="B2:C2"/>
    <mergeCell ref="B4:D4"/>
    <mergeCell ref="B6:D6"/>
    <mergeCell ref="B8:D8"/>
    <mergeCell ref="B21:D21"/>
    <mergeCell ref="C23:D23"/>
    <mergeCell ref="C24:D24"/>
    <mergeCell ref="C25:D25"/>
    <mergeCell ref="C26:D26"/>
    <mergeCell ref="B28:D28"/>
    <mergeCell ref="C30:D30"/>
    <mergeCell ref="C31:D31"/>
    <mergeCell ref="C32:D32"/>
    <mergeCell ref="C33:D33"/>
    <mergeCell ref="B35:D35"/>
    <mergeCell ref="B37:D37"/>
    <mergeCell ref="B38:D38"/>
    <mergeCell ref="B40:D40"/>
    <mergeCell ref="B42:D42"/>
    <mergeCell ref="B44:D44"/>
    <mergeCell ref="C46:D46"/>
    <mergeCell ref="C47:D47"/>
    <mergeCell ref="B48:D48"/>
    <mergeCell ref="B50:D50"/>
    <mergeCell ref="B55:D55"/>
  </mergeCells>
  <hyperlinks>
    <hyperlink ref="D2" r:id="rId1" tooltip="Free manufacturing calculators and templates"/>
    <hyperlink ref="B38" r:id="rId2"/>
  </hyperlinks>
  <printOptions horizontalCentered="1"/>
  <pageMargins left="0.4" right="0.4" top="0.7" bottom="0.65" header="0.3" footer="0.3"/>
  <pageSetup fitToHeight="0" orientation="portrait"/>
  <headerFooter>
    <oddHeader>&amp;L&amp;8MFG Calcs - Price Quote with Quantity Breaks&amp;R&amp;8&amp;A</oddHeader>
    <oddFooter>&amp;L&amp;8mfgcalcs.com - free manufacturing templates&amp;R&amp;8Page &amp;P of &amp;N</oddFooter>
  </headerFooter>
  <rowBreaks count="1" manualBreakCount="1">
    <brk id="27" max="16383" man="1"/>
  </rowBreaks>
</worksheet>
</file>

<file path=xl/worksheets/sheet6.xml><?xml version="1.0" encoding="utf-8"?>
<worksheet xmlns="http://schemas.openxmlformats.org/spreadsheetml/2006/main" xmlns:r="http://schemas.openxmlformats.org/officeDocument/2006/relationships">
  <sheetPr>
    <tabColor rgb="FF2C3440"/>
    <pageSetUpPr fitToPage="1"/>
  </sheetPr>
  <dimension ref="A1:W71"/>
  <sheetViews>
    <sheetView showGridLines="0" workbookViewId="0"/>
  </sheetViews>
  <sheetFormatPr defaultRowHeight="15"/>
  <cols>
    <col min="1" max="1" width="2.7109375" customWidth="1"/>
    <col min="2" max="19" width="12.7109375" customWidth="1"/>
    <col min="20" max="22" width="10.7109375" customWidth="1"/>
    <col min="23" max="23" width="22.7109375" customWidth="1"/>
  </cols>
  <sheetData>
    <row r="1" spans="1:23" ht="30" customHeight="1">
      <c r="A1" s="1" t="s">
        <v>0</v>
      </c>
      <c r="B1" s="1"/>
      <c r="C1" s="1"/>
      <c r="D1" s="1"/>
      <c r="E1" s="1"/>
      <c r="F1" s="1"/>
      <c r="G1" s="1"/>
      <c r="H1" s="1"/>
      <c r="I1" s="1"/>
      <c r="J1" s="1"/>
      <c r="K1" s="1"/>
      <c r="L1" s="1"/>
      <c r="M1" s="1"/>
      <c r="N1" s="1"/>
      <c r="O1" s="1"/>
      <c r="P1" s="1"/>
      <c r="Q1" s="1"/>
      <c r="R1" s="1"/>
      <c r="S1" s="1"/>
      <c r="T1" s="1"/>
      <c r="U1" s="1"/>
      <c r="V1" s="1"/>
      <c r="W1" s="1"/>
    </row>
    <row r="2" spans="1:23" ht="21" customHeight="1">
      <c r="B2" s="2" t="s">
        <v>28</v>
      </c>
      <c r="C2" s="2"/>
      <c r="D2" s="2"/>
      <c r="E2" s="2"/>
      <c r="F2" s="2"/>
      <c r="G2" s="2"/>
      <c r="H2" s="2"/>
      <c r="I2" s="2"/>
      <c r="J2" s="2"/>
      <c r="K2" s="2"/>
      <c r="L2" s="2"/>
      <c r="M2" s="2"/>
      <c r="N2" s="2"/>
      <c r="O2" s="2"/>
      <c r="P2" s="2"/>
      <c r="Q2" s="2"/>
      <c r="R2" s="2"/>
      <c r="S2" s="2"/>
      <c r="T2" s="2"/>
      <c r="U2" s="2"/>
      <c r="V2" s="2"/>
      <c r="W2" s="3" t="s">
        <v>2</v>
      </c>
    </row>
    <row r="3" spans="1:23" ht="6" customHeight="1"/>
    <row r="4" spans="1:23" ht="30" customHeight="1">
      <c r="B4" s="71" t="s">
        <v>250</v>
      </c>
      <c r="C4" s="71"/>
      <c r="D4" s="22" t="str">
        <f>IF(COUNTIF($K$11:$K$27,"PASS")=17,"PASS","FAIL")</f>
        <v>PASS</v>
      </c>
      <c r="E4" s="22"/>
      <c r="F4" s="23" t="str">
        <f>COUNTIF($K$11:$K$27,"PASS")&amp;" of 17 checks pass"</f>
        <v>17 of 17 checks pass</v>
      </c>
      <c r="G4" s="23"/>
      <c r="H4" s="23"/>
      <c r="I4" s="23"/>
      <c r="J4" s="23"/>
    </row>
    <row r="6" spans="1:23" ht="29.4" customHeight="1">
      <c r="B6" s="10" t="s">
        <v>251</v>
      </c>
      <c r="C6" s="10"/>
      <c r="D6" s="10"/>
      <c r="E6" s="10"/>
      <c r="F6" s="10"/>
      <c r="G6" s="10"/>
      <c r="H6" s="10"/>
      <c r="I6" s="10"/>
      <c r="J6" s="10"/>
      <c r="K6" s="10"/>
      <c r="L6" s="10"/>
    </row>
    <row r="8" spans="1:23" ht="21" customHeight="1">
      <c r="B8" s="8" t="s">
        <v>252</v>
      </c>
      <c r="C8" s="8"/>
      <c r="D8" s="8"/>
      <c r="E8" s="8"/>
      <c r="F8" s="8"/>
      <c r="G8" s="8"/>
      <c r="H8" s="8"/>
      <c r="I8" s="8"/>
      <c r="J8" s="8"/>
      <c r="K8" s="8"/>
      <c r="L8" s="8"/>
    </row>
    <row r="9" spans="1:23" ht="5" customHeight="1"/>
    <row r="10" spans="1:23" ht="30" customHeight="1">
      <c r="B10" s="35" t="s">
        <v>253</v>
      </c>
      <c r="C10" s="45" t="s">
        <v>124</v>
      </c>
      <c r="D10" s="45"/>
      <c r="E10" s="45"/>
      <c r="F10" s="45"/>
      <c r="G10" s="35" t="s">
        <v>254</v>
      </c>
      <c r="H10" s="35" t="s">
        <v>255</v>
      </c>
      <c r="I10" s="35" t="s">
        <v>256</v>
      </c>
      <c r="J10" s="35" t="s">
        <v>257</v>
      </c>
      <c r="K10" s="35" t="s">
        <v>258</v>
      </c>
    </row>
    <row r="11" spans="1:23" ht="16.2" customHeight="1">
      <c r="B11" s="46">
        <v>1</v>
      </c>
      <c r="C11" s="69" t="s">
        <v>259</v>
      </c>
      <c r="D11" s="69"/>
      <c r="E11" s="69"/>
      <c r="F11" s="69"/>
      <c r="G11" s="72">
        <v>38</v>
      </c>
      <c r="H11" s="41">
        <f>$O$40</f>
        <v>38</v>
      </c>
      <c r="I11" s="73">
        <f>IF(AND(ISNUMBER($G$11),ISNUMBER($H$11)),ABS($H$11-$G$11),"")</f>
        <v>0</v>
      </c>
      <c r="J11" s="74">
        <v>1E-09</v>
      </c>
      <c r="K11" s="75" t="str">
        <f>IF(AND(ISNUMBER($G$11),ISNUMBER($H$11)),IF(ABS($H$11-$G$11)&lt;=$J$11,"PASS","FAIL"),"FAIL")</f>
        <v>PASS</v>
      </c>
    </row>
    <row r="12" spans="1:23" ht="16.2" customHeight="1">
      <c r="B12" s="46">
        <v>2</v>
      </c>
      <c r="C12" s="69" t="s">
        <v>260</v>
      </c>
      <c r="D12" s="69"/>
      <c r="E12" s="69"/>
      <c r="F12" s="69"/>
      <c r="G12" s="76">
        <v>888.5</v>
      </c>
      <c r="H12" s="40">
        <f>$P$40</f>
        <v>888.5</v>
      </c>
      <c r="I12" s="73">
        <f>IF(AND(ISNUMBER($G$12),ISNUMBER($H$12)),ABS($H$12-$G$12),"")</f>
        <v>0</v>
      </c>
      <c r="J12" s="74">
        <v>1E-09</v>
      </c>
      <c r="K12" s="75" t="str">
        <f>IF(AND(ISNUMBER($G$12),ISNUMBER($H$12)),IF(ABS($H$12-$G$12)&lt;=$J$12,"PASS","FAIL"),"FAIL")</f>
        <v>PASS</v>
      </c>
    </row>
    <row r="13" spans="1:23" ht="16.2" customHeight="1">
      <c r="B13" s="46">
        <v>3</v>
      </c>
      <c r="C13" s="69" t="s">
        <v>261</v>
      </c>
      <c r="D13" s="69"/>
      <c r="E13" s="69"/>
      <c r="F13" s="69"/>
      <c r="G13" s="64">
        <v>211</v>
      </c>
      <c r="H13" s="42">
        <f>$Q$40</f>
        <v>211</v>
      </c>
      <c r="I13" s="73">
        <f>IF(AND(ISNUMBER($G$13),ISNUMBER($H$13)),ABS($H$13-$G$13),"")</f>
        <v>0</v>
      </c>
      <c r="J13" s="74">
        <v>1E-09</v>
      </c>
      <c r="K13" s="75" t="str">
        <f>IF(AND(ISNUMBER($G$13),ISNUMBER($H$13)),IF(ABS($H$13-$G$13)&lt;=$J$13,"PASS","FAIL"),"FAIL")</f>
        <v>PASS</v>
      </c>
    </row>
    <row r="14" spans="1:23" ht="16.2" customHeight="1">
      <c r="B14" s="46">
        <v>4</v>
      </c>
      <c r="C14" s="69" t="s">
        <v>262</v>
      </c>
      <c r="D14" s="69"/>
      <c r="E14" s="69"/>
      <c r="F14" s="69"/>
      <c r="G14" s="76">
        <v>59.37</v>
      </c>
      <c r="H14" s="40">
        <f>$R$40</f>
        <v>59.37</v>
      </c>
      <c r="I14" s="73">
        <f>IF(AND(ISNUMBER($G$14),ISNUMBER($H$14)),ABS($H$14-$G$14),"")</f>
        <v>0</v>
      </c>
      <c r="J14" s="74">
        <v>1E-09</v>
      </c>
      <c r="K14" s="75" t="str">
        <f>IF(AND(ISNUMBER($G$14),ISNUMBER($H$14)),IF(ABS($H$14-$G$14)&lt;=$J$14,"PASS","FAIL"),"FAIL")</f>
        <v>PASS</v>
      </c>
    </row>
    <row r="15" spans="1:23" ht="16.2" customHeight="1">
      <c r="B15" s="46">
        <v>5</v>
      </c>
      <c r="C15" s="69" t="s">
        <v>263</v>
      </c>
      <c r="D15" s="69"/>
      <c r="E15" s="69"/>
      <c r="F15" s="69"/>
      <c r="G15" s="76">
        <v>56.83</v>
      </c>
      <c r="H15" s="40">
        <f>$S$40</f>
        <v>56.83</v>
      </c>
      <c r="I15" s="73">
        <f>IF(AND(ISNUMBER($G$15),ISNUMBER($H$15)),ABS($H$15-$G$15),"")</f>
        <v>0</v>
      </c>
      <c r="J15" s="74">
        <v>1E-09</v>
      </c>
      <c r="K15" s="75" t="str">
        <f>IF(AND(ISNUMBER($G$15),ISNUMBER($H$15)),IF(ABS($H$15-$G$15)&lt;=$J$15,"PASS","FAIL"),"FAIL")</f>
        <v>PASS</v>
      </c>
    </row>
    <row r="16" spans="1:23" ht="16.2" customHeight="1">
      <c r="B16" s="46">
        <v>6</v>
      </c>
      <c r="C16" s="69" t="s">
        <v>264</v>
      </c>
      <c r="D16" s="69"/>
      <c r="E16" s="69"/>
      <c r="F16" s="69"/>
      <c r="G16" s="76">
        <v>55.56</v>
      </c>
      <c r="H16" s="40">
        <f>$T$40</f>
        <v>55.56</v>
      </c>
      <c r="I16" s="73">
        <f>IF(AND(ISNUMBER($G$16),ISNUMBER($H$16)),ABS($H$16-$G$16),"")</f>
        <v>0</v>
      </c>
      <c r="J16" s="74">
        <v>1E-09</v>
      </c>
      <c r="K16" s="75" t="str">
        <f>IF(AND(ISNUMBER($G$16),ISNUMBER($H$16)),IF(ABS($H$16-$G$16)&lt;=$J$16,"PASS","FAIL"),"FAIL")</f>
        <v>PASS</v>
      </c>
    </row>
    <row r="17" spans="2:12" ht="16.2" customHeight="1">
      <c r="B17" s="46">
        <v>7</v>
      </c>
      <c r="C17" s="69" t="s">
        <v>265</v>
      </c>
      <c r="D17" s="69"/>
      <c r="E17" s="69"/>
      <c r="F17" s="69"/>
      <c r="G17" s="62" t="s">
        <v>165</v>
      </c>
      <c r="H17" s="77">
        <f>$U$40</f>
        <v/>
      </c>
      <c r="I17" s="77"/>
      <c r="J17" s="70" t="s">
        <v>266</v>
      </c>
      <c r="K17" s="75" t="str">
        <f>IF($H$17&amp;""=$G$17&amp;"","PASS","FAIL")</f>
        <v>PASS</v>
      </c>
    </row>
    <row r="18" spans="2:12" ht="29.4" customHeight="1">
      <c r="B18" s="46">
        <v>8</v>
      </c>
      <c r="C18" s="69" t="s">
        <v>267</v>
      </c>
      <c r="D18" s="69"/>
      <c r="E18" s="69"/>
      <c r="F18" s="69"/>
      <c r="G18" s="76">
        <v>54.65</v>
      </c>
      <c r="H18" s="40">
        <f>$R$41</f>
        <v>54.65</v>
      </c>
      <c r="I18" s="73">
        <f>IF(AND(ISNUMBER($G$18),ISNUMBER($H$18)),ABS($H$18-$G$18),"")</f>
        <v>0</v>
      </c>
      <c r="J18" s="74">
        <v>1E-09</v>
      </c>
      <c r="K18" s="75" t="str">
        <f>IF(AND(ISNUMBER($G$18),ISNUMBER($H$18)),IF(ABS($H$18-$G$18)&lt;=$J$18,"PASS","FAIL"),"FAIL")</f>
        <v>PASS</v>
      </c>
    </row>
    <row r="19" spans="2:12" ht="16.2" customHeight="1">
      <c r="B19" s="46">
        <v>9</v>
      </c>
      <c r="C19" s="69" t="s">
        <v>268</v>
      </c>
      <c r="D19" s="69"/>
      <c r="E19" s="69"/>
      <c r="F19" s="69"/>
      <c r="G19" s="76">
        <v>50.58</v>
      </c>
      <c r="H19" s="40">
        <f>$S$41</f>
        <v>50.58</v>
      </c>
      <c r="I19" s="73">
        <f>IF(AND(ISNUMBER($G$19),ISNUMBER($H$19)),ABS($H$19-$G$19),"")</f>
        <v>0</v>
      </c>
      <c r="J19" s="74">
        <v>1E-09</v>
      </c>
      <c r="K19" s="75" t="str">
        <f>IF(AND(ISNUMBER($G$19),ISNUMBER($H$19)),IF(ABS($H$19-$G$19)&lt;=$J$19,"PASS","FAIL"),"FAIL")</f>
        <v>PASS</v>
      </c>
    </row>
    <row r="20" spans="2:12" ht="16.2" customHeight="1">
      <c r="B20" s="46">
        <v>10</v>
      </c>
      <c r="C20" s="69" t="s">
        <v>269</v>
      </c>
      <c r="D20" s="69"/>
      <c r="E20" s="69"/>
      <c r="F20" s="69"/>
      <c r="G20" s="62" t="s">
        <v>270</v>
      </c>
      <c r="H20" s="77" t="str">
        <f>$W$42</f>
        <v>Quantities not rising</v>
      </c>
      <c r="I20" s="77"/>
      <c r="J20" s="70" t="s">
        <v>266</v>
      </c>
      <c r="K20" s="75" t="str">
        <f>IF($H$20&amp;""=$G$20&amp;"","PASS","FAIL")</f>
        <v>PASS</v>
      </c>
    </row>
    <row r="21" spans="2:12" ht="16.2" customHeight="1">
      <c r="B21" s="46">
        <v>11</v>
      </c>
      <c r="C21" s="69" t="s">
        <v>271</v>
      </c>
      <c r="D21" s="69"/>
      <c r="E21" s="69"/>
      <c r="F21" s="69"/>
      <c r="G21" s="62" t="s">
        <v>272</v>
      </c>
      <c r="H21" s="77" t="str">
        <f>$W$43</f>
        <v>Process not on Setup list</v>
      </c>
      <c r="I21" s="77"/>
      <c r="J21" s="70" t="s">
        <v>266</v>
      </c>
      <c r="K21" s="75" t="str">
        <f>IF($H$21&amp;""=$G$21&amp;"","PASS","FAIL")</f>
        <v>PASS</v>
      </c>
    </row>
    <row r="22" spans="2:12" ht="16.2" customHeight="1">
      <c r="B22" s="46">
        <v>12</v>
      </c>
      <c r="C22" s="69" t="s">
        <v>273</v>
      </c>
      <c r="D22" s="69"/>
      <c r="E22" s="69"/>
      <c r="F22" s="69"/>
      <c r="G22" s="62" t="s">
        <v>165</v>
      </c>
      <c r="H22" s="77">
        <f>$R$43</f>
        <v/>
      </c>
      <c r="I22" s="77"/>
      <c r="J22" s="70" t="s">
        <v>266</v>
      </c>
      <c r="K22" s="75" t="str">
        <f>IF($H$22&amp;""=$G$22&amp;"","PASS","FAIL")</f>
        <v>PASS</v>
      </c>
    </row>
    <row r="23" spans="2:12" ht="16.2" customHeight="1">
      <c r="B23" s="46">
        <v>13</v>
      </c>
      <c r="C23" s="69" t="s">
        <v>274</v>
      </c>
      <c r="D23" s="69"/>
      <c r="E23" s="69"/>
      <c r="F23" s="69"/>
      <c r="G23" s="72">
        <v>3.554</v>
      </c>
      <c r="H23" s="41">
        <f>$F$62</f>
        <v>3.554</v>
      </c>
      <c r="I23" s="73">
        <f>IF(AND(ISNUMBER($G$23),ISNUMBER($H$23)),ABS($H$23-$G$23),"")</f>
        <v>0</v>
      </c>
      <c r="J23" s="74">
        <v>1E-09</v>
      </c>
      <c r="K23" s="75" t="str">
        <f>IF(AND(ISNUMBER($G$23),ISNUMBER($H$23)),IF(ABS($H$23-$G$23)&lt;=$J$23,"PASS","FAIL"),"FAIL")</f>
        <v>PASS</v>
      </c>
    </row>
    <row r="24" spans="2:12" ht="16.2" customHeight="1">
      <c r="B24" s="46">
        <v>14</v>
      </c>
      <c r="C24" s="69" t="s">
        <v>275</v>
      </c>
      <c r="D24" s="69"/>
      <c r="E24" s="69"/>
      <c r="F24" s="69"/>
      <c r="G24" s="72">
        <v>16.6715</v>
      </c>
      <c r="H24" s="41">
        <f>$H$64</f>
        <v>16.6715</v>
      </c>
      <c r="I24" s="73">
        <f>IF(AND(ISNUMBER($G$24),ISNUMBER($H$24)),ABS($H$24-$G$24),"")</f>
        <v>0</v>
      </c>
      <c r="J24" s="74">
        <v>1E-09</v>
      </c>
      <c r="K24" s="75" t="str">
        <f>IF(AND(ISNUMBER($G$24),ISNUMBER($H$24)),IF(ABS($H$24-$G$24)&lt;=$J$24,"PASS","FAIL"),"FAIL")</f>
        <v>PASS</v>
      </c>
    </row>
    <row r="25" spans="2:12" ht="16.2" customHeight="1">
      <c r="B25" s="46">
        <v>15</v>
      </c>
      <c r="C25" s="69" t="s">
        <v>276</v>
      </c>
      <c r="D25" s="69"/>
      <c r="E25" s="69"/>
      <c r="F25" s="69"/>
      <c r="G25" s="62" t="s">
        <v>165</v>
      </c>
      <c r="H25" s="77">
        <f>$I$63</f>
        <v/>
      </c>
      <c r="I25" s="77"/>
      <c r="J25" s="70" t="s">
        <v>266</v>
      </c>
      <c r="K25" s="75" t="str">
        <f>IF($H$25&amp;""=$G$25&amp;"","PASS","FAIL")</f>
        <v>PASS</v>
      </c>
    </row>
    <row r="26" spans="2:12" ht="16.2" customHeight="1">
      <c r="B26" s="46">
        <v>16</v>
      </c>
      <c r="C26" s="69" t="s">
        <v>277</v>
      </c>
      <c r="D26" s="69"/>
      <c r="E26" s="69"/>
      <c r="F26" s="69"/>
      <c r="G26" s="78">
        <v>0.06417382516422443</v>
      </c>
      <c r="H26" s="79">
        <f>$F$71</f>
        <v>0.0641738251642244</v>
      </c>
      <c r="I26" s="73">
        <f>IF(AND(ISNUMBER($G$26),ISNUMBER($H$26)),ABS($H$26-$G$26),"")</f>
        <v>0</v>
      </c>
      <c r="J26" s="74">
        <v>1E-09</v>
      </c>
      <c r="K26" s="75" t="str">
        <f>IF(AND(ISNUMBER($G$26),ISNUMBER($H$26)),IF(ABS($H$26-$G$26)&lt;=$J$26,"PASS","FAIL"),"FAIL")</f>
        <v>PASS</v>
      </c>
    </row>
    <row r="27" spans="2:12" ht="16.2" customHeight="1">
      <c r="B27" s="46">
        <v>17</v>
      </c>
      <c r="C27" s="69" t="s">
        <v>224</v>
      </c>
      <c r="D27" s="69"/>
      <c r="E27" s="69"/>
      <c r="F27" s="69"/>
      <c r="G27" s="64">
        <v>12800</v>
      </c>
      <c r="H27" s="42">
        <f>$E$52</f>
        <v>12800</v>
      </c>
      <c r="I27" s="73">
        <f>IF(AND(ISNUMBER($G$27),ISNUMBER($H$27)),ABS($H$27-$G$27),"")</f>
        <v>0</v>
      </c>
      <c r="J27" s="74">
        <v>1E-09</v>
      </c>
      <c r="K27" s="75" t="str">
        <f>IF(AND(ISNUMBER($G$27),ISNUMBER($H$27)),IF(ABS($H$27-$G$27)&lt;=$J$27,"PASS","FAIL"),"FAIL")</f>
        <v>PASS</v>
      </c>
    </row>
    <row r="29" spans="2:12" ht="21" customHeight="1">
      <c r="B29" s="8" t="s">
        <v>278</v>
      </c>
      <c r="C29" s="8"/>
      <c r="D29" s="8"/>
      <c r="E29" s="8"/>
      <c r="F29" s="8"/>
      <c r="G29" s="8"/>
      <c r="H29" s="8"/>
      <c r="I29" s="8"/>
      <c r="J29" s="8"/>
      <c r="K29" s="8"/>
      <c r="L29" s="8"/>
    </row>
    <row r="30" spans="2:12" ht="5" customHeight="1"/>
    <row r="31" spans="2:12">
      <c r="B31" s="21" t="s">
        <v>279</v>
      </c>
      <c r="C31" s="21"/>
      <c r="D31" s="21"/>
      <c r="E31" s="21"/>
      <c r="F31" s="21"/>
      <c r="G31" s="21"/>
      <c r="H31" s="21"/>
      <c r="I31" s="21"/>
      <c r="J31" s="21"/>
      <c r="K31" s="21"/>
      <c r="L31" s="21"/>
    </row>
    <row r="32" spans="2:12">
      <c r="B32" s="33" t="s">
        <v>280</v>
      </c>
      <c r="C32" s="33"/>
      <c r="D32" s="33"/>
      <c r="E32" s="33"/>
      <c r="F32" s="33"/>
    </row>
    <row r="33" spans="2:23">
      <c r="B33" s="27" t="s">
        <v>281</v>
      </c>
      <c r="C33" s="27"/>
      <c r="D33" s="27"/>
      <c r="E33" s="80">
        <v>0.3</v>
      </c>
      <c r="F33" s="7"/>
    </row>
    <row r="34" spans="2:23">
      <c r="B34" s="27" t="s">
        <v>282</v>
      </c>
      <c r="C34" s="27"/>
      <c r="D34" s="27"/>
      <c r="E34" s="76">
        <v>0.01</v>
      </c>
      <c r="F34" s="7"/>
    </row>
    <row r="35" spans="2:23">
      <c r="B35" s="27" t="s">
        <v>283</v>
      </c>
      <c r="C35" s="27"/>
      <c r="D35" s="27"/>
      <c r="E35" s="80">
        <v>0.1</v>
      </c>
      <c r="F35" s="7"/>
    </row>
    <row r="37" spans="2:23">
      <c r="B37" s="33" t="s">
        <v>284</v>
      </c>
      <c r="C37" s="33"/>
      <c r="D37" s="33"/>
      <c r="E37" s="33"/>
      <c r="F37" s="33"/>
      <c r="G37" s="33"/>
      <c r="H37" s="33"/>
      <c r="I37" s="33"/>
      <c r="J37" s="33"/>
      <c r="K37" s="33"/>
      <c r="L37" s="33"/>
    </row>
    <row r="38" spans="2:23" ht="14" customHeight="1">
      <c r="B38" s="34"/>
      <c r="C38" s="34"/>
      <c r="D38" s="34"/>
      <c r="E38" s="34" t="str">
        <f>Currency&amp;"/part"</f>
        <v>USD/part</v>
      </c>
      <c r="F38" s="34"/>
      <c r="G38" s="34"/>
      <c r="H38" s="34"/>
      <c r="I38" s="34" t="s">
        <v>144</v>
      </c>
      <c r="J38" s="34" t="s">
        <v>144</v>
      </c>
      <c r="K38" s="34" t="s">
        <v>144</v>
      </c>
      <c r="L38" s="34" t="s">
        <v>144</v>
      </c>
      <c r="M38" s="34" t="s">
        <v>144</v>
      </c>
      <c r="N38" s="34" t="str">
        <f>Currency&amp;"/h"</f>
        <v>USD/h</v>
      </c>
      <c r="O38" s="34" t="str">
        <f>Currency&amp;"/part"</f>
        <v>USD/part</v>
      </c>
      <c r="P38" s="34" t="str">
        <f>Currency&amp;"/lot"</f>
        <v>USD/lot</v>
      </c>
      <c r="Q38" s="34" t="s">
        <v>144</v>
      </c>
      <c r="R38" s="34" t="str">
        <f>Currency&amp;"/part"</f>
        <v>USD/part</v>
      </c>
      <c r="S38" s="34" t="str">
        <f>Currency&amp;"/part"</f>
        <v>USD/part</v>
      </c>
      <c r="T38" s="34" t="str">
        <f>Currency&amp;"/part"</f>
        <v>USD/part</v>
      </c>
      <c r="U38" s="34" t="str">
        <f>Currency&amp;"/part"</f>
        <v>USD/part</v>
      </c>
      <c r="V38" s="34" t="str">
        <f>Currency&amp;"/part"</f>
        <v>USD/part</v>
      </c>
      <c r="W38" s="34"/>
    </row>
    <row r="39" spans="2:23" ht="45.5" customHeight="1">
      <c r="B39" s="35" t="s">
        <v>104</v>
      </c>
      <c r="C39" s="35" t="s">
        <v>105</v>
      </c>
      <c r="D39" s="35" t="s">
        <v>63</v>
      </c>
      <c r="E39" s="35" t="s">
        <v>106</v>
      </c>
      <c r="F39" s="35" t="s">
        <v>107</v>
      </c>
      <c r="G39" s="35" t="s">
        <v>108</v>
      </c>
      <c r="H39" s="35" t="s">
        <v>109</v>
      </c>
      <c r="I39" s="35" t="s">
        <v>110</v>
      </c>
      <c r="J39" s="35" t="s">
        <v>111</v>
      </c>
      <c r="K39" s="35" t="s">
        <v>112</v>
      </c>
      <c r="L39" s="35" t="s">
        <v>113</v>
      </c>
      <c r="M39" s="35" t="s">
        <v>114</v>
      </c>
      <c r="N39" s="35" t="s">
        <v>115</v>
      </c>
      <c r="O39" s="35" t="s">
        <v>116</v>
      </c>
      <c r="P39" s="35" t="s">
        <v>117</v>
      </c>
      <c r="Q39" s="35" t="s">
        <v>118</v>
      </c>
      <c r="R39" s="35" t="s">
        <v>119</v>
      </c>
      <c r="S39" s="35" t="s">
        <v>120</v>
      </c>
      <c r="T39" s="35" t="s">
        <v>121</v>
      </c>
      <c r="U39" s="35" t="s">
        <v>122</v>
      </c>
      <c r="V39" s="35" t="s">
        <v>123</v>
      </c>
      <c r="W39" s="35" t="s">
        <v>124</v>
      </c>
    </row>
    <row r="40" spans="2:23">
      <c r="B40" s="62" t="s">
        <v>285</v>
      </c>
      <c r="C40" s="62" t="s">
        <v>286</v>
      </c>
      <c r="D40" s="62" t="s">
        <v>287</v>
      </c>
      <c r="E40" s="72">
        <v>25.5</v>
      </c>
      <c r="F40" s="81">
        <v>6</v>
      </c>
      <c r="G40" s="76">
        <v>6.5</v>
      </c>
      <c r="H40" s="64">
        <v>2</v>
      </c>
      <c r="I40" s="64">
        <v>250</v>
      </c>
      <c r="J40" s="64">
        <v>500</v>
      </c>
      <c r="K40" s="64">
        <v>1000</v>
      </c>
      <c r="L40" s="64"/>
      <c r="M40" s="64"/>
      <c r="N40" s="76">
        <v>125</v>
      </c>
      <c r="O40" s="41">
        <f>IF(tblVerifyLines[[#This Row],[Part number]]="","",IF(tblVerifyLines[[#This Row],[Rate]]="","",tblVerifyLines[[#This Row],[Material]]+tblVerifyLines[[#This Row],[Run (min/part)]]/60*tblVerifyLines[[#This Row],[Rate]]))</f>
        <v>38</v>
      </c>
      <c r="P40" s="40">
        <f>IF(tblVerifyLines[[#This Row],[Part number]]="","",IF(tblVerifyLines[[#This Row],[Rate]]="","",tblVerifyLines[[#This Row],[Setup (h/lot)]]*tblVerifyLines[[#This Row],[Rate]]+tblVerifyLines[[#This Row],[Setup scrap (parts/lot)]]*tblVerifyLines[[#This Row],[Variable cost]]))</f>
        <v>888.5</v>
      </c>
      <c r="Q40" s="42">
        <f>IF(tblVerifyLines[[#This Row],[Part number]]="","",IF(OR(tblVerifyLines[[#This Row],[Variable cost]]="",N(tblVerifyLines[[#This Row],[Variable cost]])=0),"",CEILING(tblVerifyLines[[#This Row],[Setup cost]]*(1-$E$35)/($E$35*tblVerifyLines[[#This Row],[Variable cost]]),1)))</f>
        <v>211</v>
      </c>
      <c r="R40" s="40">
        <f>IF(tblVerifyLines[[#This Row],[Part number]]="","",IF(OR(tblVerifyLines[[#This Row],[Qty 1]]="",tblVerifyLines[[#This Row],[Variable cost]]=""),"",CEILING((tblVerifyLines[[#This Row],[Variable cost]]+tblVerifyLines[[#This Row],[Setup cost]]/tblVerifyLines[[#This Row],[Qty 1]])/(1-$E$33),$E$34)))</f>
        <v>59.37</v>
      </c>
      <c r="S40" s="40">
        <f>IF(tblVerifyLines[[#This Row],[Part number]]="","",IF(OR(tblVerifyLines[[#This Row],[Qty 2]]="",tblVerifyLines[[#This Row],[Variable cost]]=""),"",CEILING((tblVerifyLines[[#This Row],[Variable cost]]+tblVerifyLines[[#This Row],[Setup cost]]/tblVerifyLines[[#This Row],[Qty 2]])/(1-$E$33),$E$34)))</f>
        <v>56.83</v>
      </c>
      <c r="T40" s="40">
        <f>IF(tblVerifyLines[[#This Row],[Part number]]="","",IF(OR(tblVerifyLines[[#This Row],[Qty 3]]="",tblVerifyLines[[#This Row],[Variable cost]]=""),"",CEILING((tblVerifyLines[[#This Row],[Variable cost]]+tblVerifyLines[[#This Row],[Setup cost]]/tblVerifyLines[[#This Row],[Qty 3]])/(1-$E$33),$E$34)))</f>
        <v>55.56</v>
      </c>
      <c r="U40" s="40">
        <f>IF(tblVerifyLines[[#This Row],[Part number]]="","",IF(OR(tblVerifyLines[[#This Row],[Qty 4]]="",tblVerifyLines[[#This Row],[Variable cost]]=""),"",CEILING((tblVerifyLines[[#This Row],[Variable cost]]+tblVerifyLines[[#This Row],[Setup cost]]/tblVerifyLines[[#This Row],[Qty 4]])/(1-$E$33),$E$34)))</f>
        <v/>
      </c>
      <c r="V40" s="40">
        <f>IF(tblVerifyLines[[#This Row],[Part number]]="","",IF(OR(tblVerifyLines[[#This Row],[Qty 5]]="",tblVerifyLines[[#This Row],[Variable cost]]=""),"",CEILING((tblVerifyLines[[#This Row],[Variable cost]]+tblVerifyLines[[#This Row],[Setup cost]]/tblVerifyLines[[#This Row],[Qty 5]])/(1-$E$33),$E$34)))</f>
        <v/>
      </c>
      <c r="W40" s="43" t="str">
        <f>IF(tblVerifyLines[[#This Row],[Part number]]="","",IF(tblVerifyLines[[#This Row],[Part number]]="","Missing part number",IF(tblVerifyLines[[#This Row],[Process]]="","Missing process",IF(tblVerifyLines[[#This Row],[Rate]]="","Process not on Setup list",IF(tblVerifyLines[[#This Row],[Qty 1]]="","Missing qty 1",IF(COUNTIFS(tblVerifyLines[Part number],tblVerifyLines[[#This Row],[Part number]])&gt;1,"Part listed twice",IF(OR(AND(N(tblVerifyLines[[#This Row],[Qty 2]])&gt;0,tblVerifyLines[[#This Row],[Qty 2]]&lt;=tblVerifyLines[[#This Row],[Qty 1]]),AND(N(tblVerifyLines[[#This Row],[Qty 3]])&gt;0,tblVerifyLines[[#This Row],[Qty 3]]&lt;=tblVerifyLines[[#This Row],[Qty 2]]),AND(N(tblVerifyLines[[#This Row],[Qty 4]])&gt;0,tblVerifyLines[[#This Row],[Qty 4]]&lt;=tblVerifyLines[[#This Row],[Qty 3]]),AND(N(tblVerifyLines[[#This Row],[Qty 5]])&gt;0,tblVerifyLines[[#This Row],[Qty 5]]&lt;=tblVerifyLines[[#This Row],[Qty 4]])),"Quantities not rising",IF(AND(tblVerifyLines[[#This Row],[Material]]=0,tblVerifyLines[[#This Row],[Run (min/part)]]=0),"No material or run time","OK"))))))))</f>
        <v>OK</v>
      </c>
    </row>
    <row r="41" spans="2:23">
      <c r="B41" s="62" t="s">
        <v>288</v>
      </c>
      <c r="C41" s="62" t="s">
        <v>289</v>
      </c>
      <c r="D41" s="62" t="s">
        <v>290</v>
      </c>
      <c r="E41" s="72">
        <v>14.5</v>
      </c>
      <c r="F41" s="81">
        <v>12</v>
      </c>
      <c r="G41" s="76">
        <v>5</v>
      </c>
      <c r="H41" s="64">
        <v>0</v>
      </c>
      <c r="I41" s="64">
        <v>100</v>
      </c>
      <c r="J41" s="64">
        <v>250</v>
      </c>
      <c r="K41" s="64"/>
      <c r="L41" s="64"/>
      <c r="M41" s="64"/>
      <c r="N41" s="76">
        <v>95</v>
      </c>
      <c r="O41" s="41">
        <f>IF(tblVerifyLines[[#This Row],[Part number]]="","",IF(tblVerifyLines[[#This Row],[Rate]]="","",tblVerifyLines[[#This Row],[Material]]+tblVerifyLines[[#This Row],[Run (min/part)]]/60*tblVerifyLines[[#This Row],[Rate]]))</f>
        <v>33.5</v>
      </c>
      <c r="P41" s="40">
        <f>IF(tblVerifyLines[[#This Row],[Part number]]="","",IF(tblVerifyLines[[#This Row],[Rate]]="","",tblVerifyLines[[#This Row],[Setup (h/lot)]]*tblVerifyLines[[#This Row],[Rate]]+tblVerifyLines[[#This Row],[Setup scrap (parts/lot)]]*tblVerifyLines[[#This Row],[Variable cost]]))</f>
        <v>475</v>
      </c>
      <c r="Q41" s="42">
        <f>IF(tblVerifyLines[[#This Row],[Part number]]="","",IF(OR(tblVerifyLines[[#This Row],[Variable cost]]="",N(tblVerifyLines[[#This Row],[Variable cost]])=0),"",CEILING(tblVerifyLines[[#This Row],[Setup cost]]*(1-$E$35)/($E$35*tblVerifyLines[[#This Row],[Variable cost]]),1)))</f>
        <v>128</v>
      </c>
      <c r="R41" s="40">
        <f>IF(tblVerifyLines[[#This Row],[Part number]]="","",IF(OR(tblVerifyLines[[#This Row],[Qty 1]]="",tblVerifyLines[[#This Row],[Variable cost]]=""),"",CEILING((tblVerifyLines[[#This Row],[Variable cost]]+tblVerifyLines[[#This Row],[Setup cost]]/tblVerifyLines[[#This Row],[Qty 1]])/(1-$E$33),$E$34)))</f>
        <v>54.65</v>
      </c>
      <c r="S41" s="40">
        <f>IF(tblVerifyLines[[#This Row],[Part number]]="","",IF(OR(tblVerifyLines[[#This Row],[Qty 2]]="",tblVerifyLines[[#This Row],[Variable cost]]=""),"",CEILING((tblVerifyLines[[#This Row],[Variable cost]]+tblVerifyLines[[#This Row],[Setup cost]]/tblVerifyLines[[#This Row],[Qty 2]])/(1-$E$33),$E$34)))</f>
        <v>50.58</v>
      </c>
      <c r="T41" s="40">
        <f>IF(tblVerifyLines[[#This Row],[Part number]]="","",IF(OR(tblVerifyLines[[#This Row],[Qty 3]]="",tblVerifyLines[[#This Row],[Variable cost]]=""),"",CEILING((tblVerifyLines[[#This Row],[Variable cost]]+tblVerifyLines[[#This Row],[Setup cost]]/tblVerifyLines[[#This Row],[Qty 3]])/(1-$E$33),$E$34)))</f>
        <v/>
      </c>
      <c r="U41" s="40">
        <f>IF(tblVerifyLines[[#This Row],[Part number]]="","",IF(OR(tblVerifyLines[[#This Row],[Qty 4]]="",tblVerifyLines[[#This Row],[Variable cost]]=""),"",CEILING((tblVerifyLines[[#This Row],[Variable cost]]+tblVerifyLines[[#This Row],[Setup cost]]/tblVerifyLines[[#This Row],[Qty 4]])/(1-$E$33),$E$34)))</f>
        <v/>
      </c>
      <c r="V41" s="40">
        <f>IF(tblVerifyLines[[#This Row],[Part number]]="","",IF(OR(tblVerifyLines[[#This Row],[Qty 5]]="",tblVerifyLines[[#This Row],[Variable cost]]=""),"",CEILING((tblVerifyLines[[#This Row],[Variable cost]]+tblVerifyLines[[#This Row],[Setup cost]]/tblVerifyLines[[#This Row],[Qty 5]])/(1-$E$33),$E$34)))</f>
        <v/>
      </c>
      <c r="W41" s="43" t="str">
        <f>IF(tblVerifyLines[[#This Row],[Part number]]="","",IF(tblVerifyLines[[#This Row],[Part number]]="","Missing part number",IF(tblVerifyLines[[#This Row],[Process]]="","Missing process",IF(tblVerifyLines[[#This Row],[Rate]]="","Process not on Setup list",IF(tblVerifyLines[[#This Row],[Qty 1]]="","Missing qty 1",IF(COUNTIFS(tblVerifyLines[Part number],tblVerifyLines[[#This Row],[Part number]])&gt;1,"Part listed twice",IF(OR(AND(N(tblVerifyLines[[#This Row],[Qty 2]])&gt;0,tblVerifyLines[[#This Row],[Qty 2]]&lt;=tblVerifyLines[[#This Row],[Qty 1]]),AND(N(tblVerifyLines[[#This Row],[Qty 3]])&gt;0,tblVerifyLines[[#This Row],[Qty 3]]&lt;=tblVerifyLines[[#This Row],[Qty 2]]),AND(N(tblVerifyLines[[#This Row],[Qty 4]])&gt;0,tblVerifyLines[[#This Row],[Qty 4]]&lt;=tblVerifyLines[[#This Row],[Qty 3]]),AND(N(tblVerifyLines[[#This Row],[Qty 5]])&gt;0,tblVerifyLines[[#This Row],[Qty 5]]&lt;=tblVerifyLines[[#This Row],[Qty 4]])),"Quantities not rising",IF(AND(tblVerifyLines[[#This Row],[Material]]=0,tblVerifyLines[[#This Row],[Run (min/part)]]=0),"No material or run time","OK"))))))))</f>
        <v>OK</v>
      </c>
    </row>
    <row r="42" spans="2:23">
      <c r="B42" s="62" t="s">
        <v>291</v>
      </c>
      <c r="C42" s="62" t="s">
        <v>292</v>
      </c>
      <c r="D42" s="62" t="s">
        <v>290</v>
      </c>
      <c r="E42" s="72">
        <v>1</v>
      </c>
      <c r="F42" s="81">
        <v>1</v>
      </c>
      <c r="G42" s="76">
        <v>1</v>
      </c>
      <c r="H42" s="64">
        <v>0</v>
      </c>
      <c r="I42" s="64">
        <v>500</v>
      </c>
      <c r="J42" s="64">
        <v>100</v>
      </c>
      <c r="K42" s="64"/>
      <c r="L42" s="64"/>
      <c r="M42" s="64"/>
      <c r="N42" s="76">
        <v>95</v>
      </c>
      <c r="O42" s="41">
        <f>IF(tblVerifyLines[[#This Row],[Part number]]="","",IF(tblVerifyLines[[#This Row],[Rate]]="","",tblVerifyLines[[#This Row],[Material]]+tblVerifyLines[[#This Row],[Run (min/part)]]/60*tblVerifyLines[[#This Row],[Rate]]))</f>
        <v>2.58333333333333</v>
      </c>
      <c r="P42" s="40">
        <f>IF(tblVerifyLines[[#This Row],[Part number]]="","",IF(tblVerifyLines[[#This Row],[Rate]]="","",tblVerifyLines[[#This Row],[Setup (h/lot)]]*tblVerifyLines[[#This Row],[Rate]]+tblVerifyLines[[#This Row],[Setup scrap (parts/lot)]]*tblVerifyLines[[#This Row],[Variable cost]]))</f>
        <v>95</v>
      </c>
      <c r="Q42" s="42">
        <f>IF(tblVerifyLines[[#This Row],[Part number]]="","",IF(OR(tblVerifyLines[[#This Row],[Variable cost]]="",N(tblVerifyLines[[#This Row],[Variable cost]])=0),"",CEILING(tblVerifyLines[[#This Row],[Setup cost]]*(1-$E$35)/($E$35*tblVerifyLines[[#This Row],[Variable cost]]),1)))</f>
        <v>331</v>
      </c>
      <c r="R42" s="40">
        <f>IF(tblVerifyLines[[#This Row],[Part number]]="","",IF(OR(tblVerifyLines[[#This Row],[Qty 1]]="",tblVerifyLines[[#This Row],[Variable cost]]=""),"",CEILING((tblVerifyLines[[#This Row],[Variable cost]]+tblVerifyLines[[#This Row],[Setup cost]]/tblVerifyLines[[#This Row],[Qty 1]])/(1-$E$33),$E$34)))</f>
        <v>3.97</v>
      </c>
      <c r="S42" s="40">
        <f>IF(tblVerifyLines[[#This Row],[Part number]]="","",IF(OR(tblVerifyLines[[#This Row],[Qty 2]]="",tblVerifyLines[[#This Row],[Variable cost]]=""),"",CEILING((tblVerifyLines[[#This Row],[Variable cost]]+tblVerifyLines[[#This Row],[Setup cost]]/tblVerifyLines[[#This Row],[Qty 2]])/(1-$E$33),$E$34)))</f>
        <v>5.05</v>
      </c>
      <c r="T42" s="40">
        <f>IF(tblVerifyLines[[#This Row],[Part number]]="","",IF(OR(tblVerifyLines[[#This Row],[Qty 3]]="",tblVerifyLines[[#This Row],[Variable cost]]=""),"",CEILING((tblVerifyLines[[#This Row],[Variable cost]]+tblVerifyLines[[#This Row],[Setup cost]]/tblVerifyLines[[#This Row],[Qty 3]])/(1-$E$33),$E$34)))</f>
        <v/>
      </c>
      <c r="U42" s="40">
        <f>IF(tblVerifyLines[[#This Row],[Part number]]="","",IF(OR(tblVerifyLines[[#This Row],[Qty 4]]="",tblVerifyLines[[#This Row],[Variable cost]]=""),"",CEILING((tblVerifyLines[[#This Row],[Variable cost]]+tblVerifyLines[[#This Row],[Setup cost]]/tblVerifyLines[[#This Row],[Qty 4]])/(1-$E$33),$E$34)))</f>
        <v/>
      </c>
      <c r="V42" s="40">
        <f>IF(tblVerifyLines[[#This Row],[Part number]]="","",IF(OR(tblVerifyLines[[#This Row],[Qty 5]]="",tblVerifyLines[[#This Row],[Variable cost]]=""),"",CEILING((tblVerifyLines[[#This Row],[Variable cost]]+tblVerifyLines[[#This Row],[Setup cost]]/tblVerifyLines[[#This Row],[Qty 5]])/(1-$E$33),$E$34)))</f>
        <v/>
      </c>
      <c r="W42" s="43" t="str">
        <f>IF(tblVerifyLines[[#This Row],[Part number]]="","",IF(tblVerifyLines[[#This Row],[Part number]]="","Missing part number",IF(tblVerifyLines[[#This Row],[Process]]="","Missing process",IF(tblVerifyLines[[#This Row],[Rate]]="","Process not on Setup list",IF(tblVerifyLines[[#This Row],[Qty 1]]="","Missing qty 1",IF(COUNTIFS(tblVerifyLines[Part number],tblVerifyLines[[#This Row],[Part number]])&gt;1,"Part listed twice",IF(OR(AND(N(tblVerifyLines[[#This Row],[Qty 2]])&gt;0,tblVerifyLines[[#This Row],[Qty 2]]&lt;=tblVerifyLines[[#This Row],[Qty 1]]),AND(N(tblVerifyLines[[#This Row],[Qty 3]])&gt;0,tblVerifyLines[[#This Row],[Qty 3]]&lt;=tblVerifyLines[[#This Row],[Qty 2]]),AND(N(tblVerifyLines[[#This Row],[Qty 4]])&gt;0,tblVerifyLines[[#This Row],[Qty 4]]&lt;=tblVerifyLines[[#This Row],[Qty 3]]),AND(N(tblVerifyLines[[#This Row],[Qty 5]])&gt;0,tblVerifyLines[[#This Row],[Qty 5]]&lt;=tblVerifyLines[[#This Row],[Qty 4]])),"Quantities not rising",IF(AND(tblVerifyLines[[#This Row],[Material]]=0,tblVerifyLines[[#This Row],[Run (min/part)]]=0),"No material or run time","OK"))))))))</f>
        <v>Quantities not rising</v>
      </c>
    </row>
    <row r="43" spans="2:23">
      <c r="B43" s="62" t="s">
        <v>293</v>
      </c>
      <c r="C43" s="62" t="s">
        <v>294</v>
      </c>
      <c r="D43" s="62" t="s">
        <v>295</v>
      </c>
      <c r="E43" s="72">
        <v>1</v>
      </c>
      <c r="F43" s="81">
        <v>1</v>
      </c>
      <c r="G43" s="76">
        <v>1</v>
      </c>
      <c r="H43" s="64">
        <v>0</v>
      </c>
      <c r="I43" s="64">
        <v>100</v>
      </c>
      <c r="J43" s="64"/>
      <c r="K43" s="64"/>
      <c r="L43" s="64"/>
      <c r="M43" s="64"/>
      <c r="N43" s="76" t="s">
        <v>165</v>
      </c>
      <c r="O43" s="41">
        <f>IF(tblVerifyLines[[#This Row],[Part number]]="","",IF(tblVerifyLines[[#This Row],[Rate]]="","",tblVerifyLines[[#This Row],[Material]]+tblVerifyLines[[#This Row],[Run (min/part)]]/60*tblVerifyLines[[#This Row],[Rate]]))</f>
        <v/>
      </c>
      <c r="P43" s="40">
        <f>IF(tblVerifyLines[[#This Row],[Part number]]="","",IF(tblVerifyLines[[#This Row],[Rate]]="","",tblVerifyLines[[#This Row],[Setup (h/lot)]]*tblVerifyLines[[#This Row],[Rate]]+tblVerifyLines[[#This Row],[Setup scrap (parts/lot)]]*tblVerifyLines[[#This Row],[Variable cost]]))</f>
        <v/>
      </c>
      <c r="Q43" s="42">
        <f>IF(tblVerifyLines[[#This Row],[Part number]]="","",IF(OR(tblVerifyLines[[#This Row],[Variable cost]]="",N(tblVerifyLines[[#This Row],[Variable cost]])=0),"",CEILING(tblVerifyLines[[#This Row],[Setup cost]]*(1-$E$35)/($E$35*tblVerifyLines[[#This Row],[Variable cost]]),1)))</f>
        <v/>
      </c>
      <c r="R43" s="40">
        <f>IF(tblVerifyLines[[#This Row],[Part number]]="","",IF(OR(tblVerifyLines[[#This Row],[Qty 1]]="",tblVerifyLines[[#This Row],[Variable cost]]=""),"",CEILING((tblVerifyLines[[#This Row],[Variable cost]]+tblVerifyLines[[#This Row],[Setup cost]]/tblVerifyLines[[#This Row],[Qty 1]])/(1-$E$33),$E$34)))</f>
        <v/>
      </c>
      <c r="S43" s="40">
        <f>IF(tblVerifyLines[[#This Row],[Part number]]="","",IF(OR(tblVerifyLines[[#This Row],[Qty 2]]="",tblVerifyLines[[#This Row],[Variable cost]]=""),"",CEILING((tblVerifyLines[[#This Row],[Variable cost]]+tblVerifyLines[[#This Row],[Setup cost]]/tblVerifyLines[[#This Row],[Qty 2]])/(1-$E$33),$E$34)))</f>
        <v/>
      </c>
      <c r="T43" s="40">
        <f>IF(tblVerifyLines[[#This Row],[Part number]]="","",IF(OR(tblVerifyLines[[#This Row],[Qty 3]]="",tblVerifyLines[[#This Row],[Variable cost]]=""),"",CEILING((tblVerifyLines[[#This Row],[Variable cost]]+tblVerifyLines[[#This Row],[Setup cost]]/tblVerifyLines[[#This Row],[Qty 3]])/(1-$E$33),$E$34)))</f>
        <v/>
      </c>
      <c r="U43" s="40">
        <f>IF(tblVerifyLines[[#This Row],[Part number]]="","",IF(OR(tblVerifyLines[[#This Row],[Qty 4]]="",tblVerifyLines[[#This Row],[Variable cost]]=""),"",CEILING((tblVerifyLines[[#This Row],[Variable cost]]+tblVerifyLines[[#This Row],[Setup cost]]/tblVerifyLines[[#This Row],[Qty 4]])/(1-$E$33),$E$34)))</f>
        <v/>
      </c>
      <c r="V43" s="40">
        <f>IF(tblVerifyLines[[#This Row],[Part number]]="","",IF(OR(tblVerifyLines[[#This Row],[Qty 5]]="",tblVerifyLines[[#This Row],[Variable cost]]=""),"",CEILING((tblVerifyLines[[#This Row],[Variable cost]]+tblVerifyLines[[#This Row],[Setup cost]]/tblVerifyLines[[#This Row],[Qty 5]])/(1-$E$33),$E$34)))</f>
        <v/>
      </c>
      <c r="W43" s="43" t="str">
        <f>IF(tblVerifyLines[[#This Row],[Part number]]="","",IF(tblVerifyLines[[#This Row],[Part number]]="","Missing part number",IF(tblVerifyLines[[#This Row],[Process]]="","Missing process",IF(tblVerifyLines[[#This Row],[Rate]]="","Process not on Setup list",IF(tblVerifyLines[[#This Row],[Qty 1]]="","Missing qty 1",IF(COUNTIFS(tblVerifyLines[Part number],tblVerifyLines[[#This Row],[Part number]])&gt;1,"Part listed twice",IF(OR(AND(N(tblVerifyLines[[#This Row],[Qty 2]])&gt;0,tblVerifyLines[[#This Row],[Qty 2]]&lt;=tblVerifyLines[[#This Row],[Qty 1]]),AND(N(tblVerifyLines[[#This Row],[Qty 3]])&gt;0,tblVerifyLines[[#This Row],[Qty 3]]&lt;=tblVerifyLines[[#This Row],[Qty 2]]),AND(N(tblVerifyLines[[#This Row],[Qty 4]])&gt;0,tblVerifyLines[[#This Row],[Qty 4]]&lt;=tblVerifyLines[[#This Row],[Qty 3]]),AND(N(tblVerifyLines[[#This Row],[Qty 5]])&gt;0,tblVerifyLines[[#This Row],[Qty 5]]&lt;=tblVerifyLines[[#This Row],[Qty 4]])),"Quantities not rising",IF(AND(tblVerifyLines[[#This Row],[Material]]=0,tblVerifyLines[[#This Row],[Run (min/part)]]=0),"No material or run time","OK"))))))))</f>
        <v>Process not on Setup list</v>
      </c>
    </row>
    <row r="45" spans="2:23">
      <c r="B45" s="33" t="s">
        <v>296</v>
      </c>
      <c r="C45" s="33"/>
      <c r="D45" s="33"/>
      <c r="E45" s="33"/>
      <c r="F45" s="33"/>
      <c r="G45" s="33"/>
      <c r="H45" s="33"/>
      <c r="I45" s="33"/>
      <c r="J45" s="33"/>
      <c r="K45" s="33"/>
      <c r="L45" s="33"/>
    </row>
    <row r="46" spans="2:23" ht="14" customHeight="1">
      <c r="B46" s="34"/>
      <c r="C46" s="34"/>
      <c r="D46" s="34" t="str">
        <f>Currency</f>
        <v>USD</v>
      </c>
    </row>
    <row r="47" spans="2:23" ht="20" customHeight="1">
      <c r="B47" s="35" t="s">
        <v>125</v>
      </c>
      <c r="C47" s="35" t="s">
        <v>65</v>
      </c>
      <c r="D47" s="35" t="s">
        <v>126</v>
      </c>
    </row>
    <row r="48" spans="2:23">
      <c r="B48" s="62" t="s">
        <v>297</v>
      </c>
      <c r="C48" s="62"/>
      <c r="D48" s="64">
        <v>12000</v>
      </c>
    </row>
    <row r="49" spans="2:12">
      <c r="B49" s="62" t="s">
        <v>298</v>
      </c>
      <c r="C49" s="62"/>
      <c r="D49" s="64">
        <v>800</v>
      </c>
    </row>
    <row r="51" spans="2:12">
      <c r="B51" s="33" t="s">
        <v>299</v>
      </c>
      <c r="C51" s="33"/>
      <c r="D51" s="33"/>
      <c r="E51" s="33"/>
      <c r="F51" s="33"/>
      <c r="G51" s="33"/>
      <c r="H51" s="33"/>
      <c r="I51" s="33"/>
      <c r="J51" s="33"/>
      <c r="K51" s="33"/>
      <c r="L51" s="33"/>
    </row>
    <row r="52" spans="2:12">
      <c r="B52" s="17" t="s">
        <v>170</v>
      </c>
      <c r="C52" s="17"/>
      <c r="D52" s="17"/>
      <c r="E52" s="44">
        <f>SUM(tblVerifyTooling[Cost])</f>
        <v>12800</v>
      </c>
      <c r="F52" s="7" t="str">
        <f>Currency</f>
        <v>USD</v>
      </c>
    </row>
    <row r="54" spans="2:12">
      <c r="B54" s="33" t="s">
        <v>300</v>
      </c>
      <c r="C54" s="33"/>
      <c r="D54" s="33"/>
      <c r="E54" s="33"/>
      <c r="F54" s="33"/>
      <c r="G54" s="33"/>
      <c r="H54" s="33"/>
      <c r="I54" s="33"/>
      <c r="J54" s="33"/>
      <c r="K54" s="33"/>
      <c r="L54" s="33"/>
    </row>
    <row r="55" spans="2:12">
      <c r="B55" s="27" t="s">
        <v>172</v>
      </c>
      <c r="C55" s="27"/>
      <c r="D55" s="27"/>
      <c r="E55" s="62" t="s">
        <v>285</v>
      </c>
      <c r="F55" s="62"/>
    </row>
    <row r="56" spans="2:12">
      <c r="B56" s="27" t="s">
        <v>173</v>
      </c>
      <c r="C56" s="27"/>
      <c r="D56" s="27"/>
      <c r="E56" s="42">
        <f>IFERROR(MATCH($E$55,tblVerifyLines[Part number],0),"")</f>
        <v>1</v>
      </c>
      <c r="F56" s="7" t="s">
        <v>174</v>
      </c>
    </row>
    <row r="58" spans="2:12">
      <c r="B58" s="33" t="s">
        <v>301</v>
      </c>
      <c r="C58" s="33"/>
      <c r="D58" s="33"/>
      <c r="E58" s="33"/>
      <c r="F58" s="33"/>
      <c r="G58" s="33"/>
      <c r="H58" s="33"/>
      <c r="I58" s="33"/>
      <c r="J58" s="33"/>
      <c r="K58" s="33"/>
      <c r="L58" s="33"/>
    </row>
    <row r="59" spans="2:12">
      <c r="B59" s="45" t="s">
        <v>176</v>
      </c>
      <c r="C59" s="45"/>
      <c r="D59" s="45"/>
      <c r="E59" s="35" t="s">
        <v>177</v>
      </c>
      <c r="F59" s="46">
        <v>1</v>
      </c>
      <c r="G59" s="46">
        <v>2</v>
      </c>
      <c r="H59" s="46">
        <v>3</v>
      </c>
      <c r="I59" s="46">
        <v>4</v>
      </c>
      <c r="J59" s="46">
        <v>5</v>
      </c>
    </row>
    <row r="60" spans="2:12">
      <c r="B60" s="27" t="s">
        <v>178</v>
      </c>
      <c r="C60" s="27"/>
      <c r="D60" s="27"/>
      <c r="E60" s="7" t="s">
        <v>144</v>
      </c>
      <c r="F60" s="42">
        <f>IF($E$56="","",IF(CHOOSE($F$59,INDEX(tblVerifyLines[Qty 1],$E$56),INDEX(tblVerifyLines[Qty 2],$E$56),INDEX(tblVerifyLines[Qty 3],$E$56),INDEX(tblVerifyLines[Qty 4],$E$56),INDEX(tblVerifyLines[Qty 5],$E$56))="","",CHOOSE($F$59,INDEX(tblVerifyLines[Qty 1],$E$56),INDEX(tblVerifyLines[Qty 2],$E$56),INDEX(tblVerifyLines[Qty 3],$E$56),INDEX(tblVerifyLines[Qty 4],$E$56),INDEX(tblVerifyLines[Qty 5],$E$56))))</f>
        <v>250</v>
      </c>
      <c r="G60" s="42">
        <f>IF($E$56="","",IF(CHOOSE($G$59,INDEX(tblVerifyLines[Qty 1],$E$56),INDEX(tblVerifyLines[Qty 2],$E$56),INDEX(tblVerifyLines[Qty 3],$E$56),INDEX(tblVerifyLines[Qty 4],$E$56),INDEX(tblVerifyLines[Qty 5],$E$56))="","",CHOOSE($G$59,INDEX(tblVerifyLines[Qty 1],$E$56),INDEX(tblVerifyLines[Qty 2],$E$56),INDEX(tblVerifyLines[Qty 3],$E$56),INDEX(tblVerifyLines[Qty 4],$E$56),INDEX(tblVerifyLines[Qty 5],$E$56))))</f>
        <v>500</v>
      </c>
      <c r="H60" s="42">
        <f>IF($E$56="","",IF(CHOOSE($H$59,INDEX(tblVerifyLines[Qty 1],$E$56),INDEX(tblVerifyLines[Qty 2],$E$56),INDEX(tblVerifyLines[Qty 3],$E$56),INDEX(tblVerifyLines[Qty 4],$E$56),INDEX(tblVerifyLines[Qty 5],$E$56))="","",CHOOSE($H$59,INDEX(tblVerifyLines[Qty 1],$E$56),INDEX(tblVerifyLines[Qty 2],$E$56),INDEX(tblVerifyLines[Qty 3],$E$56),INDEX(tblVerifyLines[Qty 4],$E$56),INDEX(tblVerifyLines[Qty 5],$E$56))))</f>
        <v>1000</v>
      </c>
      <c r="I60" s="42">
        <f>IF($E$56="","",IF(CHOOSE($I$59,INDEX(tblVerifyLines[Qty 1],$E$56),INDEX(tblVerifyLines[Qty 2],$E$56),INDEX(tblVerifyLines[Qty 3],$E$56),INDEX(tblVerifyLines[Qty 4],$E$56),INDEX(tblVerifyLines[Qty 5],$E$56))="","",CHOOSE($I$59,INDEX(tblVerifyLines[Qty 1],$E$56),INDEX(tblVerifyLines[Qty 2],$E$56),INDEX(tblVerifyLines[Qty 3],$E$56),INDEX(tblVerifyLines[Qty 4],$E$56),INDEX(tblVerifyLines[Qty 5],$E$56))))</f>
        <v/>
      </c>
      <c r="J60" s="42">
        <f>IF($E$56="","",IF(CHOOSE($J$59,INDEX(tblVerifyLines[Qty 1],$E$56),INDEX(tblVerifyLines[Qty 2],$E$56),INDEX(tblVerifyLines[Qty 3],$E$56),INDEX(tblVerifyLines[Qty 4],$E$56),INDEX(tblVerifyLines[Qty 5],$E$56))="","",CHOOSE($J$59,INDEX(tblVerifyLines[Qty 1],$E$56),INDEX(tblVerifyLines[Qty 2],$E$56),INDEX(tblVerifyLines[Qty 3],$E$56),INDEX(tblVerifyLines[Qty 4],$E$56),INDEX(tblVerifyLines[Qty 5],$E$56))))</f>
        <v/>
      </c>
    </row>
    <row r="61" spans="2:12">
      <c r="B61" s="27" t="s">
        <v>116</v>
      </c>
      <c r="C61" s="27"/>
      <c r="D61" s="27"/>
      <c r="E61" s="7" t="str">
        <f>Currency&amp;"/part"</f>
        <v>USD/part</v>
      </c>
      <c r="F61" s="40">
        <f>IF(N($F$60)=0,"",INDEX(tblVerifyLines[Variable cost],$E$56))</f>
        <v>38</v>
      </c>
      <c r="G61" s="40">
        <f>IF(N($G$60)=0,"",INDEX(tblVerifyLines[Variable cost],$E$56))</f>
        <v>38</v>
      </c>
      <c r="H61" s="40">
        <f>IF(N($H$60)=0,"",INDEX(tblVerifyLines[Variable cost],$E$56))</f>
        <v>38</v>
      </c>
      <c r="I61" s="40">
        <f>IF(N($I$60)=0,"",INDEX(tblVerifyLines[Variable cost],$E$56))</f>
        <v/>
      </c>
      <c r="J61" s="40">
        <f>IF(N($J$60)=0,"",INDEX(tblVerifyLines[Variable cost],$E$56))</f>
        <v/>
      </c>
    </row>
    <row r="62" spans="2:12">
      <c r="B62" s="27" t="s">
        <v>179</v>
      </c>
      <c r="C62" s="27"/>
      <c r="D62" s="27"/>
      <c r="E62" s="7" t="str">
        <f>Currency&amp;"/part"</f>
        <v>USD/part</v>
      </c>
      <c r="F62" s="40">
        <f>IF(N($F$60)=0,"",INDEX(tblVerifyLines[Setup cost],$E$56)/$F$60)</f>
        <v>3.554</v>
      </c>
      <c r="G62" s="40">
        <f>IF(N($G$60)=0,"",INDEX(tblVerifyLines[Setup cost],$E$56)/$G$60)</f>
        <v>1.777</v>
      </c>
      <c r="H62" s="40">
        <f>IF(N($H$60)=0,"",INDEX(tblVerifyLines[Setup cost],$E$56)/$H$60)</f>
        <v>0.8885</v>
      </c>
      <c r="I62" s="40">
        <f>IF(N($I$60)=0,"",INDEX(tblVerifyLines[Setup cost],$E$56)/$I$60)</f>
        <v/>
      </c>
      <c r="J62" s="40">
        <f>IF(N($J$60)=0,"",INDEX(tblVerifyLines[Setup cost],$E$56)/$J$60)</f>
        <v/>
      </c>
    </row>
    <row r="63" spans="2:12">
      <c r="B63" s="27" t="s">
        <v>180</v>
      </c>
      <c r="C63" s="27"/>
      <c r="D63" s="27"/>
      <c r="E63" s="7" t="str">
        <f>Currency&amp;"/part"</f>
        <v>USD/part</v>
      </c>
      <c r="F63" s="47">
        <f>IF(N($F$60)=0,"",CHOOSE($F$59,INDEX(tblVerifyLines[Price 1],$E$56),INDEX(tblVerifyLines[Price 2],$E$56),INDEX(tblVerifyLines[Price 3],$E$56),INDEX(tblVerifyLines[Price 4],$E$56),INDEX(tblVerifyLines[Price 5],$E$56)))</f>
        <v>59.37</v>
      </c>
      <c r="G63" s="47">
        <f>IF(N($G$60)=0,"",CHOOSE($G$59,INDEX(tblVerifyLines[Price 1],$E$56),INDEX(tblVerifyLines[Price 2],$E$56),INDEX(tblVerifyLines[Price 3],$E$56),INDEX(tblVerifyLines[Price 4],$E$56),INDEX(tblVerifyLines[Price 5],$E$56)))</f>
        <v>56.83</v>
      </c>
      <c r="H63" s="47">
        <f>IF(N($H$60)=0,"",CHOOSE($H$59,INDEX(tblVerifyLines[Price 1],$E$56),INDEX(tblVerifyLines[Price 2],$E$56),INDEX(tblVerifyLines[Price 3],$E$56),INDEX(tblVerifyLines[Price 4],$E$56),INDEX(tblVerifyLines[Price 5],$E$56)))</f>
        <v>55.56</v>
      </c>
      <c r="I63" s="47">
        <f>IF(N($I$60)=0,"",CHOOSE($I$59,INDEX(tblVerifyLines[Price 1],$E$56),INDEX(tblVerifyLines[Price 2],$E$56),INDEX(tblVerifyLines[Price 3],$E$56),INDEX(tblVerifyLines[Price 4],$E$56),INDEX(tblVerifyLines[Price 5],$E$56)))</f>
        <v/>
      </c>
      <c r="J63" s="47">
        <f>IF(N($J$60)=0,"",CHOOSE($J$59,INDEX(tblVerifyLines[Price 1],$E$56),INDEX(tblVerifyLines[Price 2],$E$56),INDEX(tblVerifyLines[Price 3],$E$56),INDEX(tblVerifyLines[Price 4],$E$56),INDEX(tblVerifyLines[Price 5],$E$56)))</f>
        <v/>
      </c>
    </row>
    <row r="64" spans="2:12">
      <c r="B64" s="27" t="s">
        <v>181</v>
      </c>
      <c r="C64" s="27"/>
      <c r="D64" s="27"/>
      <c r="E64" s="7" t="str">
        <f>Currency&amp;"/part"</f>
        <v>USD/part</v>
      </c>
      <c r="F64" s="40">
        <f>IF($F$63="","",$F$63-$F$61-$F$62)</f>
        <v>17.816</v>
      </c>
      <c r="G64" s="40">
        <f>IF($G$63="","",$G$63-$G$61-$G$62)</f>
        <v>17.053</v>
      </c>
      <c r="H64" s="40">
        <f>IF($H$63="","",$H$63-$H$61-$H$62)</f>
        <v>16.6715</v>
      </c>
      <c r="I64" s="40">
        <f>IF($I$63="","",$I$63-$I$61-$I$62)</f>
        <v/>
      </c>
      <c r="J64" s="40">
        <f>IF($J$63="","",$J$63-$J$61-$J$62)</f>
        <v/>
      </c>
    </row>
    <row r="65" spans="2:13">
      <c r="B65" s="27" t="s">
        <v>182</v>
      </c>
      <c r="C65" s="27"/>
      <c r="D65" s="27"/>
      <c r="E65" s="7" t="s">
        <v>183</v>
      </c>
      <c r="F65" s="48">
        <f>IF($F$63="","",$F$62/($F$61+$F$62))</f>
        <v>0.0855272657265245</v>
      </c>
      <c r="G65" s="48">
        <f>IF($G$63="","",$G$62/($G$61+$G$62))</f>
        <v>0.04467405787264</v>
      </c>
      <c r="H65" s="48">
        <f>IF($H$63="","",$H$62/($H$61+$H$62))</f>
        <v>0.0228473713308562</v>
      </c>
      <c r="I65" s="48">
        <f>IF($I$63="","",$I$62/($I$61+$I$62))</f>
        <v/>
      </c>
      <c r="J65" s="48">
        <f>IF($J$63="","",$J$62/($J$61+$J$62))</f>
        <v/>
      </c>
    </row>
    <row r="67" spans="2:13">
      <c r="B67" s="33" t="s">
        <v>302</v>
      </c>
      <c r="C67" s="33"/>
      <c r="D67" s="33"/>
      <c r="E67" s="33"/>
      <c r="F67" s="33"/>
      <c r="G67" s="33"/>
      <c r="H67" s="33"/>
      <c r="I67" s="33"/>
      <c r="J67" s="33"/>
      <c r="K67" s="33"/>
      <c r="L67" s="33"/>
    </row>
    <row r="68" spans="2:13">
      <c r="B68" s="45" t="s">
        <v>104</v>
      </c>
      <c r="C68" s="45"/>
      <c r="D68" s="45"/>
      <c r="E68" s="35" t="s">
        <v>177</v>
      </c>
      <c r="F68" s="49" t="str">
        <f>IFERROR(INDEX(tblVerifyLines[Part number],1)&amp;"","")</f>
        <v>SA-EX</v>
      </c>
      <c r="G68" s="49" t="str">
        <f>IFERROR(INDEX(tblVerifyLines[Part number],2)&amp;"","")</f>
        <v>CP-EX</v>
      </c>
      <c r="H68" s="49" t="str">
        <f>IFERROR(INDEX(tblVerifyLines[Part number],3)&amp;"","")</f>
        <v>BAD-QTY</v>
      </c>
      <c r="I68" s="49" t="str">
        <f>IFERROR(INDEX(tblVerifyLines[Part number],4)&amp;"","")</f>
        <v>BAD-PROC</v>
      </c>
      <c r="J68" s="49">
        <f>IFERROR(INDEX(tblVerifyLines[Part number],5)&amp;"","")</f>
        <v/>
      </c>
      <c r="K68" s="49">
        <f>IFERROR(INDEX(tblVerifyLines[Part number],6)&amp;"","")</f>
        <v/>
      </c>
      <c r="L68" s="49">
        <f>IFERROR(INDEX(tblVerifyLines[Part number],7)&amp;"","")</f>
        <v/>
      </c>
      <c r="M68" s="49">
        <f>IFERROR(INDEX(tblVerifyLines[Part number],8)&amp;"","")</f>
        <v/>
      </c>
    </row>
    <row r="69" spans="2:13">
      <c r="B69" s="27" t="s">
        <v>185</v>
      </c>
      <c r="C69" s="27"/>
      <c r="D69" s="27"/>
      <c r="E69" s="7" t="str">
        <f>Currency&amp;"/part"</f>
        <v>USD/part</v>
      </c>
      <c r="F69" s="40">
        <f>IF($F$68="","",IFERROR(INDEX(tblVerifyLines[Price 1],MATCH($F$68,tblVerifyLines[Part number],0)),""))</f>
        <v>59.37</v>
      </c>
      <c r="G69" s="40">
        <f>IF($G$68="","",IFERROR(INDEX(tblVerifyLines[Price 1],MATCH($G$68,tblVerifyLines[Part number],0)),""))</f>
        <v>54.65</v>
      </c>
      <c r="H69" s="40">
        <f>IF($H$68="","",IFERROR(INDEX(tblVerifyLines[Price 1],MATCH($H$68,tblVerifyLines[Part number],0)),""))</f>
        <v>3.97</v>
      </c>
      <c r="I69" s="40">
        <f>IF($I$68="","",IFERROR(INDEX(tblVerifyLines[Price 1],MATCH($I$68,tblVerifyLines[Part number],0)),""))</f>
        <v/>
      </c>
      <c r="J69" s="40">
        <f>IF($J$68="","",IFERROR(INDEX(tblVerifyLines[Price 1],MATCH($J$68,tblVerifyLines[Part number],0)),""))</f>
        <v/>
      </c>
      <c r="K69" s="40">
        <f>IF($K$68="","",IFERROR(INDEX(tblVerifyLines[Price 1],MATCH($K$68,tblVerifyLines[Part number],0)),""))</f>
        <v/>
      </c>
      <c r="L69" s="40">
        <f>IF($L$68="","",IFERROR(INDEX(tblVerifyLines[Price 1],MATCH($L$68,tblVerifyLines[Part number],0)),""))</f>
        <v/>
      </c>
      <c r="M69" s="40">
        <f>IF($M$68="","",IFERROR(INDEX(tblVerifyLines[Price 1],MATCH($M$68,tblVerifyLines[Part number],0)),""))</f>
        <v/>
      </c>
    </row>
    <row r="70" spans="2:13">
      <c r="B70" s="27" t="s">
        <v>186</v>
      </c>
      <c r="C70" s="27"/>
      <c r="D70" s="27"/>
      <c r="E70" s="7" t="str">
        <f>Currency&amp;"/part"</f>
        <v>USD/part</v>
      </c>
      <c r="F70" s="40">
        <f>IF($F$68="","",IFERROR(MIN(INDEX(tblVerifyLines[Price 1],MATCH($F$68,tblVerifyLines[Part number],0)),INDEX(tblVerifyLines[Price 2],MATCH($F$68,tblVerifyLines[Part number],0)),INDEX(tblVerifyLines[Price 3],MATCH($F$68,tblVerifyLines[Part number],0)),INDEX(tblVerifyLines[Price 4],MATCH($F$68,tblVerifyLines[Part number],0)),INDEX(tblVerifyLines[Price 5],MATCH($F$68,tblVerifyLines[Part number],0))),""))</f>
        <v>55.56</v>
      </c>
      <c r="G70" s="40">
        <f>IF($G$68="","",IFERROR(MIN(INDEX(tblVerifyLines[Price 1],MATCH($G$68,tblVerifyLines[Part number],0)),INDEX(tblVerifyLines[Price 2],MATCH($G$68,tblVerifyLines[Part number],0)),INDEX(tblVerifyLines[Price 3],MATCH($G$68,tblVerifyLines[Part number],0)),INDEX(tblVerifyLines[Price 4],MATCH($G$68,tblVerifyLines[Part number],0)),INDEX(tblVerifyLines[Price 5],MATCH($G$68,tblVerifyLines[Part number],0))),""))</f>
        <v>50.58</v>
      </c>
      <c r="H70" s="40">
        <f>IF($H$68="","",IFERROR(MIN(INDEX(tblVerifyLines[Price 1],MATCH($H$68,tblVerifyLines[Part number],0)),INDEX(tblVerifyLines[Price 2],MATCH($H$68,tblVerifyLines[Part number],0)),INDEX(tblVerifyLines[Price 3],MATCH($H$68,tblVerifyLines[Part number],0)),INDEX(tblVerifyLines[Price 4],MATCH($H$68,tblVerifyLines[Part number],0)),INDEX(tblVerifyLines[Price 5],MATCH($H$68,tblVerifyLines[Part number],0))),""))</f>
        <v>3.97</v>
      </c>
      <c r="I70" s="40">
        <f>IF($I$68="","",IFERROR(MIN(INDEX(tblVerifyLines[Price 1],MATCH($I$68,tblVerifyLines[Part number],0)),INDEX(tblVerifyLines[Price 2],MATCH($I$68,tblVerifyLines[Part number],0)),INDEX(tblVerifyLines[Price 3],MATCH($I$68,tblVerifyLines[Part number],0)),INDEX(tblVerifyLines[Price 4],MATCH($I$68,tblVerifyLines[Part number],0)),INDEX(tblVerifyLines[Price 5],MATCH($I$68,tblVerifyLines[Part number],0))),""))</f>
        <v>0</v>
      </c>
      <c r="J70" s="40">
        <f>IF($J$68="","",IFERROR(MIN(INDEX(tblVerifyLines[Price 1],MATCH($J$68,tblVerifyLines[Part number],0)),INDEX(tblVerifyLines[Price 2],MATCH($J$68,tblVerifyLines[Part number],0)),INDEX(tblVerifyLines[Price 3],MATCH($J$68,tblVerifyLines[Part number],0)),INDEX(tblVerifyLines[Price 4],MATCH($J$68,tblVerifyLines[Part number],0)),INDEX(tblVerifyLines[Price 5],MATCH($J$68,tblVerifyLines[Part number],0))),""))</f>
        <v/>
      </c>
      <c r="K70" s="40">
        <f>IF($K$68="","",IFERROR(MIN(INDEX(tblVerifyLines[Price 1],MATCH($K$68,tblVerifyLines[Part number],0)),INDEX(tblVerifyLines[Price 2],MATCH($K$68,tblVerifyLines[Part number],0)),INDEX(tblVerifyLines[Price 3],MATCH($K$68,tblVerifyLines[Part number],0)),INDEX(tblVerifyLines[Price 4],MATCH($K$68,tblVerifyLines[Part number],0)),INDEX(tblVerifyLines[Price 5],MATCH($K$68,tblVerifyLines[Part number],0))),""))</f>
        <v/>
      </c>
      <c r="L70" s="40">
        <f>IF($L$68="","",IFERROR(MIN(INDEX(tblVerifyLines[Price 1],MATCH($L$68,tblVerifyLines[Part number],0)),INDEX(tblVerifyLines[Price 2],MATCH($L$68,tblVerifyLines[Part number],0)),INDEX(tblVerifyLines[Price 3],MATCH($L$68,tblVerifyLines[Part number],0)),INDEX(tblVerifyLines[Price 4],MATCH($L$68,tblVerifyLines[Part number],0)),INDEX(tblVerifyLines[Price 5],MATCH($L$68,tblVerifyLines[Part number],0))),""))</f>
        <v/>
      </c>
      <c r="M70" s="40">
        <f>IF($M$68="","",IFERROR(MIN(INDEX(tblVerifyLines[Price 1],MATCH($M$68,tblVerifyLines[Part number],0)),INDEX(tblVerifyLines[Price 2],MATCH($M$68,tblVerifyLines[Part number],0)),INDEX(tblVerifyLines[Price 3],MATCH($M$68,tblVerifyLines[Part number],0)),INDEX(tblVerifyLines[Price 4],MATCH($M$68,tblVerifyLines[Part number],0)),INDEX(tblVerifyLines[Price 5],MATCH($M$68,tblVerifyLines[Part number],0))),""))</f>
        <v/>
      </c>
    </row>
    <row r="71" spans="2:13">
      <c r="B71" s="27" t="s">
        <v>187</v>
      </c>
      <c r="C71" s="27"/>
      <c r="D71" s="27"/>
      <c r="E71" s="7" t="s">
        <v>183</v>
      </c>
      <c r="F71" s="48">
        <f>IF($F$68="","",IF(OR($F$69="",N($F$69)=0),"",1-$F$70/$F$69))</f>
        <v>0.0641738251642244</v>
      </c>
      <c r="G71" s="48">
        <f>IF($G$68="","",IF(OR($G$69="",N($G$69)=0),"",1-$G$70/$G$69))</f>
        <v>0.0744739249771271</v>
      </c>
      <c r="H71" s="48">
        <f>IF($H$68="","",IF(OR($H$69="",N($H$69)=0),"",1-$H$70/$H$69))</f>
        <v>0</v>
      </c>
      <c r="I71" s="48">
        <f>IF($I$68="","",IF(OR($I$69="",N($I$69)=0),"",1-$I$70/$I$69))</f>
        <v/>
      </c>
      <c r="J71" s="48">
        <f>IF($J$68="","",IF(OR($J$69="",N($J$69)=0),"",1-$J$70/$J$69))</f>
        <v/>
      </c>
      <c r="K71" s="48">
        <f>IF($K$68="","",IF(OR($K$69="",N($K$69)=0),"",1-$K$70/$K$69))</f>
        <v/>
      </c>
      <c r="L71" s="48">
        <f>IF($L$68="","",IF(OR($L$69="",N($L$69)=0),"",1-$L$70/$L$69))</f>
        <v/>
      </c>
      <c r="M71" s="48">
        <f>IF($M$68="","",IF(OR($M$69="",N($M$69)=0),"",1-$M$70/$M$69))</f>
        <v/>
      </c>
    </row>
  </sheetData>
  <sheetProtection sheet="1" formatColumns="0" formatRows="0"/>
  <mergeCells count="52">
    <mergeCell ref="A1:W1"/>
    <mergeCell ref="B2:V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B29:L29"/>
    <mergeCell ref="B31:L31"/>
    <mergeCell ref="B32:F32"/>
    <mergeCell ref="B33:D33"/>
    <mergeCell ref="B34:D34"/>
    <mergeCell ref="B35:D35"/>
    <mergeCell ref="B37:L37"/>
    <mergeCell ref="B45:L45"/>
    <mergeCell ref="B51:L51"/>
    <mergeCell ref="B52:D52"/>
    <mergeCell ref="B54:L54"/>
    <mergeCell ref="B55:D55"/>
    <mergeCell ref="E55:F55"/>
    <mergeCell ref="B56:D56"/>
    <mergeCell ref="B58:L58"/>
    <mergeCell ref="B59:D59"/>
    <mergeCell ref="B60:D60"/>
    <mergeCell ref="B61:D61"/>
    <mergeCell ref="B62:D62"/>
    <mergeCell ref="B63:D63"/>
    <mergeCell ref="B64:D64"/>
    <mergeCell ref="B65:D65"/>
    <mergeCell ref="B67:L67"/>
    <mergeCell ref="B68:D68"/>
    <mergeCell ref="B69:D69"/>
    <mergeCell ref="B70:D70"/>
    <mergeCell ref="B71:D71"/>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F65:J65">
    <cfRule type="expression" dxfId="3" priority="43" stopIfTrue="1">
      <formula>AND(ISNUMBER(F65),F65&lt;=($E$35))</formula>
    </cfRule>
    <cfRule type="expression" dxfId="4" priority="44" stopIfTrue="1">
      <formula>AND(ISNUMBER(F65),F65&lt;=($E$35)*(1+0.05))</formula>
    </cfRule>
    <cfRule type="expression" dxfId="5" priority="45">
      <formula>ISNUMBER(F65)</formula>
    </cfRule>
  </conditionalFormatting>
  <conditionalFormatting sqref="K11:K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W40:W43">
    <cfRule type="expression" dxfId="3" priority="41">
      <formula>$W40="OK"</formula>
    </cfRule>
    <cfRule type="expression" dxfId="1" priority="42">
      <formula>AND($W40&lt;&gt;"",$W40&lt;&gt;"OK")</formula>
    </cfRule>
  </conditionalFormatting>
  <hyperlinks>
    <hyperlink ref="W2" r:id="rId1" tooltip="Free manufacturing calculators and templates"/>
  </hyperlinks>
  <printOptions horizontalCentered="1"/>
  <pageMargins left="0.4" right="0.4" top="0.7" bottom="0.65" header="0.3" footer="0.3"/>
  <pageSetup fitToHeight="0" orientation="landscape"/>
  <headerFooter>
    <oddHeader>&amp;L&amp;8MFG Calcs - Price Quote with Quantity Breaks&amp;R&amp;8&amp;A</oddHeader>
    <oddFooter>&amp;L&amp;8mfgcalcs.com - free manufacturing templates&amp;R&amp;8Page &amp;P of &amp;N</oddFooter>
  </headerFooter>
  <rowBreaks count="1" manualBreakCount="1">
    <brk id="57" max="16383" man="1"/>
  </rowBreaks>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32</vt:i4>
      </vt:variant>
    </vt:vector>
  </HeadingPairs>
  <TitlesOfParts>
    <vt:vector size="38" baseType="lpstr">
      <vt:lpstr>Start Here</vt:lpstr>
      <vt:lpstr>Setup</vt:lpstr>
      <vt:lpstr>Quote Lines</vt:lpstr>
      <vt:lpstr>Quote</vt:lpstr>
      <vt:lpstr>Method</vt:lpstr>
      <vt:lpstr>Verify</vt:lpstr>
      <vt:lpstr>ChartLine</vt:lpstr>
      <vt:lpstr>ChartRow</vt:lpstr>
      <vt:lpstr>CoAddress1</vt:lpstr>
      <vt:lpstr>CoAddress2</vt:lpstr>
      <vt:lpstr>CoEmail</vt:lpstr>
      <vt:lpstr>CoName</vt:lpstr>
      <vt:lpstr>Contact</vt:lpstr>
      <vt:lpstr>CoPhone</vt:lpstr>
      <vt:lpstr>Currency</vt:lpstr>
      <vt:lpstr>Customer</vt:lpstr>
      <vt:lpstr>DelTerms</vt:lpstr>
      <vt:lpstr>LeadText</vt:lpstr>
      <vt:lpstr>Margin</vt:lpstr>
      <vt:lpstr>PayTerms</vt:lpstr>
      <vt:lpstr>PreparedBy</vt:lpstr>
      <vt:lpstr>Method!Print_Area</vt:lpstr>
      <vt:lpstr>'Quote Lines'!Print_Area</vt:lpstr>
      <vt:lpstr>Quote!Print_Area</vt:lpstr>
      <vt:lpstr>Setup!Print_Area</vt:lpstr>
      <vt:lpstr>'Start Here'!Print_Area</vt:lpstr>
      <vt:lpstr>Verify!Print_Area</vt:lpstr>
      <vt:lpstr>Method!Print_Titles</vt:lpstr>
      <vt:lpstr>QuoteDate</vt:lpstr>
      <vt:lpstr>QuoteNo</vt:lpstr>
      <vt:lpstr>RFQRef</vt:lpstr>
      <vt:lpstr>RoundStep</vt:lpstr>
      <vt:lpstr>SelfCheck</vt:lpstr>
      <vt:lpstr>SelfCheckSummary</vt:lpstr>
      <vt:lpstr>SetupShare</vt:lpstr>
      <vt:lpstr>Terms</vt:lpstr>
      <vt:lpstr>ToolingTotal</vt:lpstr>
      <vt:lpstr>Validity</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Price Quote with Quantity Breaks - free Excel template from MFG Calcs</dc:title>
  <dc:subject>Price every part of an RFQ at five quantities from its cost per part and setup per lot, and print a customer-ready quote with tooling and terms.</dc:subject>
  <dc:creator>MFG Calcs</dc:creator>
  <cp:keywords>price quote, quantity breaks, price breaks, volume pricing, setup amortization, injection moulding quote, machining quote, RFQ</cp:keywords>
  <dc:description>https://www.mfgcalcs.com/templates/quote-quantity-breaks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quote-quantity-breaks</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form</vt:lpwstr>
  </property>
  <property fmtid="{D5CDD505-2E9C-101B-9397-08002B2CF9AE}" pid="6" name="Template URL">
    <vt:lpwstr>https://www.mfgcalcs.com/templates/quote-quantity-breaks</vt:lpwstr>
  </property>
  <property fmtid="{D5CDD505-2E9C-101B-9397-08002B2CF9AE}" pid="7" name="Template sheet roles">
    <vt:lpwstr>Start Here=start;Setup=setup;Quote Lines=form;Quote=output;Method=method;Verify=verify</vt:lpwstr>
  </property>
</Properties>
</file>