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Recipes" sheetId="3" r:id="rId3"/>
    <sheet name="Recipe Lines" sheetId="4" r:id="rId4"/>
    <sheet name="Dashboard" sheetId="5" r:id="rId5"/>
    <sheet name="Method" sheetId="6" r:id="rId6"/>
    <sheet name="Verify" sheetId="7" r:id="rId7"/>
  </sheets>
  <definedNames>
    <definedName name="CompanyName">Setup!$D$6</definedName>
    <definedName name="Currency">Setup!$D$7</definedName>
    <definedName name="Ingredients">tblIngredients[Ingredient]</definedName>
    <definedName name="KpiBelow">Dashboard!$J$7</definedName>
    <definedName name="KpiMargin">Dashboard!$B$7</definedName>
    <definedName name="KpiProfit">Dashboard!$D$7</definedName>
    <definedName name="KpiSpend">Dashboard!$G$7</definedName>
    <definedName name="LabourRate">Setup!$D$8</definedName>
    <definedName name="OverheadRate">Setup!$D$9</definedName>
    <definedName name="_xlnm.Print_Area" localSheetId="4">Dashboard!$A$1:$L$65</definedName>
    <definedName name="_xlnm.Print_Area" localSheetId="5">Method!$A$1:$D$55</definedName>
    <definedName name="_xlnm.Print_Area" localSheetId="3">'Recipe Lines'!$A$1:$M$54</definedName>
    <definedName name="_xlnm.Print_Area" localSheetId="2">Recipes!$A$1:$X$12</definedName>
    <definedName name="_xlnm.Print_Area" localSheetId="1">Setup!$A$1:$G$39</definedName>
    <definedName name="_xlnm.Print_Area" localSheetId="0">'Start Here'!$A$1:$F$57</definedName>
    <definedName name="_xlnm.Print_Area" localSheetId="6">Verify!$A$1:$X$49</definedName>
    <definedName name="_xlnm.Print_Titles" localSheetId="5">Method!$1:$2</definedName>
    <definedName name="_xlnm.Print_Titles" localSheetId="3">'Recipe Lines'!$1:$6</definedName>
    <definedName name="_xlnm.Print_Titles" localSheetId="2">Recipes!$1:$6</definedName>
    <definedName name="RecipeNames">tblRecipes[Recipe]</definedName>
    <definedName name="SelfCheck">Verify!$D$4</definedName>
    <definedName name="SelfCheckSummary">Verify!$F$4</definedName>
    <definedName name="TargetMargin">Setup!$D$10</definedName>
  </definedNames>
  <calcPr calcId="124519" fullCalcOnLoad="1"/>
</workbook>
</file>

<file path=xl/sharedStrings.xml><?xml version="1.0" encoding="utf-8"?>
<sst xmlns="http://schemas.openxmlformats.org/spreadsheetml/2006/main" count="700" uniqueCount="269">
  <si>
    <t>Recipe and Batch Costing</t>
  </si>
  <si>
    <t>Read this first: what the workbook does and how to use it.</t>
  </si>
  <si>
    <t>mfgcalcs.com</t>
  </si>
  <si>
    <t>Cost every recipe from ingredients, yield, labour, overhead and packaging: cost per pack, margin and the price for your target.</t>
  </si>
  <si>
    <t>For: Owners, production managers and cost accountants at food, beverage, cosmetics and chemical batch makers.</t>
  </si>
  <si>
    <t>Version 1.0.0  ·  updated 15 October 2026</t>
  </si>
  <si>
    <t>Quick start</t>
  </si>
  <si>
    <t>1.</t>
  </si>
  <si>
    <t>On Setup, type your company name, currency, labour and overhead rates and margin target, then replace the example ingredients with your purchase prices (per kg or per lb).</t>
  </si>
  <si>
    <t>2.</t>
  </si>
  <si>
    <t>On Recipes, add one row per product: yield, batch time and crew, pack size, packaging cost and selling price per pack, and planned batches per month.</t>
  </si>
  <si>
    <t>3.</t>
  </si>
  <si>
    <t>On Recipe Lines, add each recipe's ingredients with the quantity per batch.</t>
  </si>
  <si>
    <t>4.</t>
  </si>
  <si>
    <t>Read the Check columns: anything other than OK names the problem in words.</t>
  </si>
  <si>
    <t>5.</t>
  </si>
  <si>
    <t>Open the Dashboard to see margins, the recipes below target and where the ingredient money goes.</t>
  </si>
  <si>
    <t>What is in this workbook</t>
  </si>
  <si>
    <t>Start Here</t>
  </si>
  <si>
    <t>Setup</t>
  </si>
  <si>
    <t>Company, currency, labour and overhead rates, margin target, and ingredient prices.</t>
  </si>
  <si>
    <t>Recipes</t>
  </si>
  <si>
    <t>One row per recipe: yield, batch time, packaging and price; cost per kg, per pack and margin.</t>
  </si>
  <si>
    <t>Recipe Lines</t>
  </si>
  <si>
    <t>One row per ingredient per recipe: quantity per batch and its cost.</t>
  </si>
  <si>
    <t>Dashboard</t>
  </si>
  <si>
    <t>Margins on planned volume, cost per pack by component, recipes below target and where the ingredient money goes.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</si>
  <si>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</si>
  <si>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</si>
  <si>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</si>
  <si>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</si>
  <si>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</si>
  <si>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</si>
  <si>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</si>
  <si>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</si>
  <si>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</si>
  <si>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</si>
  <si>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</si>
  <si>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</si>
  <si>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</si>
  <si>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</si>
  <si>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</si>
  <si>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</si>
  <si>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</si>
  <si>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</si>
  <si>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</si>
  <si>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</si>
  <si>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Batch Cost Calculator on mfgcalcs.com</t>
  </si>
  <si>
    <t>Latest version</t>
  </si>
  <si>
    <t>mfgcalcs.com/templates/recipe-batch-costing</t>
  </si>
  <si>
    <t>More free templates</t>
  </si>
  <si>
    <t>mfgcalcs.com/templates</t>
  </si>
  <si>
    <t>Version</t>
  </si>
  <si>
    <t>1.0.0 (updated 15 October 2026)</t>
  </si>
  <si>
    <t>About the example data</t>
  </si>
  <si>
    <t>Every number already in this workbook is example data for Larkfield Kitchens, a fictional business invented for this template, so the dashboard and charts show something meaningful on day one. It covers a maker of sauces, dressings and chutneys: 20 ingredients and six recipes. Prices, rates and selling prices are example values, not market prices.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</si>
  <si>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</si>
  <si>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</si>
  <si>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</si>
  <si>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</si>
  <si>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</si>
  <si>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</si>
  <si>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</si>
  <si>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</si>
  <si>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Ingredient</t>
  </si>
  <si>
    <t>Supplier</t>
  </si>
  <si>
    <t>Purchase price</t>
  </si>
  <si>
    <t>Price per</t>
  </si>
  <si>
    <t>Price per kg</t>
  </si>
  <si>
    <t>Notes</t>
  </si>
  <si>
    <t>Company, rates and target</t>
  </si>
  <si>
    <t>Company name</t>
  </si>
  <si>
    <t>Larkfield Kitchens (example)</t>
  </si>
  <si>
    <t>Currency label</t>
  </si>
  <si>
    <t>GBP</t>
  </si>
  <si>
    <t>Labour rate</t>
  </si>
  <si>
    <t>Overhead rate</t>
  </si>
  <si>
    <t>Gross margin target</t>
  </si>
  <si>
    <t>The target is yours to set; nothing here assumes a benchmark. 'Near target' means within 5% of the target (28.5% to 30% against 30%). Prices and rates in the example are illustrative, not market prices: use your supplier quotes and your own costs.</t>
  </si>
  <si>
    <t>Ingredients and purchase prices</t>
  </si>
  <si>
    <t>Ingredients (example prices)</t>
  </si>
  <si>
    <t>One row per ingredient, priced per kg or per lb as your supplier invoices it. The price per kg is converted exactly (1 lb = 0.45359237 kg); Recipe Lines read it.</t>
  </si>
  <si>
    <t>Chopped tomatoes</t>
  </si>
  <si>
    <t>Valley Produce</t>
  </si>
  <si>
    <t>kg</t>
  </si>
  <si>
    <t/>
  </si>
  <si>
    <t>Tomato paste</t>
  </si>
  <si>
    <t>Onions, diced</t>
  </si>
  <si>
    <t>Garlic puree</t>
  </si>
  <si>
    <t>Allium Foods</t>
  </si>
  <si>
    <t>Basil, fresh</t>
  </si>
  <si>
    <t>Herbwell</t>
  </si>
  <si>
    <t>Olive oil</t>
  </si>
  <si>
    <t>Mediterra Oils</t>
  </si>
  <si>
    <t>Rapeseed oil</t>
  </si>
  <si>
    <t>Sugar</t>
  </si>
  <si>
    <t>Sweetline</t>
  </si>
  <si>
    <t>Cider vinegar</t>
  </si>
  <si>
    <t>Orchard Ferments</t>
  </si>
  <si>
    <t>Salt</t>
  </si>
  <si>
    <t>Mango pulp</t>
  </si>
  <si>
    <t>Tropic Imports</t>
  </si>
  <si>
    <t>Red chillies</t>
  </si>
  <si>
    <t>Egg yolk, pasteurised</t>
  </si>
  <si>
    <t>Brightfarm Eggs</t>
  </si>
  <si>
    <t>Parmesan, grated</t>
  </si>
  <si>
    <t>Alpine Dairy Imports</t>
  </si>
  <si>
    <t>lb</t>
  </si>
  <si>
    <t>Imported, invoiced per lb</t>
  </si>
  <si>
    <t>Anchovy paste</t>
  </si>
  <si>
    <t>Spice blend</t>
  </si>
  <si>
    <t>Smoked paprika</t>
  </si>
  <si>
    <t>Molasses</t>
  </si>
  <si>
    <t>Xanthan gum</t>
  </si>
  <si>
    <t>Water</t>
  </si>
  <si>
    <t>Mains</t>
  </si>
  <si>
    <t>Recipe</t>
  </si>
  <si>
    <t>Yield</t>
  </si>
  <si>
    <t>Batch time (h)</t>
  </si>
  <si>
    <t>Crew</t>
  </si>
  <si>
    <t>Pack size (kg)</t>
  </si>
  <si>
    <t>Packaging per pack</t>
  </si>
  <si>
    <t>Price per pack</t>
  </si>
  <si>
    <t>Batches per month</t>
  </si>
  <si>
    <t>Charged (kg)</t>
  </si>
  <si>
    <t>Material cost</t>
  </si>
  <si>
    <t>Saleable (kg)</t>
  </si>
  <si>
    <t>Packs per batch</t>
  </si>
  <si>
    <t>Labour</t>
  </si>
  <si>
    <t>Overhead</t>
  </si>
  <si>
    <t>Packaging</t>
  </si>
  <si>
    <t>Batch cost</t>
  </si>
  <si>
    <t>Cost per kg</t>
  </si>
  <si>
    <t>Cost per pack</t>
  </si>
  <si>
    <t>Gross margin</t>
  </si>
  <si>
    <t>Price at target</t>
  </si>
  <si>
    <t>Margin status</t>
  </si>
  <si>
    <t>Check</t>
  </si>
  <si>
    <t>Example recipes for Larkfield Kitchens (fictional) with example prices. Replace them with your own: select the example rows, right-click, Delete &gt; Table Rows, and the same on Recipe Lines. Yellow = you type; blue = calculated.</t>
  </si>
  <si>
    <t>%</t>
  </si>
  <si>
    <t>Tomato and basil sauce</t>
  </si>
  <si>
    <t>Smoky BBQ sauce</t>
  </si>
  <si>
    <t>Caesar dressing</t>
  </si>
  <si>
    <t>Parmesan and egg yolk drive the cost</t>
  </si>
  <si>
    <t>Sweet chilli sauce</t>
  </si>
  <si>
    <t>Mango chutney</t>
  </si>
  <si>
    <t>Long reduction: 18% evaporates</t>
  </si>
  <si>
    <t>Garlic aioli</t>
  </si>
  <si>
    <t>Quantity</t>
  </si>
  <si>
    <t>Unit</t>
  </si>
  <si>
    <t>Quantity (kg)</t>
  </si>
  <si>
    <t>Line cost</t>
  </si>
  <si>
    <t>Share of batch</t>
  </si>
  <si>
    <t>Share of cost</t>
  </si>
  <si>
    <t>Monthly spend</t>
  </si>
  <si>
    <t>Example recipe lines for Larkfield Kitchens (fictional). Quantities are per batch; the Recipes sheet adds them up.</t>
  </si>
  <si>
    <t>g</t>
  </si>
  <si>
    <t>GROSS MARGIN ON PLANNED VOLUME</t>
  </si>
  <si>
    <t>RECIPES BELOW OR NEAR TARGET</t>
  </si>
  <si>
    <t>Planned batches x (revenue - batch cost)</t>
  </si>
  <si>
    <t>Planned batches x material cost</t>
  </si>
  <si>
    <t>See Margin status on Recipes</t>
  </si>
  <si>
    <t>Ingredient spend per month (Pareto)</t>
  </si>
  <si>
    <t>Rank</t>
  </si>
  <si>
    <t>Spend per month</t>
  </si>
  <si>
    <t>Share</t>
  </si>
  <si>
    <t>Cumulative</t>
  </si>
  <si>
    <t>Helper: Ingredient (list order)</t>
  </si>
  <si>
    <t>Helper: value (-1 = unused slot)</t>
  </si>
  <si>
    <t>Helper: rank, ties by list order</t>
  </si>
  <si>
    <t>Total</t>
  </si>
  <si>
    <t>Cost per pack and margin by recipe</t>
  </si>
  <si>
    <t>Material</t>
  </si>
  <si>
    <t>Target</t>
  </si>
  <si>
    <t>Profit per month</t>
  </si>
  <si>
    <t>The Dashboard shows 6 recipes and 20 ingredients. If you add more, extend the recipe table and the Pareto (see Method) or they will not appear here; the tiles still count every recipe.</t>
  </si>
  <si>
    <t>What this workbook calculates</t>
  </si>
  <si>
    <t>A batch costs its ingredients, the labour and overhead for the batch time, and the packaging for what it fills. Dividing by the saleable mass, after yield loss, gives the cost per kg; multiplying by the pack size gives the cost per pack. Gross margin compares that with the net selling price, and the price at target is the price that would give exactly the target margin. Monthly figures weight each recipe by its planned batches.</t>
  </si>
  <si>
    <t>Calculations</t>
  </si>
  <si>
    <t>How it is calculated</t>
  </si>
  <si>
    <t>Units</t>
  </si>
  <si>
    <t>Purchase price, or price per lb / 0.45359237.</t>
  </si>
  <si>
    <t>currency/kg</t>
  </si>
  <si>
    <t>Quantity (kg), line cost</t>
  </si>
  <si>
    <t>Quantity converted exactly (g / 1000, lb x 0.45359237, oz x 0.028349523125); x price per kg.</t>
  </si>
  <si>
    <t>kg, currency</t>
  </si>
  <si>
    <t>Charged mass, material cost</t>
  </si>
  <si>
    <t>Sums of the recipe's lines on Recipe Lines.</t>
  </si>
  <si>
    <t>kg, currency/batch</t>
  </si>
  <si>
    <t>Saleable mass, packs</t>
  </si>
  <si>
    <t>Charged mass x yield; saleable mass / pack size.</t>
  </si>
  <si>
    <t>kg, packs</t>
  </si>
  <si>
    <t>Labour, overhead, packaging</t>
  </si>
  <si>
    <t>Batch time x crew x labour rate; batch time x overhead rate; packs x packaging per pack.</t>
  </si>
  <si>
    <t>currency/batch</t>
  </si>
  <si>
    <t>Material + labour + overhead + packaging.</t>
  </si>
  <si>
    <t>Cost per kg, per pack</t>
  </si>
  <si>
    <t>Batch cost / saleable mass; batch cost / packs.</t>
  </si>
  <si>
    <t>currency</t>
  </si>
  <si>
    <t>(Price per pack - cost per pack) / price per pack. Status against the target on Setup.</t>
  </si>
  <si>
    <t>Cost per pack / (1 - target margin).</t>
  </si>
  <si>
    <t>currency/pack</t>
  </si>
  <si>
    <t>Dashboard figures</t>
  </si>
  <si>
    <t>Margin on planned volume = sum of (price x packs - batch cost) x batches / sum of price x packs x batches; spend = line cost x batches, ranked with COUNTIF (helper columns AN:AP, hidden).</t>
  </si>
  <si>
    <t>%, currency</t>
  </si>
  <si>
    <t>Assumptions</t>
  </si>
  <si>
    <t>Yield applies to the whole batch; every saleable kg is packed (no giveaway or rework).</t>
  </si>
  <si>
    <t>Labour is charged for the whole batch time for the whole crew; overhead is absorbed per batch hour at one rate.</t>
  </si>
  <si>
    <t>Ingredient prices are current delivered prices; stock bought earlier at other prices is not revalued.</t>
  </si>
  <si>
    <t>Limitations</t>
  </si>
  <si>
    <t>Standard costs: the workbook does not record actual batches, so material and yield variances are not measured.</t>
  </si>
  <si>
    <t>Overhead absorption at one rate is an allocation, not a measurement; compare recipes on material and labour too.</t>
  </si>
  <si>
    <t>The Dashboard has fixed blocks for 6 recipes and 20 ingredients; longer lists need the blocks extended (a warning appears).</t>
  </si>
  <si>
    <t>Agreement with the live calculator</t>
  </si>
  <si>
    <t>The live Batch Cost calculator computes material cost = charged mass x blended rate, batch cost = material + labour + overhead, cost per saleable kg and material capture = saleable / charged mass. The Recipes table does the same with packaging as a fourth line (0 for the check). The Recipe Gross Margin calculator works per kg: margin = (price - cost) / price and target price = cost / (1 - target); per pack the ratios are the same. Both are checked against the calculators' engines on their default examples (250 kg charged, 237.5 kg saleable: 1,473 and 6.2021 per kg; 4.85 price, 3.40 cost, 25% target: 29.9% and 4.5333) and on an example recipe on every build.</t>
  </si>
  <si>
    <t>Open the Batch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</si>
  <si>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</si>
  <si>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</si>
  <si>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Standard costing and absorption costing as taught in management accounting texts (for example CIMA and IMA guidance).</t>
  </si>
  <si>
    <t>MFG Calcs Batch Cost calculator: material + labour + overhead, cost per saleable kg, material capture.</t>
  </si>
  <si>
    <t>MFG Calcs Recipe Gross Margin calculator: margin = (price - cost) / price; target price = cost / (1 - target).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</si>
  <si>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</si>
  <si>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</si>
  <si>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</si>
  <si>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</si>
  <si>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</si>
  <si>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</si>
  <si>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</si>
  <si>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</si>
  <si>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</si>
  <si>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</si>
  <si>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</si>
  <si>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</si>
  <si>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</si>
  <si>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</si>
  <si>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</si>
  <si>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</si>
  <si>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Line 3: 1,500 g in kg</t>
  </si>
  <si>
    <t>Line 4: 22 lb in kg</t>
  </si>
  <si>
    <t>R1 (calculator example): batch cost</t>
  </si>
  <si>
    <t>R1 (calculator example): cost per saleable kg</t>
  </si>
  <si>
    <t>R2: charged mass from three lines</t>
  </si>
  <si>
    <t>R2: material cost</t>
  </si>
  <si>
    <t>R2: packaging per batch</t>
  </si>
  <si>
    <t>R2: cost per pack</t>
  </si>
  <si>
    <t>R2: gross margin</t>
  </si>
  <si>
    <t>R2: price at a 25% target</t>
  </si>
  <si>
    <t>R2: margin status</t>
  </si>
  <si>
    <t>Near target</t>
  </si>
  <si>
    <t>exact</t>
  </si>
  <si>
    <t>R3: Check reports price below cost</t>
  </si>
  <si>
    <t>Price below cost</t>
  </si>
  <si>
    <t>Planned volume: gross margin (Dashboard formula)</t>
  </si>
  <si>
    <t>Planned volume: gross profit per month</t>
  </si>
  <si>
    <t>Planned volume: ingredient spend per month</t>
  </si>
  <si>
    <t>Fixed test inputs</t>
  </si>
  <si>
    <t>White cells are fixed test inputs; blue cells are the workbook's formulas evaluated on them.</t>
  </si>
  <si>
    <t>Parameters</t>
  </si>
  <si>
    <t>Labour rate (per h)</t>
  </si>
  <si>
    <t>Overhead rate (per batch h)</t>
  </si>
  <si>
    <t>Test table: Recipes</t>
  </si>
  <si>
    <t>R1</t>
  </si>
  <si>
    <t>R2</t>
  </si>
  <si>
    <t>R3</t>
  </si>
  <si>
    <t>Test table: Lines</t>
  </si>
  <si>
    <t>Blend A</t>
  </si>
  <si>
    <t>Base B</t>
  </si>
  <si>
    <t>Spice C</t>
  </si>
  <si>
    <t>Cheese D</t>
  </si>
</sst>
</file>

<file path=xl/styles.xml><?xml version="1.0" encoding="utf-8"?>
<styleSheet xmlns="http://schemas.openxmlformats.org/spreadsheetml/2006/main">
  <numFmts count="9">
    <numFmt numFmtId="164" formatCode="#,##0.00"/>
    <numFmt numFmtId="165" formatCode="0.0%"/>
    <numFmt numFmtId="166" formatCode="#,##0.0000"/>
    <numFmt numFmtId="167" formatCode="#,##0.0"/>
    <numFmt numFmtId="168" formatCode="#,##0.000"/>
    <numFmt numFmtId="169" formatCode="#,##0"/>
    <numFmt numFmtId="170" formatCode="&quot;Target &quot;0.0%"/>
    <numFmt numFmtId="171" formatCode="0.0E+00"/>
    <numFmt numFmtId="172"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7" borderId="2" xfId="0" applyFont="1" applyFill="1" applyBorder="1" applyAlignment="1">
      <alignment vertical="center" wrapText="1"/>
    </xf>
    <xf numFmtId="0" fontId="19" fillId="0" borderId="0" xfId="0" applyFont="1" applyAlignment="1">
      <alignment horizontal="center" vertical="center"/>
    </xf>
    <xf numFmtId="0" fontId="20" fillId="2" borderId="5" xfId="0" applyFont="1" applyFill="1" applyBorder="1" applyAlignment="1">
      <alignment horizontal="center" vertical="center" wrapText="1"/>
    </xf>
    <xf numFmtId="166"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168"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9"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9" fontId="4"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20" fillId="2" borderId="5" xfId="0" applyFont="1" applyFill="1" applyBorder="1" applyAlignment="1">
      <alignment horizontal="left" vertical="center" wrapText="1"/>
    </xf>
    <xf numFmtId="169" fontId="9" fillId="0" borderId="9" xfId="0" applyNumberFormat="1" applyFont="1" applyBorder="1" applyAlignment="1">
      <alignment horizontal="center" vertical="center"/>
    </xf>
    <xf numFmtId="0" fontId="10" fillId="4" borderId="3" xfId="0" applyFont="1" applyFill="1" applyBorder="1" applyAlignment="1">
      <alignment vertical="center"/>
    </xf>
    <xf numFmtId="169" fontId="10" fillId="0" borderId="0" xfId="0" applyNumberFormat="1" applyFont="1" applyAlignment="1">
      <alignment vertical="center"/>
    </xf>
    <xf numFmtId="0" fontId="9" fillId="4" borderId="10" xfId="0" applyFont="1" applyFill="1" applyBorder="1" applyAlignment="1">
      <alignment vertical="center"/>
    </xf>
    <xf numFmtId="169" fontId="9" fillId="4" borderId="10" xfId="0" applyNumberFormat="1" applyFont="1" applyFill="1" applyBorder="1" applyAlignment="1">
      <alignment vertical="center"/>
    </xf>
    <xf numFmtId="0" fontId="9" fillId="0" borderId="9" xfId="0" applyFont="1" applyBorder="1" applyAlignment="1">
      <alignment vertical="center"/>
    </xf>
    <xf numFmtId="165"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8"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xf numFmtId="172" fontId="10" fillId="0" borderId="9" xfId="0" applyNumberFormat="1" applyFont="1" applyBorder="1" applyAlignment="1">
      <alignment vertical="center"/>
    </xf>
    <xf numFmtId="172" fontId="10" fillId="4" borderId="3" xfId="0" applyNumberFormat="1" applyFont="1" applyFill="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per pack by component</a:t>
            </a:r>
          </a:p>
        </c:rich>
      </c:tx>
      <c:layout/>
    </c:title>
    <c:plotArea>
      <c:layout/>
      <c:barChart>
        <c:barDir val="bar"/>
        <c:grouping val="stacked"/>
        <c:ser>
          <c:idx val="0"/>
          <c:order val="0"/>
          <c:tx>
            <c:v>Material</c:v>
          </c:tx>
          <c:spPr>
            <a:solidFill>
              <a:srgbClr val="3B64D8"/>
            </a:solidFill>
            <a:ln w="9525">
              <a:solidFill>
                <a:srgbClr val="FFFFFF"/>
              </a:solidFill>
            </a:ln>
          </c:spPr>
          <c:cat>
            <c:strRef>
              <c:f>Dashboard!$B$57:$B$62</c:f>
              <c:strCache>
                <c:ptCount val="6"/>
                <c:pt idx="0">
                  <c:v>Tomato and basil sauce</c:v>
                </c:pt>
                <c:pt idx="1">
                  <c:v>Smoky BBQ sauce</c:v>
                </c:pt>
                <c:pt idx="2">
                  <c:v>Caesar dressing</c:v>
                </c:pt>
                <c:pt idx="3">
                  <c:v>Sweet chilli sauce</c:v>
                </c:pt>
                <c:pt idx="4">
                  <c:v>Mango chutney</c:v>
                </c:pt>
                <c:pt idx="5">
                  <c:v>Garlic aioli</c:v>
                </c:pt>
              </c:strCache>
            </c:strRef>
          </c:cat>
          <c:val>
            <c:numRef>
              <c:f>Dashboard!$C$57:$C$62</c:f>
              <c:numCache>
                <c:formatCode>General</c:formatCode>
                <c:ptCount val="6"/>
                <c:pt idx="0">
                  <c:v>0.885166223404255</c:v>
                </c:pt>
                <c:pt idx="1">
                  <c:v>0.519812728693545</c:v>
                </c:pt>
                <c:pt idx="2">
                  <c:v>0.894406278733036</c:v>
                </c:pt>
                <c:pt idx="3">
                  <c:v>0.315366144792361</c:v>
                </c:pt>
                <c:pt idx="4">
                  <c:v>0.837659698025552</c:v>
                </c:pt>
                <c:pt idx="5">
                  <c:v>0.74984375</c:v>
                </c:pt>
              </c:numCache>
            </c:numRef>
          </c:val>
        </c:ser>
        <c:ser>
          <c:idx val="1"/>
          <c:order val="1"/>
          <c:tx>
            <c:v>Labour</c:v>
          </c:tx>
          <c:spPr>
            <a:solidFill>
              <a:srgbClr val="E8702A"/>
            </a:solidFill>
            <a:ln w="9525">
              <a:solidFill>
                <a:srgbClr val="FFFFFF"/>
              </a:solidFill>
            </a:ln>
          </c:spPr>
          <c:cat>
            <c:strRef>
              <c:f>Dashboard!$B$57:$B$62</c:f>
              <c:strCache>
                <c:ptCount val="6"/>
                <c:pt idx="0">
                  <c:v>Tomato and basil sauce</c:v>
                </c:pt>
                <c:pt idx="1">
                  <c:v>Smoky BBQ sauce</c:v>
                </c:pt>
                <c:pt idx="2">
                  <c:v>Caesar dressing</c:v>
                </c:pt>
                <c:pt idx="3">
                  <c:v>Sweet chilli sauce</c:v>
                </c:pt>
                <c:pt idx="4">
                  <c:v>Mango chutney</c:v>
                </c:pt>
                <c:pt idx="5">
                  <c:v>Garlic aioli</c:v>
                </c:pt>
              </c:strCache>
            </c:strRef>
          </c:cat>
          <c:val>
            <c:numRef>
              <c:f>Dashboard!$D$57:$D$62</c:f>
              <c:numCache>
                <c:formatCode>General</c:formatCode>
                <c:ptCount val="6"/>
                <c:pt idx="0">
                  <c:v>0.0771276595744681</c:v>
                </c:pt>
                <c:pt idx="1">
                  <c:v>0.0840253567744087</c:v>
                </c:pt>
                <c:pt idx="2">
                  <c:v>0.0757451255953919</c:v>
                </c:pt>
                <c:pt idx="3">
                  <c:v>0.0933821896513435</c:v>
                </c:pt>
                <c:pt idx="4">
                  <c:v>0.167005420054201</c:v>
                </c:pt>
                <c:pt idx="5">
                  <c:v>0.0755208333333333</c:v>
                </c:pt>
              </c:numCache>
            </c:numRef>
          </c:val>
        </c:ser>
        <c:ser>
          <c:idx val="2"/>
          <c:order val="2"/>
          <c:tx>
            <c:v>Overhead</c:v>
          </c:tx>
          <c:spPr>
            <a:solidFill>
              <a:srgbClr val="1BA37A"/>
            </a:solidFill>
            <a:ln w="9525">
              <a:solidFill>
                <a:srgbClr val="FFFFFF"/>
              </a:solidFill>
            </a:ln>
          </c:spPr>
          <c:cat>
            <c:strRef>
              <c:f>Dashboard!$B$57:$B$62</c:f>
              <c:strCache>
                <c:ptCount val="6"/>
                <c:pt idx="0">
                  <c:v>Tomato and basil sauce</c:v>
                </c:pt>
                <c:pt idx="1">
                  <c:v>Smoky BBQ sauce</c:v>
                </c:pt>
                <c:pt idx="2">
                  <c:v>Caesar dressing</c:v>
                </c:pt>
                <c:pt idx="3">
                  <c:v>Sweet chilli sauce</c:v>
                </c:pt>
                <c:pt idx="4">
                  <c:v>Mango chutney</c:v>
                </c:pt>
                <c:pt idx="5">
                  <c:v>Garlic aioli</c:v>
                </c:pt>
              </c:strCache>
            </c:strRef>
          </c:cat>
          <c:val>
            <c:numRef>
              <c:f>Dashboard!$E$57:$E$62</c:f>
              <c:numCache>
                <c:formatCode>General</c:formatCode>
                <c:ptCount val="6"/>
                <c:pt idx="0">
                  <c:v>0.101063829787234</c:v>
                </c:pt>
                <c:pt idx="1">
                  <c:v>0.110102191635432</c:v>
                </c:pt>
                <c:pt idx="2">
                  <c:v>0.0992522335387894</c:v>
                </c:pt>
                <c:pt idx="3">
                  <c:v>0.122362869198312</c:v>
                </c:pt>
                <c:pt idx="4">
                  <c:v>0.218834688346884</c:v>
                </c:pt>
                <c:pt idx="5">
                  <c:v>0.0989583333333333</c:v>
                </c:pt>
              </c:numCache>
            </c:numRef>
          </c:val>
        </c:ser>
        <c:ser>
          <c:idx val="3"/>
          <c:order val="3"/>
          <c:tx>
            <c:v>Packaging</c:v>
          </c:tx>
          <c:spPr>
            <a:solidFill>
              <a:srgbClr val="E0A100"/>
            </a:solidFill>
            <a:ln w="9525">
              <a:solidFill>
                <a:srgbClr val="FFFFFF"/>
              </a:solidFill>
            </a:ln>
          </c:spPr>
          <c:cat>
            <c:strRef>
              <c:f>Dashboard!$B$57:$B$62</c:f>
              <c:strCache>
                <c:ptCount val="6"/>
                <c:pt idx="0">
                  <c:v>Tomato and basil sauce</c:v>
                </c:pt>
                <c:pt idx="1">
                  <c:v>Smoky BBQ sauce</c:v>
                </c:pt>
                <c:pt idx="2">
                  <c:v>Caesar dressing</c:v>
                </c:pt>
                <c:pt idx="3">
                  <c:v>Sweet chilli sauce</c:v>
                </c:pt>
                <c:pt idx="4">
                  <c:v>Mango chutney</c:v>
                </c:pt>
                <c:pt idx="5">
                  <c:v>Garlic aioli</c:v>
                </c:pt>
              </c:strCache>
            </c:strRef>
          </c:cat>
          <c:val>
            <c:numRef>
              <c:f>Dashboard!$F$57:$F$62</c:f>
              <c:numCache>
                <c:formatCode>General</c:formatCode>
                <c:ptCount val="6"/>
                <c:pt idx="0">
                  <c:v>0.32</c:v>
                </c:pt>
                <c:pt idx="1">
                  <c:v>0.28</c:v>
                </c:pt>
                <c:pt idx="2">
                  <c:v>0.26</c:v>
                </c:pt>
                <c:pt idx="3">
                  <c:v>0.24</c:v>
                </c:pt>
                <c:pt idx="4">
                  <c:v>0.3</c:v>
                </c:pt>
                <c:pt idx="5">
                  <c:v>0.26</c:v>
                </c:pt>
              </c:numCache>
            </c:numRef>
          </c:val>
        </c:ser>
        <c:gapWidth val="6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Gross margin by recipe</a:t>
            </a:r>
          </a:p>
        </c:rich>
      </c:tx>
      <c:layout/>
    </c:title>
    <c:plotArea>
      <c:layout/>
      <c:barChart>
        <c:barDir val="col"/>
        <c:grouping val="clustered"/>
        <c:ser>
          <c:idx val="0"/>
          <c:order val="0"/>
          <c:tx>
            <c:v>Gross margin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Dashboard!$B$57:$B$62</c:f>
              <c:strCache>
                <c:ptCount val="6"/>
                <c:pt idx="0">
                  <c:v>Tomato and basil sauce</c:v>
                </c:pt>
                <c:pt idx="1">
                  <c:v>Smoky BBQ sauce</c:v>
                </c:pt>
                <c:pt idx="2">
                  <c:v>Caesar dressing</c:v>
                </c:pt>
                <c:pt idx="3">
                  <c:v>Sweet chilli sauce</c:v>
                </c:pt>
                <c:pt idx="4">
                  <c:v>Mango chutney</c:v>
                </c:pt>
                <c:pt idx="5">
                  <c:v>Garlic aioli</c:v>
                </c:pt>
              </c:strCache>
            </c:strRef>
          </c:cat>
          <c:val>
            <c:numRef>
              <c:f>Dashboard!$I$57:$I$62</c:f>
              <c:numCache>
                <c:formatCode>General</c:formatCode>
                <c:ptCount val="6"/>
                <c:pt idx="0">
                  <c:v>0.325191359626362</c:v>
                </c:pt>
                <c:pt idx="1">
                  <c:v>0.378787326810384</c:v>
                </c:pt>
                <c:pt idx="2">
                  <c:v>0.281403438990693</c:v>
                </c:pt>
                <c:pt idx="3">
                  <c:v>0.428806515820729</c:v>
                </c:pt>
                <c:pt idx="4">
                  <c:v>0.291395438871332</c:v>
                </c:pt>
                <c:pt idx="5">
                  <c:v>0.392654914529914</c:v>
                </c:pt>
              </c:numCache>
            </c:numRef>
          </c:val>
        </c:ser>
        <c:gapWidth val="60"/>
        <c:overlap val="-10"/>
        <c:axId val="50020001"/>
        <c:axId val="50020002"/>
      </c:barChart>
      <c:lineChart>
        <c:grouping val="standard"/>
        <c:ser>
          <c:idx val="1"/>
          <c:order val="1"/>
          <c:tx>
            <c:v>Target</c:v>
          </c:tx>
          <c:spPr>
            <a:ln w="19050">
              <a:solidFill>
                <a:srgbClr val="4A5361"/>
              </a:solidFill>
              <a:prstDash val="dash"/>
            </a:ln>
          </c:spPr>
          <c:marker>
            <c:symbol val="none"/>
          </c:marker>
          <c:cat>
            <c:strRef>
              <c:f>Dashboard!$B$57:$B$62</c:f>
              <c:strCache>
                <c:ptCount val="6"/>
                <c:pt idx="0">
                  <c:v>Tomato and basil sauce</c:v>
                </c:pt>
                <c:pt idx="1">
                  <c:v>Smoky BBQ sauce</c:v>
                </c:pt>
                <c:pt idx="2">
                  <c:v>Caesar dressing</c:v>
                </c:pt>
                <c:pt idx="3">
                  <c:v>Sweet chilli sauce</c:v>
                </c:pt>
                <c:pt idx="4">
                  <c:v>Mango chutney</c:v>
                </c:pt>
                <c:pt idx="5">
                  <c:v>Garlic aioli</c:v>
                </c:pt>
              </c:strCache>
            </c:strRef>
          </c:cat>
          <c:val>
            <c:numRef>
              <c:f>Dashboard!$J$57:$J$62</c:f>
              <c:numCache>
                <c:formatCode>General</c:formatCode>
                <c:ptCount val="6"/>
                <c:pt idx="0">
                  <c:v>0.3</c:v>
                </c:pt>
                <c:pt idx="1">
                  <c:v>0.3</c:v>
                </c:pt>
                <c:pt idx="2">
                  <c:v>0.3</c:v>
                </c:pt>
                <c:pt idx="3">
                  <c:v>0.3</c:v>
                </c:pt>
                <c:pt idx="4">
                  <c:v>0.3</c:v>
                </c:pt>
                <c:pt idx="5">
                  <c:v>0.3</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Ingredient spend per month (Pareto)</a:t>
            </a:r>
          </a:p>
        </c:rich>
      </c:tx>
      <c:layout/>
    </c:title>
    <c:plotArea>
      <c:layout/>
      <c:barChart>
        <c:barDir val="col"/>
        <c:grouping val="clustered"/>
        <c:ser>
          <c:idx val="0"/>
          <c:order val="0"/>
          <c:tx>
            <c:v>Spend</c:v>
          </c:tx>
          <c:spPr>
            <a:solidFill>
              <a:srgbClr val="3B64D8"/>
            </a:solidFill>
            <a:ln w="9525">
              <a:solidFill>
                <a:srgbClr val="FFFFFF"/>
              </a:solidFill>
            </a:ln>
          </c:spPr>
          <c:cat>
            <c:strRef>
              <c:f>Dashboard!$H$32:$H$51</c:f>
              <c:strCache>
                <c:ptCount val="20"/>
                <c:pt idx="0">
                  <c:v>Chopped tomatoes</c:v>
                </c:pt>
                <c:pt idx="1">
                  <c:v>Tomato paste</c:v>
                </c:pt>
                <c:pt idx="2">
                  <c:v>Rapeseed oil</c:v>
                </c:pt>
                <c:pt idx="3">
                  <c:v>Olive oil</c:v>
                </c:pt>
                <c:pt idx="4">
                  <c:v>Sugar</c:v>
                </c:pt>
                <c:pt idx="5">
                  <c:v>Mango pulp</c:v>
                </c:pt>
                <c:pt idx="6">
                  <c:v>Egg yolk, pasteurised</c:v>
                </c:pt>
                <c:pt idx="7">
                  <c:v>Parmesan, grated</c:v>
                </c:pt>
                <c:pt idx="8">
                  <c:v>Basil, fresh</c:v>
                </c:pt>
                <c:pt idx="9">
                  <c:v>Cider vinegar</c:v>
                </c:pt>
                <c:pt idx="10">
                  <c:v>Garlic puree</c:v>
                </c:pt>
                <c:pt idx="11">
                  <c:v>Onions, diced</c:v>
                </c:pt>
                <c:pt idx="12">
                  <c:v>Red chillies</c:v>
                </c:pt>
                <c:pt idx="13">
                  <c:v>Spice blend</c:v>
                </c:pt>
                <c:pt idx="14">
                  <c:v>Molasses</c:v>
                </c:pt>
                <c:pt idx="15">
                  <c:v>Anchovy paste</c:v>
                </c:pt>
                <c:pt idx="16">
                  <c:v>Smoked paprika</c:v>
                </c:pt>
                <c:pt idx="17">
                  <c:v>Xanthan gum</c:v>
                </c:pt>
                <c:pt idx="18">
                  <c:v>Salt</c:v>
                </c:pt>
                <c:pt idx="19">
                  <c:v>Water</c:v>
                </c:pt>
              </c:strCache>
            </c:strRef>
          </c:cat>
          <c:val>
            <c:numRef>
              <c:f>Dashboard!$J$32:$J$51</c:f>
              <c:numCache>
                <c:formatCode>General</c:formatCode>
                <c:ptCount val="20"/>
                <c:pt idx="0">
                  <c:v>3432</c:v>
                </c:pt>
                <c:pt idx="1">
                  <c:v>2592</c:v>
                </c:pt>
                <c:pt idx="2">
                  <c:v>2156.5</c:v>
                </c:pt>
                <c:pt idx="3">
                  <c:v>2074.8</c:v>
                </c:pt>
                <c:pt idx="4">
                  <c:v>1582.7</c:v>
                </c:pt>
                <c:pt idx="5">
                  <c:v>1456</c:v>
                </c:pt>
                <c:pt idx="6">
                  <c:v>1450.8</c:v>
                </c:pt>
                <c:pt idx="7">
                  <c:v>1346.4</c:v>
                </c:pt>
                <c:pt idx="8">
                  <c:v>1008</c:v>
                </c:pt>
                <c:pt idx="9">
                  <c:v>966</c:v>
                </c:pt>
                <c:pt idx="10">
                  <c:v>957.6</c:v>
                </c:pt>
                <c:pt idx="11">
                  <c:v>659.6</c:v>
                </c:pt>
                <c:pt idx="12">
                  <c:v>440</c:v>
                </c:pt>
                <c:pt idx="13">
                  <c:v>342</c:v>
                </c:pt>
                <c:pt idx="14">
                  <c:v>336</c:v>
                </c:pt>
                <c:pt idx="15">
                  <c:v>324</c:v>
                </c:pt>
                <c:pt idx="16">
                  <c:v>261.6</c:v>
                </c:pt>
                <c:pt idx="17">
                  <c:v>216</c:v>
                </c:pt>
                <c:pt idx="18">
                  <c:v>38.4</c:v>
                </c:pt>
                <c:pt idx="19">
                  <c:v>3.485</c:v>
                </c:pt>
              </c:numCache>
            </c:numRef>
          </c:val>
        </c:ser>
        <c:gapWidth val="40"/>
        <c:axId val="50030001"/>
        <c:axId val="5003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Dashboard!$H$32:$H$51</c:f>
              <c:strCache>
                <c:ptCount val="20"/>
                <c:pt idx="0">
                  <c:v>Chopped tomatoes</c:v>
                </c:pt>
                <c:pt idx="1">
                  <c:v>Tomato paste</c:v>
                </c:pt>
                <c:pt idx="2">
                  <c:v>Rapeseed oil</c:v>
                </c:pt>
                <c:pt idx="3">
                  <c:v>Olive oil</c:v>
                </c:pt>
                <c:pt idx="4">
                  <c:v>Sugar</c:v>
                </c:pt>
                <c:pt idx="5">
                  <c:v>Mango pulp</c:v>
                </c:pt>
                <c:pt idx="6">
                  <c:v>Egg yolk, pasteurised</c:v>
                </c:pt>
                <c:pt idx="7">
                  <c:v>Parmesan, grated</c:v>
                </c:pt>
                <c:pt idx="8">
                  <c:v>Basil, fresh</c:v>
                </c:pt>
                <c:pt idx="9">
                  <c:v>Cider vinegar</c:v>
                </c:pt>
                <c:pt idx="10">
                  <c:v>Garlic puree</c:v>
                </c:pt>
                <c:pt idx="11">
                  <c:v>Onions, diced</c:v>
                </c:pt>
                <c:pt idx="12">
                  <c:v>Red chillies</c:v>
                </c:pt>
                <c:pt idx="13">
                  <c:v>Spice blend</c:v>
                </c:pt>
                <c:pt idx="14">
                  <c:v>Molasses</c:v>
                </c:pt>
                <c:pt idx="15">
                  <c:v>Anchovy paste</c:v>
                </c:pt>
                <c:pt idx="16">
                  <c:v>Smoked paprika</c:v>
                </c:pt>
                <c:pt idx="17">
                  <c:v>Xanthan gum</c:v>
                </c:pt>
                <c:pt idx="18">
                  <c:v>Salt</c:v>
                </c:pt>
                <c:pt idx="19">
                  <c:v>Water</c:v>
                </c:pt>
              </c:strCache>
            </c:strRef>
          </c:cat>
          <c:val>
            <c:numRef>
              <c:f>Dashboard!$L$32:$L$51</c:f>
              <c:numCache>
                <c:formatCode>General</c:formatCode>
                <c:ptCount val="20"/>
                <c:pt idx="0">
                  <c:v>0.158566726814525</c:v>
                </c:pt>
                <c:pt idx="1">
                  <c:v>0.278323415597523</c:v>
                </c:pt>
                <c:pt idx="2">
                  <c:v>0.377958947758224</c:v>
                </c:pt>
                <c:pt idx="3">
                  <c:v>0.473819741696096</c:v>
                </c:pt>
                <c:pt idx="4">
                  <c:v>0.546944321687165</c:v>
                </c:pt>
                <c:pt idx="5">
                  <c:v>0.614215054275145</c:v>
                </c:pt>
                <c:pt idx="6">
                  <c:v>0.68124553424674</c:v>
                </c:pt>
                <c:pt idx="7">
                  <c:v>0.743452480920131</c:v>
                </c:pt>
                <c:pt idx="8">
                  <c:v>0.790024526557963</c:v>
                </c:pt>
                <c:pt idx="9">
                  <c:v>0.834656070294219</c:v>
                </c:pt>
                <c:pt idx="10">
                  <c:v>0.87889951365016</c:v>
                </c:pt>
                <c:pt idx="11">
                  <c:v>0.909374633990155</c:v>
                </c:pt>
                <c:pt idx="12">
                  <c:v>0.929703701530478</c:v>
                </c:pt>
                <c:pt idx="13">
                  <c:v>0.945504931300457</c:v>
                </c:pt>
                <c:pt idx="14">
                  <c:v>0.961028946513068</c:v>
                </c:pt>
                <c:pt idx="15">
                  <c:v>0.975998532610943</c:v>
                </c:pt>
                <c:pt idx="16">
                  <c:v>0.98808508731219</c:v>
                </c:pt>
                <c:pt idx="17">
                  <c:v>0.99806481137744</c:v>
                </c:pt>
                <c:pt idx="18">
                  <c:v>0.999838984544595</c:v>
                </c:pt>
                <c:pt idx="19">
                  <c:v>1</c:v>
                </c:pt>
              </c:numCache>
            </c:numRef>
          </c:val>
        </c:ser>
        <c:marker val="1"/>
        <c:axId val="60030001"/>
        <c:axId val="6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valAx>
        <c:axId val="6003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30001"/>
        <c:crosses val="max"/>
        <c:crossBetween val="between"/>
        <c:majorUnit val="0.2"/>
      </c:valAx>
      <c:catAx>
        <c:axId val="60030001"/>
        <c:scaling>
          <c:orientation val="minMax"/>
        </c:scaling>
        <c:delete val="1"/>
        <c:axPos val="b"/>
        <c:tickLblPos val="none"/>
        <c:crossAx val="6003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Stacked horizontal bar chart of each recipe's cost per pack split into material, labour, overhead and packaging."/>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Column chart of each recipe's gross margin with the margin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28</xdr:row>
      <xdr:rowOff>38100</xdr:rowOff>
    </xdr:from>
    <xdr:to>
      <xdr:col>5</xdr:col>
      <xdr:colOff>676275</xdr:colOff>
      <xdr:row>44</xdr:row>
      <xdr:rowOff>161925</xdr:rowOff>
    </xdr:to>
    <xdr:graphicFrame macro="">
      <xdr:nvGraphicFramePr>
        <xdr:cNvPr id="4" name="Chart 3" descr="Pareto chart of monthly ingredient spend by ingredient, largest first, with the cumulative shar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Ingredients" displayName="tblIngredients" ref="B19:G39" totalsRowShown="0">
  <autoFilter ref="B19:G39"/>
  <tableColumns count="6">
    <tableColumn id="1" name="Ingredient"/>
    <tableColumn id="2" name="Supplier"/>
    <tableColumn id="3" name="Purchase price"/>
    <tableColumn id="4" name="Price per"/>
    <tableColumn id="5" name="Price per kg">
      <calculatedColumnFormula>IF(tblIngredients[[#This Row],[Price per]]="kg",tblIngredients[[#This Row],[Purchase price]],IF(tblIngredients[[#This Row],[Price per]]="lb",tblIngredients[[#This Row],[Purchase price]]/0.45359237,""))</calculatedColumnFormula>
    </tableColumn>
    <tableColumn id="6" name="Notes"/>
  </tableColumns>
  <tableStyleInfo name="TableStyleLight1" showFirstColumn="0" showLastColumn="0" showRowStripes="0" showColumnStripes="0"/>
</table>
</file>

<file path=xl/tables/table2.xml><?xml version="1.0" encoding="utf-8"?>
<table xmlns="http://schemas.openxmlformats.org/spreadsheetml/2006/main" id="2" name="tblRecipes" displayName="tblRecipes" ref="B6:X12" totalsRowShown="0">
  <autoFilter ref="B6:X12"/>
  <tableColumns count="23">
    <tableColumn id="1" name="Recipe"/>
    <tableColumn id="2" name="Yield"/>
    <tableColumn id="3" name="Batch time (h)"/>
    <tableColumn id="4" name="Crew"/>
    <tableColumn id="5" name="Pack size (kg)"/>
    <tableColumn id="6" name="Packaging per pack"/>
    <tableColumn id="7" name="Price per pack"/>
    <tableColumn id="8" name="Batches per month"/>
    <tableColumn id="9" name="Charged (kg)">
      <calculatedColumnFormula>IF(tblRecipes[[#This Row],[Recipe]]="","",SUMIFS(tblLines[Quantity (kg)],tblLines[Recipe],tblRecipes[[#This Row],[Recipe]]))</calculatedColumnFormula>
    </tableColumn>
    <tableColumn id="10" name="Material cost">
      <calculatedColumnFormula>IF(tblRecipes[[#This Row],[Recipe]]="","",SUMIFS(tblLines[Line cost],tblLines[Recipe],tblRecipes[[#This Row],[Recipe]]))</calculatedColumnFormula>
    </tableColumn>
    <tableColumn id="11" name="Saleable (kg)">
      <calculatedColumnFormula>IF(tblRecipes[[#This Row],[Recipe]]="","",tblRecipes[[#This Row],[Charged (kg)]]*tblRecipes[[#This Row],[Yield]])</calculatedColumnFormula>
    </tableColumn>
    <tableColumn id="12" name="Packs per batch">
      <calculatedColumnFormula>IF(tblRecipes[[#This Row],[Recipe]]="","",IF(N(tblRecipes[[#This Row],[Pack size (kg)]])&gt;0,tblRecipes[[#This Row],[Saleable (kg)]]/tblRecipes[[#This Row],[Pack size (kg)]],""))</calculatedColumnFormula>
    </tableColumn>
    <tableColumn id="13" name="Labour">
      <calculatedColumnFormula>IF(tblRecipes[[#This Row],[Recipe]]="","",N(tblRecipes[[#This Row],[Batch time (h)]])*N(tblRecipes[[#This Row],[Crew]])*LabourRate)</calculatedColumnFormula>
    </tableColumn>
    <tableColumn id="14" name="Overhead">
      <calculatedColumnFormula>IF(tblRecipes[[#This Row],[Recipe]]="","",N(tblRecipes[[#This Row],[Batch time (h)]])*OverheadRate)</calculatedColumnFormula>
    </tableColumn>
    <tableColumn id="15" name="Packaging">
      <calculatedColumnFormula>IF(tblRecipes[[#This Row],[Recipe]]="","",IF(tblRecipes[[#This Row],[Packs per batch]]="","",tblRecipes[[#This Row],[Packs per batch]]*N(tblRecipes[[#This Row],[Packaging per pack]])))</calculatedColumnFormula>
    </tableColumn>
    <tableColumn id="16" name="Batch cost">
      <calculatedColumnFormula>IF(tblRecipes[[#This Row],[Recipe]]="","",IF(tblRecipes[[#This Row],[Packaging]]="","",tblRecipes[[#This Row],[Material cost]]+tblRecipes[[#This Row],[Labour]]+tblRecipes[[#This Row],[Overhead]]+tblRecipes[[#This Row],[Packaging]]))</calculatedColumnFormula>
    </tableColumn>
    <tableColumn id="17" name="Cost per kg">
      <calculatedColumnFormula>IF(tblRecipes[[#This Row],[Recipe]]="","",IF(N(tblRecipes[[#This Row],[Saleable (kg)]])&gt;0,tblRecipes[[#This Row],[Batch cost]]/tblRecipes[[#This Row],[Saleable (kg)]],""))</calculatedColumnFormula>
    </tableColumn>
    <tableColumn id="18" name="Cost per pack">
      <calculatedColumnFormula>IF(tblRecipes[[#This Row],[Recipe]]="","",IF(N(tblRecipes[[#This Row],[Packs per batch]])&gt;0,tblRecipes[[#This Row],[Batch cost]]/tblRecipes[[#This Row],[Packs per batch]],""))</calculatedColumnFormula>
    </tableColumn>
    <tableColumn id="19" name="Gross margin">
      <calculatedColumnFormula>IF(tblRecipes[[#This Row],[Recipe]]="","",IF(AND(N(tblRecipes[[#This Row],[Price per pack]])&gt;0,ISNUMBER(tblRecipes[[#This Row],[Cost per pack]])),(tblRecipes[[#This Row],[Price per pack]]-tblRecipes[[#This Row],[Cost per pack]])/tblRecipes[[#This Row],[Price per pack]],""))</calculatedColumnFormula>
    </tableColumn>
    <tableColumn id="20" name="Price at target">
      <calculatedColumnFormula>IF(tblRecipes[[#This Row],[Recipe]]="","",IF(ISNUMBER(tblRecipes[[#This Row],[Cost per pack]]),tblRecipes[[#This Row],[Cost per pack]]/(1-TargetMargin),""))</calculatedColumnFormula>
    </tableColumn>
    <tableColumn id="21" name="Margin status">
      <calculatedColumnFormula>IF(NOT(ISNUMBER(tblRecipes[[#This Row],[Gross margin]])),"",IF(tblRecipes[[#This Row],[Gross margin]]&gt;=TargetMargin,"On target",IF(tblRecipes[[#This Row],[Gross margin]]&gt;=TargetMargin*(1-0.05),"Near target","Below target")))</calculatedColumnFormula>
    </tableColumn>
    <tableColumn id="22" name="Check">
      <calculatedColumnFormula>IF(tblRecipes[[#This Row],[Recipe]]="","",IF(tblRecipes[[#This Row],[Yield]]="","Missing yield",IF(tblRecipes[[#This Row],[Batch time (h)]]="","Missing batch time",IF(tblRecipes[[#This Row],[Pack size (kg)]]="","Missing pack size",IF(tblRecipes[[#This Row],[Price per pack]]="","Missing price per pack",IF(tblRecipes[[#This Row],[Charged (kg)]]=0,"No lines on Recipe Lines",IF(COUNTIFS(tblRecipes[Recipe],tblRecipes[[#This Row],[Recipe]])&gt;1,"Duplicate recipe name",IF(AND(N(tblRecipes[[#This Row],[Price per pack]])&gt;0,N(tblRecipes[[#This Row],[Price per pack]])&lt;tblRecipes[[#This Row],[Cost per pack]]),"Price below cost","OK"))))))))</calculatedColumnFormula>
    </tableColumn>
    <tableColumn id="23" name="Notes"/>
  </tableColumns>
  <tableStyleInfo name="TableStyleLight1" showFirstColumn="0" showLastColumn="0" showRowStripes="0" showColumnStripes="0"/>
</table>
</file>

<file path=xl/tables/table3.xml><?xml version="1.0" encoding="utf-8"?>
<table xmlns="http://schemas.openxmlformats.org/spreadsheetml/2006/main" id="3" name="tblLines" displayName="tblLines" ref="B6:M54" totalsRowShown="0">
  <autoFilter ref="B6:M54"/>
  <tableColumns count="12">
    <tableColumn id="1" name="Recipe"/>
    <tableColumn id="2" name="Ingredient"/>
    <tableColumn id="3" name="Quantity"/>
    <tableColumn id="4" name="Unit"/>
    <tableColumn id="5" name="Quantity (kg)">
      <calculatedColumnFormula>IF(tblLines[[#This Row],[Recipe]]="","",IF(tblLines[[#This Row],[Unit]]="kg",tblLines[[#This Row],[Quantity]],IF(tblLines[[#This Row],[Unit]]="g",tblLines[[#This Row],[Quantity]]/1000,IF(tblLines[[#This Row],[Unit]]="lb",tblLines[[#This Row],[Quantity]]*0.45359237,IF(tblLines[[#This Row],[Unit]]="oz",tblLines[[#This Row],[Quantity]]*0.028349523125,"")))))</calculatedColumnFormula>
    </tableColumn>
    <tableColumn id="6" name="Price per kg">
      <calculatedColumnFormula>IF(tblLines[[#This Row],[Recipe]]="","",IFERROR(INDEX(tblIngredients[Price per kg],MATCH(tblLines[[#This Row],[Ingredient]],tblIngredients[Ingredient],0)),""))</calculatedColumnFormula>
    </tableColumn>
    <tableColumn id="7" name="Line cost">
      <calculatedColumnFormula>IF(tblLines[[#This Row],[Recipe]]="","",IF(OR(tblLines[[#This Row],[Quantity (kg)]]="",tblLines[[#This Row],[Price per kg]]=""),"",tblLines[[#This Row],[Quantity (kg)]]*tblLines[[#This Row],[Price per kg]]))</calculatedColumnFormula>
    </tableColumn>
    <tableColumn id="8" name="Share of batch">
      <calculatedColumnFormula>IF(tblLines[[#This Row],[Recipe]]="","",IF(tblLines[[#This Row],[Quantity (kg)]]="","",IFERROR(tblLines[[#This Row],[Quantity (kg)]]/SUMIFS(tblLines[Quantity (kg)],tblLines[Recipe],tblLines[[#This Row],[Recipe]]),"")))</calculatedColumnFormula>
    </tableColumn>
    <tableColumn id="9" name="Share of cost">
      <calculatedColumnFormula>IF(tblLines[[#This Row],[Recipe]]="","",IF(tblLines[[#This Row],[Line cost]]="","",IFERROR(tblLines[[#This Row],[Line cost]]/SUMIFS(tblLines[Line cost],tblLines[Recipe],tblLines[[#This Row],[Recipe]]),"")))</calculatedColumnFormula>
    </tableColumn>
    <tableColumn id="10" name="Monthly spend">
      <calculatedColumnFormula>IF(tblLines[[#This Row],[Recipe]]="","",IF(tblLines[[#This Row],[Line cost]]="","",tblLines[[#This Row],[Line cost]]*IFERROR(INDEX(tblRecipes[Batches per month],MATCH(tblLines[[#This Row],[Recipe]],tblRecipes[Recipe],0)),0)))</calculatedColumnFormula>
    </tableColumn>
    <tableColumn id="11" name="Check">
      <calculatedColumnFormula>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calculatedColumnFormula>
    </tableColumn>
    <tableColumn id="12" name="Notes"/>
  </tableColumns>
  <tableStyleInfo name="TableStyleLight1" showFirstColumn="0" showLastColumn="0" showRowStripes="0" showColumnStripes="0"/>
</table>
</file>

<file path=xl/tables/table4.xml><?xml version="1.0" encoding="utf-8"?>
<table xmlns="http://schemas.openxmlformats.org/spreadsheetml/2006/main" id="4" name="tblVerifyRecipes" displayName="tblVerifyRecipes" ref="B37:X40" totalsRowShown="0">
  <tableColumns count="23">
    <tableColumn id="1" name="Recipe"/>
    <tableColumn id="2" name="Yield"/>
    <tableColumn id="3" name="Batch time (h)"/>
    <tableColumn id="4" name="Crew"/>
    <tableColumn id="5" name="Pack size (kg)"/>
    <tableColumn id="6" name="Packaging per pack"/>
    <tableColumn id="7" name="Price per pack"/>
    <tableColumn id="8" name="Batches per month"/>
    <tableColumn id="9" name="Charged (kg)">
      <calculatedColumnFormula>IF(tblVerifyRecipes[[#This Row],[Recipe]]="","",SUMIFS(tblVerifyLines[Quantity (kg)],tblVerifyLines[Recipe],tblVerifyRecipes[[#This Row],[Recipe]]))</calculatedColumnFormula>
    </tableColumn>
    <tableColumn id="10" name="Material cost">
      <calculatedColumnFormula>IF(tblVerifyRecipes[[#This Row],[Recipe]]="","",SUMIFS(tblVerifyLines[Line cost],tblVerifyLines[Recipe],tblVerifyRecipes[[#This Row],[Recipe]]))</calculatedColumnFormula>
    </tableColumn>
    <tableColumn id="11" name="Saleable (kg)">
      <calculatedColumnFormula>IF(tblVerifyRecipes[[#This Row],[Recipe]]="","",tblVerifyRecipes[[#This Row],[Charged (kg)]]*tblVerifyRecipes[[#This Row],[Yield]])</calculatedColumnFormula>
    </tableColumn>
    <tableColumn id="12" name="Packs per batch">
      <calculatedColumnFormula>IF(tblVerifyRecipes[[#This Row],[Recipe]]="","",IF(N(tblVerifyRecipes[[#This Row],[Pack size (kg)]])&gt;0,tblVerifyRecipes[[#This Row],[Saleable (kg)]]/tblVerifyRecipes[[#This Row],[Pack size (kg)]],""))</calculatedColumnFormula>
    </tableColumn>
    <tableColumn id="13" name="Labour">
      <calculatedColumnFormula>IF(tblVerifyRecipes[[#This Row],[Recipe]]="","",N(tblVerifyRecipes[[#This Row],[Batch time (h)]])*N(tblVerifyRecipes[[#This Row],[Crew]])*$E$31)</calculatedColumnFormula>
    </tableColumn>
    <tableColumn id="14" name="Overhead">
      <calculatedColumnFormula>IF(tblVerifyRecipes[[#This Row],[Recipe]]="","",N(tblVerifyRecipes[[#This Row],[Batch time (h)]])*$E$32)</calculatedColumnFormula>
    </tableColumn>
    <tableColumn id="15" name="Packaging">
      <calculatedColumnFormula>IF(tblVerifyRecipes[[#This Row],[Recipe]]="","",IF(tblVerifyRecipes[[#This Row],[Packs per batch]]="","",tblVerifyRecipes[[#This Row],[Packs per batch]]*N(tblVerifyRecipes[[#This Row],[Packaging per pack]])))</calculatedColumnFormula>
    </tableColumn>
    <tableColumn id="16" name="Batch cost">
      <calculatedColumnFormula>IF(tblVerifyRecipes[[#This Row],[Recipe]]="","",IF(tblVerifyRecipes[[#This Row],[Packaging]]="","",tblVerifyRecipes[[#This Row],[Material cost]]+tblVerifyRecipes[[#This Row],[Labour]]+tblVerifyRecipes[[#This Row],[Overhead]]+tblVerifyRecipes[[#This Row],[Packaging]]))</calculatedColumnFormula>
    </tableColumn>
    <tableColumn id="17" name="Cost per kg">
      <calculatedColumnFormula>IF(tblVerifyRecipes[[#This Row],[Recipe]]="","",IF(N(tblVerifyRecipes[[#This Row],[Saleable (kg)]])&gt;0,tblVerifyRecipes[[#This Row],[Batch cost]]/tblVerifyRecipes[[#This Row],[Saleable (kg)]],""))</calculatedColumnFormula>
    </tableColumn>
    <tableColumn id="18" name="Cost per pack">
      <calculatedColumnFormula>IF(tblVerifyRecipes[[#This Row],[Recipe]]="","",IF(N(tblVerifyRecipes[[#This Row],[Packs per batch]])&gt;0,tblVerifyRecipes[[#This Row],[Batch cost]]/tblVerifyRecipes[[#This Row],[Packs per batch]],""))</calculatedColumnFormula>
    </tableColumn>
    <tableColumn id="19" name="Gross margin">
      <calculatedColumnFormula>IF(tblVerifyRecipes[[#This Row],[Recipe]]="","",IF(AND(N(tblVerifyRecipes[[#This Row],[Price per pack]])&gt;0,ISNUMBER(tblVerifyRecipes[[#This Row],[Cost per pack]])),(tblVerifyRecipes[[#This Row],[Price per pack]]-tblVerifyRecipes[[#This Row],[Cost per pack]])/tblVerifyRecipes[[#This Row],[Price per pack]],""))</calculatedColumnFormula>
    </tableColumn>
    <tableColumn id="20" name="Price at target">
      <calculatedColumnFormula>IF(tblVerifyRecipes[[#This Row],[Recipe]]="","",IF(ISNUMBER(tblVerifyRecipes[[#This Row],[Cost per pack]]),tblVerifyRecipes[[#This Row],[Cost per pack]]/(1-$E$33),""))</calculatedColumnFormula>
    </tableColumn>
    <tableColumn id="21" name="Margin status">
      <calculatedColumnFormula>IF(NOT(ISNUMBER(tblVerifyRecipes[[#This Row],[Gross margin]])),"",IF(tblVerifyRecipes[[#This Row],[Gross margin]]&gt;=$E$33,"On target",IF(tblVerifyRecipes[[#This Row],[Gross margin]]&gt;=$E$33*(1-0.05),"Near target","Below target")))</calculatedColumnFormula>
    </tableColumn>
    <tableColumn id="22" name="Check">
      <calculatedColumnFormula>IF(tblVerifyRecipes[[#This Row],[Recipe]]="","",IF(tblVerifyRecipes[[#This Row],[Yield]]="","Missing yield",IF(tblVerifyRecipes[[#This Row],[Batch time (h)]]="","Missing batch time",IF(tblVerifyRecipes[[#This Row],[Pack size (kg)]]="","Missing pack size",IF(tblVerifyRecipes[[#This Row],[Price per pack]]="","Missing price per pack",IF(tblVerifyRecipes[[#This Row],[Charged (kg)]]=0,"No lines on Recipe Lines",IF(COUNTIFS(tblVerifyRecipes[Recipe],tblVerifyRecipes[[#This Row],[Recipe]])&gt;1,"Duplicate recipe name",IF(AND(N(tblVerifyRecipes[[#This Row],[Price per pack]])&gt;0,N(tblVerifyRecipes[[#This Row],[Price per pack]])&lt;tblVerifyRecipes[[#This Row],[Cost per pack]]),"Price below cost","OK"))))))))</calculatedColumnFormula>
    </tableColumn>
    <tableColumn id="23" name="Notes"/>
  </tableColumns>
  <tableStyleInfo name="TableStyleLight1" showFirstColumn="0" showLastColumn="0" showRowStripes="0" showColumnStripes="0"/>
</table>
</file>

<file path=xl/tables/table5.xml><?xml version="1.0" encoding="utf-8"?>
<table xmlns="http://schemas.openxmlformats.org/spreadsheetml/2006/main" id="5" name="tblVerifyLines" displayName="tblVerifyLines" ref="B44:M49" totalsRowShown="0">
  <tableColumns count="12">
    <tableColumn id="1" name="Recipe"/>
    <tableColumn id="2" name="Ingredient"/>
    <tableColumn id="3" name="Quantity"/>
    <tableColumn id="4" name="Unit"/>
    <tableColumn id="5" name="Quantity (kg)">
      <calculatedColumnFormula>IF(tblVerifyLines[[#This Row],[Recipe]]="","",IF(tblVerifyLines[[#This Row],[Unit]]="kg",tblVerifyLines[[#This Row],[Quantity]],IF(tblVerifyLines[[#This Row],[Unit]]="g",tblVerifyLines[[#This Row],[Quantity]]/1000,IF(tblVerifyLines[[#This Row],[Unit]]="lb",tblVerifyLines[[#This Row],[Quantity]]*0.45359237,IF(tblVerifyLines[[#This Row],[Unit]]="oz",tblVerifyLines[[#This Row],[Quantity]]*0.028349523125,"")))))</calculatedColumnFormula>
    </tableColumn>
    <tableColumn id="6" name="Price per kg"/>
    <tableColumn id="7" name="Line cost">
      <calculatedColumnFormula>IF(tblVerifyLines[[#This Row],[Recipe]]="","",IF(OR(tblVerifyLines[[#This Row],[Quantity (kg)]]="",tblVerifyLines[[#This Row],[Price per kg]]=""),"",tblVerifyLines[[#This Row],[Quantity (kg)]]*tblVerifyLines[[#This Row],[Price per kg]]))</calculatedColumnFormula>
    </tableColumn>
    <tableColumn id="8" name="Share of batch">
      <calculatedColumnFormula>IF(tblVerifyLines[[#This Row],[Recipe]]="","",IF(tblVerifyLines[[#This Row],[Quantity (kg)]]="","",IFERROR(tblVerifyLines[[#This Row],[Quantity (kg)]]/SUMIFS(tblVerifyLines[Quantity (kg)],tblVerifyLines[Recipe],tblVerifyLines[[#This Row],[Recipe]]),"")))</calculatedColumnFormula>
    </tableColumn>
    <tableColumn id="9" name="Share of cost">
      <calculatedColumnFormula>IF(tblVerifyLines[[#This Row],[Recipe]]="","",IF(tblVerifyLines[[#This Row],[Line cost]]="","",IFERROR(tblVerifyLines[[#This Row],[Line cost]]/SUMIFS(tblVerifyLines[Line cost],tblVerifyLines[Recipe],tblVerifyLines[[#This Row],[Recipe]]),"")))</calculatedColumnFormula>
    </tableColumn>
    <tableColumn id="10" name="Monthly spend">
      <calculatedColumnFormula>IF(tblVerifyLines[[#This Row],[Recipe]]="","",IF(tblVerifyLines[[#This Row],[Line cost]]="","",tblVerifyLines[[#This Row],[Line cost]]*IFERROR(INDEX(tblVerifyRecipes[Batches per month],MATCH(tblVerifyLines[[#This Row],[Recipe]],tblVerifyRecipes[Recipe],0)),0)))</calculatedColumnFormula>
    </tableColumn>
    <tableColumn id="11" name="Check">
      <calculatedColumnFormula>IF(tblVerifyLines[[#This Row],[Recipe]]="","",IF(tblVerifyLines[[#This Row],[Ingredient]]="","Missing ingredient",IF(tblVerifyLines[[#This Row],[Quantity]]="","Missing quantity",IF(tblVerifyLines[[#This Row],[Unit]]="","Missing unit",IF(tblVerifyLines[[#This Row],[Price per kg]]="","Ingredient not on Setup list",IF(COUNTIFS(tblVerifyRecipes[Recipe],tblVerifyLines[[#This Row],[Recipe]])=0,"Recipe not on Recipes sheet",IF(tblVerifyLines[[#This Row],[Quantity (kg)]]="","Unit must be kg, g, lb or oz",IF(COUNTIFS(tblVerifyLines[Recipe],tblVerifyLines[[#This Row],[Recipe]],tblVerifyLines[Ingredient],tblVerifyLines[[#This Row],[Ingredient]])&gt;1,"Ingredient twice in recipe","OK"))))))))</calculatedColumnFormula>
    </tableColumn>
    <tableColumn id="12"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cipe-batch-costing" TargetMode="External"/><Relationship Id="rId2" Type="http://schemas.openxmlformats.org/officeDocument/2006/relationships/hyperlink" Target="https://www.mfgcalcs.com/calculators/mixing-blending-industrial-batch-processing/batch-cost?utm_source=mfgcalcs-template&amp;utm_medium=xlsx&amp;utm_campaign=recipe-batch-costing" TargetMode="External"/><Relationship Id="rId3" Type="http://schemas.openxmlformats.org/officeDocument/2006/relationships/hyperlink" Target="https://www.mfgcalcs.com/templates/recipe-batch-costing?utm_source=mfgcalcs-template&amp;utm_medium=xlsx&amp;utm_campaign=recipe-batch-costing" TargetMode="External"/><Relationship Id="rId4" Type="http://schemas.openxmlformats.org/officeDocument/2006/relationships/hyperlink" Target="https://www.mfgcalcs.com/templates?utm_source=mfgcalcs-template&amp;utm_medium=xlsx&amp;utm_campaign=recipe-batch-costin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cipe-batch-costing"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cipe-batch-costing"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cipe-batch-costing"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cipe-batch-costing"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cipe-batch-costing" TargetMode="External"/><Relationship Id="rId2" Type="http://schemas.openxmlformats.org/officeDocument/2006/relationships/hyperlink" Target="https://www.mfgcalcs.com/calculators/mixing-blending-industrial-batch-processing/batch-cost?utm_source=mfgcalcs-template&amp;utm_medium=xlsx&amp;utm_campaign=recipe-batch-cost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cipe-batch-costing" TargetMode="External"/><Relationship Id="rId2" Type="http://schemas.openxmlformats.org/officeDocument/2006/relationships/table" Target="../tables/table4.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15 of 15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Recipes!A1" tooltip="Go to Recipes" display="Recipes"/>
    <hyperlink ref="C23" location="'Recipe Lines'!A1" tooltip="Go to Recipe Lines" display="Recipe Lines"/>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Recipe and Batch Costing&amp;R&amp;8&amp;A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G39"/>
  <sheetViews>
    <sheetView showGridLines="0" workbookViewId="0"/>
  </sheetViews>
  <sheetFormatPr defaultRowHeight="15"/>
  <cols>
    <col min="1" max="1" width="2.7109375" customWidth="1"/>
    <col min="2" max="2" width="30.7109375" customWidth="1"/>
    <col min="3" max="3" width="22.7109375" customWidth="1"/>
    <col min="4" max="4" width="14.7109375" customWidth="1"/>
    <col min="5" max="5" width="10.7109375" customWidth="1"/>
    <col min="6" max="6" width="14.7109375" customWidth="1"/>
    <col min="7" max="7" width="34.7109375" customWidth="1"/>
  </cols>
  <sheetData>
    <row r="1" spans="1:7" ht="30" customHeight="1">
      <c r="A1" s="1" t="s">
        <v>0</v>
      </c>
      <c r="B1" s="1"/>
      <c r="C1" s="1"/>
      <c r="D1" s="1"/>
      <c r="E1" s="1"/>
      <c r="F1" s="1"/>
      <c r="G1" s="1"/>
    </row>
    <row r="2" spans="1:7" ht="21" customHeight="1">
      <c r="B2" s="2" t="s">
        <v>20</v>
      </c>
      <c r="C2" s="2"/>
      <c r="D2" s="2"/>
      <c r="E2" s="2"/>
      <c r="F2" s="2"/>
      <c r="G2" s="3" t="s">
        <v>2</v>
      </c>
    </row>
    <row r="3" spans="1:7" ht="6" customHeight="1"/>
    <row r="4" spans="1:7" ht="21" customHeight="1">
      <c r="B4" s="8" t="s">
        <v>70</v>
      </c>
      <c r="C4" s="8"/>
      <c r="D4" s="8"/>
      <c r="E4" s="8"/>
      <c r="F4" s="8"/>
      <c r="G4" s="8"/>
    </row>
    <row r="5" spans="1:7" ht="5" customHeight="1"/>
    <row r="6" spans="1:7">
      <c r="B6" s="27" t="s">
        <v>71</v>
      </c>
      <c r="C6" s="27"/>
      <c r="D6" s="28" t="s">
        <v>72</v>
      </c>
      <c r="E6" s="28"/>
    </row>
    <row r="7" spans="1:7">
      <c r="B7" s="27" t="s">
        <v>73</v>
      </c>
      <c r="C7" s="27"/>
      <c r="D7" s="28" t="s">
        <v>74</v>
      </c>
      <c r="E7" s="28"/>
    </row>
    <row r="8" spans="1:7">
      <c r="B8" s="27" t="s">
        <v>75</v>
      </c>
      <c r="C8" s="27"/>
      <c r="D8" s="29">
        <v>14.5</v>
      </c>
      <c r="E8" s="7" t="str">
        <f>Currency&amp;"/h"</f>
        <v>GBP/h</v>
      </c>
    </row>
    <row r="9" spans="1:7">
      <c r="B9" s="27" t="s">
        <v>76</v>
      </c>
      <c r="C9" s="27"/>
      <c r="D9" s="29">
        <v>38</v>
      </c>
      <c r="E9" s="7" t="str">
        <f>Currency&amp;"/batch h"</f>
        <v>GBP/batch h</v>
      </c>
    </row>
    <row r="10" spans="1:7">
      <c r="B10" s="27" t="s">
        <v>77</v>
      </c>
      <c r="C10" s="27"/>
      <c r="D10" s="30">
        <v>0.3</v>
      </c>
      <c r="E10" s="7"/>
    </row>
    <row r="12" spans="1:7" ht="35.4" customHeight="1">
      <c r="B12" s="25" t="s">
        <v>78</v>
      </c>
      <c r="C12" s="25"/>
      <c r="D12" s="25"/>
      <c r="E12" s="25"/>
      <c r="F12" s="25"/>
      <c r="G12" s="25"/>
    </row>
    <row r="14" spans="1:7" ht="21" customHeight="1">
      <c r="B14" s="8" t="s">
        <v>79</v>
      </c>
      <c r="C14" s="8"/>
      <c r="D14" s="8"/>
      <c r="E14" s="8"/>
      <c r="F14" s="8"/>
      <c r="G14" s="8"/>
    </row>
    <row r="15" spans="1:7" ht="5" customHeight="1"/>
    <row r="16" spans="1:7">
      <c r="B16" s="31" t="s">
        <v>80</v>
      </c>
      <c r="C16" s="31"/>
      <c r="D16" s="31"/>
      <c r="E16" s="31"/>
      <c r="F16" s="31"/>
      <c r="G16" s="31"/>
    </row>
    <row r="17" spans="2:7" ht="18" customHeight="1">
      <c r="B17" s="32" t="s">
        <v>81</v>
      </c>
      <c r="C17" s="32"/>
      <c r="D17" s="32"/>
      <c r="E17" s="32"/>
      <c r="F17" s="32"/>
      <c r="G17" s="32"/>
    </row>
    <row r="18" spans="2:7" ht="14" customHeight="1">
      <c r="B18" s="33"/>
      <c r="C18" s="33"/>
      <c r="D18" s="33" t="str">
        <f>Currency</f>
        <v>GBP</v>
      </c>
      <c r="E18" s="33"/>
      <c r="F18" s="33" t="str">
        <f>Currency&amp;"/kg"</f>
        <v>GBP/kg</v>
      </c>
      <c r="G18" s="33"/>
    </row>
    <row r="19" spans="2:7" ht="32" customHeight="1">
      <c r="B19" s="34" t="s">
        <v>64</v>
      </c>
      <c r="C19" s="34" t="s">
        <v>65</v>
      </c>
      <c r="D19" s="34" t="s">
        <v>66</v>
      </c>
      <c r="E19" s="34" t="s">
        <v>67</v>
      </c>
      <c r="F19" s="34" t="s">
        <v>68</v>
      </c>
      <c r="G19" s="34" t="s">
        <v>69</v>
      </c>
    </row>
    <row r="20" spans="2:7">
      <c r="B20" s="28" t="s">
        <v>82</v>
      </c>
      <c r="C20" s="28" t="s">
        <v>83</v>
      </c>
      <c r="D20" s="35">
        <v>1.1</v>
      </c>
      <c r="E20" s="28" t="s">
        <v>84</v>
      </c>
      <c r="F20" s="36">
        <f>IF(tblIngredients[[#This Row],[Price per]]="kg",tblIngredients[[#This Row],[Purchase price]],IF(tblIngredients[[#This Row],[Price per]]="lb",tblIngredients[[#This Row],[Purchase price]]/0.45359237,""))</f>
        <v>1.1</v>
      </c>
      <c r="G20" s="28" t="s">
        <v>85</v>
      </c>
    </row>
    <row r="21" spans="2:7">
      <c r="B21" s="28" t="s">
        <v>86</v>
      </c>
      <c r="C21" s="28" t="s">
        <v>83</v>
      </c>
      <c r="D21" s="35">
        <v>2.4</v>
      </c>
      <c r="E21" s="28" t="s">
        <v>84</v>
      </c>
      <c r="F21" s="36">
        <f>IF(tblIngredients[[#This Row],[Price per]]="kg",tblIngredients[[#This Row],[Purchase price]],IF(tblIngredients[[#This Row],[Price per]]="lb",tblIngredients[[#This Row],[Purchase price]]/0.45359237,""))</f>
        <v>2.4</v>
      </c>
      <c r="G21" s="28" t="s">
        <v>85</v>
      </c>
    </row>
    <row r="22" spans="2:7">
      <c r="B22" s="28" t="s">
        <v>87</v>
      </c>
      <c r="C22" s="28" t="s">
        <v>83</v>
      </c>
      <c r="D22" s="35">
        <v>0.85</v>
      </c>
      <c r="E22" s="28" t="s">
        <v>84</v>
      </c>
      <c r="F22" s="36">
        <f>IF(tblIngredients[[#This Row],[Price per]]="kg",tblIngredients[[#This Row],[Purchase price]],IF(tblIngredients[[#This Row],[Price per]]="lb",tblIngredients[[#This Row],[Purchase price]]/0.45359237,""))</f>
        <v>0.85</v>
      </c>
      <c r="G22" s="28" t="s">
        <v>85</v>
      </c>
    </row>
    <row r="23" spans="2:7">
      <c r="B23" s="28" t="s">
        <v>88</v>
      </c>
      <c r="C23" s="28" t="s">
        <v>89</v>
      </c>
      <c r="D23" s="35">
        <v>4.2</v>
      </c>
      <c r="E23" s="28" t="s">
        <v>84</v>
      </c>
      <c r="F23" s="36">
        <f>IF(tblIngredients[[#This Row],[Price per]]="kg",tblIngredients[[#This Row],[Purchase price]],IF(tblIngredients[[#This Row],[Price per]]="lb",tblIngredients[[#This Row],[Purchase price]]/0.45359237,""))</f>
        <v>4.2</v>
      </c>
      <c r="G23" s="28" t="s">
        <v>85</v>
      </c>
    </row>
    <row r="24" spans="2:7">
      <c r="B24" s="28" t="s">
        <v>90</v>
      </c>
      <c r="C24" s="28" t="s">
        <v>91</v>
      </c>
      <c r="D24" s="35">
        <v>14</v>
      </c>
      <c r="E24" s="28" t="s">
        <v>84</v>
      </c>
      <c r="F24" s="36">
        <f>IF(tblIngredients[[#This Row],[Price per]]="kg",tblIngredients[[#This Row],[Purchase price]],IF(tblIngredients[[#This Row],[Price per]]="lb",tblIngredients[[#This Row],[Purchase price]]/0.45359237,""))</f>
        <v>14</v>
      </c>
      <c r="G24" s="28" t="s">
        <v>85</v>
      </c>
    </row>
    <row r="25" spans="2:7">
      <c r="B25" s="28" t="s">
        <v>92</v>
      </c>
      <c r="C25" s="28" t="s">
        <v>93</v>
      </c>
      <c r="D25" s="35">
        <v>7.8</v>
      </c>
      <c r="E25" s="28" t="s">
        <v>84</v>
      </c>
      <c r="F25" s="36">
        <f>IF(tblIngredients[[#This Row],[Price per]]="kg",tblIngredients[[#This Row],[Purchase price]],IF(tblIngredients[[#This Row],[Price per]]="lb",tblIngredients[[#This Row],[Purchase price]]/0.45359237,""))</f>
        <v>7.8</v>
      </c>
      <c r="G25" s="28" t="s">
        <v>85</v>
      </c>
    </row>
    <row r="26" spans="2:7">
      <c r="B26" s="28" t="s">
        <v>94</v>
      </c>
      <c r="C26" s="28" t="s">
        <v>93</v>
      </c>
      <c r="D26" s="35">
        <v>1.9</v>
      </c>
      <c r="E26" s="28" t="s">
        <v>84</v>
      </c>
      <c r="F26" s="36">
        <f>IF(tblIngredients[[#This Row],[Price per]]="kg",tblIngredients[[#This Row],[Purchase price]],IF(tblIngredients[[#This Row],[Price per]]="lb",tblIngredients[[#This Row],[Purchase price]]/0.45359237,""))</f>
        <v>1.9</v>
      </c>
      <c r="G26" s="28" t="s">
        <v>85</v>
      </c>
    </row>
    <row r="27" spans="2:7">
      <c r="B27" s="28" t="s">
        <v>95</v>
      </c>
      <c r="C27" s="28" t="s">
        <v>96</v>
      </c>
      <c r="D27" s="35">
        <v>0.95</v>
      </c>
      <c r="E27" s="28" t="s">
        <v>84</v>
      </c>
      <c r="F27" s="36">
        <f>IF(tblIngredients[[#This Row],[Price per]]="kg",tblIngredients[[#This Row],[Purchase price]],IF(tblIngredients[[#This Row],[Price per]]="lb",tblIngredients[[#This Row],[Purchase price]]/0.45359237,""))</f>
        <v>0.95</v>
      </c>
      <c r="G27" s="28" t="s">
        <v>85</v>
      </c>
    </row>
    <row r="28" spans="2:7">
      <c r="B28" s="28" t="s">
        <v>97</v>
      </c>
      <c r="C28" s="28" t="s">
        <v>98</v>
      </c>
      <c r="D28" s="35">
        <v>1.2</v>
      </c>
      <c r="E28" s="28" t="s">
        <v>84</v>
      </c>
      <c r="F28" s="36">
        <f>IF(tblIngredients[[#This Row],[Price per]]="kg",tblIngredients[[#This Row],[Purchase price]],IF(tblIngredients[[#This Row],[Price per]]="lb",tblIngredients[[#This Row],[Purchase price]]/0.45359237,""))</f>
        <v>1.2</v>
      </c>
      <c r="G28" s="28" t="s">
        <v>85</v>
      </c>
    </row>
    <row r="29" spans="2:7">
      <c r="B29" s="28" t="s">
        <v>99</v>
      </c>
      <c r="C29" s="28" t="s">
        <v>96</v>
      </c>
      <c r="D29" s="35">
        <v>0.3</v>
      </c>
      <c r="E29" s="28" t="s">
        <v>84</v>
      </c>
      <c r="F29" s="36">
        <f>IF(tblIngredients[[#This Row],[Price per]]="kg",tblIngredients[[#This Row],[Purchase price]],IF(tblIngredients[[#This Row],[Price per]]="lb",tblIngredients[[#This Row],[Purchase price]]/0.45359237,""))</f>
        <v>0.3</v>
      </c>
      <c r="G29" s="28" t="s">
        <v>85</v>
      </c>
    </row>
    <row r="30" spans="2:7">
      <c r="B30" s="28" t="s">
        <v>100</v>
      </c>
      <c r="C30" s="28" t="s">
        <v>101</v>
      </c>
      <c r="D30" s="35">
        <v>2.6</v>
      </c>
      <c r="E30" s="28" t="s">
        <v>84</v>
      </c>
      <c r="F30" s="36">
        <f>IF(tblIngredients[[#This Row],[Price per]]="kg",tblIngredients[[#This Row],[Purchase price]],IF(tblIngredients[[#This Row],[Price per]]="lb",tblIngredients[[#This Row],[Purchase price]]/0.45359237,""))</f>
        <v>2.6</v>
      </c>
      <c r="G30" s="28" t="s">
        <v>85</v>
      </c>
    </row>
    <row r="31" spans="2:7">
      <c r="B31" s="28" t="s">
        <v>102</v>
      </c>
      <c r="C31" s="28" t="s">
        <v>101</v>
      </c>
      <c r="D31" s="35">
        <v>5.5</v>
      </c>
      <c r="E31" s="28" t="s">
        <v>84</v>
      </c>
      <c r="F31" s="36">
        <f>IF(tblIngredients[[#This Row],[Price per]]="kg",tblIngredients[[#This Row],[Purchase price]],IF(tblIngredients[[#This Row],[Price per]]="lb",tblIngredients[[#This Row],[Purchase price]]/0.45359237,""))</f>
        <v>5.5</v>
      </c>
      <c r="G31" s="28" t="s">
        <v>85</v>
      </c>
    </row>
    <row r="32" spans="2:7">
      <c r="B32" s="28" t="s">
        <v>103</v>
      </c>
      <c r="C32" s="28" t="s">
        <v>104</v>
      </c>
      <c r="D32" s="35">
        <v>6.2</v>
      </c>
      <c r="E32" s="28" t="s">
        <v>84</v>
      </c>
      <c r="F32" s="36">
        <f>IF(tblIngredients[[#This Row],[Price per]]="kg",tblIngredients[[#This Row],[Purchase price]],IF(tblIngredients[[#This Row],[Price per]]="lb",tblIngredients[[#This Row],[Purchase price]]/0.45359237,""))</f>
        <v>6.2</v>
      </c>
      <c r="G32" s="28" t="s">
        <v>85</v>
      </c>
    </row>
    <row r="33" spans="2:7">
      <c r="B33" s="28" t="s">
        <v>105</v>
      </c>
      <c r="C33" s="28" t="s">
        <v>106</v>
      </c>
      <c r="D33" s="35">
        <v>7.48</v>
      </c>
      <c r="E33" s="28" t="s">
        <v>107</v>
      </c>
      <c r="F33" s="36">
        <f>IF(tblIngredients[[#This Row],[Price per]]="kg",tblIngredients[[#This Row],[Purchase price]],IF(tblIngredients[[#This Row],[Price per]]="lb",tblIngredients[[#This Row],[Purchase price]]/0.45359237,""))</f>
        <v>16.4905772114288</v>
      </c>
      <c r="G33" s="28" t="s">
        <v>108</v>
      </c>
    </row>
    <row r="34" spans="2:7">
      <c r="B34" s="28" t="s">
        <v>109</v>
      </c>
      <c r="C34" s="28" t="s">
        <v>93</v>
      </c>
      <c r="D34" s="35">
        <v>18</v>
      </c>
      <c r="E34" s="28" t="s">
        <v>84</v>
      </c>
      <c r="F34" s="36">
        <f>IF(tblIngredients[[#This Row],[Price per]]="kg",tblIngredients[[#This Row],[Purchase price]],IF(tblIngredients[[#This Row],[Price per]]="lb",tblIngredients[[#This Row],[Purchase price]]/0.45359237,""))</f>
        <v>18</v>
      </c>
      <c r="G34" s="28" t="s">
        <v>85</v>
      </c>
    </row>
    <row r="35" spans="2:7">
      <c r="B35" s="28" t="s">
        <v>110</v>
      </c>
      <c r="C35" s="28" t="s">
        <v>91</v>
      </c>
      <c r="D35" s="35">
        <v>9.5</v>
      </c>
      <c r="E35" s="28" t="s">
        <v>84</v>
      </c>
      <c r="F35" s="36">
        <f>IF(tblIngredients[[#This Row],[Price per]]="kg",tblIngredients[[#This Row],[Purchase price]],IF(tblIngredients[[#This Row],[Price per]]="lb",tblIngredients[[#This Row],[Purchase price]]/0.45359237,""))</f>
        <v>9.5</v>
      </c>
      <c r="G35" s="28" t="s">
        <v>85</v>
      </c>
    </row>
    <row r="36" spans="2:7">
      <c r="B36" s="28" t="s">
        <v>111</v>
      </c>
      <c r="C36" s="28" t="s">
        <v>106</v>
      </c>
      <c r="D36" s="35">
        <v>5.45</v>
      </c>
      <c r="E36" s="28" t="s">
        <v>107</v>
      </c>
      <c r="F36" s="36">
        <f>IF(tblIngredients[[#This Row],[Price per]]="kg",tblIngredients[[#This Row],[Purchase price]],IF(tblIngredients[[#This Row],[Price per]]="lb",tblIngredients[[#This Row],[Purchase price]]/0.45359237,""))</f>
        <v>12.0151932890758</v>
      </c>
      <c r="G36" s="28" t="s">
        <v>108</v>
      </c>
    </row>
    <row r="37" spans="2:7">
      <c r="B37" s="28" t="s">
        <v>112</v>
      </c>
      <c r="C37" s="28" t="s">
        <v>96</v>
      </c>
      <c r="D37" s="35">
        <v>1.4</v>
      </c>
      <c r="E37" s="28" t="s">
        <v>84</v>
      </c>
      <c r="F37" s="36">
        <f>IF(tblIngredients[[#This Row],[Price per]]="kg",tblIngredients[[#This Row],[Purchase price]],IF(tblIngredients[[#This Row],[Price per]]="lb",tblIngredients[[#This Row],[Purchase price]]/0.45359237,""))</f>
        <v>1.4</v>
      </c>
      <c r="G37" s="28" t="s">
        <v>85</v>
      </c>
    </row>
    <row r="38" spans="2:7">
      <c r="B38" s="28" t="s">
        <v>113</v>
      </c>
      <c r="C38" s="28" t="s">
        <v>91</v>
      </c>
      <c r="D38" s="35">
        <v>18</v>
      </c>
      <c r="E38" s="28" t="s">
        <v>84</v>
      </c>
      <c r="F38" s="36">
        <f>IF(tblIngredients[[#This Row],[Price per]]="kg",tblIngredients[[#This Row],[Purchase price]],IF(tblIngredients[[#This Row],[Price per]]="lb",tblIngredients[[#This Row],[Purchase price]]/0.45359237,""))</f>
        <v>18</v>
      </c>
      <c r="G38" s="28" t="s">
        <v>85</v>
      </c>
    </row>
    <row r="39" spans="2:7">
      <c r="B39" s="28" t="s">
        <v>114</v>
      </c>
      <c r="C39" s="28" t="s">
        <v>115</v>
      </c>
      <c r="D39" s="35">
        <v>0.0025</v>
      </c>
      <c r="E39" s="28" t="s">
        <v>84</v>
      </c>
      <c r="F39" s="36">
        <f>IF(tblIngredients[[#This Row],[Price per]]="kg",tblIngredients[[#This Row],[Purchase price]],IF(tblIngredients[[#This Row],[Price per]]="lb",tblIngredients[[#This Row],[Purchase price]]/0.45359237,""))</f>
        <v>0.0025</v>
      </c>
      <c r="G39" s="28" t="s">
        <v>85</v>
      </c>
    </row>
  </sheetData>
  <mergeCells count="14">
    <mergeCell ref="A1:G1"/>
    <mergeCell ref="B2:F2"/>
    <mergeCell ref="B4:G4"/>
    <mergeCell ref="B6:C6"/>
    <mergeCell ref="D6:E6"/>
    <mergeCell ref="B7:C7"/>
    <mergeCell ref="D7:E7"/>
    <mergeCell ref="B8:C8"/>
    <mergeCell ref="B9:C9"/>
    <mergeCell ref="B10:C10"/>
    <mergeCell ref="B12:G12"/>
    <mergeCell ref="B14:G14"/>
    <mergeCell ref="B16:G16"/>
    <mergeCell ref="B17:G17"/>
  </mergeCells>
  <dataValidations count="10">
    <dataValidation type="textLength" allowBlank="1" showInputMessage="1" showErrorMessage="1" errorTitle="Check this entry" error="Text up to 80 characters." promptTitle="Company name" prompt="Text up to 80 characters." sqref="D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D7">
      <formula1>0</formula1>
      <formula2>12</formula2>
    </dataValidation>
    <dataValidation type="decimal" allowBlank="1" showInputMessage="1" showErrorMessage="1" errorTitle="Check this entry" error="Enter a number from 0 to 100,000." promptTitle="Labour rate" prompt="Fully loaded cost of one production hour per person (wage plus on-costs). Example value. Enter a number from 0 to 100,000." sqref="D8">
      <formula1>0</formula1>
      <formula2>100000.0</formula2>
    </dataValidation>
    <dataValidation type="decimal" allowBlank="1" showInputMessage="1" showErrorMessage="1" errorTitle="Check this entry" error="Enter a number from 0 to 1,000,000." promptTitle="Overhead rate" prompt="Factory overhead absorbed per hour of batch time: utilities, depreciation, cleaning, supervision. Example value. Enter a number from 0 to 1,000,000." sqref="D9">
      <formula1>0</formula1>
      <formula2>1000000.0</formula2>
    </dataValidation>
    <dataValidation type="decimal" allowBlank="1" showInputMessage="1" showErrorMessage="1" errorTitle="Check this entry" error="Enter a percentage from 0% to 99% (type 85% or 0.85)." promptTitle="Gross margin target" prompt="Your own target: (price - cost) / price. Below 100%. Enter a percentage from 0% to 99% (type 85% or 0.85)." sqref="D10">
      <formula1>0</formula1>
      <formula2>0.99</formula2>
    </dataValidation>
    <dataValidation type="textLength" allowBlank="1" showInputMessage="1" showErrorMessage="1" errorTitle="Check this entry" error="Text up to 40 characters." promptTitle="Ingredient" prompt="Text up to 40 characters." sqref="B20:B139">
      <formula1>0</formula1>
      <formula2>40</formula2>
    </dataValidation>
    <dataValidation type="textLength" allowBlank="1" showInputMessage="1" showErrorMessage="1" errorTitle="Check this entry" error="Text up to 40 characters." promptTitle="Supplier" prompt="Text up to 40 characters." sqref="C20:C139">
      <formula1>0</formula1>
      <formula2>40</formula2>
    </dataValidation>
    <dataValidation type="decimal" allowBlank="1" showInputMessage="1" showErrorMessage="1" errorTitle="Check this entry" error="Enter a number from 0 to 1,000,000." promptTitle="Purchase price" prompt="Delivered price per kg or per lb (next column), including freight and duty if you pay them. Enter a number from 0 to 1,000,000." sqref="D20:D139">
      <formula1>0</formula1>
      <formula2>1000000.0</formula2>
    </dataValidation>
    <dataValidation type="list" allowBlank="1" showInputMessage="1" showErrorMessage="1" errorTitle="Check this entry" error="Pick one of: kg, lb." promptTitle="Price per" prompt="kg or lb. Pick one of: kg, lb." sqref="E20:E139">
      <formula1>"kg,lb"</formula1>
    </dataValidation>
    <dataValidation type="textLength" allowBlank="1" showInputMessage="1" showErrorMessage="1" errorTitle="Check this entry" error="Text up to 120 characters." promptTitle="Notes" prompt="Text up to 120 characters." sqref="G20:G139">
      <formula1>0</formula1>
      <formula2>120</formula2>
    </dataValidation>
  </dataValidations>
  <hyperlinks>
    <hyperlink ref="G2" r:id="rId1" tooltip="Free manufacturing calculators and templates"/>
  </hyperlinks>
  <pageMargins left="0.4" right="0.4" top="0.7" bottom="0.65" header="0.3" footer="0.3"/>
  <pageSetup fitToHeight="0" orientation="landscape"/>
  <headerFooter>
    <oddHeader>&amp;L&amp;8MFG Calcs - Recipe and Batch Costing&amp;R&amp;8&amp;A</oddHeader>
    <oddFooter>&amp;L&amp;8mfgcalcs.com - free manufacturing templates&amp;R&amp;8Page &amp;P of &amp;N</oddFooter>
  </headerFooter>
  <rowBreaks count="1" manualBreakCount="1">
    <brk id="13" max="16383" man="1"/>
  </rowBreaks>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X12"/>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20.7109375" customWidth="1"/>
    <col min="3" max="3" width="8.28515625" customWidth="1"/>
    <col min="4" max="4" width="8.7109375" customWidth="1"/>
    <col min="5" max="5" width="6.7109375" customWidth="1"/>
    <col min="6" max="6" width="8.7109375" customWidth="1"/>
    <col min="7" max="7" width="9.7109375" customWidth="1"/>
    <col min="8" max="9" width="9.28515625" customWidth="1"/>
    <col min="10" max="10" width="9.7109375" customWidth="1"/>
    <col min="11" max="11" width="10.28515625" customWidth="1"/>
    <col min="12" max="12" width="9.7109375" customWidth="1"/>
    <col min="13" max="15" width="9.28515625" customWidth="1"/>
    <col min="16" max="16" width="9.7109375" customWidth="1"/>
    <col min="17" max="17" width="10.28515625" customWidth="1"/>
    <col min="18" max="19" width="9.28515625" customWidth="1"/>
    <col min="20" max="20" width="8.7109375" customWidth="1"/>
    <col min="21" max="21" width="9.28515625" customWidth="1"/>
    <col min="22" max="22" width="11.7109375" customWidth="1"/>
    <col min="23" max="23" width="20.7109375" customWidth="1"/>
    <col min="24" max="24" width="24.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22</v>
      </c>
      <c r="C2" s="2"/>
      <c r="D2" s="2"/>
      <c r="E2" s="2"/>
      <c r="F2" s="2"/>
      <c r="G2" s="2"/>
      <c r="H2" s="2"/>
      <c r="I2" s="2"/>
      <c r="J2" s="2"/>
      <c r="K2" s="2"/>
      <c r="L2" s="2"/>
      <c r="M2" s="2"/>
      <c r="N2" s="2"/>
      <c r="O2" s="2"/>
      <c r="P2" s="2"/>
      <c r="Q2" s="2"/>
      <c r="R2" s="2"/>
      <c r="S2" s="2"/>
      <c r="T2" s="2"/>
      <c r="U2" s="2"/>
      <c r="V2" s="2"/>
      <c r="W2" s="2"/>
      <c r="X2" s="3" t="s">
        <v>2</v>
      </c>
    </row>
    <row r="3" spans="1:24" ht="6" customHeight="1"/>
    <row r="4" spans="1:24" ht="18" customHeight="1">
      <c r="B4" s="32" t="s">
        <v>138</v>
      </c>
      <c r="C4" s="32"/>
      <c r="D4" s="32"/>
      <c r="E4" s="32"/>
      <c r="F4" s="32"/>
      <c r="G4" s="32"/>
      <c r="H4" s="32"/>
      <c r="I4" s="32"/>
      <c r="J4" s="32"/>
      <c r="K4" s="32"/>
      <c r="L4" s="32"/>
      <c r="M4" s="32"/>
      <c r="N4" s="32"/>
      <c r="O4" s="32"/>
      <c r="P4" s="32"/>
      <c r="Q4" s="32"/>
      <c r="R4" s="32"/>
      <c r="S4" s="32"/>
      <c r="T4" s="32"/>
      <c r="U4" s="32"/>
      <c r="V4" s="32"/>
      <c r="W4" s="32"/>
      <c r="X4" s="32"/>
    </row>
    <row r="5" spans="1:24" ht="14" customHeight="1">
      <c r="B5" s="33"/>
      <c r="C5" s="33"/>
      <c r="D5" s="33"/>
      <c r="E5" s="33"/>
      <c r="F5" s="33"/>
      <c r="G5" s="33" t="str">
        <f>Currency</f>
        <v>GBP</v>
      </c>
      <c r="H5" s="33" t="str">
        <f>Currency</f>
        <v>GBP</v>
      </c>
      <c r="I5" s="33"/>
      <c r="J5" s="33"/>
      <c r="K5" s="33" t="str">
        <f>Currency&amp;"/batch"</f>
        <v>GBP/batch</v>
      </c>
      <c r="L5" s="33"/>
      <c r="M5" s="33"/>
      <c r="N5" s="33" t="str">
        <f>Currency&amp;"/batch"</f>
        <v>GBP/batch</v>
      </c>
      <c r="O5" s="33" t="str">
        <f>Currency&amp;"/batch"</f>
        <v>GBP/batch</v>
      </c>
      <c r="P5" s="33" t="str">
        <f>Currency&amp;"/batch"</f>
        <v>GBP/batch</v>
      </c>
      <c r="Q5" s="33" t="str">
        <f>Currency&amp;"/batch"</f>
        <v>GBP/batch</v>
      </c>
      <c r="R5" s="33" t="str">
        <f>Currency&amp;"/kg"</f>
        <v>GBP/kg</v>
      </c>
      <c r="S5" s="33" t="str">
        <f>Currency&amp;"/pack"</f>
        <v>GBP/pack</v>
      </c>
      <c r="T5" s="33" t="s">
        <v>139</v>
      </c>
      <c r="U5" s="33" t="str">
        <f>Currency&amp;"/pack"</f>
        <v>GBP/pack</v>
      </c>
      <c r="V5" s="33"/>
      <c r="W5" s="33"/>
      <c r="X5" s="33"/>
    </row>
    <row r="6" spans="1:24" ht="32" customHeight="1">
      <c r="B6" s="34" t="s">
        <v>116</v>
      </c>
      <c r="C6" s="34" t="s">
        <v>117</v>
      </c>
      <c r="D6" s="34" t="s">
        <v>118</v>
      </c>
      <c r="E6" s="34" t="s">
        <v>119</v>
      </c>
      <c r="F6" s="34" t="s">
        <v>120</v>
      </c>
      <c r="G6" s="34" t="s">
        <v>121</v>
      </c>
      <c r="H6" s="34" t="s">
        <v>122</v>
      </c>
      <c r="I6" s="34" t="s">
        <v>123</v>
      </c>
      <c r="J6" s="34" t="s">
        <v>124</v>
      </c>
      <c r="K6" s="34" t="s">
        <v>125</v>
      </c>
      <c r="L6" s="34" t="s">
        <v>126</v>
      </c>
      <c r="M6" s="34" t="s">
        <v>127</v>
      </c>
      <c r="N6" s="34" t="s">
        <v>128</v>
      </c>
      <c r="O6" s="34" t="s">
        <v>129</v>
      </c>
      <c r="P6" s="34" t="s">
        <v>130</v>
      </c>
      <c r="Q6" s="34" t="s">
        <v>131</v>
      </c>
      <c r="R6" s="34" t="s">
        <v>132</v>
      </c>
      <c r="S6" s="34" t="s">
        <v>133</v>
      </c>
      <c r="T6" s="34" t="s">
        <v>134</v>
      </c>
      <c r="U6" s="34" t="s">
        <v>135</v>
      </c>
      <c r="V6" s="34" t="s">
        <v>136</v>
      </c>
      <c r="W6" s="34" t="s">
        <v>137</v>
      </c>
      <c r="X6" s="34" t="s">
        <v>69</v>
      </c>
    </row>
    <row r="7" spans="1:24">
      <c r="B7" s="28" t="s">
        <v>140</v>
      </c>
      <c r="C7" s="30">
        <v>0.9399999999999999</v>
      </c>
      <c r="D7" s="29">
        <v>2</v>
      </c>
      <c r="E7" s="37">
        <v>2</v>
      </c>
      <c r="F7" s="38">
        <v>0.5</v>
      </c>
      <c r="G7" s="29">
        <v>0.32</v>
      </c>
      <c r="H7" s="29">
        <v>2.05</v>
      </c>
      <c r="I7" s="37">
        <v>12</v>
      </c>
      <c r="J7" s="39">
        <f>IF(tblRecipes[[#This Row],[Recipe]]="","",SUMIFS(tblLines[Quantity (kg)],tblLines[Recipe],tblRecipes[[#This Row],[Recipe]]))</f>
        <v>400</v>
      </c>
      <c r="K7" s="40">
        <f>IF(tblRecipes[[#This Row],[Recipe]]="","",SUMIFS(tblLines[Line cost],tblLines[Recipe],tblRecipes[[#This Row],[Recipe]]))</f>
        <v>665.645</v>
      </c>
      <c r="L7" s="39">
        <f>IF(tblRecipes[[#This Row],[Recipe]]="","",tblRecipes[[#This Row],[Charged (kg)]]*tblRecipes[[#This Row],[Yield]])</f>
        <v>376</v>
      </c>
      <c r="M7" s="39">
        <f>IF(tblRecipes[[#This Row],[Recipe]]="","",IF(N(tblRecipes[[#This Row],[Pack size (kg)]])&gt;0,tblRecipes[[#This Row],[Saleable (kg)]]/tblRecipes[[#This Row],[Pack size (kg)]],""))</f>
        <v>752</v>
      </c>
      <c r="N7" s="40">
        <f>IF(tblRecipes[[#This Row],[Recipe]]="","",N(tblRecipes[[#This Row],[Batch time (h)]])*N(tblRecipes[[#This Row],[Crew]])*LabourRate)</f>
        <v>58</v>
      </c>
      <c r="O7" s="40">
        <f>IF(tblRecipes[[#This Row],[Recipe]]="","",N(tblRecipes[[#This Row],[Batch time (h)]])*OverheadRate)</f>
        <v>76</v>
      </c>
      <c r="P7" s="40">
        <f>IF(tblRecipes[[#This Row],[Recipe]]="","",IF(tblRecipes[[#This Row],[Packs per batch]]="","",tblRecipes[[#This Row],[Packs per batch]]*N(tblRecipes[[#This Row],[Packaging per pack]])))</f>
        <v>240.64</v>
      </c>
      <c r="Q7" s="40">
        <f>IF(tblRecipes[[#This Row],[Recipe]]="","",IF(tblRecipes[[#This Row],[Packaging]]="","",tblRecipes[[#This Row],[Material cost]]+tblRecipes[[#This Row],[Labour]]+tblRecipes[[#This Row],[Overhead]]+tblRecipes[[#This Row],[Packaging]]))</f>
        <v>1040.285</v>
      </c>
      <c r="R7" s="36">
        <f>IF(tblRecipes[[#This Row],[Recipe]]="","",IF(N(tblRecipes[[#This Row],[Saleable (kg)]])&gt;0,tblRecipes[[#This Row],[Batch cost]]/tblRecipes[[#This Row],[Saleable (kg)]],""))</f>
        <v>2.76671542553192</v>
      </c>
      <c r="S7" s="36">
        <f>IF(tblRecipes[[#This Row],[Recipe]]="","",IF(N(tblRecipes[[#This Row],[Packs per batch]])&gt;0,tblRecipes[[#This Row],[Batch cost]]/tblRecipes[[#This Row],[Packs per batch]],""))</f>
        <v>1.38335771276596</v>
      </c>
      <c r="T7" s="41">
        <f>IF(tblRecipes[[#This Row],[Recipe]]="","",IF(AND(N(tblRecipes[[#This Row],[Price per pack]])&gt;0,ISNUMBER(tblRecipes[[#This Row],[Cost per pack]])),(tblRecipes[[#This Row],[Price per pack]]-tblRecipes[[#This Row],[Cost per pack]])/tblRecipes[[#This Row],[Price per pack]],""))</f>
        <v>0.325191359626362</v>
      </c>
      <c r="U7" s="36">
        <f>IF(tblRecipes[[#This Row],[Recipe]]="","",IF(ISNUMBER(tblRecipes[[#This Row],[Cost per pack]]),tblRecipes[[#This Row],[Cost per pack]]/(1-TargetMargin),""))</f>
        <v>1.97622530395137</v>
      </c>
      <c r="V7" s="42" t="str">
        <f>IF(NOT(ISNUMBER(tblRecipes[[#This Row],[Gross margin]])),"",IF(tblRecipes[[#This Row],[Gross margin]]&gt;=TargetMargin,"On target",IF(tblRecipes[[#This Row],[Gross margin]]&gt;=TargetMargin*(1-0.05),"Near target","Below target")))</f>
        <v>On target</v>
      </c>
      <c r="W7" s="43" t="str">
        <f>IF(tblRecipes[[#This Row],[Recipe]]="","",IF(tblRecipes[[#This Row],[Yield]]="","Missing yield",IF(tblRecipes[[#This Row],[Batch time (h)]]="","Missing batch time",IF(tblRecipes[[#This Row],[Pack size (kg)]]="","Missing pack size",IF(tblRecipes[[#This Row],[Price per pack]]="","Missing price per pack",IF(tblRecipes[[#This Row],[Charged (kg)]]=0,"No lines on Recipe Lines",IF(COUNTIFS(tblRecipes[Recipe],tblRecipes[[#This Row],[Recipe]])&gt;1,"Duplicate recipe name",IF(AND(N(tblRecipes[[#This Row],[Price per pack]])&gt;0,N(tblRecipes[[#This Row],[Price per pack]])&lt;tblRecipes[[#This Row],[Cost per pack]]),"Price below cost","OK"))))))))</f>
        <v>OK</v>
      </c>
      <c r="X7" s="28" t="s">
        <v>85</v>
      </c>
    </row>
    <row r="8" spans="1:24">
      <c r="B8" s="28" t="s">
        <v>141</v>
      </c>
      <c r="C8" s="30">
        <v>0.95</v>
      </c>
      <c r="D8" s="29">
        <v>2.5</v>
      </c>
      <c r="E8" s="37">
        <v>2</v>
      </c>
      <c r="F8" s="38">
        <v>0.33</v>
      </c>
      <c r="G8" s="29">
        <v>0.28</v>
      </c>
      <c r="H8" s="29">
        <v>1.6</v>
      </c>
      <c r="I8" s="37">
        <v>8</v>
      </c>
      <c r="J8" s="39">
        <f>IF(tblRecipes[[#This Row],[Recipe]]="","",SUMIFS(tblLines[Quantity (kg)],tblLines[Recipe],tblRecipes[[#This Row],[Recipe]]))</f>
        <v>299.72155422</v>
      </c>
      <c r="K8" s="40">
        <f>IF(tblRecipes[[#This Row],[Recipe]]="","",SUMIFS(tblLines[Line cost],tblLines[Recipe],tblRecipes[[#This Row],[Recipe]]))</f>
        <v>448.5125</v>
      </c>
      <c r="L8" s="39">
        <f>IF(tblRecipes[[#This Row],[Recipe]]="","",tblRecipes[[#This Row],[Charged (kg)]]*tblRecipes[[#This Row],[Yield]])</f>
        <v>284.735476509</v>
      </c>
      <c r="M8" s="39">
        <f>IF(tblRecipes[[#This Row],[Recipe]]="","",IF(N(tblRecipes[[#This Row],[Pack size (kg)]])&gt;0,tblRecipes[[#This Row],[Saleable (kg)]]/tblRecipes[[#This Row],[Pack size (kg)]],""))</f>
        <v>862.8347773</v>
      </c>
      <c r="N8" s="40">
        <f>IF(tblRecipes[[#This Row],[Recipe]]="","",N(tblRecipes[[#This Row],[Batch time (h)]])*N(tblRecipes[[#This Row],[Crew]])*LabourRate)</f>
        <v>72.5</v>
      </c>
      <c r="O8" s="40">
        <f>IF(tblRecipes[[#This Row],[Recipe]]="","",N(tblRecipes[[#This Row],[Batch time (h)]])*OverheadRate)</f>
        <v>95</v>
      </c>
      <c r="P8" s="40">
        <f>IF(tblRecipes[[#This Row],[Recipe]]="","",IF(tblRecipes[[#This Row],[Packs per batch]]="","",tblRecipes[[#This Row],[Packs per batch]]*N(tblRecipes[[#This Row],[Packaging per pack]])))</f>
        <v>241.593737644</v>
      </c>
      <c r="Q8" s="40">
        <f>IF(tblRecipes[[#This Row],[Recipe]]="","",IF(tblRecipes[[#This Row],[Packaging]]="","",tblRecipes[[#This Row],[Material cost]]+tblRecipes[[#This Row],[Labour]]+tblRecipes[[#This Row],[Overhead]]+tblRecipes[[#This Row],[Packaging]]))</f>
        <v>857.606237644</v>
      </c>
      <c r="R8" s="36">
        <f>IF(tblRecipes[[#This Row],[Recipe]]="","",IF(N(tblRecipes[[#This Row],[Saleable (kg)]])&gt;0,tblRecipes[[#This Row],[Batch cost]]/tblRecipes[[#This Row],[Saleable (kg)]],""))</f>
        <v>3.01194023364662</v>
      </c>
      <c r="S8" s="36">
        <f>IF(tblRecipes[[#This Row],[Recipe]]="","",IF(N(tblRecipes[[#This Row],[Packs per batch]])&gt;0,tblRecipes[[#This Row],[Batch cost]]/tblRecipes[[#This Row],[Packs per batch]],""))</f>
        <v>0.993940277103386</v>
      </c>
      <c r="T8" s="41">
        <f>IF(tblRecipes[[#This Row],[Recipe]]="","",IF(AND(N(tblRecipes[[#This Row],[Price per pack]])&gt;0,ISNUMBER(tblRecipes[[#This Row],[Cost per pack]])),(tblRecipes[[#This Row],[Price per pack]]-tblRecipes[[#This Row],[Cost per pack]])/tblRecipes[[#This Row],[Price per pack]],""))</f>
        <v>0.378787326810384</v>
      </c>
      <c r="U8" s="36">
        <f>IF(tblRecipes[[#This Row],[Recipe]]="","",IF(ISNUMBER(tblRecipes[[#This Row],[Cost per pack]]),tblRecipes[[#This Row],[Cost per pack]]/(1-TargetMargin),""))</f>
        <v>1.41991468157627</v>
      </c>
      <c r="V8" s="42" t="str">
        <f>IF(NOT(ISNUMBER(tblRecipes[[#This Row],[Gross margin]])),"",IF(tblRecipes[[#This Row],[Gross margin]]&gt;=TargetMargin,"On target",IF(tblRecipes[[#This Row],[Gross margin]]&gt;=TargetMargin*(1-0.05),"Near target","Below target")))</f>
        <v>On target</v>
      </c>
      <c r="W8" s="43" t="str">
        <f>IF(tblRecipes[[#This Row],[Recipe]]="","",IF(tblRecipes[[#This Row],[Yield]]="","Missing yield",IF(tblRecipes[[#This Row],[Batch time (h)]]="","Missing batch time",IF(tblRecipes[[#This Row],[Pack size (kg)]]="","Missing pack size",IF(tblRecipes[[#This Row],[Price per pack]]="","Missing price per pack",IF(tblRecipes[[#This Row],[Charged (kg)]]=0,"No lines on Recipe Lines",IF(COUNTIFS(tblRecipes[Recipe],tblRecipes[[#This Row],[Recipe]])&gt;1,"Duplicate recipe name",IF(AND(N(tblRecipes[[#This Row],[Price per pack]])&gt;0,N(tblRecipes[[#This Row],[Price per pack]])&lt;tblRecipes[[#This Row],[Cost per pack]]),"Price below cost","OK"))))))))</f>
        <v>OK</v>
      </c>
      <c r="X8" s="28" t="s">
        <v>85</v>
      </c>
    </row>
    <row r="9" spans="1:24">
      <c r="B9" s="28" t="s">
        <v>142</v>
      </c>
      <c r="C9" s="30">
        <v>0.96</v>
      </c>
      <c r="D9" s="29">
        <v>2</v>
      </c>
      <c r="E9" s="37">
        <v>2</v>
      </c>
      <c r="F9" s="38">
        <v>0.25</v>
      </c>
      <c r="G9" s="29">
        <v>0.26</v>
      </c>
      <c r="H9" s="29">
        <v>1.85</v>
      </c>
      <c r="I9" s="37">
        <v>6</v>
      </c>
      <c r="J9" s="39">
        <f>IF(tblRecipes[[#This Row],[Recipe]]="","",SUMIFS(tblLines[Quantity (kg)],tblLines[Recipe],tblRecipes[[#This Row],[Recipe]]))</f>
        <v>199.4077711</v>
      </c>
      <c r="K9" s="40">
        <f>IF(tblRecipes[[#This Row],[Recipe]]="","",SUMIFS(tblLines[Line cost],tblLines[Recipe],tblRecipes[[#This Row],[Recipe]]))</f>
        <v>684.87</v>
      </c>
      <c r="L9" s="39">
        <f>IF(tblRecipes[[#This Row],[Recipe]]="","",tblRecipes[[#This Row],[Charged (kg)]]*tblRecipes[[#This Row],[Yield]])</f>
        <v>191.431460256</v>
      </c>
      <c r="M9" s="39">
        <f>IF(tblRecipes[[#This Row],[Recipe]]="","",IF(N(tblRecipes[[#This Row],[Pack size (kg)]])&gt;0,tblRecipes[[#This Row],[Saleable (kg)]]/tblRecipes[[#This Row],[Pack size (kg)]],""))</f>
        <v>765.725841024</v>
      </c>
      <c r="N9" s="40">
        <f>IF(tblRecipes[[#This Row],[Recipe]]="","",N(tblRecipes[[#This Row],[Batch time (h)]])*N(tblRecipes[[#This Row],[Crew]])*LabourRate)</f>
        <v>58</v>
      </c>
      <c r="O9" s="40">
        <f>IF(tblRecipes[[#This Row],[Recipe]]="","",N(tblRecipes[[#This Row],[Batch time (h)]])*OverheadRate)</f>
        <v>76</v>
      </c>
      <c r="P9" s="40">
        <f>IF(tblRecipes[[#This Row],[Recipe]]="","",IF(tblRecipes[[#This Row],[Packs per batch]]="","",tblRecipes[[#This Row],[Packs per batch]]*N(tblRecipes[[#This Row],[Packaging per pack]])))</f>
        <v>199.08871866624</v>
      </c>
      <c r="Q9" s="40">
        <f>IF(tblRecipes[[#This Row],[Recipe]]="","",IF(tblRecipes[[#This Row],[Packaging]]="","",tblRecipes[[#This Row],[Material cost]]+tblRecipes[[#This Row],[Labour]]+tblRecipes[[#This Row],[Overhead]]+tblRecipes[[#This Row],[Packaging]]))</f>
        <v>1017.95871866624</v>
      </c>
      <c r="R9" s="36">
        <f>IF(tblRecipes[[#This Row],[Recipe]]="","",IF(N(tblRecipes[[#This Row],[Saleable (kg)]])&gt;0,tblRecipes[[#This Row],[Batch cost]]/tblRecipes[[#This Row],[Saleable (kg)]],""))</f>
        <v>5.31761455146887</v>
      </c>
      <c r="S9" s="36">
        <f>IF(tblRecipes[[#This Row],[Recipe]]="","",IF(N(tblRecipes[[#This Row],[Packs per batch]])&gt;0,tblRecipes[[#This Row],[Batch cost]]/tblRecipes[[#This Row],[Packs per batch]],""))</f>
        <v>1.32940363786722</v>
      </c>
      <c r="T9" s="41">
        <f>IF(tblRecipes[[#This Row],[Recipe]]="","",IF(AND(N(tblRecipes[[#This Row],[Price per pack]])&gt;0,ISNUMBER(tblRecipes[[#This Row],[Cost per pack]])),(tblRecipes[[#This Row],[Price per pack]]-tblRecipes[[#This Row],[Cost per pack]])/tblRecipes[[#This Row],[Price per pack]],""))</f>
        <v>0.281403438990693</v>
      </c>
      <c r="U9" s="36">
        <f>IF(tblRecipes[[#This Row],[Recipe]]="","",IF(ISNUMBER(tblRecipes[[#This Row],[Cost per pack]]),tblRecipes[[#This Row],[Cost per pack]]/(1-TargetMargin),""))</f>
        <v>1.89914805409603</v>
      </c>
      <c r="V9" s="42" t="str">
        <f>IF(NOT(ISNUMBER(tblRecipes[[#This Row],[Gross margin]])),"",IF(tblRecipes[[#This Row],[Gross margin]]&gt;=TargetMargin,"On target",IF(tblRecipes[[#This Row],[Gross margin]]&gt;=TargetMargin*(1-0.05),"Near target","Below target")))</f>
        <v>Below target</v>
      </c>
      <c r="W9" s="43" t="str">
        <f>IF(tblRecipes[[#This Row],[Recipe]]="","",IF(tblRecipes[[#This Row],[Yield]]="","Missing yield",IF(tblRecipes[[#This Row],[Batch time (h)]]="","Missing batch time",IF(tblRecipes[[#This Row],[Pack size (kg)]]="","Missing pack size",IF(tblRecipes[[#This Row],[Price per pack]]="","Missing price per pack",IF(tblRecipes[[#This Row],[Charged (kg)]]=0,"No lines on Recipe Lines",IF(COUNTIFS(tblRecipes[Recipe],tblRecipes[[#This Row],[Recipe]])&gt;1,"Duplicate recipe name",IF(AND(N(tblRecipes[[#This Row],[Price per pack]])&gt;0,N(tblRecipes[[#This Row],[Price per pack]])&lt;tblRecipes[[#This Row],[Cost per pack]]),"Price below cost","OK"))))))))</f>
        <v>OK</v>
      </c>
      <c r="X9" s="28" t="s">
        <v>143</v>
      </c>
    </row>
    <row r="10" spans="1:24">
      <c r="B10" s="28" t="s">
        <v>144</v>
      </c>
      <c r="C10" s="30">
        <v>0.9</v>
      </c>
      <c r="D10" s="29">
        <v>3</v>
      </c>
      <c r="E10" s="37">
        <v>2</v>
      </c>
      <c r="F10" s="38">
        <v>0.29</v>
      </c>
      <c r="G10" s="29">
        <v>0.24</v>
      </c>
      <c r="H10" s="29">
        <v>1.35</v>
      </c>
      <c r="I10" s="37">
        <v>6</v>
      </c>
      <c r="J10" s="39">
        <f>IF(tblRecipes[[#This Row],[Recipe]]="","",SUMIFS(tblLines[Quantity (kg)],tblLines[Recipe],tblRecipes[[#This Row],[Recipe]]))</f>
        <v>300.2</v>
      </c>
      <c r="K10" s="40">
        <f>IF(tblRecipes[[#This Row],[Recipe]]="","",SUMIFS(tblLines[Line cost],tblLines[Recipe],tblRecipes[[#This Row],[Recipe]]))</f>
        <v>293.8125</v>
      </c>
      <c r="L10" s="39">
        <f>IF(tblRecipes[[#This Row],[Recipe]]="","",tblRecipes[[#This Row],[Charged (kg)]]*tblRecipes[[#This Row],[Yield]])</f>
        <v>270.18</v>
      </c>
      <c r="M10" s="39">
        <f>IF(tblRecipes[[#This Row],[Recipe]]="","",IF(N(tblRecipes[[#This Row],[Pack size (kg)]])&gt;0,tblRecipes[[#This Row],[Saleable (kg)]]/tblRecipes[[#This Row],[Pack size (kg)]],""))</f>
        <v>931.655172413793</v>
      </c>
      <c r="N10" s="40">
        <f>IF(tblRecipes[[#This Row],[Recipe]]="","",N(tblRecipes[[#This Row],[Batch time (h)]])*N(tblRecipes[[#This Row],[Crew]])*LabourRate)</f>
        <v>87</v>
      </c>
      <c r="O10" s="40">
        <f>IF(tblRecipes[[#This Row],[Recipe]]="","",N(tblRecipes[[#This Row],[Batch time (h)]])*OverheadRate)</f>
        <v>114</v>
      </c>
      <c r="P10" s="40">
        <f>IF(tblRecipes[[#This Row],[Recipe]]="","",IF(tblRecipes[[#This Row],[Packs per batch]]="","",tblRecipes[[#This Row],[Packs per batch]]*N(tblRecipes[[#This Row],[Packaging per pack]])))</f>
        <v>223.59724137931</v>
      </c>
      <c r="Q10" s="40">
        <f>IF(tblRecipes[[#This Row],[Recipe]]="","",IF(tblRecipes[[#This Row],[Packaging]]="","",tblRecipes[[#This Row],[Material cost]]+tblRecipes[[#This Row],[Labour]]+tblRecipes[[#This Row],[Overhead]]+tblRecipes[[#This Row],[Packaging]]))</f>
        <v>718.40974137931</v>
      </c>
      <c r="R10" s="36">
        <f>IF(tblRecipes[[#This Row],[Recipe]]="","",IF(N(tblRecipes[[#This Row],[Saleable (kg)]])&gt;0,tblRecipes[[#This Row],[Batch cost]]/tblRecipes[[#This Row],[Saleable (kg)]],""))</f>
        <v>2.65900415048971</v>
      </c>
      <c r="S10" s="36">
        <f>IF(tblRecipes[[#This Row],[Recipe]]="","",IF(N(tblRecipes[[#This Row],[Packs per batch]])&gt;0,tblRecipes[[#This Row],[Batch cost]]/tblRecipes[[#This Row],[Packs per batch]],""))</f>
        <v>0.771111203642017</v>
      </c>
      <c r="T10" s="41">
        <f>IF(tblRecipes[[#This Row],[Recipe]]="","",IF(AND(N(tblRecipes[[#This Row],[Price per pack]])&gt;0,ISNUMBER(tblRecipes[[#This Row],[Cost per pack]])),(tblRecipes[[#This Row],[Price per pack]]-tblRecipes[[#This Row],[Cost per pack]])/tblRecipes[[#This Row],[Price per pack]],""))</f>
        <v>0.428806515820729</v>
      </c>
      <c r="U10" s="36">
        <f>IF(tblRecipes[[#This Row],[Recipe]]="","",IF(ISNUMBER(tblRecipes[[#This Row],[Cost per pack]]),tblRecipes[[#This Row],[Cost per pack]]/(1-TargetMargin),""))</f>
        <v>1.10158743377431</v>
      </c>
      <c r="V10" s="42" t="str">
        <f>IF(NOT(ISNUMBER(tblRecipes[[#This Row],[Gross margin]])),"",IF(tblRecipes[[#This Row],[Gross margin]]&gt;=TargetMargin,"On target",IF(tblRecipes[[#This Row],[Gross margin]]&gt;=TargetMargin*(1-0.05),"Near target","Below target")))</f>
        <v>On target</v>
      </c>
      <c r="W10" s="43" t="str">
        <f>IF(tblRecipes[[#This Row],[Recipe]]="","",IF(tblRecipes[[#This Row],[Yield]]="","Missing yield",IF(tblRecipes[[#This Row],[Batch time (h)]]="","Missing batch time",IF(tblRecipes[[#This Row],[Pack size (kg)]]="","Missing pack size",IF(tblRecipes[[#This Row],[Price per pack]]="","Missing price per pack",IF(tblRecipes[[#This Row],[Charged (kg)]]=0,"No lines on Recipe Lines",IF(COUNTIFS(tblRecipes[Recipe],tblRecipes[[#This Row],[Recipe]])&gt;1,"Duplicate recipe name",IF(AND(N(tblRecipes[[#This Row],[Price per pack]])&gt;0,N(tblRecipes[[#This Row],[Price per pack]])&lt;tblRecipes[[#This Row],[Cost per pack]]),"Price below cost","OK"))))))))</f>
        <v>OK</v>
      </c>
      <c r="X10" s="28" t="s">
        <v>85</v>
      </c>
    </row>
    <row r="11" spans="1:24">
      <c r="B11" s="28" t="s">
        <v>145</v>
      </c>
      <c r="C11" s="30">
        <v>0.82</v>
      </c>
      <c r="D11" s="29">
        <v>3.5</v>
      </c>
      <c r="E11" s="37">
        <v>2</v>
      </c>
      <c r="F11" s="38">
        <v>0.34</v>
      </c>
      <c r="G11" s="29">
        <v>0.3</v>
      </c>
      <c r="H11" s="29">
        <v>2.15</v>
      </c>
      <c r="I11" s="37">
        <v>4</v>
      </c>
      <c r="J11" s="39">
        <f>IF(tblRecipes[[#This Row],[Recipe]]="","",SUMIFS(tblLines[Quantity (kg)],tblLines[Recipe],tblRecipes[[#This Row],[Recipe]]))</f>
        <v>252</v>
      </c>
      <c r="K11" s="40">
        <f>IF(tblRecipes[[#This Row],[Recipe]]="","",SUMIFS(tblLines[Line cost],tblLines[Recipe],tblRecipes[[#This Row],[Recipe]]))</f>
        <v>509.1</v>
      </c>
      <c r="L11" s="39">
        <f>IF(tblRecipes[[#This Row],[Recipe]]="","",tblRecipes[[#This Row],[Charged (kg)]]*tblRecipes[[#This Row],[Yield]])</f>
        <v>206.64</v>
      </c>
      <c r="M11" s="39">
        <f>IF(tblRecipes[[#This Row],[Recipe]]="","",IF(N(tblRecipes[[#This Row],[Pack size (kg)]])&gt;0,tblRecipes[[#This Row],[Saleable (kg)]]/tblRecipes[[#This Row],[Pack size (kg)]],""))</f>
        <v>607.764705882353</v>
      </c>
      <c r="N11" s="40">
        <f>IF(tblRecipes[[#This Row],[Recipe]]="","",N(tblRecipes[[#This Row],[Batch time (h)]])*N(tblRecipes[[#This Row],[Crew]])*LabourRate)</f>
        <v>101.5</v>
      </c>
      <c r="O11" s="40">
        <f>IF(tblRecipes[[#This Row],[Recipe]]="","",N(tblRecipes[[#This Row],[Batch time (h)]])*OverheadRate)</f>
        <v>133</v>
      </c>
      <c r="P11" s="40">
        <f>IF(tblRecipes[[#This Row],[Recipe]]="","",IF(tblRecipes[[#This Row],[Packs per batch]]="","",tblRecipes[[#This Row],[Packs per batch]]*N(tblRecipes[[#This Row],[Packaging per pack]])))</f>
        <v>182.329411764706</v>
      </c>
      <c r="Q11" s="40">
        <f>IF(tblRecipes[[#This Row],[Recipe]]="","",IF(tblRecipes[[#This Row],[Packaging]]="","",tblRecipes[[#This Row],[Material cost]]+tblRecipes[[#This Row],[Labour]]+tblRecipes[[#This Row],[Overhead]]+tblRecipes[[#This Row],[Packaging]]))</f>
        <v>925.929411764706</v>
      </c>
      <c r="R11" s="36">
        <f>IF(tblRecipes[[#This Row],[Recipe]]="","",IF(N(tblRecipes[[#This Row],[Saleable (kg)]])&gt;0,tblRecipes[[#This Row],[Batch cost]]/tblRecipes[[#This Row],[Saleable (kg)]],""))</f>
        <v>4.48088178360775</v>
      </c>
      <c r="S11" s="36">
        <f>IF(tblRecipes[[#This Row],[Recipe]]="","",IF(N(tblRecipes[[#This Row],[Packs per batch]])&gt;0,tblRecipes[[#This Row],[Batch cost]]/tblRecipes[[#This Row],[Packs per batch]],""))</f>
        <v>1.52349980642664</v>
      </c>
      <c r="T11" s="41">
        <f>IF(tblRecipes[[#This Row],[Recipe]]="","",IF(AND(N(tblRecipes[[#This Row],[Price per pack]])&gt;0,ISNUMBER(tblRecipes[[#This Row],[Cost per pack]])),(tblRecipes[[#This Row],[Price per pack]]-tblRecipes[[#This Row],[Cost per pack]])/tblRecipes[[#This Row],[Price per pack]],""))</f>
        <v>0.291395438871332</v>
      </c>
      <c r="U11" s="36">
        <f>IF(tblRecipes[[#This Row],[Recipe]]="","",IF(ISNUMBER(tblRecipes[[#This Row],[Cost per pack]]),tblRecipes[[#This Row],[Cost per pack]]/(1-TargetMargin),""))</f>
        <v>2.17642829489519</v>
      </c>
      <c r="V11" s="42" t="str">
        <f>IF(NOT(ISNUMBER(tblRecipes[[#This Row],[Gross margin]])),"",IF(tblRecipes[[#This Row],[Gross margin]]&gt;=TargetMargin,"On target",IF(tblRecipes[[#This Row],[Gross margin]]&gt;=TargetMargin*(1-0.05),"Near target","Below target")))</f>
        <v>Near target</v>
      </c>
      <c r="W11" s="43" t="str">
        <f>IF(tblRecipes[[#This Row],[Recipe]]="","",IF(tblRecipes[[#This Row],[Yield]]="","Missing yield",IF(tblRecipes[[#This Row],[Batch time (h)]]="","Missing batch time",IF(tblRecipes[[#This Row],[Pack size (kg)]]="","Missing pack size",IF(tblRecipes[[#This Row],[Price per pack]]="","Missing price per pack",IF(tblRecipes[[#This Row],[Charged (kg)]]=0,"No lines on Recipe Lines",IF(COUNTIFS(tblRecipes[Recipe],tblRecipes[[#This Row],[Recipe]])&gt;1,"Duplicate recipe name",IF(AND(N(tblRecipes[[#This Row],[Price per pack]])&gt;0,N(tblRecipes[[#This Row],[Price per pack]])&lt;tblRecipes[[#This Row],[Cost per pack]]),"Price below cost","OK"))))))))</f>
        <v>OK</v>
      </c>
      <c r="X11" s="28" t="s">
        <v>146</v>
      </c>
    </row>
    <row r="12" spans="1:24">
      <c r="B12" s="28" t="s">
        <v>147</v>
      </c>
      <c r="C12" s="30">
        <v>0.96</v>
      </c>
      <c r="D12" s="29">
        <v>1.5</v>
      </c>
      <c r="E12" s="37">
        <v>2</v>
      </c>
      <c r="F12" s="38">
        <v>0.25</v>
      </c>
      <c r="G12" s="29">
        <v>0.26</v>
      </c>
      <c r="H12" s="29">
        <v>1.95</v>
      </c>
      <c r="I12" s="37">
        <v>5</v>
      </c>
      <c r="J12" s="39">
        <f>IF(tblRecipes[[#This Row],[Recipe]]="","",SUMIFS(tblLines[Quantity (kg)],tblLines[Recipe],tblRecipes[[#This Row],[Recipe]]))</f>
        <v>150</v>
      </c>
      <c r="K12" s="40">
        <f>IF(tblRecipes[[#This Row],[Recipe]]="","",SUMIFS(tblLines[Line cost],tblLines[Recipe],tblRecipes[[#This Row],[Recipe]]))</f>
        <v>431.91</v>
      </c>
      <c r="L12" s="39">
        <f>IF(tblRecipes[[#This Row],[Recipe]]="","",tblRecipes[[#This Row],[Charged (kg)]]*tblRecipes[[#This Row],[Yield]])</f>
        <v>144</v>
      </c>
      <c r="M12" s="39">
        <f>IF(tblRecipes[[#This Row],[Recipe]]="","",IF(N(tblRecipes[[#This Row],[Pack size (kg)]])&gt;0,tblRecipes[[#This Row],[Saleable (kg)]]/tblRecipes[[#This Row],[Pack size (kg)]],""))</f>
        <v>576</v>
      </c>
      <c r="N12" s="40">
        <f>IF(tblRecipes[[#This Row],[Recipe]]="","",N(tblRecipes[[#This Row],[Batch time (h)]])*N(tblRecipes[[#This Row],[Crew]])*LabourRate)</f>
        <v>43.5</v>
      </c>
      <c r="O12" s="40">
        <f>IF(tblRecipes[[#This Row],[Recipe]]="","",N(tblRecipes[[#This Row],[Batch time (h)]])*OverheadRate)</f>
        <v>57</v>
      </c>
      <c r="P12" s="40">
        <f>IF(tblRecipes[[#This Row],[Recipe]]="","",IF(tblRecipes[[#This Row],[Packs per batch]]="","",tblRecipes[[#This Row],[Packs per batch]]*N(tblRecipes[[#This Row],[Packaging per pack]])))</f>
        <v>149.76</v>
      </c>
      <c r="Q12" s="40">
        <f>IF(tblRecipes[[#This Row],[Recipe]]="","",IF(tblRecipes[[#This Row],[Packaging]]="","",tblRecipes[[#This Row],[Material cost]]+tblRecipes[[#This Row],[Labour]]+tblRecipes[[#This Row],[Overhead]]+tblRecipes[[#This Row],[Packaging]]))</f>
        <v>682.17</v>
      </c>
      <c r="R12" s="36">
        <f>IF(tblRecipes[[#This Row],[Recipe]]="","",IF(N(tblRecipes[[#This Row],[Saleable (kg)]])&gt;0,tblRecipes[[#This Row],[Batch cost]]/tblRecipes[[#This Row],[Saleable (kg)]],""))</f>
        <v>4.73729166666667</v>
      </c>
      <c r="S12" s="36">
        <f>IF(tblRecipes[[#This Row],[Recipe]]="","",IF(N(tblRecipes[[#This Row],[Packs per batch]])&gt;0,tblRecipes[[#This Row],[Batch cost]]/tblRecipes[[#This Row],[Packs per batch]],""))</f>
        <v>1.18432291666667</v>
      </c>
      <c r="T12" s="41">
        <f>IF(tblRecipes[[#This Row],[Recipe]]="","",IF(AND(N(tblRecipes[[#This Row],[Price per pack]])&gt;0,ISNUMBER(tblRecipes[[#This Row],[Cost per pack]])),(tblRecipes[[#This Row],[Price per pack]]-tblRecipes[[#This Row],[Cost per pack]])/tblRecipes[[#This Row],[Price per pack]],""))</f>
        <v>0.392654914529914</v>
      </c>
      <c r="U12" s="36">
        <f>IF(tblRecipes[[#This Row],[Recipe]]="","",IF(ISNUMBER(tblRecipes[[#This Row],[Cost per pack]]),tblRecipes[[#This Row],[Cost per pack]]/(1-TargetMargin),""))</f>
        <v>1.69188988095238</v>
      </c>
      <c r="V12" s="42" t="str">
        <f>IF(NOT(ISNUMBER(tblRecipes[[#This Row],[Gross margin]])),"",IF(tblRecipes[[#This Row],[Gross margin]]&gt;=TargetMargin,"On target",IF(tblRecipes[[#This Row],[Gross margin]]&gt;=TargetMargin*(1-0.05),"Near target","Below target")))</f>
        <v>On target</v>
      </c>
      <c r="W12" s="43" t="str">
        <f>IF(tblRecipes[[#This Row],[Recipe]]="","",IF(tblRecipes[[#This Row],[Yield]]="","Missing yield",IF(tblRecipes[[#This Row],[Batch time (h)]]="","Missing batch time",IF(tblRecipes[[#This Row],[Pack size (kg)]]="","Missing pack size",IF(tblRecipes[[#This Row],[Price per pack]]="","Missing price per pack",IF(tblRecipes[[#This Row],[Charged (kg)]]=0,"No lines on Recipe Lines",IF(COUNTIFS(tblRecipes[Recipe],tblRecipes[[#This Row],[Recipe]])&gt;1,"Duplicate recipe name",IF(AND(N(tblRecipes[[#This Row],[Price per pack]])&gt;0,N(tblRecipes[[#This Row],[Price per pack]])&lt;tblRecipes[[#This Row],[Cost per pack]]),"Price below cost","OK"))))))))</f>
        <v>OK</v>
      </c>
      <c r="X12" s="28" t="s">
        <v>85</v>
      </c>
    </row>
  </sheetData>
  <mergeCells count="3">
    <mergeCell ref="A1:X1"/>
    <mergeCell ref="B2:W2"/>
    <mergeCell ref="B4:X4"/>
  </mergeCells>
  <conditionalFormatting sqref="T7:T512">
    <cfRule type="expression" dxfId="3" priority="1" stopIfTrue="1">
      <formula>AND(ISNUMBER(T7),T7&gt;=(TargetMargin))</formula>
    </cfRule>
    <cfRule type="expression" dxfId="4" priority="2" stopIfTrue="1">
      <formula>AND(ISNUMBER(T7),T7&gt;=(TargetMargin)*(1-0.05))</formula>
    </cfRule>
    <cfRule type="expression" dxfId="5" priority="3">
      <formula>ISNUMBER(T7)</formula>
    </cfRule>
  </conditionalFormatting>
  <conditionalFormatting sqref="V7:V512">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W7:W512">
    <cfRule type="expression" dxfId="3" priority="24">
      <formula>$W7="OK"</formula>
    </cfRule>
    <cfRule type="expression" dxfId="1" priority="25">
      <formula>AND($W7&lt;&gt;"",$W7&lt;&gt;"OK")</formula>
    </cfRule>
  </conditionalFormatting>
  <dataValidations count="9">
    <dataValidation type="textLength" allowBlank="1" showInputMessage="1" showErrorMessage="1" errorTitle="Check this entry" error="Text up to 40 characters." promptTitle="Recipe" prompt="Text up to 40 characters." sqref="B7:B512">
      <formula1>0</formula1>
      <formula2>40</formula2>
    </dataValidation>
    <dataValidation type="decimal" allowBlank="1" showInputMessage="1" showErrorMessage="1" errorTitle="Check this entry" error="Enter a percentage from 1% to 100% (type 85% or 0.85)." promptTitle="Yield" prompt="Saleable mass / charged mass: what is left after cooking, evaporation, transfer and filling losses. Enter a percentage from 1% to 100% (type 85% or 0.85)." sqref="C7:C512">
      <formula1>0.01</formula1>
      <formula2>1</formula2>
    </dataValidation>
    <dataValidation type="decimal" allowBlank="1" showInputMessage="1" showErrorMessage="1" errorTitle="Check this entry" error="Enter a number from 0 to 1,000." promptTitle="Batch time (h)" prompt="Hours from weighing to the end of filling, the time labour and overhead are charged for. Enter a number from 0 to 1,000." sqref="D7:D512">
      <formula1>0</formula1>
      <formula2>1000</formula2>
    </dataValidation>
    <dataValidation type="decimal" allowBlank="1" showInputMessage="1" showErrorMessage="1" errorTitle="Check this entry" error="Enter a number from 0 to 100." promptTitle="Crew" prompt="People working on the batch for the whole batch time. Enter a number from 0 to 100." sqref="E7:E512">
      <formula1>0</formula1>
      <formula2>100</formula2>
    </dataValidation>
    <dataValidation type="decimal" allowBlank="1" showInputMessage="1" showErrorMessage="1" errorTitle="Check this entry" error="Enter a number from 0.001 to 10,000." promptTitle="Pack size (kg)" prompt="Net contents of one pack (jar, bottle, pail) in kg. Enter a number from 0.001 to 10,000." sqref="F7:F512">
      <formula1>0.001</formula1>
      <formula2>10000</formula2>
    </dataValidation>
    <dataValidation type="decimal" allowBlank="1" showInputMessage="1" showErrorMessage="1" errorTitle="Check this entry" error="Enter a number from 0 to 100,000." promptTitle="Packaging per pack" prompt="Jar or bottle, lid, label and share of the case and pallet for one pack. Enter a number from 0 to 100,000." sqref="G7:G512">
      <formula1>0</formula1>
      <formula2>100000.0</formula2>
    </dataValidation>
    <dataValidation type="decimal" allowBlank="1" showInputMessage="1" showErrorMessage="1" errorTitle="Check this entry" error="Enter a number from 0 to 1,000,000." promptTitle="Price per pack" prompt="Net selling price per pack after discounts and rebates. Enter a number from 0 to 1,000,000." sqref="H7:H512">
      <formula1>0</formula1>
      <formula2>1000000.0</formula2>
    </dataValidation>
    <dataValidation type="decimal" allowBlank="1" showInputMessage="1" showErrorMessage="1" errorTitle="Check this entry" error="Enter a number from 0 to 10,000." promptTitle="Batches per month" prompt="Planned batches per month: weights the Dashboard's margin, profit and spend. Enter a number from 0 to 10,000." sqref="I7:I512">
      <formula1>0</formula1>
      <formula2>10000</formula2>
    </dataValidation>
    <dataValidation type="textLength" allowBlank="1" showInputMessage="1" showErrorMessage="1" errorTitle="Check this entry" error="Text up to 255 characters." promptTitle="Notes" prompt="Text up to 255 characters." sqref="X7:X512">
      <formula1>0</formula1>
      <formula2>255</formula2>
    </dataValidation>
  </dataValidations>
  <hyperlinks>
    <hyperlink ref="X2" r:id="rId1" tooltip="Free manufacturing calculators and templates"/>
  </hyperlinks>
  <pageMargins left="0.4" right="0.4" top="0.7" bottom="0.65" header="0.3" footer="0.3"/>
  <pageSetup fitToHeight="0" orientation="landscape"/>
  <headerFooter>
    <oddHeader>&amp;L&amp;8MFG Calcs - Recipe and Batch Costing&amp;R&amp;8&amp;A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M54"/>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3" width="20.7109375" customWidth="1"/>
    <col min="4" max="4" width="9.7109375" customWidth="1"/>
    <col min="5" max="5" width="7.28515625" customWidth="1"/>
    <col min="6" max="6" width="10.28515625" customWidth="1"/>
    <col min="7" max="8" width="9.7109375" customWidth="1"/>
    <col min="9" max="10" width="9.28515625" customWidth="1"/>
    <col min="11" max="11" width="10.28515625" customWidth="1"/>
    <col min="12" max="12" width="26.7109375" customWidth="1"/>
    <col min="13" max="13" width="24.7109375" customWidth="1"/>
  </cols>
  <sheetData>
    <row r="1" spans="1:13" ht="30" customHeight="1" x14ac:dyDescent="0.25">
      <c r="A1" s="1" t="s">
        <v>0</v>
      </c>
      <c r="B1" s="1"/>
      <c r="C1" s="1"/>
      <c r="D1" s="1"/>
      <c r="E1" s="1"/>
      <c r="F1" s="1"/>
      <c r="G1" s="1"/>
      <c r="H1" s="1"/>
      <c r="I1" s="1"/>
      <c r="J1" s="1"/>
      <c r="K1" s="1"/>
      <c r="L1" s="1"/>
      <c r="M1" s="1"/>
    </row>
    <row r="2" spans="1:13" ht="21" customHeight="1" x14ac:dyDescent="0.25">
      <c r="B2" s="2" t="s">
        <v>24</v>
      </c>
      <c r="C2" s="2"/>
      <c r="D2" s="2"/>
      <c r="E2" s="2"/>
      <c r="F2" s="2"/>
      <c r="G2" s="2"/>
      <c r="H2" s="2"/>
      <c r="I2" s="2"/>
      <c r="J2" s="2"/>
      <c r="K2" s="2"/>
      <c r="L2" s="2"/>
      <c r="M2" s="3" t="s">
        <v>2</v>
      </c>
    </row>
    <row r="3" spans="1:13" ht="6" customHeight="1" x14ac:dyDescent="0.25"/>
    <row r="4" spans="1:13" ht="18" customHeight="1" x14ac:dyDescent="0.25">
      <c r="B4" s="32" t="s">
        <v>155</v>
      </c>
      <c r="C4" s="32"/>
      <c r="D4" s="32"/>
      <c r="E4" s="32"/>
      <c r="F4" s="32"/>
      <c r="G4" s="32"/>
      <c r="H4" s="32"/>
      <c r="I4" s="32"/>
      <c r="J4" s="32"/>
      <c r="K4" s="32"/>
      <c r="L4" s="32"/>
      <c r="M4" s="32"/>
    </row>
    <row r="5" spans="1:13" ht="14" customHeight="1" x14ac:dyDescent="0.25">
      <c r="B5" s="33"/>
      <c r="C5" s="33"/>
      <c r="D5" s="33"/>
      <c r="E5" s="33"/>
      <c r="F5" s="33"/>
      <c r="G5" s="33" t="str">
        <f>Currency&amp;"/kg"</f>
        <v>GBP/kg</v>
      </c>
      <c r="H5" s="33" t="str">
        <f>Currency&amp;"/batch"</f>
        <v>GBP/batch</v>
      </c>
      <c r="I5" s="33" t="s">
        <v>139</v>
      </c>
      <c r="J5" s="33" t="s">
        <v>139</v>
      </c>
      <c r="K5" s="33" t="str">
        <f>Currency&amp;"/month"</f>
        <v>GBP/month</v>
      </c>
      <c r="L5" s="33"/>
      <c r="M5" s="33"/>
    </row>
    <row r="6" spans="1:13" ht="32" customHeight="1" x14ac:dyDescent="0.25">
      <c r="B6" s="34" t="s">
        <v>116</v>
      </c>
      <c r="C6" s="34" t="s">
        <v>64</v>
      </c>
      <c r="D6" s="34" t="s">
        <v>148</v>
      </c>
      <c r="E6" s="34" t="s">
        <v>149</v>
      </c>
      <c r="F6" s="34" t="s">
        <v>150</v>
      </c>
      <c r="G6" s="34" t="s">
        <v>68</v>
      </c>
      <c r="H6" s="34" t="s">
        <v>151</v>
      </c>
      <c r="I6" s="34" t="s">
        <v>152</v>
      </c>
      <c r="J6" s="34" t="s">
        <v>153</v>
      </c>
      <c r="K6" s="34" t="s">
        <v>154</v>
      </c>
      <c r="L6" s="34" t="s">
        <v>137</v>
      </c>
      <c r="M6" s="34" t="s">
        <v>69</v>
      </c>
    </row>
    <row r="7" spans="1:13" x14ac:dyDescent="0.25">
      <c r="B7" s="28" t="s">
        <v>140</v>
      </c>
      <c r="C7" s="28" t="s">
        <v>82</v>
      </c>
      <c r="D7" s="29">
        <v>260</v>
      </c>
      <c r="E7" s="28" t="s">
        <v>84</v>
      </c>
      <c r="F7" s="44">
        <f>IF(tblLines[[#This Row],[Recipe]]="","",IF(tblLines[[#This Row],[Unit]]="kg",tblLines[[#This Row],[Quantity]],IF(tblLines[[#This Row],[Unit]]="g",tblLines[[#This Row],[Quantity]]/1000,IF(tblLines[[#This Row],[Unit]]="lb",tblLines[[#This Row],[Quantity]]*0.45359237,IF(tblLines[[#This Row],[Unit]]="oz",tblLines[[#This Row],[Quantity]]*0.028349523125,"")))))</f>
        <v>260</v>
      </c>
      <c r="G7" s="36">
        <f>IF(tblLines[[#This Row],[Recipe]]="","",IFERROR(INDEX(tblIngredients[Price per kg],MATCH(tblLines[[#This Row],[Ingredient]],tblIngredients[Ingredient],0)),""))</f>
        <v>1.1</v>
      </c>
      <c r="H7" s="40">
        <f>IF(tblLines[[#This Row],[Recipe]]="","",IF(OR(tblLines[[#This Row],[Quantity (kg)]]="",tblLines[[#This Row],[Price per kg]]=""),"",tblLines[[#This Row],[Quantity (kg)]]*tblLines[[#This Row],[Price per kg]]))</f>
        <v>286</v>
      </c>
      <c r="I7" s="41">
        <f>IF(tblLines[[#This Row],[Recipe]]="","",IF(tblLines[[#This Row],[Quantity (kg)]]="","",IFERROR(tblLines[[#This Row],[Quantity (kg)]]/SUMIFS(tblLines[Quantity (kg)],tblLines[Recipe],tblLines[[#This Row],[Recipe]]),"")))</f>
        <v>0.65</v>
      </c>
      <c r="J7" s="41">
        <f>IF(tblLines[[#This Row],[Recipe]]="","",IF(tblLines[[#This Row],[Line cost]]="","",IFERROR(tblLines[[#This Row],[Line cost]]/SUMIFS(tblLines[Line cost],tblLines[Recipe],tblLines[[#This Row],[Recipe]]),"")))</f>
        <v>0.429658451577042</v>
      </c>
      <c r="K7" s="45">
        <f>IF(tblLines[[#This Row],[Recipe]]="","",IF(tblLines[[#This Row],[Line cost]]="","",tblLines[[#This Row],[Line cost]]*IFERROR(INDEX(tblRecipes[Batches per month],MATCH(tblLines[[#This Row],[Recipe]],tblRecipes[Recipe],0)),0)))</f>
        <v>3432</v>
      </c>
      <c r="L7"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7" s="28" t="s">
        <v>85</v>
      </c>
    </row>
    <row r="8" spans="1:13" x14ac:dyDescent="0.25">
      <c r="B8" s="28" t="s">
        <v>140</v>
      </c>
      <c r="C8" s="28" t="s">
        <v>86</v>
      </c>
      <c r="D8" s="29">
        <v>30</v>
      </c>
      <c r="E8" s="28" t="s">
        <v>84</v>
      </c>
      <c r="F8" s="44">
        <f>IF(tblLines[[#This Row],[Recipe]]="","",IF(tblLines[[#This Row],[Unit]]="kg",tblLines[[#This Row],[Quantity]],IF(tblLines[[#This Row],[Unit]]="g",tblLines[[#This Row],[Quantity]]/1000,IF(tblLines[[#This Row],[Unit]]="lb",tblLines[[#This Row],[Quantity]]*0.45359237,IF(tblLines[[#This Row],[Unit]]="oz",tblLines[[#This Row],[Quantity]]*0.028349523125,"")))))</f>
        <v>30</v>
      </c>
      <c r="G8" s="36">
        <f>IF(tblLines[[#This Row],[Recipe]]="","",IFERROR(INDEX(tblIngredients[Price per kg],MATCH(tblLines[[#This Row],[Ingredient]],tblIngredients[Ingredient],0)),""))</f>
        <v>2.4</v>
      </c>
      <c r="H8" s="40">
        <f>IF(tblLines[[#This Row],[Recipe]]="","",IF(OR(tblLines[[#This Row],[Quantity (kg)]]="",tblLines[[#This Row],[Price per kg]]=""),"",tblLines[[#This Row],[Quantity (kg)]]*tblLines[[#This Row],[Price per kg]]))</f>
        <v>72</v>
      </c>
      <c r="I8" s="41">
        <f>IF(tblLines[[#This Row],[Recipe]]="","",IF(tblLines[[#This Row],[Quantity (kg)]]="","",IFERROR(tblLines[[#This Row],[Quantity (kg)]]/SUMIFS(tblLines[Quantity (kg)],tblLines[Recipe],tblLines[[#This Row],[Recipe]]),"")))</f>
        <v>0.075</v>
      </c>
      <c r="J8" s="41">
        <f>IF(tblLines[[#This Row],[Recipe]]="","",IF(tblLines[[#This Row],[Line cost]]="","",IFERROR(tblLines[[#This Row],[Line cost]]/SUMIFS(tblLines[Line cost],tblLines[Recipe],tblLines[[#This Row],[Recipe]]),"")))</f>
        <v>0.108165764033381</v>
      </c>
      <c r="K8" s="45">
        <f>IF(tblLines[[#This Row],[Recipe]]="","",IF(tblLines[[#This Row],[Line cost]]="","",tblLines[[#This Row],[Line cost]]*IFERROR(INDEX(tblRecipes[Batches per month],MATCH(tblLines[[#This Row],[Recipe]],tblRecipes[Recipe],0)),0)))</f>
        <v>864</v>
      </c>
      <c r="L8"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8" s="28" t="s">
        <v>85</v>
      </c>
    </row>
    <row r="9" spans="1:13" x14ac:dyDescent="0.25">
      <c r="B9" s="28" t="s">
        <v>140</v>
      </c>
      <c r="C9" s="28" t="s">
        <v>87</v>
      </c>
      <c r="D9" s="29">
        <v>48</v>
      </c>
      <c r="E9" s="28" t="s">
        <v>84</v>
      </c>
      <c r="F9" s="44">
        <f>IF(tblLines[[#This Row],[Recipe]]="","",IF(tblLines[[#This Row],[Unit]]="kg",tblLines[[#This Row],[Quantity]],IF(tblLines[[#This Row],[Unit]]="g",tblLines[[#This Row],[Quantity]]/1000,IF(tblLines[[#This Row],[Unit]]="lb",tblLines[[#This Row],[Quantity]]*0.45359237,IF(tblLines[[#This Row],[Unit]]="oz",tblLines[[#This Row],[Quantity]]*0.028349523125,"")))))</f>
        <v>48</v>
      </c>
      <c r="G9" s="36">
        <f>IF(tblLines[[#This Row],[Recipe]]="","",IFERROR(INDEX(tblIngredients[Price per kg],MATCH(tblLines[[#This Row],[Ingredient]],tblIngredients[Ingredient],0)),""))</f>
        <v>0.85</v>
      </c>
      <c r="H9" s="40">
        <f>IF(tblLines[[#This Row],[Recipe]]="","",IF(OR(tblLines[[#This Row],[Quantity (kg)]]="",tblLines[[#This Row],[Price per kg]]=""),"",tblLines[[#This Row],[Quantity (kg)]]*tblLines[[#This Row],[Price per kg]]))</f>
        <v>40.8</v>
      </c>
      <c r="I9" s="41">
        <f>IF(tblLines[[#This Row],[Recipe]]="","",IF(tblLines[[#This Row],[Quantity (kg)]]="","",IFERROR(tblLines[[#This Row],[Quantity (kg)]]/SUMIFS(tblLines[Quantity (kg)],tblLines[Recipe],tblLines[[#This Row],[Recipe]]),"")))</f>
        <v>0.12</v>
      </c>
      <c r="J9" s="41">
        <f>IF(tblLines[[#This Row],[Recipe]]="","",IF(tblLines[[#This Row],[Line cost]]="","",IFERROR(tblLines[[#This Row],[Line cost]]/SUMIFS(tblLines[Line cost],tblLines[Recipe],tblLines[[#This Row],[Recipe]]),"")))</f>
        <v>0.0612939329522493</v>
      </c>
      <c r="K9" s="45">
        <f>IF(tblLines[[#This Row],[Recipe]]="","",IF(tblLines[[#This Row],[Line cost]]="","",tblLines[[#This Row],[Line cost]]*IFERROR(INDEX(tblRecipes[Batches per month],MATCH(tblLines[[#This Row],[Recipe]],tblRecipes[Recipe],0)),0)))</f>
        <v>489.6</v>
      </c>
      <c r="L9"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9" s="28" t="s">
        <v>85</v>
      </c>
    </row>
    <row r="10" spans="1:13" x14ac:dyDescent="0.25">
      <c r="B10" s="28" t="s">
        <v>140</v>
      </c>
      <c r="C10" s="28" t="s">
        <v>92</v>
      </c>
      <c r="D10" s="29">
        <v>18</v>
      </c>
      <c r="E10" s="28" t="s">
        <v>84</v>
      </c>
      <c r="F10" s="44">
        <f>IF(tblLines[[#This Row],[Recipe]]="","",IF(tblLines[[#This Row],[Unit]]="kg",tblLines[[#This Row],[Quantity]],IF(tblLines[[#This Row],[Unit]]="g",tblLines[[#This Row],[Quantity]]/1000,IF(tblLines[[#This Row],[Unit]]="lb",tblLines[[#This Row],[Quantity]]*0.45359237,IF(tblLines[[#This Row],[Unit]]="oz",tblLines[[#This Row],[Quantity]]*0.028349523125,"")))))</f>
        <v>18</v>
      </c>
      <c r="G10" s="36">
        <f>IF(tblLines[[#This Row],[Recipe]]="","",IFERROR(INDEX(tblIngredients[Price per kg],MATCH(tblLines[[#This Row],[Ingredient]],tblIngredients[Ingredient],0)),""))</f>
        <v>7.8</v>
      </c>
      <c r="H10" s="40">
        <f>IF(tblLines[[#This Row],[Recipe]]="","",IF(OR(tblLines[[#This Row],[Quantity (kg)]]="",tblLines[[#This Row],[Price per kg]]=""),"",tblLines[[#This Row],[Quantity (kg)]]*tblLines[[#This Row],[Price per kg]]))</f>
        <v>140.4</v>
      </c>
      <c r="I10" s="41">
        <f>IF(tblLines[[#This Row],[Recipe]]="","",IF(tblLines[[#This Row],[Quantity (kg)]]="","",IFERROR(tblLines[[#This Row],[Quantity (kg)]]/SUMIFS(tblLines[Quantity (kg)],tblLines[Recipe],tblLines[[#This Row],[Recipe]]),"")))</f>
        <v>0.045</v>
      </c>
      <c r="J10" s="41">
        <f>IF(tblLines[[#This Row],[Recipe]]="","",IF(tblLines[[#This Row],[Line cost]]="","",IFERROR(tblLines[[#This Row],[Line cost]]/SUMIFS(tblLines[Line cost],tblLines[Recipe],tblLines[[#This Row],[Recipe]]),"")))</f>
        <v>0.210923239865093</v>
      </c>
      <c r="K10" s="45">
        <f>IF(tblLines[[#This Row],[Recipe]]="","",IF(tblLines[[#This Row],[Line cost]]="","",tblLines[[#This Row],[Line cost]]*IFERROR(INDEX(tblRecipes[Batches per month],MATCH(tblLines[[#This Row],[Recipe]],tblRecipes[Recipe],0)),0)))</f>
        <v>1684.8</v>
      </c>
      <c r="L10"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0" s="28" t="s">
        <v>85</v>
      </c>
    </row>
    <row r="11" spans="1:13" x14ac:dyDescent="0.25">
      <c r="B11" s="28" t="s">
        <v>140</v>
      </c>
      <c r="C11" s="28" t="s">
        <v>88</v>
      </c>
      <c r="D11" s="29">
        <v>8</v>
      </c>
      <c r="E11" s="28" t="s">
        <v>84</v>
      </c>
      <c r="F11" s="44">
        <f>IF(tblLines[[#This Row],[Recipe]]="","",IF(tblLines[[#This Row],[Unit]]="kg",tblLines[[#This Row],[Quantity]],IF(tblLines[[#This Row],[Unit]]="g",tblLines[[#This Row],[Quantity]]/1000,IF(tblLines[[#This Row],[Unit]]="lb",tblLines[[#This Row],[Quantity]]*0.45359237,IF(tblLines[[#This Row],[Unit]]="oz",tblLines[[#This Row],[Quantity]]*0.028349523125,"")))))</f>
        <v>8</v>
      </c>
      <c r="G11" s="36">
        <f>IF(tblLines[[#This Row],[Recipe]]="","",IFERROR(INDEX(tblIngredients[Price per kg],MATCH(tblLines[[#This Row],[Ingredient]],tblIngredients[Ingredient],0)),""))</f>
        <v>4.2</v>
      </c>
      <c r="H11" s="40">
        <f>IF(tblLines[[#This Row],[Recipe]]="","",IF(OR(tblLines[[#This Row],[Quantity (kg)]]="",tblLines[[#This Row],[Price per kg]]=""),"",tblLines[[#This Row],[Quantity (kg)]]*tblLines[[#This Row],[Price per kg]]))</f>
        <v>33.6</v>
      </c>
      <c r="I11" s="41">
        <f>IF(tblLines[[#This Row],[Recipe]]="","",IF(tblLines[[#This Row],[Quantity (kg)]]="","",IFERROR(tblLines[[#This Row],[Quantity (kg)]]/SUMIFS(tblLines[Quantity (kg)],tblLines[Recipe],tblLines[[#This Row],[Recipe]]),"")))</f>
        <v>0.02</v>
      </c>
      <c r="J11" s="41">
        <f>IF(tblLines[[#This Row],[Recipe]]="","",IF(tblLines[[#This Row],[Line cost]]="","",IFERROR(tblLines[[#This Row],[Line cost]]/SUMIFS(tblLines[Line cost],tblLines[Recipe],tblLines[[#This Row],[Recipe]]),"")))</f>
        <v>0.0504773565489112</v>
      </c>
      <c r="K11" s="45">
        <f>IF(tblLines[[#This Row],[Recipe]]="","",IF(tblLines[[#This Row],[Line cost]]="","",tblLines[[#This Row],[Line cost]]*IFERROR(INDEX(tblRecipes[Batches per month],MATCH(tblLines[[#This Row],[Recipe]],tblRecipes[Recipe],0)),0)))</f>
        <v>403.2</v>
      </c>
      <c r="L11"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1" s="28" t="s">
        <v>85</v>
      </c>
    </row>
    <row r="12" spans="1:13" x14ac:dyDescent="0.25">
      <c r="B12" s="28" t="s">
        <v>140</v>
      </c>
      <c r="C12" s="28" t="s">
        <v>90</v>
      </c>
      <c r="D12" s="29">
        <v>6</v>
      </c>
      <c r="E12" s="28" t="s">
        <v>84</v>
      </c>
      <c r="F12" s="44">
        <f>IF(tblLines[[#This Row],[Recipe]]="","",IF(tblLines[[#This Row],[Unit]]="kg",tblLines[[#This Row],[Quantity]],IF(tblLines[[#This Row],[Unit]]="g",tblLines[[#This Row],[Quantity]]/1000,IF(tblLines[[#This Row],[Unit]]="lb",tblLines[[#This Row],[Quantity]]*0.45359237,IF(tblLines[[#This Row],[Unit]]="oz",tblLines[[#This Row],[Quantity]]*0.028349523125,"")))))</f>
        <v>6</v>
      </c>
      <c r="G12" s="36">
        <f>IF(tblLines[[#This Row],[Recipe]]="","",IFERROR(INDEX(tblIngredients[Price per kg],MATCH(tblLines[[#This Row],[Ingredient]],tblIngredients[Ingredient],0)),""))</f>
        <v>14</v>
      </c>
      <c r="H12" s="40">
        <f>IF(tblLines[[#This Row],[Recipe]]="","",IF(OR(tblLines[[#This Row],[Quantity (kg)]]="",tblLines[[#This Row],[Price per kg]]=""),"",tblLines[[#This Row],[Quantity (kg)]]*tblLines[[#This Row],[Price per kg]]))</f>
        <v>84</v>
      </c>
      <c r="I12" s="41">
        <f>IF(tblLines[[#This Row],[Recipe]]="","",IF(tblLines[[#This Row],[Quantity (kg)]]="","",IFERROR(tblLines[[#This Row],[Quantity (kg)]]/SUMIFS(tblLines[Quantity (kg)],tblLines[Recipe],tblLines[[#This Row],[Recipe]]),"")))</f>
        <v>0.015</v>
      </c>
      <c r="J12" s="41">
        <f>IF(tblLines[[#This Row],[Recipe]]="","",IF(tblLines[[#This Row],[Line cost]]="","",IFERROR(tblLines[[#This Row],[Line cost]]/SUMIFS(tblLines[Line cost],tblLines[Recipe],tblLines[[#This Row],[Recipe]]),"")))</f>
        <v>0.126193391372278</v>
      </c>
      <c r="K12" s="45">
        <f>IF(tblLines[[#This Row],[Recipe]]="","",IF(tblLines[[#This Row],[Line cost]]="","",tblLines[[#This Row],[Line cost]]*IFERROR(INDEX(tblRecipes[Batches per month],MATCH(tblLines[[#This Row],[Recipe]],tblRecipes[Recipe],0)),0)))</f>
        <v>1008</v>
      </c>
      <c r="L12"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2" s="28" t="s">
        <v>85</v>
      </c>
    </row>
    <row r="13" spans="1:13" x14ac:dyDescent="0.25">
      <c r="B13" s="28" t="s">
        <v>140</v>
      </c>
      <c r="C13" s="28" t="s">
        <v>95</v>
      </c>
      <c r="D13" s="29">
        <v>8</v>
      </c>
      <c r="E13" s="28" t="s">
        <v>84</v>
      </c>
      <c r="F13" s="44">
        <f>IF(tblLines[[#This Row],[Recipe]]="","",IF(tblLines[[#This Row],[Unit]]="kg",tblLines[[#This Row],[Quantity]],IF(tblLines[[#This Row],[Unit]]="g",tblLines[[#This Row],[Quantity]]/1000,IF(tblLines[[#This Row],[Unit]]="lb",tblLines[[#This Row],[Quantity]]*0.45359237,IF(tblLines[[#This Row],[Unit]]="oz",tblLines[[#This Row],[Quantity]]*0.028349523125,"")))))</f>
        <v>8</v>
      </c>
      <c r="G13" s="36">
        <f>IF(tblLines[[#This Row],[Recipe]]="","",IFERROR(INDEX(tblIngredients[Price per kg],MATCH(tblLines[[#This Row],[Ingredient]],tblIngredients[Ingredient],0)),""))</f>
        <v>0.95</v>
      </c>
      <c r="H13" s="40">
        <f>IF(tblLines[[#This Row],[Recipe]]="","",IF(OR(tblLines[[#This Row],[Quantity (kg)]]="",tblLines[[#This Row],[Price per kg]]=""),"",tblLines[[#This Row],[Quantity (kg)]]*tblLines[[#This Row],[Price per kg]]))</f>
        <v>7.6</v>
      </c>
      <c r="I13" s="41">
        <f>IF(tblLines[[#This Row],[Recipe]]="","",IF(tblLines[[#This Row],[Quantity (kg)]]="","",IFERROR(tblLines[[#This Row],[Quantity (kg)]]/SUMIFS(tblLines[Quantity (kg)],tblLines[Recipe],tblLines[[#This Row],[Recipe]]),"")))</f>
        <v>0.02</v>
      </c>
      <c r="J13" s="41">
        <f>IF(tblLines[[#This Row],[Recipe]]="","",IF(tblLines[[#This Row],[Line cost]]="","",IFERROR(tblLines[[#This Row],[Line cost]]/SUMIFS(tblLines[Line cost],tblLines[Recipe],tblLines[[#This Row],[Recipe]]),"")))</f>
        <v>0.0114174973146347</v>
      </c>
      <c r="K13" s="45">
        <f>IF(tblLines[[#This Row],[Recipe]]="","",IF(tblLines[[#This Row],[Line cost]]="","",tblLines[[#This Row],[Line cost]]*IFERROR(INDEX(tblRecipes[Batches per month],MATCH(tblLines[[#This Row],[Recipe]],tblRecipes[Recipe],0)),0)))</f>
        <v>91.2</v>
      </c>
      <c r="L13"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3" s="28" t="s">
        <v>85</v>
      </c>
    </row>
    <row r="14" spans="1:13" x14ac:dyDescent="0.25">
      <c r="B14" s="28" t="s">
        <v>140</v>
      </c>
      <c r="C14" s="28" t="s">
        <v>99</v>
      </c>
      <c r="D14" s="29">
        <v>4</v>
      </c>
      <c r="E14" s="28" t="s">
        <v>84</v>
      </c>
      <c r="F14" s="44">
        <f>IF(tblLines[[#This Row],[Recipe]]="","",IF(tblLines[[#This Row],[Unit]]="kg",tblLines[[#This Row],[Quantity]],IF(tblLines[[#This Row],[Unit]]="g",tblLines[[#This Row],[Quantity]]/1000,IF(tblLines[[#This Row],[Unit]]="lb",tblLines[[#This Row],[Quantity]]*0.45359237,IF(tblLines[[#This Row],[Unit]]="oz",tblLines[[#This Row],[Quantity]]*0.028349523125,"")))))</f>
        <v>4</v>
      </c>
      <c r="G14" s="36">
        <f>IF(tblLines[[#This Row],[Recipe]]="","",IFERROR(INDEX(tblIngredients[Price per kg],MATCH(tblLines[[#This Row],[Ingredient]],tblIngredients[Ingredient],0)),""))</f>
        <v>0.3</v>
      </c>
      <c r="H14" s="40">
        <f>IF(tblLines[[#This Row],[Recipe]]="","",IF(OR(tblLines[[#This Row],[Quantity (kg)]]="",tblLines[[#This Row],[Price per kg]]=""),"",tblLines[[#This Row],[Quantity (kg)]]*tblLines[[#This Row],[Price per kg]]))</f>
        <v>1.2</v>
      </c>
      <c r="I14" s="41">
        <f>IF(tblLines[[#This Row],[Recipe]]="","",IF(tblLines[[#This Row],[Quantity (kg)]]="","",IFERROR(tblLines[[#This Row],[Quantity (kg)]]/SUMIFS(tblLines[Quantity (kg)],tblLines[Recipe],tblLines[[#This Row],[Recipe]]),"")))</f>
        <v>0.01</v>
      </c>
      <c r="J14" s="41">
        <f>IF(tblLines[[#This Row],[Recipe]]="","",IF(tblLines[[#This Row],[Line cost]]="","",IFERROR(tblLines[[#This Row],[Line cost]]/SUMIFS(tblLines[Line cost],tblLines[Recipe],tblLines[[#This Row],[Recipe]]),"")))</f>
        <v>0.00180276273388969</v>
      </c>
      <c r="K14" s="45">
        <f>IF(tblLines[[#This Row],[Recipe]]="","",IF(tblLines[[#This Row],[Line cost]]="","",tblLines[[#This Row],[Line cost]]*IFERROR(INDEX(tblRecipes[Batches per month],MATCH(tblLines[[#This Row],[Recipe]],tblRecipes[Recipe],0)),0)))</f>
        <v>14.4</v>
      </c>
      <c r="L14"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4" s="28" t="s">
        <v>85</v>
      </c>
    </row>
    <row r="15" spans="1:13" x14ac:dyDescent="0.25">
      <c r="B15" s="28" t="s">
        <v>140</v>
      </c>
      <c r="C15" s="28" t="s">
        <v>114</v>
      </c>
      <c r="D15" s="29">
        <v>18</v>
      </c>
      <c r="E15" s="28" t="s">
        <v>84</v>
      </c>
      <c r="F15" s="44">
        <f>IF(tblLines[[#This Row],[Recipe]]="","",IF(tblLines[[#This Row],[Unit]]="kg",tblLines[[#This Row],[Quantity]],IF(tblLines[[#This Row],[Unit]]="g",tblLines[[#This Row],[Quantity]]/1000,IF(tblLines[[#This Row],[Unit]]="lb",tblLines[[#This Row],[Quantity]]*0.45359237,IF(tblLines[[#This Row],[Unit]]="oz",tblLines[[#This Row],[Quantity]]*0.028349523125,"")))))</f>
        <v>18</v>
      </c>
      <c r="G15" s="36">
        <f>IF(tblLines[[#This Row],[Recipe]]="","",IFERROR(INDEX(tblIngredients[Price per kg],MATCH(tblLines[[#This Row],[Ingredient]],tblIngredients[Ingredient],0)),""))</f>
        <v>0.0025</v>
      </c>
      <c r="H15" s="40">
        <f>IF(tblLines[[#This Row],[Recipe]]="","",IF(OR(tblLines[[#This Row],[Quantity (kg)]]="",tblLines[[#This Row],[Price per kg]]=""),"",tblLines[[#This Row],[Quantity (kg)]]*tblLines[[#This Row],[Price per kg]]))</f>
        <v>0.045</v>
      </c>
      <c r="I15" s="41">
        <f>IF(tblLines[[#This Row],[Recipe]]="","",IF(tblLines[[#This Row],[Quantity (kg)]]="","",IFERROR(tblLines[[#This Row],[Quantity (kg)]]/SUMIFS(tblLines[Quantity (kg)],tblLines[Recipe],tblLines[[#This Row],[Recipe]]),"")))</f>
        <v>0.045</v>
      </c>
      <c r="J15" s="41">
        <f>IF(tblLines[[#This Row],[Recipe]]="","",IF(tblLines[[#This Row],[Line cost]]="","",IFERROR(tblLines[[#This Row],[Line cost]]/SUMIFS(tblLines[Line cost],tblLines[Recipe],tblLines[[#This Row],[Recipe]]),"")))</f>
        <v>6.76036025208632e-05</v>
      </c>
      <c r="K15" s="45">
        <f>IF(tblLines[[#This Row],[Recipe]]="","",IF(tblLines[[#This Row],[Line cost]]="","",tblLines[[#This Row],[Line cost]]*IFERROR(INDEX(tblRecipes[Batches per month],MATCH(tblLines[[#This Row],[Recipe]],tblRecipes[Recipe],0)),0)))</f>
        <v>0.54</v>
      </c>
      <c r="L15"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5" s="28" t="s">
        <v>85</v>
      </c>
    </row>
    <row r="16" spans="1:13" x14ac:dyDescent="0.25">
      <c r="B16" s="28" t="s">
        <v>141</v>
      </c>
      <c r="C16" s="28" t="s">
        <v>86</v>
      </c>
      <c r="D16" s="29">
        <v>90</v>
      </c>
      <c r="E16" s="28" t="s">
        <v>84</v>
      </c>
      <c r="F16" s="44">
        <f>IF(tblLines[[#This Row],[Recipe]]="","",IF(tblLines[[#This Row],[Unit]]="kg",tblLines[[#This Row],[Quantity]],IF(tblLines[[#This Row],[Unit]]="g",tblLines[[#This Row],[Quantity]]/1000,IF(tblLines[[#This Row],[Unit]]="lb",tblLines[[#This Row],[Quantity]]*0.45359237,IF(tblLines[[#This Row],[Unit]]="oz",tblLines[[#This Row],[Quantity]]*0.028349523125,"")))))</f>
        <v>90</v>
      </c>
      <c r="G16" s="36">
        <f>IF(tblLines[[#This Row],[Recipe]]="","",IFERROR(INDEX(tblIngredients[Price per kg],MATCH(tblLines[[#This Row],[Ingredient]],tblIngredients[Ingredient],0)),""))</f>
        <v>2.4</v>
      </c>
      <c r="H16" s="40">
        <f>IF(tblLines[[#This Row],[Recipe]]="","",IF(OR(tblLines[[#This Row],[Quantity (kg)]]="",tblLines[[#This Row],[Price per kg]]=""),"",tblLines[[#This Row],[Quantity (kg)]]*tblLines[[#This Row],[Price per kg]]))</f>
        <v>216</v>
      </c>
      <c r="I16" s="41">
        <f>IF(tblLines[[#This Row],[Recipe]]="","",IF(tblLines[[#This Row],[Quantity (kg)]]="","",IFERROR(tblLines[[#This Row],[Quantity (kg)]]/SUMIFS(tblLines[Quantity (kg)],tblLines[Recipe],tblLines[[#This Row],[Recipe]]),"")))</f>
        <v>0.300278704460269</v>
      </c>
      <c r="J16" s="41">
        <f>IF(tblLines[[#This Row],[Recipe]]="","",IF(tblLines[[#This Row],[Line cost]]="","",IFERROR(tblLines[[#This Row],[Line cost]]/SUMIFS(tblLines[Line cost],tblLines[Recipe],tblLines[[#This Row],[Recipe]]),"")))</f>
        <v>0.481591928876007</v>
      </c>
      <c r="K16" s="45">
        <f>IF(tblLines[[#This Row],[Recipe]]="","",IF(tblLines[[#This Row],[Line cost]]="","",tblLines[[#This Row],[Line cost]]*IFERROR(INDEX(tblRecipes[Batches per month],MATCH(tblLines[[#This Row],[Recipe]],tblRecipes[Recipe],0)),0)))</f>
        <v>1728</v>
      </c>
      <c r="L16"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6" s="28" t="s">
        <v>85</v>
      </c>
    </row>
    <row r="17" spans="2:13" x14ac:dyDescent="0.25">
      <c r="B17" s="28" t="s">
        <v>141</v>
      </c>
      <c r="C17" s="28" t="s">
        <v>95</v>
      </c>
      <c r="D17" s="29">
        <v>60</v>
      </c>
      <c r="E17" s="28" t="s">
        <v>84</v>
      </c>
      <c r="F17" s="44">
        <f>IF(tblLines[[#This Row],[Recipe]]="","",IF(tblLines[[#This Row],[Unit]]="kg",tblLines[[#This Row],[Quantity]],IF(tblLines[[#This Row],[Unit]]="g",tblLines[[#This Row],[Quantity]]/1000,IF(tblLines[[#This Row],[Unit]]="lb",tblLines[[#This Row],[Quantity]]*0.45359237,IF(tblLines[[#This Row],[Unit]]="oz",tblLines[[#This Row],[Quantity]]*0.028349523125,"")))))</f>
        <v>60</v>
      </c>
      <c r="G17" s="36">
        <f>IF(tblLines[[#This Row],[Recipe]]="","",IFERROR(INDEX(tblIngredients[Price per kg],MATCH(tblLines[[#This Row],[Ingredient]],tblIngredients[Ingredient],0)),""))</f>
        <v>0.95</v>
      </c>
      <c r="H17" s="40">
        <f>IF(tblLines[[#This Row],[Recipe]]="","",IF(OR(tblLines[[#This Row],[Quantity (kg)]]="",tblLines[[#This Row],[Price per kg]]=""),"",tblLines[[#This Row],[Quantity (kg)]]*tblLines[[#This Row],[Price per kg]]))</f>
        <v>57</v>
      </c>
      <c r="I17" s="41">
        <f>IF(tblLines[[#This Row],[Recipe]]="","",IF(tblLines[[#This Row],[Quantity (kg)]]="","",IFERROR(tblLines[[#This Row],[Quantity (kg)]]/SUMIFS(tblLines[Quantity (kg)],tblLines[Recipe],tblLines[[#This Row],[Recipe]]),"")))</f>
        <v>0.200185802973513</v>
      </c>
      <c r="J17" s="41">
        <f>IF(tblLines[[#This Row],[Recipe]]="","",IF(tblLines[[#This Row],[Line cost]]="","",IFERROR(tblLines[[#This Row],[Line cost]]/SUMIFS(tblLines[Line cost],tblLines[Recipe],tblLines[[#This Row],[Recipe]]),"")))</f>
        <v>0.127086759008946</v>
      </c>
      <c r="K17" s="45">
        <f>IF(tblLines[[#This Row],[Recipe]]="","",IF(tblLines[[#This Row],[Line cost]]="","",tblLines[[#This Row],[Line cost]]*IFERROR(INDEX(tblRecipes[Batches per month],MATCH(tblLines[[#This Row],[Recipe]],tblRecipes[Recipe],0)),0)))</f>
        <v>456</v>
      </c>
      <c r="L17"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7" s="28" t="s">
        <v>85</v>
      </c>
    </row>
    <row r="18" spans="2:13" x14ac:dyDescent="0.25">
      <c r="B18" s="28" t="s">
        <v>141</v>
      </c>
      <c r="C18" s="28" t="s">
        <v>112</v>
      </c>
      <c r="D18" s="29">
        <v>30</v>
      </c>
      <c r="E18" s="28" t="s">
        <v>84</v>
      </c>
      <c r="F18" s="44">
        <f>IF(tblLines[[#This Row],[Recipe]]="","",IF(tblLines[[#This Row],[Unit]]="kg",tblLines[[#This Row],[Quantity]],IF(tblLines[[#This Row],[Unit]]="g",tblLines[[#This Row],[Quantity]]/1000,IF(tblLines[[#This Row],[Unit]]="lb",tblLines[[#This Row],[Quantity]]*0.45359237,IF(tblLines[[#This Row],[Unit]]="oz",tblLines[[#This Row],[Quantity]]*0.028349523125,"")))))</f>
        <v>30</v>
      </c>
      <c r="G18" s="36">
        <f>IF(tblLines[[#This Row],[Recipe]]="","",IFERROR(INDEX(tblIngredients[Price per kg],MATCH(tblLines[[#This Row],[Ingredient]],tblIngredients[Ingredient],0)),""))</f>
        <v>1.4</v>
      </c>
      <c r="H18" s="40">
        <f>IF(tblLines[[#This Row],[Recipe]]="","",IF(OR(tblLines[[#This Row],[Quantity (kg)]]="",tblLines[[#This Row],[Price per kg]]=""),"",tblLines[[#This Row],[Quantity (kg)]]*tblLines[[#This Row],[Price per kg]]))</f>
        <v>42</v>
      </c>
      <c r="I18" s="41">
        <f>IF(tblLines[[#This Row],[Recipe]]="","",IF(tblLines[[#This Row],[Quantity (kg)]]="","",IFERROR(tblLines[[#This Row],[Quantity (kg)]]/SUMIFS(tblLines[Quantity (kg)],tblLines[Recipe],tblLines[[#This Row],[Recipe]]),"")))</f>
        <v>0.100092901486756</v>
      </c>
      <c r="J18" s="41">
        <f>IF(tblLines[[#This Row],[Recipe]]="","",IF(tblLines[[#This Row],[Line cost]]="","",IFERROR(tblLines[[#This Row],[Line cost]]/SUMIFS(tblLines[Line cost],tblLines[Recipe],tblLines[[#This Row],[Recipe]]),"")))</f>
        <v>0.0936428750592235</v>
      </c>
      <c r="K18" s="45">
        <f>IF(tblLines[[#This Row],[Recipe]]="","",IF(tblLines[[#This Row],[Line cost]]="","",tblLines[[#This Row],[Line cost]]*IFERROR(INDEX(tblRecipes[Batches per month],MATCH(tblLines[[#This Row],[Recipe]],tblRecipes[Recipe],0)),0)))</f>
        <v>336</v>
      </c>
      <c r="L18"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8" s="28" t="s">
        <v>85</v>
      </c>
    </row>
    <row r="19" spans="2:13" x14ac:dyDescent="0.25">
      <c r="B19" s="28" t="s">
        <v>141</v>
      </c>
      <c r="C19" s="28" t="s">
        <v>97</v>
      </c>
      <c r="D19" s="29">
        <v>45</v>
      </c>
      <c r="E19" s="28" t="s">
        <v>84</v>
      </c>
      <c r="F19" s="44">
        <f>IF(tblLines[[#This Row],[Recipe]]="","",IF(tblLines[[#This Row],[Unit]]="kg",tblLines[[#This Row],[Quantity]],IF(tblLines[[#This Row],[Unit]]="g",tblLines[[#This Row],[Quantity]]/1000,IF(tblLines[[#This Row],[Unit]]="lb",tblLines[[#This Row],[Quantity]]*0.45359237,IF(tblLines[[#This Row],[Unit]]="oz",tblLines[[#This Row],[Quantity]]*0.028349523125,"")))))</f>
        <v>45</v>
      </c>
      <c r="G19" s="36">
        <f>IF(tblLines[[#This Row],[Recipe]]="","",IFERROR(INDEX(tblIngredients[Price per kg],MATCH(tblLines[[#This Row],[Ingredient]],tblIngredients[Ingredient],0)),""))</f>
        <v>1.2</v>
      </c>
      <c r="H19" s="40">
        <f>IF(tblLines[[#This Row],[Recipe]]="","",IF(OR(tblLines[[#This Row],[Quantity (kg)]]="",tblLines[[#This Row],[Price per kg]]=""),"",tblLines[[#This Row],[Quantity (kg)]]*tblLines[[#This Row],[Price per kg]]))</f>
        <v>54</v>
      </c>
      <c r="I19" s="41">
        <f>IF(tblLines[[#This Row],[Recipe]]="","",IF(tblLines[[#This Row],[Quantity (kg)]]="","",IFERROR(tblLines[[#This Row],[Quantity (kg)]]/SUMIFS(tblLines[Quantity (kg)],tblLines[Recipe],tblLines[[#This Row],[Recipe]]),"")))</f>
        <v>0.150139352230135</v>
      </c>
      <c r="J19" s="41">
        <f>IF(tblLines[[#This Row],[Recipe]]="","",IF(tblLines[[#This Row],[Line cost]]="","",IFERROR(tblLines[[#This Row],[Line cost]]/SUMIFS(tblLines[Line cost],tblLines[Recipe],tblLines[[#This Row],[Recipe]]),"")))</f>
        <v>0.120397982219002</v>
      </c>
      <c r="K19" s="45">
        <f>IF(tblLines[[#This Row],[Recipe]]="","",IF(tblLines[[#This Row],[Line cost]]="","",tblLines[[#This Row],[Line cost]]*IFERROR(INDEX(tblRecipes[Batches per month],MATCH(tblLines[[#This Row],[Recipe]],tblRecipes[Recipe],0)),0)))</f>
        <v>432</v>
      </c>
      <c r="L19"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19" s="28" t="s">
        <v>85</v>
      </c>
    </row>
    <row r="20" spans="2:13" x14ac:dyDescent="0.25">
      <c r="B20" s="28" t="s">
        <v>141</v>
      </c>
      <c r="C20" s="28" t="s">
        <v>87</v>
      </c>
      <c r="D20" s="29">
        <v>20</v>
      </c>
      <c r="E20" s="28" t="s">
        <v>84</v>
      </c>
      <c r="F20" s="44">
        <f>IF(tblLines[[#This Row],[Recipe]]="","",IF(tblLines[[#This Row],[Unit]]="kg",tblLines[[#This Row],[Quantity]],IF(tblLines[[#This Row],[Unit]]="g",tblLines[[#This Row],[Quantity]]/1000,IF(tblLines[[#This Row],[Unit]]="lb",tblLines[[#This Row],[Quantity]]*0.45359237,IF(tblLines[[#This Row],[Unit]]="oz",tblLines[[#This Row],[Quantity]]*0.028349523125,"")))))</f>
        <v>20</v>
      </c>
      <c r="G20" s="36">
        <f>IF(tblLines[[#This Row],[Recipe]]="","",IFERROR(INDEX(tblIngredients[Price per kg],MATCH(tblLines[[#This Row],[Ingredient]],tblIngredients[Ingredient],0)),""))</f>
        <v>0.85</v>
      </c>
      <c r="H20" s="40">
        <f>IF(tblLines[[#This Row],[Recipe]]="","",IF(OR(tblLines[[#This Row],[Quantity (kg)]]="",tblLines[[#This Row],[Price per kg]]=""),"",tblLines[[#This Row],[Quantity (kg)]]*tblLines[[#This Row],[Price per kg]]))</f>
        <v>17</v>
      </c>
      <c r="I20" s="41">
        <f>IF(tblLines[[#This Row],[Recipe]]="","",IF(tblLines[[#This Row],[Quantity (kg)]]="","",IFERROR(tblLines[[#This Row],[Quantity (kg)]]/SUMIFS(tblLines[Quantity (kg)],tblLines[Recipe],tblLines[[#This Row],[Recipe]]),"")))</f>
        <v>0.066728600991171</v>
      </c>
      <c r="J20" s="41">
        <f>IF(tblLines[[#This Row],[Recipe]]="","",IF(tblLines[[#This Row],[Line cost]]="","",IFERROR(tblLines[[#This Row],[Line cost]]/SUMIFS(tblLines[Line cost],tblLines[Recipe],tblLines[[#This Row],[Recipe]]),"")))</f>
        <v>0.0379030684763524</v>
      </c>
      <c r="K20" s="45">
        <f>IF(tblLines[[#This Row],[Recipe]]="","",IF(tblLines[[#This Row],[Line cost]]="","",tblLines[[#This Row],[Line cost]]*IFERROR(INDEX(tblRecipes[Batches per month],MATCH(tblLines[[#This Row],[Recipe]],tblRecipes[Recipe],0)),0)))</f>
        <v>136</v>
      </c>
      <c r="L20"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0" s="28" t="s">
        <v>85</v>
      </c>
    </row>
    <row r="21" spans="2:13" x14ac:dyDescent="0.25">
      <c r="B21" s="28" t="s">
        <v>141</v>
      </c>
      <c r="C21" s="28" t="s">
        <v>111</v>
      </c>
      <c r="D21" s="29">
        <v>6</v>
      </c>
      <c r="E21" s="28" t="s">
        <v>107</v>
      </c>
      <c r="F21" s="44">
        <f>IF(tblLines[[#This Row],[Recipe]]="","",IF(tblLines[[#This Row],[Unit]]="kg",tblLines[[#This Row],[Quantity]],IF(tblLines[[#This Row],[Unit]]="g",tblLines[[#This Row],[Quantity]]/1000,IF(tblLines[[#This Row],[Unit]]="lb",tblLines[[#This Row],[Quantity]]*0.45359237,IF(tblLines[[#This Row],[Unit]]="oz",tblLines[[#This Row],[Quantity]]*0.028349523125,"")))))</f>
        <v>2.72155422</v>
      </c>
      <c r="G21" s="36">
        <f>IF(tblLines[[#This Row],[Recipe]]="","",IFERROR(INDEX(tblIngredients[Price per kg],MATCH(tblLines[[#This Row],[Ingredient]],tblIngredients[Ingredient],0)),""))</f>
        <v>12.0151932890758</v>
      </c>
      <c r="H21" s="40">
        <f>IF(tblLines[[#This Row],[Recipe]]="","",IF(OR(tblLines[[#This Row],[Quantity (kg)]]="",tblLines[[#This Row],[Price per kg]]=""),"",tblLines[[#This Row],[Quantity (kg)]]*tblLines[[#This Row],[Price per kg]]))</f>
        <v>32.7</v>
      </c>
      <c r="I21" s="41">
        <f>IF(tblLines[[#This Row],[Recipe]]="","",IF(tblLines[[#This Row],[Quantity (kg)]]="","",IFERROR(tblLines[[#This Row],[Quantity (kg)]]/SUMIFS(tblLines[Quantity (kg)],tblLines[Recipe],tblLines[[#This Row],[Recipe]]),"")))</f>
        <v>0.00908027528111088</v>
      </c>
      <c r="J21" s="41">
        <f>IF(tblLines[[#This Row],[Recipe]]="","",IF(tblLines[[#This Row],[Line cost]]="","",IFERROR(tblLines[[#This Row],[Line cost]]/SUMIFS(tblLines[Line cost],tblLines[Recipe],tblLines[[#This Row],[Recipe]]),"")))</f>
        <v>0.0729076670103955</v>
      </c>
      <c r="K21" s="45">
        <f>IF(tblLines[[#This Row],[Recipe]]="","",IF(tblLines[[#This Row],[Line cost]]="","",tblLines[[#This Row],[Line cost]]*IFERROR(INDEX(tblRecipes[Batches per month],MATCH(tblLines[[#This Row],[Recipe]],tblRecipes[Recipe],0)),0)))</f>
        <v>261.6</v>
      </c>
      <c r="L21"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1" s="28" t="s">
        <v>85</v>
      </c>
    </row>
    <row r="22" spans="2:13" x14ac:dyDescent="0.25">
      <c r="B22" s="28" t="s">
        <v>141</v>
      </c>
      <c r="C22" s="28" t="s">
        <v>110</v>
      </c>
      <c r="D22" s="29">
        <v>3</v>
      </c>
      <c r="E22" s="28" t="s">
        <v>84</v>
      </c>
      <c r="F22" s="44">
        <f>IF(tblLines[[#This Row],[Recipe]]="","",IF(tblLines[[#This Row],[Unit]]="kg",tblLines[[#This Row],[Quantity]],IF(tblLines[[#This Row],[Unit]]="g",tblLines[[#This Row],[Quantity]]/1000,IF(tblLines[[#This Row],[Unit]]="lb",tblLines[[#This Row],[Quantity]]*0.45359237,IF(tblLines[[#This Row],[Unit]]="oz",tblLines[[#This Row],[Quantity]]*0.028349523125,"")))))</f>
        <v>3</v>
      </c>
      <c r="G22" s="36">
        <f>IF(tblLines[[#This Row],[Recipe]]="","",IFERROR(INDEX(tblIngredients[Price per kg],MATCH(tblLines[[#This Row],[Ingredient]],tblIngredients[Ingredient],0)),""))</f>
        <v>9.5</v>
      </c>
      <c r="H22" s="40">
        <f>IF(tblLines[[#This Row],[Recipe]]="","",IF(OR(tblLines[[#This Row],[Quantity (kg)]]="",tblLines[[#This Row],[Price per kg]]=""),"",tblLines[[#This Row],[Quantity (kg)]]*tblLines[[#This Row],[Price per kg]]))</f>
        <v>28.5</v>
      </c>
      <c r="I22" s="41">
        <f>IF(tblLines[[#This Row],[Recipe]]="","",IF(tblLines[[#This Row],[Quantity (kg)]]="","",IFERROR(tblLines[[#This Row],[Quantity (kg)]]/SUMIFS(tblLines[Quantity (kg)],tblLines[Recipe],tblLines[[#This Row],[Recipe]]),"")))</f>
        <v>0.0100092901486756</v>
      </c>
      <c r="J22" s="41">
        <f>IF(tblLines[[#This Row],[Recipe]]="","",IF(tblLines[[#This Row],[Line cost]]="","",IFERROR(tblLines[[#This Row],[Line cost]]/SUMIFS(tblLines[Line cost],tblLines[Recipe],tblLines[[#This Row],[Recipe]]),"")))</f>
        <v>0.0635433795044731</v>
      </c>
      <c r="K22" s="45">
        <f>IF(tblLines[[#This Row],[Recipe]]="","",IF(tblLines[[#This Row],[Line cost]]="","",tblLines[[#This Row],[Line cost]]*IFERROR(INDEX(tblRecipes[Batches per month],MATCH(tblLines[[#This Row],[Recipe]],tblRecipes[Recipe],0)),0)))</f>
        <v>228</v>
      </c>
      <c r="L22"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2" s="28" t="s">
        <v>85</v>
      </c>
    </row>
    <row r="23" spans="2:13" x14ac:dyDescent="0.25">
      <c r="B23" s="28" t="s">
        <v>141</v>
      </c>
      <c r="C23" s="28" t="s">
        <v>99</v>
      </c>
      <c r="D23" s="29">
        <v>4</v>
      </c>
      <c r="E23" s="28" t="s">
        <v>84</v>
      </c>
      <c r="F23" s="44">
        <f>IF(tblLines[[#This Row],[Recipe]]="","",IF(tblLines[[#This Row],[Unit]]="kg",tblLines[[#This Row],[Quantity]],IF(tblLines[[#This Row],[Unit]]="g",tblLines[[#This Row],[Quantity]]/1000,IF(tblLines[[#This Row],[Unit]]="lb",tblLines[[#This Row],[Quantity]]*0.45359237,IF(tblLines[[#This Row],[Unit]]="oz",tblLines[[#This Row],[Quantity]]*0.028349523125,"")))))</f>
        <v>4</v>
      </c>
      <c r="G23" s="36">
        <f>IF(tblLines[[#This Row],[Recipe]]="","",IFERROR(INDEX(tblIngredients[Price per kg],MATCH(tblLines[[#This Row],[Ingredient]],tblIngredients[Ingredient],0)),""))</f>
        <v>0.3</v>
      </c>
      <c r="H23" s="40">
        <f>IF(tblLines[[#This Row],[Recipe]]="","",IF(OR(tblLines[[#This Row],[Quantity (kg)]]="",tblLines[[#This Row],[Price per kg]]=""),"",tblLines[[#This Row],[Quantity (kg)]]*tblLines[[#This Row],[Price per kg]]))</f>
        <v>1.2</v>
      </c>
      <c r="I23" s="41">
        <f>IF(tblLines[[#This Row],[Recipe]]="","",IF(tblLines[[#This Row],[Quantity (kg)]]="","",IFERROR(tblLines[[#This Row],[Quantity (kg)]]/SUMIFS(tblLines[Quantity (kg)],tblLines[Recipe],tblLines[[#This Row],[Recipe]]),"")))</f>
        <v>0.0133457201982342</v>
      </c>
      <c r="J23" s="41">
        <f>IF(tblLines[[#This Row],[Recipe]]="","",IF(tblLines[[#This Row],[Line cost]]="","",IFERROR(tblLines[[#This Row],[Line cost]]/SUMIFS(tblLines[Line cost],tblLines[Recipe],tblLines[[#This Row],[Recipe]]),"")))</f>
        <v>0.00267551071597782</v>
      </c>
      <c r="K23" s="45">
        <f>IF(tblLines[[#This Row],[Recipe]]="","",IF(tblLines[[#This Row],[Line cost]]="","",tblLines[[#This Row],[Line cost]]*IFERROR(INDEX(tblRecipes[Batches per month],MATCH(tblLines[[#This Row],[Recipe]],tblRecipes[Recipe],0)),0)))</f>
        <v>9.6</v>
      </c>
      <c r="L23"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3" s="28" t="s">
        <v>85</v>
      </c>
    </row>
    <row r="24" spans="2:13" x14ac:dyDescent="0.25">
      <c r="B24" s="28" t="s">
        <v>141</v>
      </c>
      <c r="C24" s="28" t="s">
        <v>114</v>
      </c>
      <c r="D24" s="29">
        <v>45</v>
      </c>
      <c r="E24" s="28" t="s">
        <v>84</v>
      </c>
      <c r="F24" s="44">
        <f>IF(tblLines[[#This Row],[Recipe]]="","",IF(tblLines[[#This Row],[Unit]]="kg",tblLines[[#This Row],[Quantity]],IF(tblLines[[#This Row],[Unit]]="g",tblLines[[#This Row],[Quantity]]/1000,IF(tblLines[[#This Row],[Unit]]="lb",tblLines[[#This Row],[Quantity]]*0.45359237,IF(tblLines[[#This Row],[Unit]]="oz",tblLines[[#This Row],[Quantity]]*0.028349523125,"")))))</f>
        <v>45</v>
      </c>
      <c r="G24" s="36">
        <f>IF(tblLines[[#This Row],[Recipe]]="","",IFERROR(INDEX(tblIngredients[Price per kg],MATCH(tblLines[[#This Row],[Ingredient]],tblIngredients[Ingredient],0)),""))</f>
        <v>0.0025</v>
      </c>
      <c r="H24" s="40">
        <f>IF(tblLines[[#This Row],[Recipe]]="","",IF(OR(tblLines[[#This Row],[Quantity (kg)]]="",tblLines[[#This Row],[Price per kg]]=""),"",tblLines[[#This Row],[Quantity (kg)]]*tblLines[[#This Row],[Price per kg]]))</f>
        <v>0.1125</v>
      </c>
      <c r="I24" s="41">
        <f>IF(tblLines[[#This Row],[Recipe]]="","",IF(tblLines[[#This Row],[Quantity (kg)]]="","",IFERROR(tblLines[[#This Row],[Quantity (kg)]]/SUMIFS(tblLines[Quantity (kg)],tblLines[Recipe],tblLines[[#This Row],[Recipe]]),"")))</f>
        <v>0.150139352230135</v>
      </c>
      <c r="J24" s="41">
        <f>IF(tblLines[[#This Row],[Recipe]]="","",IF(tblLines[[#This Row],[Line cost]]="","",IFERROR(tblLines[[#This Row],[Line cost]]/SUMIFS(tblLines[Line cost],tblLines[Recipe],tblLines[[#This Row],[Recipe]]),"")))</f>
        <v>0.00025082912962292</v>
      </c>
      <c r="K24" s="45">
        <f>IF(tblLines[[#This Row],[Recipe]]="","",IF(tblLines[[#This Row],[Line cost]]="","",tblLines[[#This Row],[Line cost]]*IFERROR(INDEX(tblRecipes[Batches per month],MATCH(tblLines[[#This Row],[Recipe]],tblRecipes[Recipe],0)),0)))</f>
        <v>0.9</v>
      </c>
      <c r="L24"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4" s="28" t="s">
        <v>85</v>
      </c>
    </row>
    <row r="25" spans="2:13" x14ac:dyDescent="0.25">
      <c r="B25" s="28" t="s">
        <v>142</v>
      </c>
      <c r="C25" s="28" t="s">
        <v>94</v>
      </c>
      <c r="D25" s="29">
        <v>110</v>
      </c>
      <c r="E25" s="28" t="s">
        <v>84</v>
      </c>
      <c r="F25" s="44">
        <f>IF(tblLines[[#This Row],[Recipe]]="","",IF(tblLines[[#This Row],[Unit]]="kg",tblLines[[#This Row],[Quantity]],IF(tblLines[[#This Row],[Unit]]="g",tblLines[[#This Row],[Quantity]]/1000,IF(tblLines[[#This Row],[Unit]]="lb",tblLines[[#This Row],[Quantity]]*0.45359237,IF(tblLines[[#This Row],[Unit]]="oz",tblLines[[#This Row],[Quantity]]*0.028349523125,"")))))</f>
        <v>110</v>
      </c>
      <c r="G25" s="36">
        <f>IF(tblLines[[#This Row],[Recipe]]="","",IFERROR(INDEX(tblIngredients[Price per kg],MATCH(tblLines[[#This Row],[Ingredient]],tblIngredients[Ingredient],0)),""))</f>
        <v>1.9</v>
      </c>
      <c r="H25" s="40">
        <f>IF(tblLines[[#This Row],[Recipe]]="","",IF(OR(tblLines[[#This Row],[Quantity (kg)]]="",tblLines[[#This Row],[Price per kg]]=""),"",tblLines[[#This Row],[Quantity (kg)]]*tblLines[[#This Row],[Price per kg]]))</f>
        <v>209</v>
      </c>
      <c r="I25" s="41">
        <f>IF(tblLines[[#This Row],[Recipe]]="","",IF(tblLines[[#This Row],[Quantity (kg)]]="","",IFERROR(tblLines[[#This Row],[Quantity (kg)]]/SUMIFS(tblLines[Quantity (kg)],tblLines[Recipe],tblLines[[#This Row],[Recipe]]),"")))</f>
        <v>0.551633466405061</v>
      </c>
      <c r="J25" s="41">
        <f>IF(tblLines[[#This Row],[Recipe]]="","",IF(tblLines[[#This Row],[Line cost]]="","",IFERROR(tblLines[[#This Row],[Line cost]]/SUMIFS(tblLines[Line cost],tblLines[Recipe],tblLines[[#This Row],[Recipe]]),"")))</f>
        <v>0.305167404032882</v>
      </c>
      <c r="K25" s="45">
        <f>IF(tblLines[[#This Row],[Recipe]]="","",IF(tblLines[[#This Row],[Line cost]]="","",tblLines[[#This Row],[Line cost]]*IFERROR(INDEX(tblRecipes[Batches per month],MATCH(tblLines[[#This Row],[Recipe]],tblRecipes[Recipe],0)),0)))</f>
        <v>1254</v>
      </c>
      <c r="L25"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5" s="28" t="s">
        <v>85</v>
      </c>
    </row>
    <row r="26" spans="2:13" x14ac:dyDescent="0.25">
      <c r="B26" s="28" t="s">
        <v>142</v>
      </c>
      <c r="C26" s="28" t="s">
        <v>103</v>
      </c>
      <c r="D26" s="29">
        <v>24</v>
      </c>
      <c r="E26" s="28" t="s">
        <v>84</v>
      </c>
      <c r="F26" s="44">
        <f>IF(tblLines[[#This Row],[Recipe]]="","",IF(tblLines[[#This Row],[Unit]]="kg",tblLines[[#This Row],[Quantity]],IF(tblLines[[#This Row],[Unit]]="g",tblLines[[#This Row],[Quantity]]/1000,IF(tblLines[[#This Row],[Unit]]="lb",tblLines[[#This Row],[Quantity]]*0.45359237,IF(tblLines[[#This Row],[Unit]]="oz",tblLines[[#This Row],[Quantity]]*0.028349523125,"")))))</f>
        <v>24</v>
      </c>
      <c r="G26" s="36">
        <f>IF(tblLines[[#This Row],[Recipe]]="","",IFERROR(INDEX(tblIngredients[Price per kg],MATCH(tblLines[[#This Row],[Ingredient]],tblIngredients[Ingredient],0)),""))</f>
        <v>6.2</v>
      </c>
      <c r="H26" s="40">
        <f>IF(tblLines[[#This Row],[Recipe]]="","",IF(OR(tblLines[[#This Row],[Quantity (kg)]]="",tblLines[[#This Row],[Price per kg]]=""),"",tblLines[[#This Row],[Quantity (kg)]]*tblLines[[#This Row],[Price per kg]]))</f>
        <v>148.8</v>
      </c>
      <c r="I26" s="41">
        <f>IF(tblLines[[#This Row],[Recipe]]="","",IF(tblLines[[#This Row],[Quantity (kg)]]="","",IFERROR(tblLines[[#This Row],[Quantity (kg)]]/SUMIFS(tblLines[Quantity (kg)],tblLines[Recipe],tblLines[[#This Row],[Recipe]]),"")))</f>
        <v>0.120356392670195</v>
      </c>
      <c r="J26" s="41">
        <f>IF(tblLines[[#This Row],[Recipe]]="","",IF(tblLines[[#This Row],[Line cost]]="","",IFERROR(tblLines[[#This Row],[Line cost]]/SUMIFS(tblLines[Line cost],tblLines[Recipe],tblLines[[#This Row],[Recipe]]),"")))</f>
        <v>0.217267510622454</v>
      </c>
      <c r="K26" s="45">
        <f>IF(tblLines[[#This Row],[Recipe]]="","",IF(tblLines[[#This Row],[Line cost]]="","",tblLines[[#This Row],[Line cost]]*IFERROR(INDEX(tblRecipes[Batches per month],MATCH(tblLines[[#This Row],[Recipe]],tblRecipes[Recipe],0)),0)))</f>
        <v>892.8</v>
      </c>
      <c r="L26"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6" s="28" t="s">
        <v>85</v>
      </c>
    </row>
    <row r="27" spans="2:13" x14ac:dyDescent="0.25">
      <c r="B27" s="28" t="s">
        <v>142</v>
      </c>
      <c r="C27" s="28" t="s">
        <v>105</v>
      </c>
      <c r="D27" s="29">
        <v>30</v>
      </c>
      <c r="E27" s="28" t="s">
        <v>107</v>
      </c>
      <c r="F27" s="44">
        <f>IF(tblLines[[#This Row],[Recipe]]="","",IF(tblLines[[#This Row],[Unit]]="kg",tblLines[[#This Row],[Quantity]],IF(tblLines[[#This Row],[Unit]]="g",tblLines[[#This Row],[Quantity]]/1000,IF(tblLines[[#This Row],[Unit]]="lb",tblLines[[#This Row],[Quantity]]*0.45359237,IF(tblLines[[#This Row],[Unit]]="oz",tblLines[[#This Row],[Quantity]]*0.028349523125,"")))))</f>
        <v>13.6077711</v>
      </c>
      <c r="G27" s="36">
        <f>IF(tblLines[[#This Row],[Recipe]]="","",IFERROR(INDEX(tblIngredients[Price per kg],MATCH(tblLines[[#This Row],[Ingredient]],tblIngredients[Ingredient],0)),""))</f>
        <v>16.4905772114288</v>
      </c>
      <c r="H27" s="40">
        <f>IF(tblLines[[#This Row],[Recipe]]="","",IF(OR(tblLines[[#This Row],[Quantity (kg)]]="",tblLines[[#This Row],[Price per kg]]=""),"",tblLines[[#This Row],[Quantity (kg)]]*tblLines[[#This Row],[Price per kg]]))</f>
        <v>224.4</v>
      </c>
      <c r="I27" s="41">
        <f>IF(tblLines[[#This Row],[Recipe]]="","",IF(tblLines[[#This Row],[Quantity (kg)]]="","",IFERROR(tblLines[[#This Row],[Quantity (kg)]]/SUMIFS(tblLines[Quantity (kg)],tblLines[Recipe],tblLines[[#This Row],[Recipe]]),"")))</f>
        <v>0.0682409267449056</v>
      </c>
      <c r="J27" s="41">
        <f>IF(tblLines[[#This Row],[Recipe]]="","",IF(tblLines[[#This Row],[Line cost]]="","",IFERROR(tblLines[[#This Row],[Line cost]]/SUMIFS(tblLines[Line cost],tblLines[Recipe],tblLines[[#This Row],[Recipe]]),"")))</f>
        <v>0.32765342327741</v>
      </c>
      <c r="K27" s="45">
        <f>IF(tblLines[[#This Row],[Recipe]]="","",IF(tblLines[[#This Row],[Line cost]]="","",tblLines[[#This Row],[Line cost]]*IFERROR(INDEX(tblRecipes[Batches per month],MATCH(tblLines[[#This Row],[Recipe]],tblRecipes[Recipe],0)),0)))</f>
        <v>1346.4</v>
      </c>
      <c r="L27"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7" s="28" t="s">
        <v>85</v>
      </c>
    </row>
    <row r="28" spans="2:13" x14ac:dyDescent="0.25">
      <c r="B28" s="28" t="s">
        <v>142</v>
      </c>
      <c r="C28" s="28" t="s">
        <v>97</v>
      </c>
      <c r="D28" s="29">
        <v>14</v>
      </c>
      <c r="E28" s="28" t="s">
        <v>84</v>
      </c>
      <c r="F28" s="44">
        <f>IF(tblLines[[#This Row],[Recipe]]="","",IF(tblLines[[#This Row],[Unit]]="kg",tblLines[[#This Row],[Quantity]],IF(tblLines[[#This Row],[Unit]]="g",tblLines[[#This Row],[Quantity]]/1000,IF(tblLines[[#This Row],[Unit]]="lb",tblLines[[#This Row],[Quantity]]*0.45359237,IF(tblLines[[#This Row],[Unit]]="oz",tblLines[[#This Row],[Quantity]]*0.028349523125,"")))))</f>
        <v>14</v>
      </c>
      <c r="G28" s="36">
        <f>IF(tblLines[[#This Row],[Recipe]]="","",IFERROR(INDEX(tblIngredients[Price per kg],MATCH(tblLines[[#This Row],[Ingredient]],tblIngredients[Ingredient],0)),""))</f>
        <v>1.2</v>
      </c>
      <c r="H28" s="40">
        <f>IF(tblLines[[#This Row],[Recipe]]="","",IF(OR(tblLines[[#This Row],[Quantity (kg)]]="",tblLines[[#This Row],[Price per kg]]=""),"",tblLines[[#This Row],[Quantity (kg)]]*tblLines[[#This Row],[Price per kg]]))</f>
        <v>16.8</v>
      </c>
      <c r="I28" s="41">
        <f>IF(tblLines[[#This Row],[Recipe]]="","",IF(tblLines[[#This Row],[Quantity (kg)]]="","",IFERROR(tblLines[[#This Row],[Quantity (kg)]]/SUMIFS(tblLines[Quantity (kg)],tblLines[Recipe],tblLines[[#This Row],[Recipe]]),"")))</f>
        <v>0.0702078957242805</v>
      </c>
      <c r="J28" s="41">
        <f>IF(tblLines[[#This Row],[Recipe]]="","",IF(tblLines[[#This Row],[Line cost]]="","",IFERROR(tblLines[[#This Row],[Line cost]]/SUMIFS(tblLines[Line cost],tblLines[Recipe],tblLines[[#This Row],[Recipe]]),"")))</f>
        <v>0.0245302028122125</v>
      </c>
      <c r="K28" s="45">
        <f>IF(tblLines[[#This Row],[Recipe]]="","",IF(tblLines[[#This Row],[Line cost]]="","",tblLines[[#This Row],[Line cost]]*IFERROR(INDEX(tblRecipes[Batches per month],MATCH(tblLines[[#This Row],[Recipe]],tblRecipes[Recipe],0)),0)))</f>
        <v>100.8</v>
      </c>
      <c r="L28"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8" s="28" t="s">
        <v>85</v>
      </c>
    </row>
    <row r="29" spans="2:13" x14ac:dyDescent="0.25">
      <c r="B29" s="28" t="s">
        <v>142</v>
      </c>
      <c r="C29" s="28" t="s">
        <v>109</v>
      </c>
      <c r="D29" s="29">
        <v>3</v>
      </c>
      <c r="E29" s="28" t="s">
        <v>84</v>
      </c>
      <c r="F29" s="44">
        <f>IF(tblLines[[#This Row],[Recipe]]="","",IF(tblLines[[#This Row],[Unit]]="kg",tblLines[[#This Row],[Quantity]],IF(tblLines[[#This Row],[Unit]]="g",tblLines[[#This Row],[Quantity]]/1000,IF(tblLines[[#This Row],[Unit]]="lb",tblLines[[#This Row],[Quantity]]*0.45359237,IF(tblLines[[#This Row],[Unit]]="oz",tblLines[[#This Row],[Quantity]]*0.028349523125,"")))))</f>
        <v>3</v>
      </c>
      <c r="G29" s="36">
        <f>IF(tblLines[[#This Row],[Recipe]]="","",IFERROR(INDEX(tblIngredients[Price per kg],MATCH(tblLines[[#This Row],[Ingredient]],tblIngredients[Ingredient],0)),""))</f>
        <v>18</v>
      </c>
      <c r="H29" s="40">
        <f>IF(tblLines[[#This Row],[Recipe]]="","",IF(OR(tblLines[[#This Row],[Quantity (kg)]]="",tblLines[[#This Row],[Price per kg]]=""),"",tblLines[[#This Row],[Quantity (kg)]]*tblLines[[#This Row],[Price per kg]]))</f>
        <v>54</v>
      </c>
      <c r="I29" s="41">
        <f>IF(tblLines[[#This Row],[Recipe]]="","",IF(tblLines[[#This Row],[Quantity (kg)]]="","",IFERROR(tblLines[[#This Row],[Quantity (kg)]]/SUMIFS(tblLines[Quantity (kg)],tblLines[Recipe],tblLines[[#This Row],[Recipe]]),"")))</f>
        <v>0.0150445490837744</v>
      </c>
      <c r="J29" s="41">
        <f>IF(tblLines[[#This Row],[Recipe]]="","",IF(tblLines[[#This Row],[Line cost]]="","",IFERROR(tblLines[[#This Row],[Line cost]]/SUMIFS(tblLines[Line cost],tblLines[Recipe],tblLines[[#This Row],[Recipe]]),"")))</f>
        <v>0.078847080467826</v>
      </c>
      <c r="K29" s="45">
        <f>IF(tblLines[[#This Row],[Recipe]]="","",IF(tblLines[[#This Row],[Line cost]]="","",tblLines[[#This Row],[Line cost]]*IFERROR(INDEX(tblRecipes[Batches per month],MATCH(tblLines[[#This Row],[Recipe]],tblRecipes[Recipe],0)),0)))</f>
        <v>324</v>
      </c>
      <c r="L29"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29" s="28" t="s">
        <v>85</v>
      </c>
    </row>
    <row r="30" spans="2:13" x14ac:dyDescent="0.25">
      <c r="B30" s="28" t="s">
        <v>142</v>
      </c>
      <c r="C30" s="28" t="s">
        <v>88</v>
      </c>
      <c r="D30" s="29">
        <v>4</v>
      </c>
      <c r="E30" s="28" t="s">
        <v>84</v>
      </c>
      <c r="F30" s="44">
        <f>IF(tblLines[[#This Row],[Recipe]]="","",IF(tblLines[[#This Row],[Unit]]="kg",tblLines[[#This Row],[Quantity]],IF(tblLines[[#This Row],[Unit]]="g",tblLines[[#This Row],[Quantity]]/1000,IF(tblLines[[#This Row],[Unit]]="lb",tblLines[[#This Row],[Quantity]]*0.45359237,IF(tblLines[[#This Row],[Unit]]="oz",tblLines[[#This Row],[Quantity]]*0.028349523125,"")))))</f>
        <v>4</v>
      </c>
      <c r="G30" s="36">
        <f>IF(tblLines[[#This Row],[Recipe]]="","",IFERROR(INDEX(tblIngredients[Price per kg],MATCH(tblLines[[#This Row],[Ingredient]],tblIngredients[Ingredient],0)),""))</f>
        <v>4.2</v>
      </c>
      <c r="H30" s="40">
        <f>IF(tblLines[[#This Row],[Recipe]]="","",IF(OR(tblLines[[#This Row],[Quantity (kg)]]="",tblLines[[#This Row],[Price per kg]]=""),"",tblLines[[#This Row],[Quantity (kg)]]*tblLines[[#This Row],[Price per kg]]))</f>
        <v>16.8</v>
      </c>
      <c r="I30" s="41">
        <f>IF(tblLines[[#This Row],[Recipe]]="","",IF(tblLines[[#This Row],[Quantity (kg)]]="","",IFERROR(tblLines[[#This Row],[Quantity (kg)]]/SUMIFS(tblLines[Quantity (kg)],tblLines[Recipe],tblLines[[#This Row],[Recipe]]),"")))</f>
        <v>0.0200593987783659</v>
      </c>
      <c r="J30" s="41">
        <f>IF(tblLines[[#This Row],[Recipe]]="","",IF(tblLines[[#This Row],[Line cost]]="","",IFERROR(tblLines[[#This Row],[Line cost]]/SUMIFS(tblLines[Line cost],tblLines[Recipe],tblLines[[#This Row],[Recipe]]),"")))</f>
        <v>0.0245302028122125</v>
      </c>
      <c r="K30" s="45">
        <f>IF(tblLines[[#This Row],[Recipe]]="","",IF(tblLines[[#This Row],[Line cost]]="","",tblLines[[#This Row],[Line cost]]*IFERROR(INDEX(tblRecipes[Batches per month],MATCH(tblLines[[#This Row],[Recipe]],tblRecipes[Recipe],0)),0)))</f>
        <v>100.8</v>
      </c>
      <c r="L30"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0" s="28" t="s">
        <v>85</v>
      </c>
    </row>
    <row r="31" spans="2:13" x14ac:dyDescent="0.25">
      <c r="B31" s="28" t="s">
        <v>142</v>
      </c>
      <c r="C31" s="28" t="s">
        <v>99</v>
      </c>
      <c r="D31" s="29">
        <v>2</v>
      </c>
      <c r="E31" s="28" t="s">
        <v>84</v>
      </c>
      <c r="F31" s="44">
        <f>IF(tblLines[[#This Row],[Recipe]]="","",IF(tblLines[[#This Row],[Unit]]="kg",tblLines[[#This Row],[Quantity]],IF(tblLines[[#This Row],[Unit]]="g",tblLines[[#This Row],[Quantity]]/1000,IF(tblLines[[#This Row],[Unit]]="lb",tblLines[[#This Row],[Quantity]]*0.45359237,IF(tblLines[[#This Row],[Unit]]="oz",tblLines[[#This Row],[Quantity]]*0.028349523125,"")))))</f>
        <v>2</v>
      </c>
      <c r="G31" s="36">
        <f>IF(tblLines[[#This Row],[Recipe]]="","",IFERROR(INDEX(tblIngredients[Price per kg],MATCH(tblLines[[#This Row],[Ingredient]],tblIngredients[Ingredient],0)),""))</f>
        <v>0.3</v>
      </c>
      <c r="H31" s="40">
        <f>IF(tblLines[[#This Row],[Recipe]]="","",IF(OR(tblLines[[#This Row],[Quantity (kg)]]="",tblLines[[#This Row],[Price per kg]]=""),"",tblLines[[#This Row],[Quantity (kg)]]*tblLines[[#This Row],[Price per kg]]))</f>
        <v>0.6</v>
      </c>
      <c r="I31" s="41">
        <f>IF(tblLines[[#This Row],[Recipe]]="","",IF(tblLines[[#This Row],[Quantity (kg)]]="","",IFERROR(tblLines[[#This Row],[Quantity (kg)]]/SUMIFS(tblLines[Quantity (kg)],tblLines[Recipe],tblLines[[#This Row],[Recipe]]),"")))</f>
        <v>0.0100296993891829</v>
      </c>
      <c r="J31" s="41">
        <f>IF(tblLines[[#This Row],[Recipe]]="","",IF(tblLines[[#This Row],[Line cost]]="","",IFERROR(tblLines[[#This Row],[Line cost]]/SUMIFS(tblLines[Line cost],tblLines[Recipe],tblLines[[#This Row],[Recipe]]),"")))</f>
        <v>0.000876078671864733</v>
      </c>
      <c r="K31" s="45">
        <f>IF(tblLines[[#This Row],[Recipe]]="","",IF(tblLines[[#This Row],[Line cost]]="","",tblLines[[#This Row],[Line cost]]*IFERROR(INDEX(tblRecipes[Batches per month],MATCH(tblLines[[#This Row],[Recipe]],tblRecipes[Recipe],0)),0)))</f>
        <v>3.6</v>
      </c>
      <c r="L31"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1" s="28" t="s">
        <v>85</v>
      </c>
    </row>
    <row r="32" spans="2:13" x14ac:dyDescent="0.25">
      <c r="B32" s="28" t="s">
        <v>142</v>
      </c>
      <c r="C32" s="28" t="s">
        <v>113</v>
      </c>
      <c r="D32" s="29">
        <v>800</v>
      </c>
      <c r="E32" s="28" t="s">
        <v>156</v>
      </c>
      <c r="F32" s="44">
        <f>IF(tblLines[[#This Row],[Recipe]]="","",IF(tblLines[[#This Row],[Unit]]="kg",tblLines[[#This Row],[Quantity]],IF(tblLines[[#This Row],[Unit]]="g",tblLines[[#This Row],[Quantity]]/1000,IF(tblLines[[#This Row],[Unit]]="lb",tblLines[[#This Row],[Quantity]]*0.45359237,IF(tblLines[[#This Row],[Unit]]="oz",tblLines[[#This Row],[Quantity]]*0.028349523125,"")))))</f>
        <v>0.8</v>
      </c>
      <c r="G32" s="36">
        <f>IF(tblLines[[#This Row],[Recipe]]="","",IFERROR(INDEX(tblIngredients[Price per kg],MATCH(tblLines[[#This Row],[Ingredient]],tblIngredients[Ingredient],0)),""))</f>
        <v>18</v>
      </c>
      <c r="H32" s="40">
        <f>IF(tblLines[[#This Row],[Recipe]]="","",IF(OR(tblLines[[#This Row],[Quantity (kg)]]="",tblLines[[#This Row],[Price per kg]]=""),"",tblLines[[#This Row],[Quantity (kg)]]*tblLines[[#This Row],[Price per kg]]))</f>
        <v>14.4</v>
      </c>
      <c r="I32" s="41">
        <f>IF(tblLines[[#This Row],[Recipe]]="","",IF(tblLines[[#This Row],[Quantity (kg)]]="","",IFERROR(tblLines[[#This Row],[Quantity (kg)]]/SUMIFS(tblLines[Quantity (kg)],tblLines[Recipe],tblLines[[#This Row],[Recipe]]),"")))</f>
        <v>0.00401187975567317</v>
      </c>
      <c r="J32" s="41">
        <f>IF(tblLines[[#This Row],[Recipe]]="","",IF(tblLines[[#This Row],[Line cost]]="","",IFERROR(tblLines[[#This Row],[Line cost]]/SUMIFS(tblLines[Line cost],tblLines[Recipe],tblLines[[#This Row],[Recipe]]),"")))</f>
        <v>0.0210258881247536</v>
      </c>
      <c r="K32" s="45">
        <f>IF(tblLines[[#This Row],[Recipe]]="","",IF(tblLines[[#This Row],[Line cost]]="","",tblLines[[#This Row],[Line cost]]*IFERROR(INDEX(tblRecipes[Batches per month],MATCH(tblLines[[#This Row],[Recipe]],tblRecipes[Recipe],0)),0)))</f>
        <v>86.4</v>
      </c>
      <c r="L32"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2" s="28" t="s">
        <v>85</v>
      </c>
    </row>
    <row r="33" spans="2:13" x14ac:dyDescent="0.25">
      <c r="B33" s="28" t="s">
        <v>142</v>
      </c>
      <c r="C33" s="28" t="s">
        <v>114</v>
      </c>
      <c r="D33" s="29">
        <v>28</v>
      </c>
      <c r="E33" s="28" t="s">
        <v>84</v>
      </c>
      <c r="F33" s="44">
        <f>IF(tblLines[[#This Row],[Recipe]]="","",IF(tblLines[[#This Row],[Unit]]="kg",tblLines[[#This Row],[Quantity]],IF(tblLines[[#This Row],[Unit]]="g",tblLines[[#This Row],[Quantity]]/1000,IF(tblLines[[#This Row],[Unit]]="lb",tblLines[[#This Row],[Quantity]]*0.45359237,IF(tblLines[[#This Row],[Unit]]="oz",tblLines[[#This Row],[Quantity]]*0.028349523125,"")))))</f>
        <v>28</v>
      </c>
      <c r="G33" s="36">
        <f>IF(tblLines[[#This Row],[Recipe]]="","",IFERROR(INDEX(tblIngredients[Price per kg],MATCH(tblLines[[#This Row],[Ingredient]],tblIngredients[Ingredient],0)),""))</f>
        <v>0.0025</v>
      </c>
      <c r="H33" s="40">
        <f>IF(tblLines[[#This Row],[Recipe]]="","",IF(OR(tblLines[[#This Row],[Quantity (kg)]]="",tblLines[[#This Row],[Price per kg]]=""),"",tblLines[[#This Row],[Quantity (kg)]]*tblLines[[#This Row],[Price per kg]]))</f>
        <v>0.07</v>
      </c>
      <c r="I33" s="41">
        <f>IF(tblLines[[#This Row],[Recipe]]="","",IF(tblLines[[#This Row],[Quantity (kg)]]="","",IFERROR(tblLines[[#This Row],[Quantity (kg)]]/SUMIFS(tblLines[Quantity (kg)],tblLines[Recipe],tblLines[[#This Row],[Recipe]]),"")))</f>
        <v>0.140415791448561</v>
      </c>
      <c r="J33" s="41">
        <f>IF(tblLines[[#This Row],[Recipe]]="","",IF(tblLines[[#This Row],[Line cost]]="","",IFERROR(tblLines[[#This Row],[Line cost]]/SUMIFS(tblLines[Line cost],tblLines[Recipe],tblLines[[#This Row],[Recipe]]),"")))</f>
        <v>0.000102209178384219</v>
      </c>
      <c r="K33" s="45">
        <f>IF(tblLines[[#This Row],[Recipe]]="","",IF(tblLines[[#This Row],[Line cost]]="","",tblLines[[#This Row],[Line cost]]*IFERROR(INDEX(tblRecipes[Batches per month],MATCH(tblLines[[#This Row],[Recipe]],tblRecipes[Recipe],0)),0)))</f>
        <v>0.42</v>
      </c>
      <c r="L33"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3" s="28" t="s">
        <v>85</v>
      </c>
    </row>
    <row r="34" spans="2:13" x14ac:dyDescent="0.25">
      <c r="B34" s="28" t="s">
        <v>144</v>
      </c>
      <c r="C34" s="28" t="s">
        <v>95</v>
      </c>
      <c r="D34" s="29">
        <v>135</v>
      </c>
      <c r="E34" s="28" t="s">
        <v>84</v>
      </c>
      <c r="F34" s="44">
        <f>IF(tblLines[[#This Row],[Recipe]]="","",IF(tblLines[[#This Row],[Unit]]="kg",tblLines[[#This Row],[Quantity]],IF(tblLines[[#This Row],[Unit]]="g",tblLines[[#This Row],[Quantity]]/1000,IF(tblLines[[#This Row],[Unit]]="lb",tblLines[[#This Row],[Quantity]]*0.45359237,IF(tblLines[[#This Row],[Unit]]="oz",tblLines[[#This Row],[Quantity]]*0.028349523125,"")))))</f>
        <v>135</v>
      </c>
      <c r="G34" s="36">
        <f>IF(tblLines[[#This Row],[Recipe]]="","",IFERROR(INDEX(tblIngredients[Price per kg],MATCH(tblLines[[#This Row],[Ingredient]],tblIngredients[Ingredient],0)),""))</f>
        <v>0.95</v>
      </c>
      <c r="H34" s="40">
        <f>IF(tblLines[[#This Row],[Recipe]]="","",IF(OR(tblLines[[#This Row],[Quantity (kg)]]="",tblLines[[#This Row],[Price per kg]]=""),"",tblLines[[#This Row],[Quantity (kg)]]*tblLines[[#This Row],[Price per kg]]))</f>
        <v>128.25</v>
      </c>
      <c r="I34" s="41">
        <f>IF(tblLines[[#This Row],[Recipe]]="","",IF(tblLines[[#This Row],[Quantity (kg)]]="","",IFERROR(tblLines[[#This Row],[Quantity (kg)]]/SUMIFS(tblLines[Quantity (kg)],tblLines[Recipe],tblLines[[#This Row],[Recipe]]),"")))</f>
        <v>0.449700199866756</v>
      </c>
      <c r="J34" s="41">
        <f>IF(tblLines[[#This Row],[Recipe]]="","",IF(tblLines[[#This Row],[Line cost]]="","",IFERROR(tblLines[[#This Row],[Line cost]]/SUMIFS(tblLines[Line cost],tblLines[Recipe],tblLines[[#This Row],[Recipe]]),"")))</f>
        <v>0.436502871729419</v>
      </c>
      <c r="K34" s="45">
        <f>IF(tblLines[[#This Row],[Recipe]]="","",IF(tblLines[[#This Row],[Line cost]]="","",tblLines[[#This Row],[Line cost]]*IFERROR(INDEX(tblRecipes[Batches per month],MATCH(tblLines[[#This Row],[Recipe]],tblRecipes[Recipe],0)),0)))</f>
        <v>769.5</v>
      </c>
      <c r="L34"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4" s="28" t="s">
        <v>85</v>
      </c>
    </row>
    <row r="35" spans="2:13" x14ac:dyDescent="0.25">
      <c r="B35" s="28" t="s">
        <v>144</v>
      </c>
      <c r="C35" s="28" t="s">
        <v>114</v>
      </c>
      <c r="D35" s="29">
        <v>105</v>
      </c>
      <c r="E35" s="28" t="s">
        <v>84</v>
      </c>
      <c r="F35" s="44">
        <f>IF(tblLines[[#This Row],[Recipe]]="","",IF(tblLines[[#This Row],[Unit]]="kg",tblLines[[#This Row],[Quantity]],IF(tblLines[[#This Row],[Unit]]="g",tblLines[[#This Row],[Quantity]]/1000,IF(tblLines[[#This Row],[Unit]]="lb",tblLines[[#This Row],[Quantity]]*0.45359237,IF(tblLines[[#This Row],[Unit]]="oz",tblLines[[#This Row],[Quantity]]*0.028349523125,"")))))</f>
        <v>105</v>
      </c>
      <c r="G35" s="36">
        <f>IF(tblLines[[#This Row],[Recipe]]="","",IFERROR(INDEX(tblIngredients[Price per kg],MATCH(tblLines[[#This Row],[Ingredient]],tblIngredients[Ingredient],0)),""))</f>
        <v>0.0025</v>
      </c>
      <c r="H35" s="40">
        <f>IF(tblLines[[#This Row],[Recipe]]="","",IF(OR(tblLines[[#This Row],[Quantity (kg)]]="",tblLines[[#This Row],[Price per kg]]=""),"",tblLines[[#This Row],[Quantity (kg)]]*tblLines[[#This Row],[Price per kg]]))</f>
        <v>0.2625</v>
      </c>
      <c r="I35" s="41">
        <f>IF(tblLines[[#This Row],[Recipe]]="","",IF(tblLines[[#This Row],[Quantity (kg)]]="","",IFERROR(tblLines[[#This Row],[Quantity (kg)]]/SUMIFS(tblLines[Quantity (kg)],tblLines[Recipe],tblLines[[#This Row],[Recipe]]),"")))</f>
        <v>0.349766822118588</v>
      </c>
      <c r="J35" s="41">
        <f>IF(tblLines[[#This Row],[Recipe]]="","",IF(tblLines[[#This Row],[Line cost]]="","",IFERROR(tblLines[[#This Row],[Line cost]]/SUMIFS(tblLines[Line cost],tblLines[Recipe],tblLines[[#This Row],[Recipe]]),"")))</f>
        <v>0.000893426930440332</v>
      </c>
      <c r="K35" s="45">
        <f>IF(tblLines[[#This Row],[Recipe]]="","",IF(tblLines[[#This Row],[Line cost]]="","",tblLines[[#This Row],[Line cost]]*IFERROR(INDEX(tblRecipes[Batches per month],MATCH(tblLines[[#This Row],[Recipe]],tblRecipes[Recipe],0)),0)))</f>
        <v>1.575</v>
      </c>
      <c r="L35"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5" s="28" t="s">
        <v>85</v>
      </c>
    </row>
    <row r="36" spans="2:13" x14ac:dyDescent="0.25">
      <c r="B36" s="28" t="s">
        <v>144</v>
      </c>
      <c r="C36" s="28" t="s">
        <v>97</v>
      </c>
      <c r="D36" s="29">
        <v>36</v>
      </c>
      <c r="E36" s="28" t="s">
        <v>84</v>
      </c>
      <c r="F36" s="44">
        <f>IF(tblLines[[#This Row],[Recipe]]="","",IF(tblLines[[#This Row],[Unit]]="kg",tblLines[[#This Row],[Quantity]],IF(tblLines[[#This Row],[Unit]]="g",tblLines[[#This Row],[Quantity]]/1000,IF(tblLines[[#This Row],[Unit]]="lb",tblLines[[#This Row],[Quantity]]*0.45359237,IF(tblLines[[#This Row],[Unit]]="oz",tblLines[[#This Row],[Quantity]]*0.028349523125,"")))))</f>
        <v>36</v>
      </c>
      <c r="G36" s="36">
        <f>IF(tblLines[[#This Row],[Recipe]]="","",IFERROR(INDEX(tblIngredients[Price per kg],MATCH(tblLines[[#This Row],[Ingredient]],tblIngredients[Ingredient],0)),""))</f>
        <v>1.2</v>
      </c>
      <c r="H36" s="40">
        <f>IF(tblLines[[#This Row],[Recipe]]="","",IF(OR(tblLines[[#This Row],[Quantity (kg)]]="",tblLines[[#This Row],[Price per kg]]=""),"",tblLines[[#This Row],[Quantity (kg)]]*tblLines[[#This Row],[Price per kg]]))</f>
        <v>43.2</v>
      </c>
      <c r="I36" s="41">
        <f>IF(tblLines[[#This Row],[Recipe]]="","",IF(tblLines[[#This Row],[Quantity (kg)]]="","",IFERROR(tblLines[[#This Row],[Quantity (kg)]]/SUMIFS(tblLines[Quantity (kg)],tblLines[Recipe],tblLines[[#This Row],[Recipe]]),"")))</f>
        <v>0.119920053297801</v>
      </c>
      <c r="J36" s="41">
        <f>IF(tblLines[[#This Row],[Recipe]]="","",IF(tblLines[[#This Row],[Line cost]]="","",IFERROR(tblLines[[#This Row],[Line cost]]/SUMIFS(tblLines[Line cost],tblLines[Recipe],tblLines[[#This Row],[Recipe]]),"")))</f>
        <v>0.147032546266752</v>
      </c>
      <c r="K36" s="45">
        <f>IF(tblLines[[#This Row],[Recipe]]="","",IF(tblLines[[#This Row],[Line cost]]="","",tblLines[[#This Row],[Line cost]]*IFERROR(INDEX(tblRecipes[Batches per month],MATCH(tblLines[[#This Row],[Recipe]],tblRecipes[Recipe],0)),0)))</f>
        <v>259.2</v>
      </c>
      <c r="L36"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6" s="28" t="s">
        <v>85</v>
      </c>
    </row>
    <row r="37" spans="2:13" x14ac:dyDescent="0.25">
      <c r="B37" s="28" t="s">
        <v>144</v>
      </c>
      <c r="C37" s="28" t="s">
        <v>102</v>
      </c>
      <c r="D37" s="29">
        <v>12</v>
      </c>
      <c r="E37" s="28" t="s">
        <v>84</v>
      </c>
      <c r="F37" s="44">
        <f>IF(tblLines[[#This Row],[Recipe]]="","",IF(tblLines[[#This Row],[Unit]]="kg",tblLines[[#This Row],[Quantity]],IF(tblLines[[#This Row],[Unit]]="g",tblLines[[#This Row],[Quantity]]/1000,IF(tblLines[[#This Row],[Unit]]="lb",tblLines[[#This Row],[Quantity]]*0.45359237,IF(tblLines[[#This Row],[Unit]]="oz",tblLines[[#This Row],[Quantity]]*0.028349523125,"")))))</f>
        <v>12</v>
      </c>
      <c r="G37" s="36">
        <f>IF(tblLines[[#This Row],[Recipe]]="","",IFERROR(INDEX(tblIngredients[Price per kg],MATCH(tblLines[[#This Row],[Ingredient]],tblIngredients[Ingredient],0)),""))</f>
        <v>5.5</v>
      </c>
      <c r="H37" s="40">
        <f>IF(tblLines[[#This Row],[Recipe]]="","",IF(OR(tblLines[[#This Row],[Quantity (kg)]]="",tblLines[[#This Row],[Price per kg]]=""),"",tblLines[[#This Row],[Quantity (kg)]]*tblLines[[#This Row],[Price per kg]]))</f>
        <v>66</v>
      </c>
      <c r="I37" s="41">
        <f>IF(tblLines[[#This Row],[Recipe]]="","",IF(tblLines[[#This Row],[Quantity (kg)]]="","",IFERROR(tblLines[[#This Row],[Quantity (kg)]]/SUMIFS(tblLines[Quantity (kg)],tblLines[Recipe],tblLines[[#This Row],[Recipe]]),"")))</f>
        <v>0.0399733510992672</v>
      </c>
      <c r="J37" s="41">
        <f>IF(tblLines[[#This Row],[Recipe]]="","",IF(tblLines[[#This Row],[Line cost]]="","",IFERROR(tblLines[[#This Row],[Line cost]]/SUMIFS(tblLines[Line cost],tblLines[Recipe],tblLines[[#This Row],[Recipe]]),"")))</f>
        <v>0.224633056796426</v>
      </c>
      <c r="K37" s="45">
        <f>IF(tblLines[[#This Row],[Recipe]]="","",IF(tblLines[[#This Row],[Line cost]]="","",tblLines[[#This Row],[Line cost]]*IFERROR(INDEX(tblRecipes[Batches per month],MATCH(tblLines[[#This Row],[Recipe]],tblRecipes[Recipe],0)),0)))</f>
        <v>396</v>
      </c>
      <c r="L37"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7" s="28" t="s">
        <v>85</v>
      </c>
    </row>
    <row r="38" spans="2:13" x14ac:dyDescent="0.25">
      <c r="B38" s="28" t="s">
        <v>144</v>
      </c>
      <c r="C38" s="28" t="s">
        <v>88</v>
      </c>
      <c r="D38" s="29">
        <v>8</v>
      </c>
      <c r="E38" s="28" t="s">
        <v>84</v>
      </c>
      <c r="F38" s="44">
        <f>IF(tblLines[[#This Row],[Recipe]]="","",IF(tblLines[[#This Row],[Unit]]="kg",tblLines[[#This Row],[Quantity]],IF(tblLines[[#This Row],[Unit]]="g",tblLines[[#This Row],[Quantity]]/1000,IF(tblLines[[#This Row],[Unit]]="lb",tblLines[[#This Row],[Quantity]]*0.45359237,IF(tblLines[[#This Row],[Unit]]="oz",tblLines[[#This Row],[Quantity]]*0.028349523125,"")))))</f>
        <v>8</v>
      </c>
      <c r="G38" s="36">
        <f>IF(tblLines[[#This Row],[Recipe]]="","",IFERROR(INDEX(tblIngredients[Price per kg],MATCH(tblLines[[#This Row],[Ingredient]],tblIngredients[Ingredient],0)),""))</f>
        <v>4.2</v>
      </c>
      <c r="H38" s="40">
        <f>IF(tblLines[[#This Row],[Recipe]]="","",IF(OR(tblLines[[#This Row],[Quantity (kg)]]="",tblLines[[#This Row],[Price per kg]]=""),"",tblLines[[#This Row],[Quantity (kg)]]*tblLines[[#This Row],[Price per kg]]))</f>
        <v>33.6</v>
      </c>
      <c r="I38" s="41">
        <f>IF(tblLines[[#This Row],[Recipe]]="","",IF(tblLines[[#This Row],[Quantity (kg)]]="","",IFERROR(tblLines[[#This Row],[Quantity (kg)]]/SUMIFS(tblLines[Quantity (kg)],tblLines[Recipe],tblLines[[#This Row],[Recipe]]),"")))</f>
        <v>0.0266489007328448</v>
      </c>
      <c r="J38" s="41">
        <f>IF(tblLines[[#This Row],[Recipe]]="","",IF(tblLines[[#This Row],[Line cost]]="","",IFERROR(tblLines[[#This Row],[Line cost]]/SUMIFS(tblLines[Line cost],tblLines[Recipe],tblLines[[#This Row],[Recipe]]),"")))</f>
        <v>0.114358647096362</v>
      </c>
      <c r="K38" s="45">
        <f>IF(tblLines[[#This Row],[Recipe]]="","",IF(tblLines[[#This Row],[Line cost]]="","",tblLines[[#This Row],[Line cost]]*IFERROR(INDEX(tblRecipes[Batches per month],MATCH(tblLines[[#This Row],[Recipe]],tblRecipes[Recipe],0)),0)))</f>
        <v>201.6</v>
      </c>
      <c r="L38"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8" s="28" t="s">
        <v>85</v>
      </c>
    </row>
    <row r="39" spans="2:13" x14ac:dyDescent="0.25">
      <c r="B39" s="28" t="s">
        <v>144</v>
      </c>
      <c r="C39" s="28" t="s">
        <v>99</v>
      </c>
      <c r="D39" s="29">
        <v>3</v>
      </c>
      <c r="E39" s="28" t="s">
        <v>84</v>
      </c>
      <c r="F39" s="44">
        <f>IF(tblLines[[#This Row],[Recipe]]="","",IF(tblLines[[#This Row],[Unit]]="kg",tblLines[[#This Row],[Quantity]],IF(tblLines[[#This Row],[Unit]]="g",tblLines[[#This Row],[Quantity]]/1000,IF(tblLines[[#This Row],[Unit]]="lb",tblLines[[#This Row],[Quantity]]*0.45359237,IF(tblLines[[#This Row],[Unit]]="oz",tblLines[[#This Row],[Quantity]]*0.028349523125,"")))))</f>
        <v>3</v>
      </c>
      <c r="G39" s="36">
        <f>IF(tblLines[[#This Row],[Recipe]]="","",IFERROR(INDEX(tblIngredients[Price per kg],MATCH(tblLines[[#This Row],[Ingredient]],tblIngredients[Ingredient],0)),""))</f>
        <v>0.3</v>
      </c>
      <c r="H39" s="40">
        <f>IF(tblLines[[#This Row],[Recipe]]="","",IF(OR(tblLines[[#This Row],[Quantity (kg)]]="",tblLines[[#This Row],[Price per kg]]=""),"",tblLines[[#This Row],[Quantity (kg)]]*tblLines[[#This Row],[Price per kg]]))</f>
        <v>0.9</v>
      </c>
      <c r="I39" s="41">
        <f>IF(tblLines[[#This Row],[Recipe]]="","",IF(tblLines[[#This Row],[Quantity (kg)]]="","",IFERROR(tblLines[[#This Row],[Quantity (kg)]]/SUMIFS(tblLines[Quantity (kg)],tblLines[Recipe],tblLines[[#This Row],[Recipe]]),"")))</f>
        <v>0.00999333777481679</v>
      </c>
      <c r="J39" s="41">
        <f>IF(tblLines[[#This Row],[Recipe]]="","",IF(tblLines[[#This Row],[Line cost]]="","",IFERROR(tblLines[[#This Row],[Line cost]]/SUMIFS(tblLines[Line cost],tblLines[Recipe],tblLines[[#This Row],[Recipe]]),"")))</f>
        <v>0.00306317804722399</v>
      </c>
      <c r="K39" s="45">
        <f>IF(tblLines[[#This Row],[Recipe]]="","",IF(tblLines[[#This Row],[Line cost]]="","",tblLines[[#This Row],[Line cost]]*IFERROR(INDEX(tblRecipes[Batches per month],MATCH(tblLines[[#This Row],[Recipe]],tblRecipes[Recipe],0)),0)))</f>
        <v>5.4</v>
      </c>
      <c r="L39"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39" s="28" t="s">
        <v>85</v>
      </c>
    </row>
    <row r="40" spans="2:13" x14ac:dyDescent="0.25">
      <c r="B40" s="28" t="s">
        <v>144</v>
      </c>
      <c r="C40" s="28" t="s">
        <v>113</v>
      </c>
      <c r="D40" s="29">
        <v>1200</v>
      </c>
      <c r="E40" s="28" t="s">
        <v>156</v>
      </c>
      <c r="F40" s="44">
        <f>IF(tblLines[[#This Row],[Recipe]]="","",IF(tblLines[[#This Row],[Unit]]="kg",tblLines[[#This Row],[Quantity]],IF(tblLines[[#This Row],[Unit]]="g",tblLines[[#This Row],[Quantity]]/1000,IF(tblLines[[#This Row],[Unit]]="lb",tblLines[[#This Row],[Quantity]]*0.45359237,IF(tblLines[[#This Row],[Unit]]="oz",tblLines[[#This Row],[Quantity]]*0.028349523125,"")))))</f>
        <v>1.2</v>
      </c>
      <c r="G40" s="36">
        <f>IF(tblLines[[#This Row],[Recipe]]="","",IFERROR(INDEX(tblIngredients[Price per kg],MATCH(tblLines[[#This Row],[Ingredient]],tblIngredients[Ingredient],0)),""))</f>
        <v>18</v>
      </c>
      <c r="H40" s="40">
        <f>IF(tblLines[[#This Row],[Recipe]]="","",IF(OR(tblLines[[#This Row],[Quantity (kg)]]="",tblLines[[#This Row],[Price per kg]]=""),"",tblLines[[#This Row],[Quantity (kg)]]*tblLines[[#This Row],[Price per kg]]))</f>
        <v>21.6</v>
      </c>
      <c r="I40" s="41">
        <f>IF(tblLines[[#This Row],[Recipe]]="","",IF(tblLines[[#This Row],[Quantity (kg)]]="","",IFERROR(tblLines[[#This Row],[Quantity (kg)]]/SUMIFS(tblLines[Quantity (kg)],tblLines[Recipe],tblLines[[#This Row],[Recipe]]),"")))</f>
        <v>0.00399733510992672</v>
      </c>
      <c r="J40" s="41">
        <f>IF(tblLines[[#This Row],[Recipe]]="","",IF(tblLines[[#This Row],[Line cost]]="","",IFERROR(tblLines[[#This Row],[Line cost]]/SUMIFS(tblLines[Line cost],tblLines[Recipe],tblLines[[#This Row],[Recipe]]),"")))</f>
        <v>0.0735162731333759</v>
      </c>
      <c r="K40" s="45">
        <f>IF(tblLines[[#This Row],[Recipe]]="","",IF(tblLines[[#This Row],[Line cost]]="","",tblLines[[#This Row],[Line cost]]*IFERROR(INDEX(tblRecipes[Batches per month],MATCH(tblLines[[#This Row],[Recipe]],tblRecipes[Recipe],0)),0)))</f>
        <v>129.6</v>
      </c>
      <c r="L40"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0" s="28" t="s">
        <v>85</v>
      </c>
    </row>
    <row r="41" spans="2:13" x14ac:dyDescent="0.25">
      <c r="B41" s="28" t="s">
        <v>145</v>
      </c>
      <c r="C41" s="28" t="s">
        <v>100</v>
      </c>
      <c r="D41" s="29">
        <v>140</v>
      </c>
      <c r="E41" s="28" t="s">
        <v>84</v>
      </c>
      <c r="F41" s="44">
        <f>IF(tblLines[[#This Row],[Recipe]]="","",IF(tblLines[[#This Row],[Unit]]="kg",tblLines[[#This Row],[Quantity]],IF(tblLines[[#This Row],[Unit]]="g",tblLines[[#This Row],[Quantity]]/1000,IF(tblLines[[#This Row],[Unit]]="lb",tblLines[[#This Row],[Quantity]]*0.45359237,IF(tblLines[[#This Row],[Unit]]="oz",tblLines[[#This Row],[Quantity]]*0.028349523125,"")))))</f>
        <v>140</v>
      </c>
      <c r="G41" s="36">
        <f>IF(tblLines[[#This Row],[Recipe]]="","",IFERROR(INDEX(tblIngredients[Price per kg],MATCH(tblLines[[#This Row],[Ingredient]],tblIngredients[Ingredient],0)),""))</f>
        <v>2.6</v>
      </c>
      <c r="H41" s="40">
        <f>IF(tblLines[[#This Row],[Recipe]]="","",IF(OR(tblLines[[#This Row],[Quantity (kg)]]="",tblLines[[#This Row],[Price per kg]]=""),"",tblLines[[#This Row],[Quantity (kg)]]*tblLines[[#This Row],[Price per kg]]))</f>
        <v>364</v>
      </c>
      <c r="I41" s="41">
        <f>IF(tblLines[[#This Row],[Recipe]]="","",IF(tblLines[[#This Row],[Quantity (kg)]]="","",IFERROR(tblLines[[#This Row],[Quantity (kg)]]/SUMIFS(tblLines[Quantity (kg)],tblLines[Recipe],tblLines[[#This Row],[Recipe]]),"")))</f>
        <v>0.555555555555556</v>
      </c>
      <c r="J41" s="41">
        <f>IF(tblLines[[#This Row],[Recipe]]="","",IF(tblLines[[#This Row],[Line cost]]="","",IFERROR(tblLines[[#This Row],[Line cost]]/SUMIFS(tblLines[Line cost],tblLines[Recipe],tblLines[[#This Row],[Recipe]]),"")))</f>
        <v>0.714987232370851</v>
      </c>
      <c r="K41" s="45">
        <f>IF(tblLines[[#This Row],[Recipe]]="","",IF(tblLines[[#This Row],[Line cost]]="","",tblLines[[#This Row],[Line cost]]*IFERROR(INDEX(tblRecipes[Batches per month],MATCH(tblLines[[#This Row],[Recipe]],tblRecipes[Recipe],0)),0)))</f>
        <v>1456</v>
      </c>
      <c r="L41"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1" s="28" t="s">
        <v>85</v>
      </c>
    </row>
    <row r="42" spans="2:13" x14ac:dyDescent="0.25">
      <c r="B42" s="28" t="s">
        <v>145</v>
      </c>
      <c r="C42" s="28" t="s">
        <v>95</v>
      </c>
      <c r="D42" s="29">
        <v>70</v>
      </c>
      <c r="E42" s="28" t="s">
        <v>84</v>
      </c>
      <c r="F42" s="44">
        <f>IF(tblLines[[#This Row],[Recipe]]="","",IF(tblLines[[#This Row],[Unit]]="kg",tblLines[[#This Row],[Quantity]],IF(tblLines[[#This Row],[Unit]]="g",tblLines[[#This Row],[Quantity]]/1000,IF(tblLines[[#This Row],[Unit]]="lb",tblLines[[#This Row],[Quantity]]*0.45359237,IF(tblLines[[#This Row],[Unit]]="oz",tblLines[[#This Row],[Quantity]]*0.028349523125,"")))))</f>
        <v>70</v>
      </c>
      <c r="G42" s="36">
        <f>IF(tblLines[[#This Row],[Recipe]]="","",IFERROR(INDEX(tblIngredients[Price per kg],MATCH(tblLines[[#This Row],[Ingredient]],tblIngredients[Ingredient],0)),""))</f>
        <v>0.95</v>
      </c>
      <c r="H42" s="40">
        <f>IF(tblLines[[#This Row],[Recipe]]="","",IF(OR(tblLines[[#This Row],[Quantity (kg)]]="",tblLines[[#This Row],[Price per kg]]=""),"",tblLines[[#This Row],[Quantity (kg)]]*tblLines[[#This Row],[Price per kg]]))</f>
        <v>66.5</v>
      </c>
      <c r="I42" s="41">
        <f>IF(tblLines[[#This Row],[Recipe]]="","",IF(tblLines[[#This Row],[Quantity (kg)]]="","",IFERROR(tblLines[[#This Row],[Quantity (kg)]]/SUMIFS(tblLines[Quantity (kg)],tblLines[Recipe],tblLines[[#This Row],[Recipe]]),"")))</f>
        <v>0.277777777777778</v>
      </c>
      <c r="J42" s="41">
        <f>IF(tblLines[[#This Row],[Recipe]]="","",IF(tblLines[[#This Row],[Line cost]]="","",IFERROR(tblLines[[#This Row],[Line cost]]/SUMIFS(tblLines[Line cost],tblLines[Recipe],tblLines[[#This Row],[Recipe]]),"")))</f>
        <v>0.130622667452367</v>
      </c>
      <c r="K42" s="45">
        <f>IF(tblLines[[#This Row],[Recipe]]="","",IF(tblLines[[#This Row],[Line cost]]="","",tblLines[[#This Row],[Line cost]]*IFERROR(INDEX(tblRecipes[Batches per month],MATCH(tblLines[[#This Row],[Recipe]],tblRecipes[Recipe],0)),0)))</f>
        <v>266</v>
      </c>
      <c r="L42"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2" s="28" t="s">
        <v>85</v>
      </c>
    </row>
    <row r="43" spans="2:13" x14ac:dyDescent="0.25">
      <c r="B43" s="28" t="s">
        <v>145</v>
      </c>
      <c r="C43" s="28" t="s">
        <v>97</v>
      </c>
      <c r="D43" s="29">
        <v>25</v>
      </c>
      <c r="E43" s="28" t="s">
        <v>84</v>
      </c>
      <c r="F43" s="44">
        <f>IF(tblLines[[#This Row],[Recipe]]="","",IF(tblLines[[#This Row],[Unit]]="kg",tblLines[[#This Row],[Quantity]],IF(tblLines[[#This Row],[Unit]]="g",tblLines[[#This Row],[Quantity]]/1000,IF(tblLines[[#This Row],[Unit]]="lb",tblLines[[#This Row],[Quantity]]*0.45359237,IF(tblLines[[#This Row],[Unit]]="oz",tblLines[[#This Row],[Quantity]]*0.028349523125,"")))))</f>
        <v>25</v>
      </c>
      <c r="G43" s="36">
        <f>IF(tblLines[[#This Row],[Recipe]]="","",IFERROR(INDEX(tblIngredients[Price per kg],MATCH(tblLines[[#This Row],[Ingredient]],tblIngredients[Ingredient],0)),""))</f>
        <v>1.2</v>
      </c>
      <c r="H43" s="40">
        <f>IF(tblLines[[#This Row],[Recipe]]="","",IF(OR(tblLines[[#This Row],[Quantity (kg)]]="",tblLines[[#This Row],[Price per kg]]=""),"",tblLines[[#This Row],[Quantity (kg)]]*tblLines[[#This Row],[Price per kg]]))</f>
        <v>30</v>
      </c>
      <c r="I43" s="41">
        <f>IF(tblLines[[#This Row],[Recipe]]="","",IF(tblLines[[#This Row],[Quantity (kg)]]="","",IFERROR(tblLines[[#This Row],[Quantity (kg)]]/SUMIFS(tblLines[Quantity (kg)],tblLines[Recipe],tblLines[[#This Row],[Recipe]]),"")))</f>
        <v>0.0992063492063492</v>
      </c>
      <c r="J43" s="41">
        <f>IF(tblLines[[#This Row],[Recipe]]="","",IF(tblLines[[#This Row],[Line cost]]="","",IFERROR(tblLines[[#This Row],[Line cost]]/SUMIFS(tblLines[Line cost],tblLines[Recipe],tblLines[[#This Row],[Recipe]]),"")))</f>
        <v>0.0589275191514437</v>
      </c>
      <c r="K43" s="45">
        <f>IF(tblLines[[#This Row],[Recipe]]="","",IF(tblLines[[#This Row],[Line cost]]="","",tblLines[[#This Row],[Line cost]]*IFERROR(INDEX(tblRecipes[Batches per month],MATCH(tblLines[[#This Row],[Recipe]],tblRecipes[Recipe],0)),0)))</f>
        <v>120</v>
      </c>
      <c r="L43"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3" s="28" t="s">
        <v>85</v>
      </c>
    </row>
    <row r="44" spans="2:13" x14ac:dyDescent="0.25">
      <c r="B44" s="28" t="s">
        <v>145</v>
      </c>
      <c r="C44" s="28" t="s">
        <v>87</v>
      </c>
      <c r="D44" s="29">
        <v>10</v>
      </c>
      <c r="E44" s="28" t="s">
        <v>84</v>
      </c>
      <c r="F44" s="44">
        <f>IF(tblLines[[#This Row],[Recipe]]="","",IF(tblLines[[#This Row],[Unit]]="kg",tblLines[[#This Row],[Quantity]],IF(tblLines[[#This Row],[Unit]]="g",tblLines[[#This Row],[Quantity]]/1000,IF(tblLines[[#This Row],[Unit]]="lb",tblLines[[#This Row],[Quantity]]*0.45359237,IF(tblLines[[#This Row],[Unit]]="oz",tblLines[[#This Row],[Quantity]]*0.028349523125,"")))))</f>
        <v>10</v>
      </c>
      <c r="G44" s="36">
        <f>IF(tblLines[[#This Row],[Recipe]]="","",IFERROR(INDEX(tblIngredients[Price per kg],MATCH(tblLines[[#This Row],[Ingredient]],tblIngredients[Ingredient],0)),""))</f>
        <v>0.85</v>
      </c>
      <c r="H44" s="40">
        <f>IF(tblLines[[#This Row],[Recipe]]="","",IF(OR(tblLines[[#This Row],[Quantity (kg)]]="",tblLines[[#This Row],[Price per kg]]=""),"",tblLines[[#This Row],[Quantity (kg)]]*tblLines[[#This Row],[Price per kg]]))</f>
        <v>8.5</v>
      </c>
      <c r="I44" s="41">
        <f>IF(tblLines[[#This Row],[Recipe]]="","",IF(tblLines[[#This Row],[Quantity (kg)]]="","",IFERROR(tblLines[[#This Row],[Quantity (kg)]]/SUMIFS(tblLines[Quantity (kg)],tblLines[Recipe],tblLines[[#This Row],[Recipe]]),"")))</f>
        <v>0.0396825396825397</v>
      </c>
      <c r="J44" s="41">
        <f>IF(tblLines[[#This Row],[Recipe]]="","",IF(tblLines[[#This Row],[Line cost]]="","",IFERROR(tblLines[[#This Row],[Line cost]]/SUMIFS(tblLines[Line cost],tblLines[Recipe],tblLines[[#This Row],[Recipe]]),"")))</f>
        <v>0.0166961304262424</v>
      </c>
      <c r="K44" s="45">
        <f>IF(tblLines[[#This Row],[Recipe]]="","",IF(tblLines[[#This Row],[Line cost]]="","",tblLines[[#This Row],[Line cost]]*IFERROR(INDEX(tblRecipes[Batches per month],MATCH(tblLines[[#This Row],[Recipe]],tblRecipes[Recipe],0)),0)))</f>
        <v>34</v>
      </c>
      <c r="L44"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4" s="28" t="s">
        <v>85</v>
      </c>
    </row>
    <row r="45" spans="2:13" x14ac:dyDescent="0.25">
      <c r="B45" s="28" t="s">
        <v>145</v>
      </c>
      <c r="C45" s="28" t="s">
        <v>110</v>
      </c>
      <c r="D45" s="29">
        <v>3</v>
      </c>
      <c r="E45" s="28" t="s">
        <v>84</v>
      </c>
      <c r="F45" s="44">
        <f>IF(tblLines[[#This Row],[Recipe]]="","",IF(tblLines[[#This Row],[Unit]]="kg",tblLines[[#This Row],[Quantity]],IF(tblLines[[#This Row],[Unit]]="g",tblLines[[#This Row],[Quantity]]/1000,IF(tblLines[[#This Row],[Unit]]="lb",tblLines[[#This Row],[Quantity]]*0.45359237,IF(tblLines[[#This Row],[Unit]]="oz",tblLines[[#This Row],[Quantity]]*0.028349523125,"")))))</f>
        <v>3</v>
      </c>
      <c r="G45" s="36">
        <f>IF(tblLines[[#This Row],[Recipe]]="","",IFERROR(INDEX(tblIngredients[Price per kg],MATCH(tblLines[[#This Row],[Ingredient]],tblIngredients[Ingredient],0)),""))</f>
        <v>9.5</v>
      </c>
      <c r="H45" s="40">
        <f>IF(tblLines[[#This Row],[Recipe]]="","",IF(OR(tblLines[[#This Row],[Quantity (kg)]]="",tblLines[[#This Row],[Price per kg]]=""),"",tblLines[[#This Row],[Quantity (kg)]]*tblLines[[#This Row],[Price per kg]]))</f>
        <v>28.5</v>
      </c>
      <c r="I45" s="41">
        <f>IF(tblLines[[#This Row],[Recipe]]="","",IF(tblLines[[#This Row],[Quantity (kg)]]="","",IFERROR(tblLines[[#This Row],[Quantity (kg)]]/SUMIFS(tblLines[Quantity (kg)],tblLines[Recipe],tblLines[[#This Row],[Recipe]]),"")))</f>
        <v>0.0119047619047619</v>
      </c>
      <c r="J45" s="41">
        <f>IF(tblLines[[#This Row],[Recipe]]="","",IF(tblLines[[#This Row],[Line cost]]="","",IFERROR(tblLines[[#This Row],[Line cost]]/SUMIFS(tblLines[Line cost],tblLines[Recipe],tblLines[[#This Row],[Recipe]]),"")))</f>
        <v>0.0559811431938715</v>
      </c>
      <c r="K45" s="45">
        <f>IF(tblLines[[#This Row],[Recipe]]="","",IF(tblLines[[#This Row],[Line cost]]="","",tblLines[[#This Row],[Line cost]]*IFERROR(INDEX(tblRecipes[Batches per month],MATCH(tblLines[[#This Row],[Recipe]],tblRecipes[Recipe],0)),0)))</f>
        <v>114</v>
      </c>
      <c r="L45"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5" s="28" t="s">
        <v>85</v>
      </c>
    </row>
    <row r="46" spans="2:13" x14ac:dyDescent="0.25">
      <c r="B46" s="28" t="s">
        <v>145</v>
      </c>
      <c r="C46" s="28" t="s">
        <v>102</v>
      </c>
      <c r="D46" s="29">
        <v>2</v>
      </c>
      <c r="E46" s="28" t="s">
        <v>84</v>
      </c>
      <c r="F46" s="44">
        <f>IF(tblLines[[#This Row],[Recipe]]="","",IF(tblLines[[#This Row],[Unit]]="kg",tblLines[[#This Row],[Quantity]],IF(tblLines[[#This Row],[Unit]]="g",tblLines[[#This Row],[Quantity]]/1000,IF(tblLines[[#This Row],[Unit]]="lb",tblLines[[#This Row],[Quantity]]*0.45359237,IF(tblLines[[#This Row],[Unit]]="oz",tblLines[[#This Row],[Quantity]]*0.028349523125,"")))))</f>
        <v>2</v>
      </c>
      <c r="G46" s="36">
        <f>IF(tblLines[[#This Row],[Recipe]]="","",IFERROR(INDEX(tblIngredients[Price per kg],MATCH(tblLines[[#This Row],[Ingredient]],tblIngredients[Ingredient],0)),""))</f>
        <v>5.5</v>
      </c>
      <c r="H46" s="40">
        <f>IF(tblLines[[#This Row],[Recipe]]="","",IF(OR(tblLines[[#This Row],[Quantity (kg)]]="",tblLines[[#This Row],[Price per kg]]=""),"",tblLines[[#This Row],[Quantity (kg)]]*tblLines[[#This Row],[Price per kg]]))</f>
        <v>11</v>
      </c>
      <c r="I46" s="41">
        <f>IF(tblLines[[#This Row],[Recipe]]="","",IF(tblLines[[#This Row],[Quantity (kg)]]="","",IFERROR(tblLines[[#This Row],[Quantity (kg)]]/SUMIFS(tblLines[Quantity (kg)],tblLines[Recipe],tblLines[[#This Row],[Recipe]]),"")))</f>
        <v>0.00793650793650794</v>
      </c>
      <c r="J46" s="41">
        <f>IF(tblLines[[#This Row],[Recipe]]="","",IF(tblLines[[#This Row],[Line cost]]="","",IFERROR(tblLines[[#This Row],[Line cost]]/SUMIFS(tblLines[Line cost],tblLines[Recipe],tblLines[[#This Row],[Recipe]]),"")))</f>
        <v>0.021606757022196</v>
      </c>
      <c r="K46" s="45">
        <f>IF(tblLines[[#This Row],[Recipe]]="","",IF(tblLines[[#This Row],[Line cost]]="","",tblLines[[#This Row],[Line cost]]*IFERROR(INDEX(tblRecipes[Batches per month],MATCH(tblLines[[#This Row],[Recipe]],tblRecipes[Recipe],0)),0)))</f>
        <v>44</v>
      </c>
      <c r="L46"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6" s="28" t="s">
        <v>85</v>
      </c>
    </row>
    <row r="47" spans="2:13" x14ac:dyDescent="0.25">
      <c r="B47" s="28" t="s">
        <v>145</v>
      </c>
      <c r="C47" s="28" t="s">
        <v>99</v>
      </c>
      <c r="D47" s="29">
        <v>2</v>
      </c>
      <c r="E47" s="28" t="s">
        <v>84</v>
      </c>
      <c r="F47" s="44">
        <f>IF(tblLines[[#This Row],[Recipe]]="","",IF(tblLines[[#This Row],[Unit]]="kg",tblLines[[#This Row],[Quantity]],IF(tblLines[[#This Row],[Unit]]="g",tblLines[[#This Row],[Quantity]]/1000,IF(tblLines[[#This Row],[Unit]]="lb",tblLines[[#This Row],[Quantity]]*0.45359237,IF(tblLines[[#This Row],[Unit]]="oz",tblLines[[#This Row],[Quantity]]*0.028349523125,"")))))</f>
        <v>2</v>
      </c>
      <c r="G47" s="36">
        <f>IF(tblLines[[#This Row],[Recipe]]="","",IFERROR(INDEX(tblIngredients[Price per kg],MATCH(tblLines[[#This Row],[Ingredient]],tblIngredients[Ingredient],0)),""))</f>
        <v>0.3</v>
      </c>
      <c r="H47" s="40">
        <f>IF(tblLines[[#This Row],[Recipe]]="","",IF(OR(tblLines[[#This Row],[Quantity (kg)]]="",tblLines[[#This Row],[Price per kg]]=""),"",tblLines[[#This Row],[Quantity (kg)]]*tblLines[[#This Row],[Price per kg]]))</f>
        <v>0.6</v>
      </c>
      <c r="I47" s="41">
        <f>IF(tblLines[[#This Row],[Recipe]]="","",IF(tblLines[[#This Row],[Quantity (kg)]]="","",IFERROR(tblLines[[#This Row],[Quantity (kg)]]/SUMIFS(tblLines[Quantity (kg)],tblLines[Recipe],tblLines[[#This Row],[Recipe]]),"")))</f>
        <v>0.00793650793650794</v>
      </c>
      <c r="J47" s="41">
        <f>IF(tblLines[[#This Row],[Recipe]]="","",IF(tblLines[[#This Row],[Line cost]]="","",IFERROR(tblLines[[#This Row],[Line cost]]/SUMIFS(tblLines[Line cost],tblLines[Recipe],tblLines[[#This Row],[Recipe]]),"")))</f>
        <v>0.00117855038302887</v>
      </c>
      <c r="K47" s="45">
        <f>IF(tblLines[[#This Row],[Recipe]]="","",IF(tblLines[[#This Row],[Line cost]]="","",tblLines[[#This Row],[Line cost]]*IFERROR(INDEX(tblRecipes[Batches per month],MATCH(tblLines[[#This Row],[Recipe]],tblRecipes[Recipe],0)),0)))</f>
        <v>2.4</v>
      </c>
      <c r="L47"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7" s="28" t="s">
        <v>85</v>
      </c>
    </row>
    <row r="48" spans="2:13" x14ac:dyDescent="0.25">
      <c r="B48" s="28" t="s">
        <v>147</v>
      </c>
      <c r="C48" s="28" t="s">
        <v>94</v>
      </c>
      <c r="D48" s="29">
        <v>95</v>
      </c>
      <c r="E48" s="28" t="s">
        <v>84</v>
      </c>
      <c r="F48" s="44">
        <f>IF(tblLines[[#This Row],[Recipe]]="","",IF(tblLines[[#This Row],[Unit]]="kg",tblLines[[#This Row],[Quantity]],IF(tblLines[[#This Row],[Unit]]="g",tblLines[[#This Row],[Quantity]]/1000,IF(tblLines[[#This Row],[Unit]]="lb",tblLines[[#This Row],[Quantity]]*0.45359237,IF(tblLines[[#This Row],[Unit]]="oz",tblLines[[#This Row],[Quantity]]*0.028349523125,"")))))</f>
        <v>95</v>
      </c>
      <c r="G48" s="36">
        <f>IF(tblLines[[#This Row],[Recipe]]="","",IFERROR(INDEX(tblIngredients[Price per kg],MATCH(tblLines[[#This Row],[Ingredient]],tblIngredients[Ingredient],0)),""))</f>
        <v>1.9</v>
      </c>
      <c r="H48" s="40">
        <f>IF(tblLines[[#This Row],[Recipe]]="","",IF(OR(tblLines[[#This Row],[Quantity (kg)]]="",tblLines[[#This Row],[Price per kg]]=""),"",tblLines[[#This Row],[Quantity (kg)]]*tblLines[[#This Row],[Price per kg]]))</f>
        <v>180.5</v>
      </c>
      <c r="I48" s="41">
        <f>IF(tblLines[[#This Row],[Recipe]]="","",IF(tblLines[[#This Row],[Quantity (kg)]]="","",IFERROR(tblLines[[#This Row],[Quantity (kg)]]/SUMIFS(tblLines[Quantity (kg)],tblLines[Recipe],tblLines[[#This Row],[Recipe]]),"")))</f>
        <v>0.633333333333333</v>
      </c>
      <c r="J48" s="41">
        <f>IF(tblLines[[#This Row],[Recipe]]="","",IF(tblLines[[#This Row],[Line cost]]="","",IFERROR(tblLines[[#This Row],[Line cost]]/SUMIFS(tblLines[Line cost],tblLines[Recipe],tblLines[[#This Row],[Recipe]]),"")))</f>
        <v>0.417911138894677</v>
      </c>
      <c r="K48" s="45">
        <f>IF(tblLines[[#This Row],[Recipe]]="","",IF(tblLines[[#This Row],[Line cost]]="","",tblLines[[#This Row],[Line cost]]*IFERROR(INDEX(tblRecipes[Batches per month],MATCH(tblLines[[#This Row],[Recipe]],tblRecipes[Recipe],0)),0)))</f>
        <v>902.5</v>
      </c>
      <c r="L48"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8" s="28" t="s">
        <v>85</v>
      </c>
    </row>
    <row r="49" spans="2:13" x14ac:dyDescent="0.25">
      <c r="B49" s="28" t="s">
        <v>147</v>
      </c>
      <c r="C49" s="28" t="s">
        <v>103</v>
      </c>
      <c r="D49" s="29">
        <v>18</v>
      </c>
      <c r="E49" s="28" t="s">
        <v>84</v>
      </c>
      <c r="F49" s="44">
        <f>IF(tblLines[[#This Row],[Recipe]]="","",IF(tblLines[[#This Row],[Unit]]="kg",tblLines[[#This Row],[Quantity]],IF(tblLines[[#This Row],[Unit]]="g",tblLines[[#This Row],[Quantity]]/1000,IF(tblLines[[#This Row],[Unit]]="lb",tblLines[[#This Row],[Quantity]]*0.45359237,IF(tblLines[[#This Row],[Unit]]="oz",tblLines[[#This Row],[Quantity]]*0.028349523125,"")))))</f>
        <v>18</v>
      </c>
      <c r="G49" s="36">
        <f>IF(tblLines[[#This Row],[Recipe]]="","",IFERROR(INDEX(tblIngredients[Price per kg],MATCH(tblLines[[#This Row],[Ingredient]],tblIngredients[Ingredient],0)),""))</f>
        <v>6.2</v>
      </c>
      <c r="H49" s="40">
        <f>IF(tblLines[[#This Row],[Recipe]]="","",IF(OR(tblLines[[#This Row],[Quantity (kg)]]="",tblLines[[#This Row],[Price per kg]]=""),"",tblLines[[#This Row],[Quantity (kg)]]*tblLines[[#This Row],[Price per kg]]))</f>
        <v>111.6</v>
      </c>
      <c r="I49" s="41">
        <f>IF(tblLines[[#This Row],[Recipe]]="","",IF(tblLines[[#This Row],[Quantity (kg)]]="","",IFERROR(tblLines[[#This Row],[Quantity (kg)]]/SUMIFS(tblLines[Quantity (kg)],tblLines[Recipe],tblLines[[#This Row],[Recipe]]),"")))</f>
        <v>0.12</v>
      </c>
      <c r="J49" s="41">
        <f>IF(tblLines[[#This Row],[Recipe]]="","",IF(tblLines[[#This Row],[Line cost]]="","",IFERROR(tblLines[[#This Row],[Line cost]]/SUMIFS(tblLines[Line cost],tblLines[Recipe],tblLines[[#This Row],[Recipe]]),"")))</f>
        <v>0.258387163992498</v>
      </c>
      <c r="K49" s="45">
        <f>IF(tblLines[[#This Row],[Recipe]]="","",IF(tblLines[[#This Row],[Line cost]]="","",tblLines[[#This Row],[Line cost]]*IFERROR(INDEX(tblRecipes[Batches per month],MATCH(tblLines[[#This Row],[Recipe]],tblRecipes[Recipe],0)),0)))</f>
        <v>558</v>
      </c>
      <c r="L49"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49" s="28" t="s">
        <v>85</v>
      </c>
    </row>
    <row r="50" spans="2:13" x14ac:dyDescent="0.25">
      <c r="B50" s="28" t="s">
        <v>147</v>
      </c>
      <c r="C50" s="28" t="s">
        <v>88</v>
      </c>
      <c r="D50" s="29">
        <v>12</v>
      </c>
      <c r="E50" s="28" t="s">
        <v>84</v>
      </c>
      <c r="F50" s="44">
        <f>IF(tblLines[[#This Row],[Recipe]]="","",IF(tblLines[[#This Row],[Unit]]="kg",tblLines[[#This Row],[Quantity]],IF(tblLines[[#This Row],[Unit]]="g",tblLines[[#This Row],[Quantity]]/1000,IF(tblLines[[#This Row],[Unit]]="lb",tblLines[[#This Row],[Quantity]]*0.45359237,IF(tblLines[[#This Row],[Unit]]="oz",tblLines[[#This Row],[Quantity]]*0.028349523125,"")))))</f>
        <v>12</v>
      </c>
      <c r="G50" s="36">
        <f>IF(tblLines[[#This Row],[Recipe]]="","",IFERROR(INDEX(tblIngredients[Price per kg],MATCH(tblLines[[#This Row],[Ingredient]],tblIngredients[Ingredient],0)),""))</f>
        <v>4.2</v>
      </c>
      <c r="H50" s="40">
        <f>IF(tblLines[[#This Row],[Recipe]]="","",IF(OR(tblLines[[#This Row],[Quantity (kg)]]="",tblLines[[#This Row],[Price per kg]]=""),"",tblLines[[#This Row],[Quantity (kg)]]*tblLines[[#This Row],[Price per kg]]))</f>
        <v>50.4</v>
      </c>
      <c r="I50" s="41">
        <f>IF(tblLines[[#This Row],[Recipe]]="","",IF(tblLines[[#This Row],[Quantity (kg)]]="","",IFERROR(tblLines[[#This Row],[Quantity (kg)]]/SUMIFS(tblLines[Quantity (kg)],tblLines[Recipe],tblLines[[#This Row],[Recipe]]),"")))</f>
        <v>0.08</v>
      </c>
      <c r="J50" s="41">
        <f>IF(tblLines[[#This Row],[Recipe]]="","",IF(tblLines[[#This Row],[Line cost]]="","",IFERROR(tblLines[[#This Row],[Line cost]]/SUMIFS(tblLines[Line cost],tblLines[Recipe],tblLines[[#This Row],[Recipe]]),"")))</f>
        <v>0.116690977286935</v>
      </c>
      <c r="K50" s="45">
        <f>IF(tblLines[[#This Row],[Recipe]]="","",IF(tblLines[[#This Row],[Line cost]]="","",tblLines[[#This Row],[Line cost]]*IFERROR(INDEX(tblRecipes[Batches per month],MATCH(tblLines[[#This Row],[Recipe]],tblRecipes[Recipe],0)),0)))</f>
        <v>252</v>
      </c>
      <c r="L50"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50" s="28" t="s">
        <v>85</v>
      </c>
    </row>
    <row r="51" spans="2:13" x14ac:dyDescent="0.25">
      <c r="B51" s="28" t="s">
        <v>147</v>
      </c>
      <c r="C51" s="28" t="s">
        <v>97</v>
      </c>
      <c r="D51" s="29">
        <v>9</v>
      </c>
      <c r="E51" s="28" t="s">
        <v>84</v>
      </c>
      <c r="F51" s="44">
        <f>IF(tblLines[[#This Row],[Recipe]]="","",IF(tblLines[[#This Row],[Unit]]="kg",tblLines[[#This Row],[Quantity]],IF(tblLines[[#This Row],[Unit]]="g",tblLines[[#This Row],[Quantity]]/1000,IF(tblLines[[#This Row],[Unit]]="lb",tblLines[[#This Row],[Quantity]]*0.45359237,IF(tblLines[[#This Row],[Unit]]="oz",tblLines[[#This Row],[Quantity]]*0.028349523125,"")))))</f>
        <v>9</v>
      </c>
      <c r="G51" s="36">
        <f>IF(tblLines[[#This Row],[Recipe]]="","",IFERROR(INDEX(tblIngredients[Price per kg],MATCH(tblLines[[#This Row],[Ingredient]],tblIngredients[Ingredient],0)),""))</f>
        <v>1.2</v>
      </c>
      <c r="H51" s="40">
        <f>IF(tblLines[[#This Row],[Recipe]]="","",IF(OR(tblLines[[#This Row],[Quantity (kg)]]="",tblLines[[#This Row],[Price per kg]]=""),"",tblLines[[#This Row],[Quantity (kg)]]*tblLines[[#This Row],[Price per kg]]))</f>
        <v>10.8</v>
      </c>
      <c r="I51" s="41">
        <f>IF(tblLines[[#This Row],[Recipe]]="","",IF(tblLines[[#This Row],[Quantity (kg)]]="","",IFERROR(tblLines[[#This Row],[Quantity (kg)]]/SUMIFS(tblLines[Quantity (kg)],tblLines[Recipe],tblLines[[#This Row],[Recipe]]),"")))</f>
        <v>0.06</v>
      </c>
      <c r="J51" s="41">
        <f>IF(tblLines[[#This Row],[Recipe]]="","",IF(tblLines[[#This Row],[Line cost]]="","",IFERROR(tblLines[[#This Row],[Line cost]]/SUMIFS(tblLines[Line cost],tblLines[Recipe],tblLines[[#This Row],[Recipe]]),"")))</f>
        <v>0.0250052094186289</v>
      </c>
      <c r="K51" s="45">
        <f>IF(tblLines[[#This Row],[Recipe]]="","",IF(tblLines[[#This Row],[Line cost]]="","",tblLines[[#This Row],[Line cost]]*IFERROR(INDEX(tblRecipes[Batches per month],MATCH(tblLines[[#This Row],[Recipe]],tblRecipes[Recipe],0)),0)))</f>
        <v>54</v>
      </c>
      <c r="L51"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51" s="28" t="s">
        <v>85</v>
      </c>
    </row>
    <row r="52" spans="2:13" x14ac:dyDescent="0.25">
      <c r="B52" s="28" t="s">
        <v>147</v>
      </c>
      <c r="C52" s="28" t="s">
        <v>92</v>
      </c>
      <c r="D52" s="29">
        <v>10</v>
      </c>
      <c r="E52" s="28" t="s">
        <v>84</v>
      </c>
      <c r="F52" s="44">
        <f>IF(tblLines[[#This Row],[Recipe]]="","",IF(tblLines[[#This Row],[Unit]]="kg",tblLines[[#This Row],[Quantity]],IF(tblLines[[#This Row],[Unit]]="g",tblLines[[#This Row],[Quantity]]/1000,IF(tblLines[[#This Row],[Unit]]="lb",tblLines[[#This Row],[Quantity]]*0.45359237,IF(tblLines[[#This Row],[Unit]]="oz",tblLines[[#This Row],[Quantity]]*0.028349523125,"")))))</f>
        <v>10</v>
      </c>
      <c r="G52" s="36">
        <f>IF(tblLines[[#This Row],[Recipe]]="","",IFERROR(INDEX(tblIngredients[Price per kg],MATCH(tblLines[[#This Row],[Ingredient]],tblIngredients[Ingredient],0)),""))</f>
        <v>7.8</v>
      </c>
      <c r="H52" s="40">
        <f>IF(tblLines[[#This Row],[Recipe]]="","",IF(OR(tblLines[[#This Row],[Quantity (kg)]]="",tblLines[[#This Row],[Price per kg]]=""),"",tblLines[[#This Row],[Quantity (kg)]]*tblLines[[#This Row],[Price per kg]]))</f>
        <v>78</v>
      </c>
      <c r="I52" s="41">
        <f>IF(tblLines[[#This Row],[Recipe]]="","",IF(tblLines[[#This Row],[Quantity (kg)]]="","",IFERROR(tblLines[[#This Row],[Quantity (kg)]]/SUMIFS(tblLines[Quantity (kg)],tblLines[Recipe],tblLines[[#This Row],[Recipe]]),"")))</f>
        <v>0.0666666666666667</v>
      </c>
      <c r="J52" s="41">
        <f>IF(tblLines[[#This Row],[Recipe]]="","",IF(tblLines[[#This Row],[Line cost]]="","",IFERROR(tblLines[[#This Row],[Line cost]]/SUMIFS(tblLines[Line cost],tblLines[Recipe],tblLines[[#This Row],[Recipe]]),"")))</f>
        <v>0.180593179134542</v>
      </c>
      <c r="K52" s="45">
        <f>IF(tblLines[[#This Row],[Recipe]]="","",IF(tblLines[[#This Row],[Line cost]]="","",tblLines[[#This Row],[Line cost]]*IFERROR(INDEX(tblRecipes[Batches per month],MATCH(tblLines[[#This Row],[Recipe]],tblRecipes[Recipe],0)),0)))</f>
        <v>390</v>
      </c>
      <c r="L52"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52" s="28" t="s">
        <v>85</v>
      </c>
    </row>
    <row r="53" spans="2:13" x14ac:dyDescent="0.25">
      <c r="B53" s="28" t="s">
        <v>147</v>
      </c>
      <c r="C53" s="28" t="s">
        <v>99</v>
      </c>
      <c r="D53" s="29">
        <v>2</v>
      </c>
      <c r="E53" s="28" t="s">
        <v>84</v>
      </c>
      <c r="F53" s="44">
        <f>IF(tblLines[[#This Row],[Recipe]]="","",IF(tblLines[[#This Row],[Unit]]="kg",tblLines[[#This Row],[Quantity]],IF(tblLines[[#This Row],[Unit]]="g",tblLines[[#This Row],[Quantity]]/1000,IF(tblLines[[#This Row],[Unit]]="lb",tblLines[[#This Row],[Quantity]]*0.45359237,IF(tblLines[[#This Row],[Unit]]="oz",tblLines[[#This Row],[Quantity]]*0.028349523125,"")))))</f>
        <v>2</v>
      </c>
      <c r="G53" s="36">
        <f>IF(tblLines[[#This Row],[Recipe]]="","",IFERROR(INDEX(tblIngredients[Price per kg],MATCH(tblLines[[#This Row],[Ingredient]],tblIngredients[Ingredient],0)),""))</f>
        <v>0.3</v>
      </c>
      <c r="H53" s="40">
        <f>IF(tblLines[[#This Row],[Recipe]]="","",IF(OR(tblLines[[#This Row],[Quantity (kg)]]="",tblLines[[#This Row],[Price per kg]]=""),"",tblLines[[#This Row],[Quantity (kg)]]*tblLines[[#This Row],[Price per kg]]))</f>
        <v>0.6</v>
      </c>
      <c r="I53" s="41">
        <f>IF(tblLines[[#This Row],[Recipe]]="","",IF(tblLines[[#This Row],[Quantity (kg)]]="","",IFERROR(tblLines[[#This Row],[Quantity (kg)]]/SUMIFS(tblLines[Quantity (kg)],tblLines[Recipe],tblLines[[#This Row],[Recipe]]),"")))</f>
        <v>0.0133333333333333</v>
      </c>
      <c r="J53" s="41">
        <f>IF(tblLines[[#This Row],[Recipe]]="","",IF(tblLines[[#This Row],[Line cost]]="","",IFERROR(tblLines[[#This Row],[Line cost]]/SUMIFS(tblLines[Line cost],tblLines[Recipe],tblLines[[#This Row],[Recipe]]),"")))</f>
        <v>0.00138917830103494</v>
      </c>
      <c r="K53" s="45">
        <f>IF(tblLines[[#This Row],[Recipe]]="","",IF(tblLines[[#This Row],[Line cost]]="","",tblLines[[#This Row],[Line cost]]*IFERROR(INDEX(tblRecipes[Batches per month],MATCH(tblLines[[#This Row],[Recipe]],tblRecipes[Recipe],0)),0)))</f>
        <v>3</v>
      </c>
      <c r="L53"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53" s="28" t="s">
        <v>85</v>
      </c>
    </row>
    <row r="54" spans="2:13" x14ac:dyDescent="0.25">
      <c r="B54" s="28" t="s">
        <v>147</v>
      </c>
      <c r="C54" s="28" t="s">
        <v>114</v>
      </c>
      <c r="D54" s="29">
        <v>4</v>
      </c>
      <c r="E54" s="28" t="s">
        <v>84</v>
      </c>
      <c r="F54" s="44">
        <f>IF(tblLines[[#This Row],[Recipe]]="","",IF(tblLines[[#This Row],[Unit]]="kg",tblLines[[#This Row],[Quantity]],IF(tblLines[[#This Row],[Unit]]="g",tblLines[[#This Row],[Quantity]]/1000,IF(tblLines[[#This Row],[Unit]]="lb",tblLines[[#This Row],[Quantity]]*0.45359237,IF(tblLines[[#This Row],[Unit]]="oz",tblLines[[#This Row],[Quantity]]*0.028349523125,"")))))</f>
        <v>4</v>
      </c>
      <c r="G54" s="36">
        <f>IF(tblLines[[#This Row],[Recipe]]="","",IFERROR(INDEX(tblIngredients[Price per kg],MATCH(tblLines[[#This Row],[Ingredient]],tblIngredients[Ingredient],0)),""))</f>
        <v>0.0025</v>
      </c>
      <c r="H54" s="40">
        <f>IF(tblLines[[#This Row],[Recipe]]="","",IF(OR(tblLines[[#This Row],[Quantity (kg)]]="",tblLines[[#This Row],[Price per kg]]=""),"",tblLines[[#This Row],[Quantity (kg)]]*tblLines[[#This Row],[Price per kg]]))</f>
        <v>0.01</v>
      </c>
      <c r="I54" s="41">
        <f>IF(tblLines[[#This Row],[Recipe]]="","",IF(tblLines[[#This Row],[Quantity (kg)]]="","",IFERROR(tblLines[[#This Row],[Quantity (kg)]]/SUMIFS(tblLines[Quantity (kg)],tblLines[Recipe],tblLines[[#This Row],[Recipe]]),"")))</f>
        <v>0.0266666666666667</v>
      </c>
      <c r="J54" s="41">
        <f>IF(tblLines[[#This Row],[Recipe]]="","",IF(tblLines[[#This Row],[Line cost]]="","",IFERROR(tblLines[[#This Row],[Line cost]]/SUMIFS(tblLines[Line cost],tblLines[Recipe],tblLines[[#This Row],[Recipe]]),"")))</f>
        <v>2.31529716839156e-05</v>
      </c>
      <c r="K54" s="45">
        <f>IF(tblLines[[#This Row],[Recipe]]="","",IF(tblLines[[#This Row],[Line cost]]="","",tblLines[[#This Row],[Line cost]]*IFERROR(INDEX(tblRecipes[Batches per month],MATCH(tblLines[[#This Row],[Recipe]],tblRecipes[Recipe],0)),0)))</f>
        <v>0.05</v>
      </c>
      <c r="L54" s="43" t="str">
        <f>IF(tblLines[[#This Row],[Recipe]]="","",IF(tblLines[[#This Row],[Ingredient]]="","Missing ingredient",IF(tblLines[[#This Row],[Quantity]]="","Missing quantity",IF(tblLines[[#This Row],[Unit]]="","Missing unit",IF(tblLines[[#This Row],[Price per kg]]="","Ingredient not on Setup list",IF(COUNTIFS(tblRecipes[Recipe],tblLines[[#This Row],[Recipe]])=0,"Recipe not on Recipes sheet",IF(tblLines[[#This Row],[Quantity (kg)]]="","Unit must be kg, g, lb or oz",IF(COUNTIFS(tblLines[Recipe],tblLines[[#This Row],[Recipe]],tblLines[Ingredient],tblLines[[#This Row],[Ingredient]])&gt;1,"Ingredient twice in recipe","OK"))))))))</f>
        <v>OK</v>
      </c>
      <c r="M54" s="28" t="s">
        <v>85</v>
      </c>
    </row>
  </sheetData>
  <mergeCells count="3">
    <mergeCell ref="A1:M1"/>
    <mergeCell ref="B2:L2"/>
    <mergeCell ref="B4:M4"/>
  </mergeCells>
  <conditionalFormatting sqref="I7:I554">
    <cfRule type="dataBar" priority="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L7:L554">
    <cfRule type="expression" dxfId="3" priority="2">
      <formula>$L7="OK"</formula>
    </cfRule>
    <cfRule type="expression" dxfId="1" priority="3">
      <formula>AND($L7&lt;&gt;"",$L7&lt;&gt;"OK")</formula>
    </cfRule>
  </conditionalFormatting>
  <dataValidations count="5">
    <dataValidation type="list" allowBlank="1" showInputMessage="1" showErrorMessage="1" errorTitle="Check this entry" error="Pick from the list (edit the list on Setup: RecipeNames)." promptTitle="Recipe" prompt="Pick from the list (edit the list on Setup: RecipeNames)." sqref="B7:B554">
      <formula1>RecipeNames</formula1>
    </dataValidation>
    <dataValidation type="list" allowBlank="1" showInputMessage="1" showErrorMessage="1" errorTitle="Check this entry" error="Pick from the list (edit the list on Setup: Ingredients)." promptTitle="Ingredient" prompt="Pick from the list (edit the list on Setup: Ingredients)." sqref="C7:C554">
      <formula1>Ingredients</formula1>
    </dataValidation>
    <dataValidation type="decimal" allowBlank="1" showInputMessage="1" showErrorMessage="1" errorTitle="Check this entry" error="Enter a number from 0 to 10,000,000." promptTitle="Quantity" prompt="Amount of this ingredient in one batch, in the unit of the next column. Enter a number from 0 to 10,000,000." sqref="D7:D554">
      <formula1>0</formula1>
      <formula2>10000000.0</formula2>
    </dataValidation>
    <dataValidation type="list" allowBlank="1" showInputMessage="1" showErrorMessage="1" errorTitle="Check this entry" error="Pick one of: kg, g, lb, oz." promptTitle="Unit" prompt="kg, g, lb or oz; converted exactly to kg. Pick one of: kg, g, lb, oz." sqref="E7:E554">
      <formula1>"kg,g,lb,oz"</formula1>
    </dataValidation>
    <dataValidation type="textLength" allowBlank="1" showInputMessage="1" showErrorMessage="1" errorTitle="Check this entry" error="Text up to 255 characters." promptTitle="Notes" prompt="Text up to 255 characters." sqref="M7:M554">
      <formula1>0</formula1>
      <formula2>255</formula2>
    </dataValidation>
  </dataValidations>
  <hyperlinks>
    <hyperlink ref="M2" r:id="rId1" tooltip="Free manufacturing calculators and templates"/>
  </hyperlinks>
  <pageMargins left="0.4" right="0.4" top="0.7" bottom="0.65" header="0.3" footer="0.3"/>
  <pageSetup fitToHeight="0" orientation="landscape"/>
  <headerFooter>
    <oddHeader>&amp;L&amp;8MFG Calcs - Recipe and Batch Costing&amp;R&amp;8&amp;A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I7:I554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6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46" t="str">
        <f>"Money in "&amp;Currency&amp;". Monthly figures use each recipe's planned batches per month on the Recipes sheet. "&amp;COUNTIFS(tblRecipes[Recipe],"?*")&amp;" recipes, "&amp;COUNTIFS(tblLines[Recipe],"?*")&amp;" recipe lines."</f>
        <v>Money in GBP. Monthly figures use each recipe's planned batches per month on the Recipes sheet. 6 recipes, 48 recipe lines.</v>
      </c>
      <c r="C4" s="46"/>
      <c r="D4" s="46"/>
      <c r="E4" s="46"/>
      <c r="F4" s="46"/>
      <c r="G4" s="46"/>
      <c r="H4" s="46"/>
      <c r="I4" s="46"/>
      <c r="J4" s="46"/>
      <c r="K4" s="46"/>
      <c r="L4" s="46"/>
    </row>
    <row r="6" spans="1:12" ht="18" customHeight="1" x14ac:dyDescent="0.25">
      <c r="B6" s="47" t="s">
        <v>157</v>
      </c>
      <c r="C6" s="47"/>
      <c r="D6" s="47" t="str">
        <f>"GROSS PROFIT PER MONTH ("&amp;Currency&amp;")"</f>
        <v>GROSS PROFIT PER MONTH (GBP)</v>
      </c>
      <c r="E6" s="47"/>
      <c r="F6" s="47"/>
      <c r="G6" s="47" t="str">
        <f>"INGREDIENT SPEND PER MONTH ("&amp;Currency&amp;")"</f>
        <v>INGREDIENT SPEND PER MONTH (GBP)</v>
      </c>
      <c r="H6" s="47"/>
      <c r="I6" s="47"/>
      <c r="J6" s="47" t="s">
        <v>158</v>
      </c>
      <c r="K6" s="47"/>
      <c r="L6" s="47"/>
    </row>
    <row r="7" spans="1:12" ht="21" customHeight="1" x14ac:dyDescent="0.25">
      <c r="B7" s="48">
        <f>IF((SUMPRODUCT(tblRecipes[Price per pack],tblRecipes[Packs per batch],tblRecipes[Batches per month]))=0,"",(SUMPRODUCT(tblRecipes[Price per pack],tblRecipes[Packs per batch],tblRecipes[Batches per month])-SUMPRODUCT(tblRecipes[Batch cost],tblRecipes[Batches per month]))/(SUMPRODUCT(tblRecipes[Price per pack],tblRecipes[Packs per batch],tblRecipes[Batches per month])))</f>
        <v>0.346525002717933</v>
      </c>
      <c r="C7" s="48"/>
      <c r="D7" s="49">
        <f>SUMPRODUCT(tblRecipes[Price per pack],tblRecipes[Packs per batch],tblRecipes[Batches per month])-SUMPRODUCT(tblRecipes[Batch cost],tblRecipes[Batches per month])</f>
        <v>19555.1770434622</v>
      </c>
      <c r="E7" s="49"/>
      <c r="F7" s="49"/>
      <c r="G7" s="49">
        <f>SUMPRODUCT(tblRecipes[Material cost],tblRecipes[Batches per month])</f>
        <v>21643.885</v>
      </c>
      <c r="H7" s="49"/>
      <c r="I7" s="49"/>
      <c r="J7" s="49">
        <f>COUNTIFS(tblRecipes[Margin status],"Below target")+COUNTIFS(tblRecipes[Margin status],"Near target")</f>
        <v>2</v>
      </c>
      <c r="K7" s="49"/>
      <c r="L7" s="49"/>
    </row>
    <row r="8" spans="1:12" ht="21" customHeight="1" x14ac:dyDescent="0.25">
      <c r="B8" s="48"/>
      <c r="C8" s="48"/>
      <c r="D8" s="49"/>
      <c r="E8" s="49"/>
      <c r="F8" s="49"/>
      <c r="G8" s="49"/>
      <c r="H8" s="49"/>
      <c r="I8" s="49"/>
      <c r="J8" s="49"/>
      <c r="K8" s="49"/>
      <c r="L8" s="49"/>
    </row>
    <row r="9" spans="1:12" x14ac:dyDescent="0.25">
      <c r="B9" s="50">
        <f>TargetMargin</f>
        <v>0.3</v>
      </c>
      <c r="C9" s="50"/>
      <c r="D9" s="51" t="s">
        <v>159</v>
      </c>
      <c r="E9" s="51"/>
      <c r="F9" s="51"/>
      <c r="G9" s="51" t="s">
        <v>160</v>
      </c>
      <c r="H9" s="51"/>
      <c r="I9" s="51"/>
      <c r="J9" s="51" t="s">
        <v>161</v>
      </c>
      <c r="K9" s="51"/>
      <c r="L9" s="51"/>
    </row>
    <row r="10" spans="1:12" ht="18" customHeight="1" x14ac:dyDescent="0.25">
      <c r="B10" s="52" t="str">
        <f>IF(NOT(ISNUMBER(KpiMargin)),"No data",IF(KpiMargin&gt;=(TargetMargin),"On target",IF(KpiMargin&gt;=(TargetMargin)*(1-0.05),"Near target","Below target")))</f>
        <v>On target</v>
      </c>
      <c r="C10" s="52"/>
      <c r="D10" s="52"/>
      <c r="E10" s="52"/>
      <c r="F10" s="52"/>
      <c r="G10" s="52"/>
      <c r="H10" s="52"/>
      <c r="I10" s="52"/>
      <c r="J10" s="52"/>
      <c r="K10" s="52"/>
      <c r="L10" s="52"/>
    </row>
    <row r="29" spans="7:43" x14ac:dyDescent="0.25">
      <c r="G29" s="31" t="s">
        <v>162</v>
      </c>
      <c r="H29" s="31"/>
      <c r="I29" s="31"/>
      <c r="J29" s="31"/>
      <c r="K29" s="31"/>
      <c r="L29" s="31"/>
    </row>
    <row r="30" spans="7:43" ht="20" customHeight="1" x14ac:dyDescent="0.25">
      <c r="G30" s="34" t="s">
        <v>163</v>
      </c>
      <c r="H30" s="53" t="s">
        <v>64</v>
      </c>
      <c r="I30" s="53"/>
      <c r="J30" s="34" t="s">
        <v>164</v>
      </c>
      <c r="K30" s="34" t="s">
        <v>165</v>
      </c>
      <c r="L30" s="34" t="s">
        <v>166</v>
      </c>
      <c r="AO30" s="7" t="s">
        <v>167</v>
      </c>
      <c r="AP30" s="7" t="s">
        <v>168</v>
      </c>
      <c r="AQ30" s="7" t="s">
        <v>169</v>
      </c>
    </row>
    <row r="31" spans="7:43" x14ac:dyDescent="0.25">
      <c r="G31" s="33"/>
      <c r="H31" s="33"/>
      <c r="I31" s="33"/>
      <c r="J31" s="33" t="str">
        <f>Currency</f>
        <v>GBP</v>
      </c>
      <c r="K31" s="33" t="s">
        <v>139</v>
      </c>
      <c r="L31" s="33" t="s">
        <v>139</v>
      </c>
    </row>
    <row r="32" spans="7:43" x14ac:dyDescent="0.25">
      <c r="G32" s="54">
        <v>1</v>
      </c>
      <c r="H32" s="55" t="str">
        <f>IF(INDEX($AP$32:$AP$51,MATCH(1,$AQ$32:$AQ$51,0))&lt;0,"",INDEX($AO$32:$AO$51,MATCH(1,$AQ$32:$AQ$51,0)))</f>
        <v>Chopped tomatoes</v>
      </c>
      <c r="I32" s="55"/>
      <c r="J32" s="45">
        <f>IF($H$32="","",INDEX($AP$32:$AP$51,MATCH(1,$AQ$32:$AQ$51,0)))</f>
        <v>3432</v>
      </c>
      <c r="K32" s="41">
        <f>IF(OR($H$32="",$J$52=0),"",$J$32/$J$52)</f>
        <v>0.158566726814525</v>
      </c>
      <c r="L32" s="41">
        <f>IF(OR($H$32="",$J$52=0),"",SUM($J$32:$J$32)/$J$52)</f>
        <v>0.158566726814525</v>
      </c>
      <c r="AO32" s="11" t="str">
        <f>IFERROR(INDEX(tblIngredients[Ingredient],1)&amp;"","")</f>
        <v>Chopped tomatoes</v>
      </c>
      <c r="AP32" s="56">
        <f>IF($AO$32="",-1,SUMIFS(tblLines[Monthly spend],tblLines[Ingredient],$AO$32))</f>
        <v>3432</v>
      </c>
      <c r="AQ32" s="56">
        <f>COUNTIF($AP$32:$AP$51,"&gt;"&amp;$AP$32)+COUNTIF($AP$32:$AP$32,$AP$32)</f>
        <v>1</v>
      </c>
    </row>
    <row r="33" spans="7:43" x14ac:dyDescent="0.25">
      <c r="G33" s="54">
        <v>2</v>
      </c>
      <c r="H33" s="55" t="str">
        <f>IF(INDEX($AP$32:$AP$51,MATCH(2,$AQ$32:$AQ$51,0))&lt;0,"",INDEX($AO$32:$AO$51,MATCH(2,$AQ$32:$AQ$51,0)))</f>
        <v>Tomato paste</v>
      </c>
      <c r="I33" s="55"/>
      <c r="J33" s="45">
        <f>IF($H$33="","",INDEX($AP$32:$AP$51,MATCH(2,$AQ$32:$AQ$51,0)))</f>
        <v>2592</v>
      </c>
      <c r="K33" s="41">
        <f>IF(OR($H$33="",$J$52=0),"",$J$33/$J$52)</f>
        <v>0.119756688782998</v>
      </c>
      <c r="L33" s="41">
        <f>IF(OR($H$33="",$J$52=0),"",SUM($J$32:$J$33)/$J$52)</f>
        <v>0.278323415597523</v>
      </c>
      <c r="AO33" s="11" t="str">
        <f>IFERROR(INDEX(tblIngredients[Ingredient],2)&amp;"","")</f>
        <v>Tomato paste</v>
      </c>
      <c r="AP33" s="56">
        <f>IF($AO$33="",-1,SUMIFS(tblLines[Monthly spend],tblLines[Ingredient],$AO$33))</f>
        <v>2592</v>
      </c>
      <c r="AQ33" s="56">
        <f>COUNTIF($AP$32:$AP$51,"&gt;"&amp;$AP$33)+COUNTIF($AP$32:$AP$33,$AP$33)</f>
        <v>2</v>
      </c>
    </row>
    <row r="34" spans="7:43" x14ac:dyDescent="0.25">
      <c r="G34" s="54">
        <v>3</v>
      </c>
      <c r="H34" s="55" t="str">
        <f>IF(INDEX($AP$32:$AP$51,MATCH(3,$AQ$32:$AQ$51,0))&lt;0,"",INDEX($AO$32:$AO$51,MATCH(3,$AQ$32:$AQ$51,0)))</f>
        <v>Rapeseed oil</v>
      </c>
      <c r="I34" s="55"/>
      <c r="J34" s="45">
        <f>IF($H$34="","",INDEX($AP$32:$AP$51,MATCH(3,$AQ$32:$AQ$51,0)))</f>
        <v>2156.5</v>
      </c>
      <c r="K34" s="41">
        <f>IF(OR($H$34="",$J$52=0),"",$J$34/$J$52)</f>
        <v>0.0996355321607003</v>
      </c>
      <c r="L34" s="41">
        <f>IF(OR($H$34="",$J$52=0),"",SUM($J$32:$J$34)/$J$52)</f>
        <v>0.377958947758224</v>
      </c>
      <c r="AO34" s="11" t="str">
        <f>IFERROR(INDEX(tblIngredients[Ingredient],3)&amp;"","")</f>
        <v>Onions, diced</v>
      </c>
      <c r="AP34" s="56">
        <f>IF($AO$34="",-1,SUMIFS(tblLines[Monthly spend],tblLines[Ingredient],$AO$34))</f>
        <v>659.6</v>
      </c>
      <c r="AQ34" s="56">
        <f>COUNTIF($AP$32:$AP$51,"&gt;"&amp;$AP$34)+COUNTIF($AP$32:$AP$34,$AP$34)</f>
        <v>12</v>
      </c>
    </row>
    <row r="35" spans="7:43" x14ac:dyDescent="0.25">
      <c r="G35" s="54">
        <v>4</v>
      </c>
      <c r="H35" s="55" t="str">
        <f>IF(INDEX($AP$32:$AP$51,MATCH(4,$AQ$32:$AQ$51,0))&lt;0,"",INDEX($AO$32:$AO$51,MATCH(4,$AQ$32:$AQ$51,0)))</f>
        <v>Olive oil</v>
      </c>
      <c r="I35" s="55"/>
      <c r="J35" s="45">
        <f>IF($H$35="","",INDEX($AP$32:$AP$51,MATCH(4,$AQ$32:$AQ$51,0)))</f>
        <v>2074.8</v>
      </c>
      <c r="K35" s="41">
        <f>IF(OR($H$35="",$J$52=0),"",$J$35/$J$52)</f>
        <v>0.0958607939378721</v>
      </c>
      <c r="L35" s="41">
        <f>IF(OR($H$35="",$J$52=0),"",SUM($J$32:$J$35)/$J$52)</f>
        <v>0.473819741696096</v>
      </c>
      <c r="AO35" s="11" t="str">
        <f>IFERROR(INDEX(tblIngredients[Ingredient],4)&amp;"","")</f>
        <v>Garlic puree</v>
      </c>
      <c r="AP35" s="56">
        <f>IF($AO$35="",-1,SUMIFS(tblLines[Monthly spend],tblLines[Ingredient],$AO$35))</f>
        <v>957.6</v>
      </c>
      <c r="AQ35" s="56">
        <f>COUNTIF($AP$32:$AP$51,"&gt;"&amp;$AP$35)+COUNTIF($AP$32:$AP$35,$AP$35)</f>
        <v>11</v>
      </c>
    </row>
    <row r="36" spans="7:43" x14ac:dyDescent="0.25">
      <c r="G36" s="54">
        <v>5</v>
      </c>
      <c r="H36" s="55" t="str">
        <f>IF(INDEX($AP$32:$AP$51,MATCH(5,$AQ$32:$AQ$51,0))&lt;0,"",INDEX($AO$32:$AO$51,MATCH(5,$AQ$32:$AQ$51,0)))</f>
        <v>Sugar</v>
      </c>
      <c r="I36" s="55"/>
      <c r="J36" s="45">
        <f>IF($H$36="","",INDEX($AP$32:$AP$51,MATCH(5,$AQ$32:$AQ$51,0)))</f>
        <v>1582.7</v>
      </c>
      <c r="K36" s="41">
        <f>IF(OR($H$36="",$J$52=0),"",$J$36/$J$52)</f>
        <v>0.0731245799910691</v>
      </c>
      <c r="L36" s="41">
        <f>IF(OR($H$36="",$J$52=0),"",SUM($J$32:$J$36)/$J$52)</f>
        <v>0.546944321687165</v>
      </c>
      <c r="AO36" s="11" t="str">
        <f>IFERROR(INDEX(tblIngredients[Ingredient],5)&amp;"","")</f>
        <v>Basil, fresh</v>
      </c>
      <c r="AP36" s="56">
        <f>IF($AO$36="",-1,SUMIFS(tblLines[Monthly spend],tblLines[Ingredient],$AO$36))</f>
        <v>1008</v>
      </c>
      <c r="AQ36" s="56">
        <f>COUNTIF($AP$32:$AP$51,"&gt;"&amp;$AP$36)+COUNTIF($AP$32:$AP$36,$AP$36)</f>
        <v>9</v>
      </c>
    </row>
    <row r="37" spans="7:43" x14ac:dyDescent="0.25">
      <c r="G37" s="54">
        <v>6</v>
      </c>
      <c r="H37" s="55" t="str">
        <f>IF(INDEX($AP$32:$AP$51,MATCH(6,$AQ$32:$AQ$51,0))&lt;0,"",INDEX($AO$32:$AO$51,MATCH(6,$AQ$32:$AQ$51,0)))</f>
        <v>Mango pulp</v>
      </c>
      <c r="I37" s="55"/>
      <c r="J37" s="45">
        <f>IF($H$37="","",INDEX($AP$32:$AP$51,MATCH(6,$AQ$32:$AQ$51,0)))</f>
        <v>1456</v>
      </c>
      <c r="K37" s="41">
        <f>IF(OR($H$37="",$J$52=0),"",$J$37/$J$52)</f>
        <v>0.0672707325879804</v>
      </c>
      <c r="L37" s="41">
        <f>IF(OR($H$37="",$J$52=0),"",SUM($J$32:$J$37)/$J$52)</f>
        <v>0.614215054275145</v>
      </c>
      <c r="AO37" s="11" t="str">
        <f>IFERROR(INDEX(tblIngredients[Ingredient],6)&amp;"","")</f>
        <v>Olive oil</v>
      </c>
      <c r="AP37" s="56">
        <f>IF($AO$37="",-1,SUMIFS(tblLines[Monthly spend],tblLines[Ingredient],$AO$37))</f>
        <v>2074.8</v>
      </c>
      <c r="AQ37" s="56">
        <f>COUNTIF($AP$32:$AP$51,"&gt;"&amp;$AP$37)+COUNTIF($AP$32:$AP$37,$AP$37)</f>
        <v>4</v>
      </c>
    </row>
    <row r="38" spans="7:43" x14ac:dyDescent="0.25">
      <c r="G38" s="54">
        <v>7</v>
      </c>
      <c r="H38" s="55" t="str">
        <f>IF(INDEX($AP$32:$AP$51,MATCH(7,$AQ$32:$AQ$51,0))&lt;0,"",INDEX($AO$32:$AO$51,MATCH(7,$AQ$32:$AQ$51,0)))</f>
        <v>Egg yolk, pasteurised</v>
      </c>
      <c r="I38" s="55"/>
      <c r="J38" s="45">
        <f>IF($H$38="","",INDEX($AP$32:$AP$51,MATCH(7,$AQ$32:$AQ$51,0)))</f>
        <v>1450.8</v>
      </c>
      <c r="K38" s="41">
        <f>IF(OR($H$38="",$J$52=0),"",$J$38/$J$52)</f>
        <v>0.0670304799715948</v>
      </c>
      <c r="L38" s="41">
        <f>IF(OR($H$38="",$J$52=0),"",SUM($J$32:$J$38)/$J$52)</f>
        <v>0.68124553424674</v>
      </c>
      <c r="AO38" s="11" t="str">
        <f>IFERROR(INDEX(tblIngredients[Ingredient],7)&amp;"","")</f>
        <v>Rapeseed oil</v>
      </c>
      <c r="AP38" s="56">
        <f>IF($AO$38="",-1,SUMIFS(tblLines[Monthly spend],tblLines[Ingredient],$AO$38))</f>
        <v>2156.5</v>
      </c>
      <c r="AQ38" s="56">
        <f>COUNTIF($AP$32:$AP$51,"&gt;"&amp;$AP$38)+COUNTIF($AP$32:$AP$38,$AP$38)</f>
        <v>3</v>
      </c>
    </row>
    <row r="39" spans="7:43" x14ac:dyDescent="0.25">
      <c r="G39" s="54">
        <v>8</v>
      </c>
      <c r="H39" s="55" t="str">
        <f>IF(INDEX($AP$32:$AP$51,MATCH(8,$AQ$32:$AQ$51,0))&lt;0,"",INDEX($AO$32:$AO$51,MATCH(8,$AQ$32:$AQ$51,0)))</f>
        <v>Parmesan, grated</v>
      </c>
      <c r="I39" s="55"/>
      <c r="J39" s="45">
        <f>IF($H$39="","",INDEX($AP$32:$AP$51,MATCH(8,$AQ$32:$AQ$51,0)))</f>
        <v>1346.4</v>
      </c>
      <c r="K39" s="41">
        <f>IF(OR($H$39="",$J$52=0),"",$J$39/$J$52)</f>
        <v>0.0622069466733907</v>
      </c>
      <c r="L39" s="41">
        <f>IF(OR($H$39="",$J$52=0),"",SUM($J$32:$J$39)/$J$52)</f>
        <v>0.743452480920131</v>
      </c>
      <c r="AO39" s="11" t="str">
        <f>IFERROR(INDEX(tblIngredients[Ingredient],8)&amp;"","")</f>
        <v>Sugar</v>
      </c>
      <c r="AP39" s="56">
        <f>IF($AO$39="",-1,SUMIFS(tblLines[Monthly spend],tblLines[Ingredient],$AO$39))</f>
        <v>1582.7</v>
      </c>
      <c r="AQ39" s="56">
        <f>COUNTIF($AP$32:$AP$51,"&gt;"&amp;$AP$39)+COUNTIF($AP$32:$AP$39,$AP$39)</f>
        <v>5</v>
      </c>
    </row>
    <row r="40" spans="7:43" x14ac:dyDescent="0.25">
      <c r="G40" s="54">
        <v>9</v>
      </c>
      <c r="H40" s="55" t="str">
        <f>IF(INDEX($AP$32:$AP$51,MATCH(9,$AQ$32:$AQ$51,0))&lt;0,"",INDEX($AO$32:$AO$51,MATCH(9,$AQ$32:$AQ$51,0)))</f>
        <v>Basil, fresh</v>
      </c>
      <c r="I40" s="55"/>
      <c r="J40" s="45">
        <f>IF($H$40="","",INDEX($AP$32:$AP$51,MATCH(9,$AQ$32:$AQ$51,0)))</f>
        <v>1008</v>
      </c>
      <c r="K40" s="41">
        <f>IF(OR($H$40="",$J$52=0),"",$J$40/$J$52)</f>
        <v>0.0465720456378326</v>
      </c>
      <c r="L40" s="41">
        <f>IF(OR($H$40="",$J$52=0),"",SUM($J$32:$J$40)/$J$52)</f>
        <v>0.790024526557963</v>
      </c>
      <c r="AO40" s="11" t="str">
        <f>IFERROR(INDEX(tblIngredients[Ingredient],9)&amp;"","")</f>
        <v>Cider vinegar</v>
      </c>
      <c r="AP40" s="56">
        <f>IF($AO$40="",-1,SUMIFS(tblLines[Monthly spend],tblLines[Ingredient],$AO$40))</f>
        <v>966</v>
      </c>
      <c r="AQ40" s="56">
        <f>COUNTIF($AP$32:$AP$51,"&gt;"&amp;$AP$40)+COUNTIF($AP$32:$AP$40,$AP$40)</f>
        <v>10</v>
      </c>
    </row>
    <row r="41" spans="7:43" x14ac:dyDescent="0.25">
      <c r="G41" s="54">
        <v>10</v>
      </c>
      <c r="H41" s="55" t="str">
        <f>IF(INDEX($AP$32:$AP$51,MATCH(10,$AQ$32:$AQ$51,0))&lt;0,"",INDEX($AO$32:$AO$51,MATCH(10,$AQ$32:$AQ$51,0)))</f>
        <v>Cider vinegar</v>
      </c>
      <c r="I41" s="55"/>
      <c r="J41" s="45">
        <f>IF($H$41="","",INDEX($AP$32:$AP$51,MATCH(10,$AQ$32:$AQ$51,0)))</f>
        <v>966</v>
      </c>
      <c r="K41" s="41">
        <f>IF(OR($H$41="",$J$52=0),"",$J$41/$J$52)</f>
        <v>0.0446315437362562</v>
      </c>
      <c r="L41" s="41">
        <f>IF(OR($H$41="",$J$52=0),"",SUM($J$32:$J$41)/$J$52)</f>
        <v>0.834656070294219</v>
      </c>
      <c r="AO41" s="11" t="str">
        <f>IFERROR(INDEX(tblIngredients[Ingredient],10)&amp;"","")</f>
        <v>Salt</v>
      </c>
      <c r="AP41" s="56">
        <f>IF($AO$41="",-1,SUMIFS(tblLines[Monthly spend],tblLines[Ingredient],$AO$41))</f>
        <v>38.4</v>
      </c>
      <c r="AQ41" s="56">
        <f>COUNTIF($AP$32:$AP$51,"&gt;"&amp;$AP$41)+COUNTIF($AP$32:$AP$41,$AP$41)</f>
        <v>19</v>
      </c>
    </row>
    <row r="42" spans="7:43" x14ac:dyDescent="0.25">
      <c r="G42" s="54">
        <v>11</v>
      </c>
      <c r="H42" s="55" t="str">
        <f>IF(INDEX($AP$32:$AP$51,MATCH(11,$AQ$32:$AQ$51,0))&lt;0,"",INDEX($AO$32:$AO$51,MATCH(11,$AQ$32:$AQ$51,0)))</f>
        <v>Garlic puree</v>
      </c>
      <c r="I42" s="55"/>
      <c r="J42" s="45">
        <f>IF($H$42="","",INDEX($AP$32:$AP$51,MATCH(11,$AQ$32:$AQ$51,0)))</f>
        <v>957.6</v>
      </c>
      <c r="K42" s="41">
        <f>IF(OR($H$42="",$J$52=0),"",$J$42/$J$52)</f>
        <v>0.044243443355941</v>
      </c>
      <c r="L42" s="41">
        <f>IF(OR($H$42="",$J$52=0),"",SUM($J$32:$J$42)/$J$52)</f>
        <v>0.87889951365016</v>
      </c>
      <c r="AO42" s="11" t="str">
        <f>IFERROR(INDEX(tblIngredients[Ingredient],11)&amp;"","")</f>
        <v>Mango pulp</v>
      </c>
      <c r="AP42" s="56">
        <f>IF($AO$42="",-1,SUMIFS(tblLines[Monthly spend],tblLines[Ingredient],$AO$42))</f>
        <v>1456</v>
      </c>
      <c r="AQ42" s="56">
        <f>COUNTIF($AP$32:$AP$51,"&gt;"&amp;$AP$42)+COUNTIF($AP$32:$AP$42,$AP$42)</f>
        <v>6</v>
      </c>
    </row>
    <row r="43" spans="7:43" x14ac:dyDescent="0.25">
      <c r="G43" s="54">
        <v>12</v>
      </c>
      <c r="H43" s="55" t="str">
        <f>IF(INDEX($AP$32:$AP$51,MATCH(12,$AQ$32:$AQ$51,0))&lt;0,"",INDEX($AO$32:$AO$51,MATCH(12,$AQ$32:$AQ$51,0)))</f>
        <v>Onions, diced</v>
      </c>
      <c r="I43" s="55"/>
      <c r="J43" s="45">
        <f>IF($H$43="","",INDEX($AP$32:$AP$51,MATCH(12,$AQ$32:$AQ$51,0)))</f>
        <v>659.6</v>
      </c>
      <c r="K43" s="41">
        <f>IF(OR($H$43="",$J$52=0),"",$J$43/$J$52)</f>
        <v>0.0304751203399944</v>
      </c>
      <c r="L43" s="41">
        <f>IF(OR($H$43="",$J$52=0),"",SUM($J$32:$J$43)/$J$52)</f>
        <v>0.909374633990155</v>
      </c>
      <c r="AO43" s="11" t="str">
        <f>IFERROR(INDEX(tblIngredients[Ingredient],12)&amp;"","")</f>
        <v>Red chillies</v>
      </c>
      <c r="AP43" s="56">
        <f>IF($AO$43="",-1,SUMIFS(tblLines[Monthly spend],tblLines[Ingredient],$AO$43))</f>
        <v>440</v>
      </c>
      <c r="AQ43" s="56">
        <f>COUNTIF($AP$32:$AP$51,"&gt;"&amp;$AP$43)+COUNTIF($AP$32:$AP$43,$AP$43)</f>
        <v>13</v>
      </c>
    </row>
    <row r="44" spans="7:43" x14ac:dyDescent="0.25">
      <c r="G44" s="54">
        <v>13</v>
      </c>
      <c r="H44" s="55" t="str">
        <f>IF(INDEX($AP$32:$AP$51,MATCH(13,$AQ$32:$AQ$51,0))&lt;0,"",INDEX($AO$32:$AO$51,MATCH(13,$AQ$32:$AQ$51,0)))</f>
        <v>Red chillies</v>
      </c>
      <c r="I44" s="55"/>
      <c r="J44" s="45">
        <f>IF($H$44="","",INDEX($AP$32:$AP$51,MATCH(13,$AQ$32:$AQ$51,0)))</f>
        <v>440</v>
      </c>
      <c r="K44" s="41">
        <f>IF(OR($H$44="",$J$52=0),"",$J$44/$J$52)</f>
        <v>0.0203290675403237</v>
      </c>
      <c r="L44" s="41">
        <f>IF(OR($H$44="",$J$52=0),"",SUM($J$32:$J$44)/$J$52)</f>
        <v>0.929703701530478</v>
      </c>
      <c r="AO44" s="11" t="str">
        <f>IFERROR(INDEX(tblIngredients[Ingredient],13)&amp;"","")</f>
        <v>Egg yolk, pasteurised</v>
      </c>
      <c r="AP44" s="56">
        <f>IF($AO$44="",-1,SUMIFS(tblLines[Monthly spend],tblLines[Ingredient],$AO$44))</f>
        <v>1450.8</v>
      </c>
      <c r="AQ44" s="56">
        <f>COUNTIF($AP$32:$AP$51,"&gt;"&amp;$AP$44)+COUNTIF($AP$32:$AP$44,$AP$44)</f>
        <v>7</v>
      </c>
    </row>
    <row r="45" spans="7:43" x14ac:dyDescent="0.25">
      <c r="G45" s="54">
        <v>14</v>
      </c>
      <c r="H45" s="55" t="str">
        <f>IF(INDEX($AP$32:$AP$51,MATCH(14,$AQ$32:$AQ$51,0))&lt;0,"",INDEX($AO$32:$AO$51,MATCH(14,$AQ$32:$AQ$51,0)))</f>
        <v>Spice blend</v>
      </c>
      <c r="I45" s="55"/>
      <c r="J45" s="45">
        <f>IF($H$45="","",INDEX($AP$32:$AP$51,MATCH(14,$AQ$32:$AQ$51,0)))</f>
        <v>342</v>
      </c>
      <c r="K45" s="41">
        <f>IF(OR($H$45="",$J$52=0),"",$J$45/$J$52)</f>
        <v>0.0158012297699789</v>
      </c>
      <c r="L45" s="41">
        <f>IF(OR($H$45="",$J$52=0),"",SUM($J$32:$J$45)/$J$52)</f>
        <v>0.945504931300457</v>
      </c>
      <c r="AO45" s="11" t="str">
        <f>IFERROR(INDEX(tblIngredients[Ingredient],14)&amp;"","")</f>
        <v>Parmesan, grated</v>
      </c>
      <c r="AP45" s="56">
        <f>IF($AO$45="",-1,SUMIFS(tblLines[Monthly spend],tblLines[Ingredient],$AO$45))</f>
        <v>1346.4</v>
      </c>
      <c r="AQ45" s="56">
        <f>COUNTIF($AP$32:$AP$51,"&gt;"&amp;$AP$45)+COUNTIF($AP$32:$AP$45,$AP$45)</f>
        <v>8</v>
      </c>
    </row>
    <row r="46" spans="7:43" x14ac:dyDescent="0.25">
      <c r="G46" s="54">
        <v>15</v>
      </c>
      <c r="H46" s="55" t="str">
        <f>IF(INDEX($AP$32:$AP$51,MATCH(15,$AQ$32:$AQ$51,0))&lt;0,"",INDEX($AO$32:$AO$51,MATCH(15,$AQ$32:$AQ$51,0)))</f>
        <v>Molasses</v>
      </c>
      <c r="I46" s="55"/>
      <c r="J46" s="45">
        <f>IF($H$46="","",INDEX($AP$32:$AP$51,MATCH(15,$AQ$32:$AQ$51,0)))</f>
        <v>336</v>
      </c>
      <c r="K46" s="41">
        <f>IF(OR($H$46="",$J$52=0),"",$J$46/$J$52)</f>
        <v>0.0155240152126109</v>
      </c>
      <c r="L46" s="41">
        <f>IF(OR($H$46="",$J$52=0),"",SUM($J$32:$J$46)/$J$52)</f>
        <v>0.961028946513068</v>
      </c>
      <c r="AO46" s="11" t="str">
        <f>IFERROR(INDEX(tblIngredients[Ingredient],15)&amp;"","")</f>
        <v>Anchovy paste</v>
      </c>
      <c r="AP46" s="56">
        <f>IF($AO$46="",-1,SUMIFS(tblLines[Monthly spend],tblLines[Ingredient],$AO$46))</f>
        <v>324</v>
      </c>
      <c r="AQ46" s="56">
        <f>COUNTIF($AP$32:$AP$51,"&gt;"&amp;$AP$46)+COUNTIF($AP$32:$AP$46,$AP$46)</f>
        <v>16</v>
      </c>
    </row>
    <row r="47" spans="7:43" x14ac:dyDescent="0.25">
      <c r="G47" s="54">
        <v>16</v>
      </c>
      <c r="H47" s="55" t="str">
        <f>IF(INDEX($AP$32:$AP$51,MATCH(16,$AQ$32:$AQ$51,0))&lt;0,"",INDEX($AO$32:$AO$51,MATCH(16,$AQ$32:$AQ$51,0)))</f>
        <v>Anchovy paste</v>
      </c>
      <c r="I47" s="55"/>
      <c r="J47" s="45">
        <f>IF($H$47="","",INDEX($AP$32:$AP$51,MATCH(16,$AQ$32:$AQ$51,0)))</f>
        <v>324</v>
      </c>
      <c r="K47" s="41">
        <f>IF(OR($H$47="",$J$52=0),"",$J$47/$J$52)</f>
        <v>0.0149695860978748</v>
      </c>
      <c r="L47" s="41">
        <f>IF(OR($H$47="",$J$52=0),"",SUM($J$32:$J$47)/$J$52)</f>
        <v>0.975998532610943</v>
      </c>
      <c r="AO47" s="11" t="str">
        <f>IFERROR(INDEX(tblIngredients[Ingredient],16)&amp;"","")</f>
        <v>Spice blend</v>
      </c>
      <c r="AP47" s="56">
        <f>IF($AO$47="",-1,SUMIFS(tblLines[Monthly spend],tblLines[Ingredient],$AO$47))</f>
        <v>342</v>
      </c>
      <c r="AQ47" s="56">
        <f>COUNTIF($AP$32:$AP$51,"&gt;"&amp;$AP$47)+COUNTIF($AP$32:$AP$47,$AP$47)</f>
        <v>14</v>
      </c>
    </row>
    <row r="48" spans="7:43" x14ac:dyDescent="0.25">
      <c r="G48" s="54">
        <v>17</v>
      </c>
      <c r="H48" s="55" t="str">
        <f>IF(INDEX($AP$32:$AP$51,MATCH(17,$AQ$32:$AQ$51,0))&lt;0,"",INDEX($AO$32:$AO$51,MATCH(17,$AQ$32:$AQ$51,0)))</f>
        <v>Smoked paprika</v>
      </c>
      <c r="I48" s="55"/>
      <c r="J48" s="45">
        <f>IF($H$48="","",INDEX($AP$32:$AP$51,MATCH(17,$AQ$32:$AQ$51,0)))</f>
        <v>261.6</v>
      </c>
      <c r="K48" s="41">
        <f>IF(OR($H$48="",$J$52=0),"",$J$48/$J$52)</f>
        <v>0.012086554701247</v>
      </c>
      <c r="L48" s="41">
        <f>IF(OR($H$48="",$J$52=0),"",SUM($J$32:$J$48)/$J$52)</f>
        <v>0.98808508731219</v>
      </c>
      <c r="AO48" s="11" t="str">
        <f>IFERROR(INDEX(tblIngredients[Ingredient],17)&amp;"","")</f>
        <v>Smoked paprika</v>
      </c>
      <c r="AP48" s="56">
        <f>IF($AO$48="",-1,SUMIFS(tblLines[Monthly spend],tblLines[Ingredient],$AO$48))</f>
        <v>261.6</v>
      </c>
      <c r="AQ48" s="56">
        <f>COUNTIF($AP$32:$AP$51,"&gt;"&amp;$AP$48)+COUNTIF($AP$32:$AP$48,$AP$48)</f>
        <v>17</v>
      </c>
    </row>
    <row r="49" spans="2:43" x14ac:dyDescent="0.25">
      <c r="G49" s="54">
        <v>18</v>
      </c>
      <c r="H49" s="55" t="str">
        <f>IF(INDEX($AP$32:$AP$51,MATCH(18,$AQ$32:$AQ$51,0))&lt;0,"",INDEX($AO$32:$AO$51,MATCH(18,$AQ$32:$AQ$51,0)))</f>
        <v>Xanthan gum</v>
      </c>
      <c r="I49" s="55"/>
      <c r="J49" s="45">
        <f>IF($H$49="","",INDEX($AP$32:$AP$51,MATCH(18,$AQ$32:$AQ$51,0)))</f>
        <v>216</v>
      </c>
      <c r="K49" s="41">
        <f>IF(OR($H$49="",$J$52=0),"",$J$49/$J$52)</f>
        <v>0.00997972406524984</v>
      </c>
      <c r="L49" s="41">
        <f>IF(OR($H$49="",$J$52=0),"",SUM($J$32:$J$49)/$J$52)</f>
        <v>0.99806481137744</v>
      </c>
      <c r="AO49" s="11" t="str">
        <f>IFERROR(INDEX(tblIngredients[Ingredient],18)&amp;"","")</f>
        <v>Molasses</v>
      </c>
      <c r="AP49" s="56">
        <f>IF($AO$49="",-1,SUMIFS(tblLines[Monthly spend],tblLines[Ingredient],$AO$49))</f>
        <v>336</v>
      </c>
      <c r="AQ49" s="56">
        <f>COUNTIF($AP$32:$AP$51,"&gt;"&amp;$AP$49)+COUNTIF($AP$32:$AP$49,$AP$49)</f>
        <v>15</v>
      </c>
    </row>
    <row r="50" spans="2:43" x14ac:dyDescent="0.25">
      <c r="G50" s="54">
        <v>19</v>
      </c>
      <c r="H50" s="55" t="str">
        <f>IF(INDEX($AP$32:$AP$51,MATCH(19,$AQ$32:$AQ$51,0))&lt;0,"",INDEX($AO$32:$AO$51,MATCH(19,$AQ$32:$AQ$51,0)))</f>
        <v>Salt</v>
      </c>
      <c r="I50" s="55"/>
      <c r="J50" s="45">
        <f>IF($H$50="","",INDEX($AP$32:$AP$51,MATCH(19,$AQ$32:$AQ$51,0)))</f>
        <v>38.4</v>
      </c>
      <c r="K50" s="41">
        <f>IF(OR($H$50="",$J$52=0),"",$J$50/$J$52)</f>
        <v>0.00177417316715553</v>
      </c>
      <c r="L50" s="41">
        <f>IF(OR($H$50="",$J$52=0),"",SUM($J$32:$J$50)/$J$52)</f>
        <v>0.999838984544595</v>
      </c>
      <c r="AO50" s="11" t="str">
        <f>IFERROR(INDEX(tblIngredients[Ingredient],19)&amp;"","")</f>
        <v>Xanthan gum</v>
      </c>
      <c r="AP50" s="56">
        <f>IF($AO$50="",-1,SUMIFS(tblLines[Monthly spend],tblLines[Ingredient],$AO$50))</f>
        <v>216</v>
      </c>
      <c r="AQ50" s="56">
        <f>COUNTIF($AP$32:$AP$51,"&gt;"&amp;$AP$50)+COUNTIF($AP$32:$AP$50,$AP$50)</f>
        <v>18</v>
      </c>
    </row>
    <row r="51" spans="2:43" x14ac:dyDescent="0.25">
      <c r="G51" s="54">
        <v>20</v>
      </c>
      <c r="H51" s="55" t="str">
        <f>IF(INDEX($AP$32:$AP$51,MATCH(20,$AQ$32:$AQ$51,0))&lt;0,"",INDEX($AO$32:$AO$51,MATCH(20,$AQ$32:$AQ$51,0)))</f>
        <v>Water</v>
      </c>
      <c r="I51" s="55"/>
      <c r="J51" s="45">
        <f>IF($H$51="","",INDEX($AP$32:$AP$51,MATCH(20,$AQ$32:$AQ$51,0)))</f>
        <v>3.485</v>
      </c>
      <c r="K51" s="41">
        <f>IF(OR($H$51="",$J$52=0),"",$J$51/$J$52)</f>
        <v>0.00016101545540461</v>
      </c>
      <c r="L51" s="41">
        <f>IF(OR($H$51="",$J$52=0),"",SUM($J$32:$J$51)/$J$52)</f>
        <v>1</v>
      </c>
      <c r="AO51" s="11" t="str">
        <f>IFERROR(INDEX(tblIngredients[Ingredient],20)&amp;"","")</f>
        <v>Water</v>
      </c>
      <c r="AP51" s="56">
        <f>IF($AO$51="",-1,SUMIFS(tblLines[Monthly spend],tblLines[Ingredient],$AO$51))</f>
        <v>3.485</v>
      </c>
      <c r="AQ51" s="56">
        <f>COUNTIF($AP$32:$AP$51,"&gt;"&amp;$AP$51)+COUNTIF($AP$32:$AP$51,$AP$51)</f>
        <v>20</v>
      </c>
    </row>
    <row r="52" spans="2:43" x14ac:dyDescent="0.25">
      <c r="G52" s="57"/>
      <c r="H52" s="57" t="s">
        <v>170</v>
      </c>
      <c r="I52" s="57"/>
      <c r="J52" s="58">
        <f>SUMIF($AP$32:$AP$51,"&gt;0")</f>
        <v>21643.885</v>
      </c>
      <c r="K52" s="57"/>
      <c r="L52" s="57"/>
    </row>
    <row r="54" spans="2:43" x14ac:dyDescent="0.25">
      <c r="B54" s="31" t="s">
        <v>171</v>
      </c>
      <c r="C54" s="31"/>
      <c r="D54" s="31"/>
      <c r="E54" s="31"/>
      <c r="F54" s="31"/>
      <c r="G54" s="31"/>
      <c r="H54" s="31"/>
      <c r="I54" s="31"/>
      <c r="J54" s="31"/>
      <c r="K54" s="31"/>
    </row>
    <row r="55" spans="2:43" ht="32" customHeight="1" x14ac:dyDescent="0.25">
      <c r="B55" s="53" t="s">
        <v>116</v>
      </c>
      <c r="C55" s="34" t="s">
        <v>172</v>
      </c>
      <c r="D55" s="34" t="s">
        <v>128</v>
      </c>
      <c r="E55" s="34" t="s">
        <v>129</v>
      </c>
      <c r="F55" s="34" t="s">
        <v>130</v>
      </c>
      <c r="G55" s="34" t="s">
        <v>133</v>
      </c>
      <c r="H55" s="34" t="s">
        <v>122</v>
      </c>
      <c r="I55" s="34" t="s">
        <v>134</v>
      </c>
      <c r="J55" s="34" t="s">
        <v>173</v>
      </c>
      <c r="K55" s="34" t="s">
        <v>174</v>
      </c>
    </row>
    <row r="56" spans="2:43" ht="14" customHeight="1" x14ac:dyDescent="0.25">
      <c r="B56" s="33"/>
      <c r="C56" s="33" t="str">
        <f>Currency&amp;"/pack"</f>
        <v>GBP/pack</v>
      </c>
      <c r="D56" s="33" t="str">
        <f>Currency&amp;"/pack"</f>
        <v>GBP/pack</v>
      </c>
      <c r="E56" s="33" t="str">
        <f>Currency&amp;"/pack"</f>
        <v>GBP/pack</v>
      </c>
      <c r="F56" s="33" t="str">
        <f>Currency&amp;"/pack"</f>
        <v>GBP/pack</v>
      </c>
      <c r="G56" s="33" t="str">
        <f>Currency&amp;"/pack"</f>
        <v>GBP/pack</v>
      </c>
      <c r="H56" s="33" t="str">
        <f>Currency&amp;"/pack"</f>
        <v>GBP/pack</v>
      </c>
      <c r="I56" s="33" t="s">
        <v>139</v>
      </c>
      <c r="J56" s="33" t="s">
        <v>139</v>
      </c>
      <c r="K56" s="33" t="str">
        <f>Currency</f>
        <v>GBP</v>
      </c>
    </row>
    <row r="57" spans="2:43" x14ac:dyDescent="0.25">
      <c r="B57" s="59" t="str">
        <f>IFERROR(INDEX(tblRecipes[Recipe],1)&amp;"","")</f>
        <v>Tomato and basil sauce</v>
      </c>
      <c r="C57" s="36">
        <f>IF($B$57="","",IF((SUMIFS(tblRecipes[Packs per batch],tblRecipes[Recipe],$B$57))=0,"",(SUMIFS(tblRecipes[Material cost],tblRecipes[Recipe],$B$57))/(SUMIFS(tblRecipes[Packs per batch],tblRecipes[Recipe],$B$57))))</f>
        <v>0.885166223404255</v>
      </c>
      <c r="D57" s="36">
        <f>IF($B$57="","",IF((SUMIFS(tblRecipes[Packs per batch],tblRecipes[Recipe],$B$57))=0,"",(SUMIFS(tblRecipes[Labour],tblRecipes[Recipe],$B$57))/(SUMIFS(tblRecipes[Packs per batch],tblRecipes[Recipe],$B$57))))</f>
        <v>0.0771276595744681</v>
      </c>
      <c r="E57" s="36">
        <f>IF($B$57="","",IF((SUMIFS(tblRecipes[Packs per batch],tblRecipes[Recipe],$B$57))=0,"",(SUMIFS(tblRecipes[Overhead],tblRecipes[Recipe],$B$57))/(SUMIFS(tblRecipes[Packs per batch],tblRecipes[Recipe],$B$57))))</f>
        <v>0.101063829787234</v>
      </c>
      <c r="F57" s="36">
        <f>IF($B$57="","",IF((SUMIFS(tblRecipes[Packs per batch],tblRecipes[Recipe],$B$57))=0,"",(SUMIFS(tblRecipes[Packaging],tblRecipes[Recipe],$B$57))/(SUMIFS(tblRecipes[Packs per batch],tblRecipes[Recipe],$B$57))))</f>
        <v>0.32</v>
      </c>
      <c r="G57" s="36">
        <f>IF($B$57="","",IF((SUMIFS(tblRecipes[Packs per batch],tblRecipes[Recipe],$B$57))=0,"",(SUMIFS(tblRecipes[Batch cost],tblRecipes[Recipe],$B$57))/(SUMIFS(tblRecipes[Packs per batch],tblRecipes[Recipe],$B$57))))</f>
        <v>1.38335771276596</v>
      </c>
      <c r="H57" s="36">
        <f>IF($B$57="","",SUMIFS(tblRecipes[Price per pack],tblRecipes[Recipe],$B$57))</f>
        <v>2.05</v>
      </c>
      <c r="I57" s="41">
        <f>IF($B$57="","",IF((SUMIFS(tblRecipes[Price per pack],tblRecipes[Recipe],$B$57)*SUMIFS(tblRecipes[Packs per batch],tblRecipes[Recipe],$B$57))=0,"",(SUMIFS(tblRecipes[Price per pack],tblRecipes[Recipe],$B$57)*SUMIFS(tblRecipes[Packs per batch],tblRecipes[Recipe],$B$57)-SUMIFS(tblRecipes[Batch cost],tblRecipes[Recipe],$B$57))/(SUMIFS(tblRecipes[Price per pack],tblRecipes[Recipe],$B$57)*SUMIFS(tblRecipes[Packs per batch],tblRecipes[Recipe],$B$57))))</f>
        <v>0.325191359626362</v>
      </c>
      <c r="J57" s="60">
        <f>TargetMargin</f>
        <v>0.3</v>
      </c>
      <c r="K57" s="45">
        <f>IF($B$57="","",(SUMIFS(tblRecipes[Price per pack],tblRecipes[Recipe],$B$57)*SUMIFS(tblRecipes[Packs per batch],tblRecipes[Recipe],$B$57)-SUMIFS(tblRecipes[Batch cost],tblRecipes[Recipe],$B$57))*SUMIFS(tblRecipes[Batches per month],tblRecipes[Recipe],$B$57))</f>
        <v>6015.78</v>
      </c>
    </row>
    <row r="58" spans="2:43" x14ac:dyDescent="0.25">
      <c r="B58" s="59" t="str">
        <f>IFERROR(INDEX(tblRecipes[Recipe],2)&amp;"","")</f>
        <v>Smoky BBQ sauce</v>
      </c>
      <c r="C58" s="36">
        <f>IF($B$58="","",IF((SUMIFS(tblRecipes[Packs per batch],tblRecipes[Recipe],$B$58))=0,"",(SUMIFS(tblRecipes[Material cost],tblRecipes[Recipe],$B$58))/(SUMIFS(tblRecipes[Packs per batch],tblRecipes[Recipe],$B$58))))</f>
        <v>0.519812728693545</v>
      </c>
      <c r="D58" s="36">
        <f>IF($B$58="","",IF((SUMIFS(tblRecipes[Packs per batch],tblRecipes[Recipe],$B$58))=0,"",(SUMIFS(tblRecipes[Labour],tblRecipes[Recipe],$B$58))/(SUMIFS(tblRecipes[Packs per batch],tblRecipes[Recipe],$B$58))))</f>
        <v>0.0840253567744087</v>
      </c>
      <c r="E58" s="36">
        <f>IF($B$58="","",IF((SUMIFS(tblRecipes[Packs per batch],tblRecipes[Recipe],$B$58))=0,"",(SUMIFS(tblRecipes[Overhead],tblRecipes[Recipe],$B$58))/(SUMIFS(tblRecipes[Packs per batch],tblRecipes[Recipe],$B$58))))</f>
        <v>0.110102191635432</v>
      </c>
      <c r="F58" s="36">
        <f>IF($B$58="","",IF((SUMIFS(tblRecipes[Packs per batch],tblRecipes[Recipe],$B$58))=0,"",(SUMIFS(tblRecipes[Packaging],tblRecipes[Recipe],$B$58))/(SUMIFS(tblRecipes[Packs per batch],tblRecipes[Recipe],$B$58))))</f>
        <v>0.28</v>
      </c>
      <c r="G58" s="36">
        <f>IF($B$58="","",IF((SUMIFS(tblRecipes[Packs per batch],tblRecipes[Recipe],$B$58))=0,"",(SUMIFS(tblRecipes[Batch cost],tblRecipes[Recipe],$B$58))/(SUMIFS(tblRecipes[Packs per batch],tblRecipes[Recipe],$B$58))))</f>
        <v>0.993940277103386</v>
      </c>
      <c r="H58" s="36">
        <f>IF($B$58="","",SUMIFS(tblRecipes[Price per pack],tblRecipes[Recipe],$B$58))</f>
        <v>1.6</v>
      </c>
      <c r="I58" s="41">
        <f>IF($B$58="","",IF((SUMIFS(tblRecipes[Price per pack],tblRecipes[Recipe],$B$58)*SUMIFS(tblRecipes[Packs per batch],tblRecipes[Recipe],$B$58))=0,"",(SUMIFS(tblRecipes[Price per pack],tblRecipes[Recipe],$B$58)*SUMIFS(tblRecipes[Packs per batch],tblRecipes[Recipe],$B$58)-SUMIFS(tblRecipes[Batch cost],tblRecipes[Recipe],$B$58))/(SUMIFS(tblRecipes[Price per pack],tblRecipes[Recipe],$B$58)*SUMIFS(tblRecipes[Packs per batch],tblRecipes[Recipe],$B$58))))</f>
        <v>0.378787326810384</v>
      </c>
      <c r="J58" s="60">
        <f>TargetMargin</f>
        <v>0.3</v>
      </c>
      <c r="K58" s="45">
        <f>IF($B$58="","",(SUMIFS(tblRecipes[Price per pack],tblRecipes[Recipe],$B$58)*SUMIFS(tblRecipes[Packs per batch],tblRecipes[Recipe],$B$58)-SUMIFS(tblRecipes[Batch cost],tblRecipes[Recipe],$B$58))*SUMIFS(tblRecipes[Batches per month],tblRecipes[Recipe],$B$58))</f>
        <v>4183.435248288</v>
      </c>
    </row>
    <row r="59" spans="2:43" x14ac:dyDescent="0.25">
      <c r="B59" s="59" t="str">
        <f>IFERROR(INDEX(tblRecipes[Recipe],3)&amp;"","")</f>
        <v>Caesar dressing</v>
      </c>
      <c r="C59" s="36">
        <f>IF($B$59="","",IF((SUMIFS(tblRecipes[Packs per batch],tblRecipes[Recipe],$B$59))=0,"",(SUMIFS(tblRecipes[Material cost],tblRecipes[Recipe],$B$59))/(SUMIFS(tblRecipes[Packs per batch],tblRecipes[Recipe],$B$59))))</f>
        <v>0.894406278733036</v>
      </c>
      <c r="D59" s="36">
        <f>IF($B$59="","",IF((SUMIFS(tblRecipes[Packs per batch],tblRecipes[Recipe],$B$59))=0,"",(SUMIFS(tblRecipes[Labour],tblRecipes[Recipe],$B$59))/(SUMIFS(tblRecipes[Packs per batch],tblRecipes[Recipe],$B$59))))</f>
        <v>0.0757451255953919</v>
      </c>
      <c r="E59" s="36">
        <f>IF($B$59="","",IF((SUMIFS(tblRecipes[Packs per batch],tblRecipes[Recipe],$B$59))=0,"",(SUMIFS(tblRecipes[Overhead],tblRecipes[Recipe],$B$59))/(SUMIFS(tblRecipes[Packs per batch],tblRecipes[Recipe],$B$59))))</f>
        <v>0.0992522335387894</v>
      </c>
      <c r="F59" s="36">
        <f>IF($B$59="","",IF((SUMIFS(tblRecipes[Packs per batch],tblRecipes[Recipe],$B$59))=0,"",(SUMIFS(tblRecipes[Packaging],tblRecipes[Recipe],$B$59))/(SUMIFS(tblRecipes[Packs per batch],tblRecipes[Recipe],$B$59))))</f>
        <v>0.26</v>
      </c>
      <c r="G59" s="36">
        <f>IF($B$59="","",IF((SUMIFS(tblRecipes[Packs per batch],tblRecipes[Recipe],$B$59))=0,"",(SUMIFS(tblRecipes[Batch cost],tblRecipes[Recipe],$B$59))/(SUMIFS(tblRecipes[Packs per batch],tblRecipes[Recipe],$B$59))))</f>
        <v>1.32940363786722</v>
      </c>
      <c r="H59" s="36">
        <f>IF($B$59="","",SUMIFS(tblRecipes[Price per pack],tblRecipes[Recipe],$B$59))</f>
        <v>1.85</v>
      </c>
      <c r="I59" s="41">
        <f>IF($B$59="","",IF((SUMIFS(tblRecipes[Price per pack],tblRecipes[Recipe],$B$59)*SUMIFS(tblRecipes[Packs per batch],tblRecipes[Recipe],$B$59))=0,"",(SUMIFS(tblRecipes[Price per pack],tblRecipes[Recipe],$B$59)*SUMIFS(tblRecipes[Packs per batch],tblRecipes[Recipe],$B$59)-SUMIFS(tblRecipes[Batch cost],tblRecipes[Recipe],$B$59))/(SUMIFS(tblRecipes[Price per pack],tblRecipes[Recipe],$B$59)*SUMIFS(tblRecipes[Packs per batch],tblRecipes[Recipe],$B$59))))</f>
        <v>0.281403438990693</v>
      </c>
      <c r="J59" s="60">
        <f>TargetMargin</f>
        <v>0.3</v>
      </c>
      <c r="K59" s="45">
        <f>IF($B$59="","",(SUMIFS(tblRecipes[Price per pack],tblRecipes[Recipe],$B$59)*SUMIFS(tblRecipes[Packs per batch],tblRecipes[Recipe],$B$59)-SUMIFS(tblRecipes[Batch cost],tblRecipes[Recipe],$B$59))*SUMIFS(tblRecipes[Batches per month],tblRecipes[Recipe],$B$59))</f>
        <v>2391.80452336896</v>
      </c>
    </row>
    <row r="60" spans="2:43" x14ac:dyDescent="0.25">
      <c r="B60" s="59" t="str">
        <f>IFERROR(INDEX(tblRecipes[Recipe],4)&amp;"","")</f>
        <v>Sweet chilli sauce</v>
      </c>
      <c r="C60" s="36">
        <f>IF($B$60="","",IF((SUMIFS(tblRecipes[Packs per batch],tblRecipes[Recipe],$B$60))=0,"",(SUMIFS(tblRecipes[Material cost],tblRecipes[Recipe],$B$60))/(SUMIFS(tblRecipes[Packs per batch],tblRecipes[Recipe],$B$60))))</f>
        <v>0.315366144792361</v>
      </c>
      <c r="D60" s="36">
        <f>IF($B$60="","",IF((SUMIFS(tblRecipes[Packs per batch],tblRecipes[Recipe],$B$60))=0,"",(SUMIFS(tblRecipes[Labour],tblRecipes[Recipe],$B$60))/(SUMIFS(tblRecipes[Packs per batch],tblRecipes[Recipe],$B$60))))</f>
        <v>0.0933821896513435</v>
      </c>
      <c r="E60" s="36">
        <f>IF($B$60="","",IF((SUMIFS(tblRecipes[Packs per batch],tblRecipes[Recipe],$B$60))=0,"",(SUMIFS(tblRecipes[Overhead],tblRecipes[Recipe],$B$60))/(SUMIFS(tblRecipes[Packs per batch],tblRecipes[Recipe],$B$60))))</f>
        <v>0.122362869198312</v>
      </c>
      <c r="F60" s="36">
        <f>IF($B$60="","",IF((SUMIFS(tblRecipes[Packs per batch],tblRecipes[Recipe],$B$60))=0,"",(SUMIFS(tblRecipes[Packaging],tblRecipes[Recipe],$B$60))/(SUMIFS(tblRecipes[Packs per batch],tblRecipes[Recipe],$B$60))))</f>
        <v>0.24</v>
      </c>
      <c r="G60" s="36">
        <f>IF($B$60="","",IF((SUMIFS(tblRecipes[Packs per batch],tblRecipes[Recipe],$B$60))=0,"",(SUMIFS(tblRecipes[Batch cost],tblRecipes[Recipe],$B$60))/(SUMIFS(tblRecipes[Packs per batch],tblRecipes[Recipe],$B$60))))</f>
        <v>0.771111203642017</v>
      </c>
      <c r="H60" s="36">
        <f>IF($B$60="","",SUMIFS(tblRecipes[Price per pack],tblRecipes[Recipe],$B$60))</f>
        <v>1.35</v>
      </c>
      <c r="I60" s="41">
        <f>IF($B$60="","",IF((SUMIFS(tblRecipes[Price per pack],tblRecipes[Recipe],$B$60)*SUMIFS(tblRecipes[Packs per batch],tblRecipes[Recipe],$B$60))=0,"",(SUMIFS(tblRecipes[Price per pack],tblRecipes[Recipe],$B$60)*SUMIFS(tblRecipes[Packs per batch],tblRecipes[Recipe],$B$60)-SUMIFS(tblRecipes[Batch cost],tblRecipes[Recipe],$B$60))/(SUMIFS(tblRecipes[Price per pack],tblRecipes[Recipe],$B$60)*SUMIFS(tblRecipes[Packs per batch],tblRecipes[Recipe],$B$60))))</f>
        <v>0.428806515820729</v>
      </c>
      <c r="J60" s="60">
        <f>TargetMargin</f>
        <v>0.3</v>
      </c>
      <c r="K60" s="45">
        <f>IF($B$60="","",(SUMIFS(tblRecipes[Price per pack],tblRecipes[Recipe],$B$60)*SUMIFS(tblRecipes[Packs per batch],tblRecipes[Recipe],$B$60)-SUMIFS(tblRecipes[Batch cost],tblRecipes[Recipe],$B$60))*SUMIFS(tblRecipes[Batches per month],tblRecipes[Recipe],$B$60))</f>
        <v>3235.94844827586</v>
      </c>
    </row>
    <row r="61" spans="2:43" x14ac:dyDescent="0.25">
      <c r="B61" s="59" t="str">
        <f>IFERROR(INDEX(tblRecipes[Recipe],5)&amp;"","")</f>
        <v>Mango chutney</v>
      </c>
      <c r="C61" s="36">
        <f>IF($B$61="","",IF((SUMIFS(tblRecipes[Packs per batch],tblRecipes[Recipe],$B$61))=0,"",(SUMIFS(tblRecipes[Material cost],tblRecipes[Recipe],$B$61))/(SUMIFS(tblRecipes[Packs per batch],tblRecipes[Recipe],$B$61))))</f>
        <v>0.837659698025552</v>
      </c>
      <c r="D61" s="36">
        <f>IF($B$61="","",IF((SUMIFS(tblRecipes[Packs per batch],tblRecipes[Recipe],$B$61))=0,"",(SUMIFS(tblRecipes[Labour],tblRecipes[Recipe],$B$61))/(SUMIFS(tblRecipes[Packs per batch],tblRecipes[Recipe],$B$61))))</f>
        <v>0.167005420054201</v>
      </c>
      <c r="E61" s="36">
        <f>IF($B$61="","",IF((SUMIFS(tblRecipes[Packs per batch],tblRecipes[Recipe],$B$61))=0,"",(SUMIFS(tblRecipes[Overhead],tblRecipes[Recipe],$B$61))/(SUMIFS(tblRecipes[Packs per batch],tblRecipes[Recipe],$B$61))))</f>
        <v>0.218834688346884</v>
      </c>
      <c r="F61" s="36">
        <f>IF($B$61="","",IF((SUMIFS(tblRecipes[Packs per batch],tblRecipes[Recipe],$B$61))=0,"",(SUMIFS(tblRecipes[Packaging],tblRecipes[Recipe],$B$61))/(SUMIFS(tblRecipes[Packs per batch],tblRecipes[Recipe],$B$61))))</f>
        <v>0.3</v>
      </c>
      <c r="G61" s="36">
        <f>IF($B$61="","",IF((SUMIFS(tblRecipes[Packs per batch],tblRecipes[Recipe],$B$61))=0,"",(SUMIFS(tblRecipes[Batch cost],tblRecipes[Recipe],$B$61))/(SUMIFS(tblRecipes[Packs per batch],tblRecipes[Recipe],$B$61))))</f>
        <v>1.52349980642664</v>
      </c>
      <c r="H61" s="36">
        <f>IF($B$61="","",SUMIFS(tblRecipes[Price per pack],tblRecipes[Recipe],$B$61))</f>
        <v>2.15</v>
      </c>
      <c r="I61" s="41">
        <f>IF($B$61="","",IF((SUMIFS(tblRecipes[Price per pack],tblRecipes[Recipe],$B$61)*SUMIFS(tblRecipes[Packs per batch],tblRecipes[Recipe],$B$61))=0,"",(SUMIFS(tblRecipes[Price per pack],tblRecipes[Recipe],$B$61)*SUMIFS(tblRecipes[Packs per batch],tblRecipes[Recipe],$B$61)-SUMIFS(tblRecipes[Batch cost],tblRecipes[Recipe],$B$61))/(SUMIFS(tblRecipes[Price per pack],tblRecipes[Recipe],$B$61)*SUMIFS(tblRecipes[Packs per batch],tblRecipes[Recipe],$B$61))))</f>
        <v>0.291395438871332</v>
      </c>
      <c r="J61" s="60">
        <f>TargetMargin</f>
        <v>0.3</v>
      </c>
      <c r="K61" s="45">
        <f>IF($B$61="","",(SUMIFS(tblRecipes[Price per pack],tblRecipes[Recipe],$B$61)*SUMIFS(tblRecipes[Packs per batch],tblRecipes[Recipe],$B$61)-SUMIFS(tblRecipes[Batch cost],tblRecipes[Recipe],$B$61))*SUMIFS(tblRecipes[Batches per month],tblRecipes[Recipe],$B$61))</f>
        <v>1523.05882352941</v>
      </c>
    </row>
    <row r="62" spans="2:43" x14ac:dyDescent="0.25">
      <c r="B62" s="59" t="str">
        <f>IFERROR(INDEX(tblRecipes[Recipe],6)&amp;"","")</f>
        <v>Garlic aioli</v>
      </c>
      <c r="C62" s="36">
        <f>IF($B$62="","",IF((SUMIFS(tblRecipes[Packs per batch],tblRecipes[Recipe],$B$62))=0,"",(SUMIFS(tblRecipes[Material cost],tblRecipes[Recipe],$B$62))/(SUMIFS(tblRecipes[Packs per batch],tblRecipes[Recipe],$B$62))))</f>
        <v>0.74984375</v>
      </c>
      <c r="D62" s="36">
        <f>IF($B$62="","",IF((SUMIFS(tblRecipes[Packs per batch],tblRecipes[Recipe],$B$62))=0,"",(SUMIFS(tblRecipes[Labour],tblRecipes[Recipe],$B$62))/(SUMIFS(tblRecipes[Packs per batch],tblRecipes[Recipe],$B$62))))</f>
        <v>0.0755208333333333</v>
      </c>
      <c r="E62" s="36">
        <f>IF($B$62="","",IF((SUMIFS(tblRecipes[Packs per batch],tblRecipes[Recipe],$B$62))=0,"",(SUMIFS(tblRecipes[Overhead],tblRecipes[Recipe],$B$62))/(SUMIFS(tblRecipes[Packs per batch],tblRecipes[Recipe],$B$62))))</f>
        <v>0.0989583333333333</v>
      </c>
      <c r="F62" s="36">
        <f>IF($B$62="","",IF((SUMIFS(tblRecipes[Packs per batch],tblRecipes[Recipe],$B$62))=0,"",(SUMIFS(tblRecipes[Packaging],tblRecipes[Recipe],$B$62))/(SUMIFS(tblRecipes[Packs per batch],tblRecipes[Recipe],$B$62))))</f>
        <v>0.26</v>
      </c>
      <c r="G62" s="36">
        <f>IF($B$62="","",IF((SUMIFS(tblRecipes[Packs per batch],tblRecipes[Recipe],$B$62))=0,"",(SUMIFS(tblRecipes[Batch cost],tblRecipes[Recipe],$B$62))/(SUMIFS(tblRecipes[Packs per batch],tblRecipes[Recipe],$B$62))))</f>
        <v>1.18432291666667</v>
      </c>
      <c r="H62" s="36">
        <f>IF($B$62="","",SUMIFS(tblRecipes[Price per pack],tblRecipes[Recipe],$B$62))</f>
        <v>1.95</v>
      </c>
      <c r="I62" s="41">
        <f>IF($B$62="","",IF((SUMIFS(tblRecipes[Price per pack],tblRecipes[Recipe],$B$62)*SUMIFS(tblRecipes[Packs per batch],tblRecipes[Recipe],$B$62))=0,"",(SUMIFS(tblRecipes[Price per pack],tblRecipes[Recipe],$B$62)*SUMIFS(tblRecipes[Packs per batch],tblRecipes[Recipe],$B$62)-SUMIFS(tblRecipes[Batch cost],tblRecipes[Recipe],$B$62))/(SUMIFS(tblRecipes[Price per pack],tblRecipes[Recipe],$B$62)*SUMIFS(tblRecipes[Packs per batch],tblRecipes[Recipe],$B$62))))</f>
        <v>0.392654914529914</v>
      </c>
      <c r="J62" s="60">
        <f>TargetMargin</f>
        <v>0.3</v>
      </c>
      <c r="K62" s="45">
        <f>IF($B$62="","",(SUMIFS(tblRecipes[Price per pack],tblRecipes[Recipe],$B$62)*SUMIFS(tblRecipes[Packs per batch],tblRecipes[Recipe],$B$62)-SUMIFS(tblRecipes[Batch cost],tblRecipes[Recipe],$B$62))*SUMIFS(tblRecipes[Batches per month],tblRecipes[Recipe],$B$62))</f>
        <v>2205.15</v>
      </c>
    </row>
    <row r="64" spans="2:43" ht="26.76" customHeight="1" x14ac:dyDescent="0.25">
      <c r="B64" s="21" t="s">
        <v>175</v>
      </c>
      <c r="C64" s="21"/>
      <c r="D64" s="21"/>
      <c r="E64" s="21"/>
      <c r="F64" s="21"/>
      <c r="G64" s="21"/>
      <c r="H64" s="21"/>
      <c r="I64" s="21"/>
      <c r="J64" s="21"/>
      <c r="K64" s="21"/>
      <c r="L64" s="21"/>
    </row>
    <row r="65" spans="2:12" x14ac:dyDescent="0.25">
      <c r="B65" s="61">
        <f>IF(OR(COUNTA(tblRecipes[Recipe])&gt;6,COUNTA(tblIngredients[Ingredient])&gt;20),"The lists are longer than the Dashboard blocks: some recipes or ingredients are not shown.","")</f>
        <v/>
      </c>
      <c r="C65" s="61"/>
      <c r="D65" s="61"/>
      <c r="E65" s="61"/>
      <c r="F65" s="61"/>
      <c r="G65" s="61"/>
      <c r="H65" s="61"/>
      <c r="I65" s="61"/>
      <c r="J65" s="61"/>
      <c r="K65" s="61"/>
      <c r="L65" s="61"/>
    </row>
  </sheetData>
  <sheetProtection sheet="1" formatColumns="0" formatRows="0"/>
  <mergeCells count="47">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G29:L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B54:K54"/>
    <mergeCell ref="B64:L64"/>
    <mergeCell ref="B65:L65"/>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I57:I62">
    <cfRule type="expression" dxfId="3" priority="22" stopIfTrue="1">
      <formula>AND(ISNUMBER(I57),I57&gt;=(TargetMargin))</formula>
    </cfRule>
    <cfRule type="expression" dxfId="4" priority="23" stopIfTrue="1">
      <formula>AND(ISNUMBER(I57),I57&gt;=(TargetMargin)*(1-0.05))</formula>
    </cfRule>
    <cfRule type="expression" dxfId="5" priority="24">
      <formula>ISNUMBER(I57)</formula>
    </cfRule>
  </conditionalFormatting>
  <conditionalFormatting sqref="J32:J51">
    <cfRule type="dataBar" priority="21">
      <dataBar>
        <cfvo type="num" val="0"/>
        <cfvo type="max"/>
        <color rgb="FFA8BDF0"/>
      </dataBar>
      <extLst>
        <ext xmlns:x14="http://schemas.microsoft.com/office/spreadsheetml/2009/9/main" uri="{B025F937-C7B1-47D3-B67F-A62EFF666E3E}">
          <x14:id>{DA7ABA51-AAAA-BBBB-0005-000000000001}</x14:id>
        </ext>
      </extLst>
    </cfRule>
  </conditionalFormatting>
  <hyperlinks>
    <hyperlink ref="K2" r:id="rId1" tooltip="Free manufacturing calculators and templates"/>
  </hyperlinks>
  <pageMargins left="0.4" right="0.4" top="0.7" bottom="0.65" header="0.3" footer="0.3"/>
  <pageSetup fitToHeight="0" orientation="landscape"/>
  <headerFooter>
    <oddHeader>&amp;L&amp;8MFG Calcs - Recipe and Batch Costing&amp;R&amp;8&amp;A</oddHeader>
    <oddFooter>&amp;L&amp;8mfgcalcs.com - free manufacturing templates&amp;R&amp;8Page &amp;P of &amp;N</oddFooter>
  </headerFooter>
  <rowBreaks count="2" manualBreakCount="2">
    <brk id="28" max="16383" man="1"/>
    <brk id="53"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J32:J51</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176</v>
      </c>
      <c r="C4" s="8"/>
      <c r="D4" s="8"/>
    </row>
    <row r="5" spans="1:4" ht="5" customHeight="1"/>
    <row r="6" spans="1:4" ht="55.8" customHeight="1">
      <c r="B6" s="10" t="s">
        <v>177</v>
      </c>
      <c r="C6" s="10"/>
      <c r="D6" s="10"/>
    </row>
    <row r="8" spans="1:4" ht="21" customHeight="1">
      <c r="B8" s="8" t="s">
        <v>178</v>
      </c>
      <c r="C8" s="8"/>
      <c r="D8" s="8"/>
    </row>
    <row r="9" spans="1:4" ht="5" customHeight="1"/>
    <row r="10" spans="1:4" ht="20" customHeight="1">
      <c r="B10" s="53" t="s">
        <v>148</v>
      </c>
      <c r="C10" s="53" t="s">
        <v>179</v>
      </c>
      <c r="D10" s="34" t="s">
        <v>180</v>
      </c>
    </row>
    <row r="11" spans="1:4" ht="17.2" customHeight="1">
      <c r="B11" s="62" t="s">
        <v>68</v>
      </c>
      <c r="C11" s="63" t="s">
        <v>181</v>
      </c>
      <c r="D11" s="64" t="s">
        <v>182</v>
      </c>
    </row>
    <row r="12" spans="1:4" ht="30.4" customHeight="1">
      <c r="B12" s="62" t="s">
        <v>183</v>
      </c>
      <c r="C12" s="63" t="s">
        <v>184</v>
      </c>
      <c r="D12" s="64" t="s">
        <v>185</v>
      </c>
    </row>
    <row r="13" spans="1:4" ht="17.2" customHeight="1">
      <c r="B13" s="62" t="s">
        <v>186</v>
      </c>
      <c r="C13" s="63" t="s">
        <v>187</v>
      </c>
      <c r="D13" s="64" t="s">
        <v>188</v>
      </c>
    </row>
    <row r="14" spans="1:4" ht="17.2" customHeight="1">
      <c r="B14" s="62" t="s">
        <v>189</v>
      </c>
      <c r="C14" s="63" t="s">
        <v>190</v>
      </c>
      <c r="D14" s="64" t="s">
        <v>191</v>
      </c>
    </row>
    <row r="15" spans="1:4" ht="30.4" customHeight="1">
      <c r="B15" s="62" t="s">
        <v>192</v>
      </c>
      <c r="C15" s="63" t="s">
        <v>193</v>
      </c>
      <c r="D15" s="64" t="s">
        <v>194</v>
      </c>
    </row>
    <row r="16" spans="1:4" ht="17.2" customHeight="1">
      <c r="B16" s="62" t="s">
        <v>131</v>
      </c>
      <c r="C16" s="63" t="s">
        <v>195</v>
      </c>
      <c r="D16" s="64" t="s">
        <v>194</v>
      </c>
    </row>
    <row r="17" spans="2:4" ht="17.2" customHeight="1">
      <c r="B17" s="62" t="s">
        <v>196</v>
      </c>
      <c r="C17" s="63" t="s">
        <v>197</v>
      </c>
      <c r="D17" s="64" t="s">
        <v>198</v>
      </c>
    </row>
    <row r="18" spans="2:4" ht="30.4" customHeight="1">
      <c r="B18" s="62" t="s">
        <v>134</v>
      </c>
      <c r="C18" s="63" t="s">
        <v>199</v>
      </c>
      <c r="D18" s="64" t="s">
        <v>139</v>
      </c>
    </row>
    <row r="19" spans="2:4" ht="17.2" customHeight="1">
      <c r="B19" s="62" t="s">
        <v>135</v>
      </c>
      <c r="C19" s="63" t="s">
        <v>200</v>
      </c>
      <c r="D19" s="64" t="s">
        <v>201</v>
      </c>
    </row>
    <row r="20" spans="2:4" ht="43.6" customHeight="1">
      <c r="B20" s="62" t="s">
        <v>202</v>
      </c>
      <c r="C20" s="63" t="s">
        <v>203</v>
      </c>
      <c r="D20" s="64" t="s">
        <v>204</v>
      </c>
    </row>
    <row r="22" spans="2:4" ht="21" customHeight="1">
      <c r="B22" s="8" t="s">
        <v>205</v>
      </c>
      <c r="C22" s="8"/>
      <c r="D22" s="8"/>
    </row>
    <row r="23" spans="2:4" ht="5" customHeight="1"/>
    <row r="24" spans="2:4" ht="16.2" customHeight="1">
      <c r="B24" s="26" t="s">
        <v>57</v>
      </c>
      <c r="C24" s="10" t="s">
        <v>206</v>
      </c>
      <c r="D24" s="10"/>
    </row>
    <row r="25" spans="2:4" ht="29.4" customHeight="1">
      <c r="B25" s="26" t="s">
        <v>57</v>
      </c>
      <c r="C25" s="10" t="s">
        <v>207</v>
      </c>
      <c r="D25" s="10"/>
    </row>
    <row r="26" spans="2:4" ht="16.2" customHeight="1">
      <c r="B26" s="26" t="s">
        <v>57</v>
      </c>
      <c r="C26" s="10" t="s">
        <v>208</v>
      </c>
      <c r="D26" s="10"/>
    </row>
    <row r="28" spans="2:4" ht="21" customHeight="1">
      <c r="B28" s="8" t="s">
        <v>209</v>
      </c>
      <c r="C28" s="8"/>
      <c r="D28" s="8"/>
    </row>
    <row r="29" spans="2:4" ht="5" customHeight="1"/>
    <row r="30" spans="2:4" ht="29.4" customHeight="1">
      <c r="B30" s="26" t="s">
        <v>57</v>
      </c>
      <c r="C30" s="10" t="s">
        <v>210</v>
      </c>
      <c r="D30" s="10"/>
    </row>
    <row r="31" spans="2:4" ht="29.4" customHeight="1">
      <c r="B31" s="26" t="s">
        <v>57</v>
      </c>
      <c r="C31" s="10" t="s">
        <v>211</v>
      </c>
      <c r="D31" s="10"/>
    </row>
    <row r="32" spans="2:4" ht="29.4" customHeight="1">
      <c r="B32" s="26" t="s">
        <v>57</v>
      </c>
      <c r="C32" s="10" t="s">
        <v>212</v>
      </c>
      <c r="D32" s="10"/>
    </row>
    <row r="34" spans="2:4" ht="21" customHeight="1">
      <c r="B34" s="8" t="s">
        <v>213</v>
      </c>
      <c r="C34" s="8"/>
      <c r="D34" s="8"/>
    </row>
    <row r="35" spans="2:4" ht="5" customHeight="1"/>
    <row r="36" spans="2:4" ht="69" customHeight="1">
      <c r="B36" s="10" t="s">
        <v>214</v>
      </c>
      <c r="C36" s="10"/>
      <c r="D36" s="10"/>
    </row>
    <row r="37" spans="2:4">
      <c r="B37" s="24" t="s">
        <v>215</v>
      </c>
      <c r="C37" s="24"/>
      <c r="D37" s="24"/>
    </row>
    <row r="39" spans="2:4" ht="21" customHeight="1">
      <c r="B39" s="8" t="s">
        <v>44</v>
      </c>
      <c r="C39" s="8"/>
      <c r="D39" s="8"/>
    </row>
    <row r="40" spans="2:4" ht="5" customHeight="1"/>
    <row r="41" spans="2:4" ht="42.6" customHeight="1">
      <c r="B41" s="10" t="s">
        <v>216</v>
      </c>
      <c r="C41" s="10"/>
      <c r="D41" s="10"/>
    </row>
    <row r="43" spans="2:4" ht="21" customHeight="1">
      <c r="B43" s="8" t="s">
        <v>217</v>
      </c>
      <c r="C43" s="8"/>
      <c r="D43" s="8"/>
    </row>
    <row r="44" spans="2:4" ht="5" customHeight="1"/>
    <row r="45" spans="2:4" ht="29.4" customHeight="1">
      <c r="B45" s="26" t="s">
        <v>57</v>
      </c>
      <c r="C45" s="10" t="s">
        <v>218</v>
      </c>
      <c r="D45" s="10"/>
    </row>
    <row r="46" spans="2:4" ht="16.2" customHeight="1">
      <c r="B46" s="26" t="s">
        <v>57</v>
      </c>
      <c r="C46" s="10" t="s">
        <v>219</v>
      </c>
      <c r="D46" s="10"/>
    </row>
    <row r="47" spans="2:4" ht="29.4" customHeight="1">
      <c r="B47" s="26" t="s">
        <v>57</v>
      </c>
      <c r="C47" s="10" t="s">
        <v>220</v>
      </c>
      <c r="D47" s="10"/>
    </row>
    <row r="48" spans="2:4">
      <c r="B48" s="21" t="s">
        <v>221</v>
      </c>
      <c r="C48" s="21"/>
      <c r="D48" s="21"/>
    </row>
    <row r="50" spans="2:4" ht="21" customHeight="1">
      <c r="B50" s="8" t="s">
        <v>222</v>
      </c>
      <c r="C50" s="8"/>
      <c r="D50" s="8"/>
    </row>
    <row r="51" spans="2:4" ht="5" customHeight="1"/>
    <row r="52" spans="2:4">
      <c r="B52" s="53" t="s">
        <v>52</v>
      </c>
      <c r="C52" s="53" t="s">
        <v>223</v>
      </c>
      <c r="D52" s="34" t="s">
        <v>224</v>
      </c>
    </row>
    <row r="53" spans="2:4" ht="16.2" customHeight="1">
      <c r="B53" s="65" t="s">
        <v>225</v>
      </c>
      <c r="C53" s="66" t="s">
        <v>226</v>
      </c>
      <c r="D53" s="67" t="s">
        <v>227</v>
      </c>
    </row>
    <row r="55" spans="2:4">
      <c r="B55" s="21" t="s">
        <v>63</v>
      </c>
      <c r="C55" s="21"/>
      <c r="D55" s="21"/>
    </row>
  </sheetData>
  <sheetProtection sheet="1" formatColumns="0" formatRows="0"/>
  <mergeCells count="25">
    <mergeCell ref="A1:D1"/>
    <mergeCell ref="B2:C2"/>
    <mergeCell ref="B4:D4"/>
    <mergeCell ref="B6:D6"/>
    <mergeCell ref="B8:D8"/>
    <mergeCell ref="B22:D22"/>
    <mergeCell ref="C24:D24"/>
    <mergeCell ref="C25:D25"/>
    <mergeCell ref="C26:D26"/>
    <mergeCell ref="B28:D28"/>
    <mergeCell ref="C30:D30"/>
    <mergeCell ref="C31:D31"/>
    <mergeCell ref="C32:D32"/>
    <mergeCell ref="B34:D34"/>
    <mergeCell ref="B36:D36"/>
    <mergeCell ref="B37:D37"/>
    <mergeCell ref="B39:D39"/>
    <mergeCell ref="B41:D41"/>
    <mergeCell ref="B43:D43"/>
    <mergeCell ref="C45:D45"/>
    <mergeCell ref="C46:D46"/>
    <mergeCell ref="C47:D47"/>
    <mergeCell ref="B48:D48"/>
    <mergeCell ref="B50:D50"/>
    <mergeCell ref="B55:D55"/>
  </mergeCells>
  <hyperlinks>
    <hyperlink ref="D2" r:id="rId1" tooltip="Free manufacturing calculators and templates"/>
    <hyperlink ref="B37" r:id="rId2"/>
  </hyperlinks>
  <printOptions horizontalCentered="1"/>
  <pageMargins left="0.4" right="0.4" top="0.7" bottom="0.65" header="0.3" footer="0.3"/>
  <pageSetup fitToHeight="0" orientation="portrait"/>
  <headerFooter>
    <oddHeader>&amp;L&amp;8MFG Calcs - Recipe and Batch Costing&amp;R&amp;8&amp;A</oddHeader>
    <oddFooter>&amp;L&amp;8mfgcalcs.com - free manufacturing templates&amp;R&amp;8Page &amp;P of &amp;N</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X49"/>
  <sheetViews>
    <sheetView showGridLines="0" workbookViewId="0"/>
  </sheetViews>
  <sheetFormatPr defaultRowHeight="15"/>
  <cols>
    <col min="1" max="1" width="2.7109375" customWidth="1"/>
    <col min="2" max="19" width="12.7109375" customWidth="1"/>
    <col min="20" max="20" width="8.7109375" customWidth="1"/>
    <col min="21" max="21" width="9.28515625" customWidth="1"/>
    <col min="22" max="22" width="11.7109375" customWidth="1"/>
    <col min="23" max="23" width="20.7109375" customWidth="1"/>
    <col min="24" max="24" width="24.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30</v>
      </c>
      <c r="C2" s="2"/>
      <c r="D2" s="2"/>
      <c r="E2" s="2"/>
      <c r="F2" s="2"/>
      <c r="G2" s="2"/>
      <c r="H2" s="2"/>
      <c r="I2" s="2"/>
      <c r="J2" s="2"/>
      <c r="K2" s="2"/>
      <c r="L2" s="2"/>
      <c r="M2" s="2"/>
      <c r="N2" s="2"/>
      <c r="O2" s="2"/>
      <c r="P2" s="2"/>
      <c r="Q2" s="2"/>
      <c r="R2" s="2"/>
      <c r="S2" s="2"/>
      <c r="T2" s="2"/>
      <c r="U2" s="2"/>
      <c r="V2" s="2"/>
      <c r="W2" s="2"/>
      <c r="X2" s="3" t="s">
        <v>2</v>
      </c>
    </row>
    <row r="3" spans="1:24" ht="6" customHeight="1"/>
    <row r="4" spans="1:24" ht="30" customHeight="1">
      <c r="B4" s="68" t="s">
        <v>228</v>
      </c>
      <c r="C4" s="68"/>
      <c r="D4" s="22" t="str">
        <f>IF(COUNTIF($K$11:$K$25,"PASS")=15,"PASS","FAIL")</f>
        <v>PASS</v>
      </c>
      <c r="E4" s="22"/>
      <c r="F4" s="23" t="str">
        <f>COUNTIF($K$11:$K$25,"PASS")&amp;" of 15 checks pass"</f>
        <v>15 of 15 checks pass</v>
      </c>
      <c r="G4" s="23"/>
      <c r="H4" s="23"/>
      <c r="I4" s="23"/>
      <c r="J4" s="23"/>
    </row>
    <row r="6" spans="1:24" ht="29.4" customHeight="1">
      <c r="B6" s="10" t="s">
        <v>229</v>
      </c>
      <c r="C6" s="10"/>
      <c r="D6" s="10"/>
      <c r="E6" s="10"/>
      <c r="F6" s="10"/>
      <c r="G6" s="10"/>
      <c r="H6" s="10"/>
      <c r="I6" s="10"/>
      <c r="J6" s="10"/>
      <c r="K6" s="10"/>
      <c r="L6" s="10"/>
    </row>
    <row r="8" spans="1:24" ht="21" customHeight="1">
      <c r="B8" s="8" t="s">
        <v>230</v>
      </c>
      <c r="C8" s="8"/>
      <c r="D8" s="8"/>
      <c r="E8" s="8"/>
      <c r="F8" s="8"/>
      <c r="G8" s="8"/>
      <c r="H8" s="8"/>
      <c r="I8" s="8"/>
      <c r="J8" s="8"/>
      <c r="K8" s="8"/>
      <c r="L8" s="8"/>
    </row>
    <row r="9" spans="1:24" ht="5" customHeight="1"/>
    <row r="10" spans="1:24" ht="30" customHeight="1">
      <c r="B10" s="34" t="s">
        <v>231</v>
      </c>
      <c r="C10" s="53" t="s">
        <v>137</v>
      </c>
      <c r="D10" s="53"/>
      <c r="E10" s="53"/>
      <c r="F10" s="53"/>
      <c r="G10" s="34" t="s">
        <v>232</v>
      </c>
      <c r="H10" s="34" t="s">
        <v>233</v>
      </c>
      <c r="I10" s="34" t="s">
        <v>234</v>
      </c>
      <c r="J10" s="34" t="s">
        <v>235</v>
      </c>
      <c r="K10" s="34" t="s">
        <v>236</v>
      </c>
    </row>
    <row r="11" spans="1:24" ht="16.2" customHeight="1">
      <c r="B11" s="54">
        <v>1</v>
      </c>
      <c r="C11" s="66" t="s">
        <v>237</v>
      </c>
      <c r="D11" s="66"/>
      <c r="E11" s="66"/>
      <c r="F11" s="66"/>
      <c r="G11" s="69">
        <v>1.5</v>
      </c>
      <c r="H11" s="44">
        <f>$F$47</f>
        <v>1.5</v>
      </c>
      <c r="I11" s="70">
        <f>IF(AND(ISNUMBER($G$11),ISNUMBER($H$11)),ABS($H$11-$G$11),"")</f>
        <v>0</v>
      </c>
      <c r="J11" s="71">
        <v>1E-09</v>
      </c>
      <c r="K11" s="42" t="str">
        <f>IF(AND(ISNUMBER($G$11),ISNUMBER($H$11)),IF(ABS($H$11-$G$11)&lt;=$J$11,"PASS","FAIL"),"FAIL")</f>
        <v>PASS</v>
      </c>
    </row>
    <row r="12" spans="1:24" ht="16.2" customHeight="1">
      <c r="B12" s="54">
        <v>2</v>
      </c>
      <c r="C12" s="66" t="s">
        <v>238</v>
      </c>
      <c r="D12" s="66"/>
      <c r="E12" s="66"/>
      <c r="F12" s="66"/>
      <c r="G12" s="69">
        <v>9.979032140000001</v>
      </c>
      <c r="H12" s="44">
        <f>$F$48</f>
        <v>9.97903214</v>
      </c>
      <c r="I12" s="70">
        <f>IF(AND(ISNUMBER($G$12),ISNUMBER($H$12)),ABS($H$12-$G$12),"")</f>
        <v>0</v>
      </c>
      <c r="J12" s="71">
        <v>1E-09</v>
      </c>
      <c r="K12" s="42" t="str">
        <f>IF(AND(ISNUMBER($G$12),ISNUMBER($H$12)),IF(ABS($H$12-$G$12)&lt;=$J$12,"PASS","FAIL"),"FAIL")</f>
        <v>PASS</v>
      </c>
    </row>
    <row r="13" spans="1:24" ht="16.2" customHeight="1">
      <c r="B13" s="54">
        <v>3</v>
      </c>
      <c r="C13" s="66" t="s">
        <v>239</v>
      </c>
      <c r="D13" s="66"/>
      <c r="E13" s="66"/>
      <c r="F13" s="66"/>
      <c r="G13" s="72">
        <v>1473</v>
      </c>
      <c r="H13" s="40">
        <f>$Q$38</f>
        <v>1473</v>
      </c>
      <c r="I13" s="70">
        <f>IF(AND(ISNUMBER($G$13),ISNUMBER($H$13)),ABS($H$13-$G$13),"")</f>
        <v>0</v>
      </c>
      <c r="J13" s="71">
        <v>1E-09</v>
      </c>
      <c r="K13" s="42" t="str">
        <f>IF(AND(ISNUMBER($G$13),ISNUMBER($H$13)),IF(ABS($H$13-$G$13)&lt;=$J$13,"PASS","FAIL"),"FAIL")</f>
        <v>PASS</v>
      </c>
    </row>
    <row r="14" spans="1:24" ht="16.2" customHeight="1">
      <c r="B14" s="54">
        <v>4</v>
      </c>
      <c r="C14" s="66" t="s">
        <v>240</v>
      </c>
      <c r="D14" s="66"/>
      <c r="E14" s="66"/>
      <c r="F14" s="66"/>
      <c r="G14" s="73">
        <v>6.202105263157895</v>
      </c>
      <c r="H14" s="36">
        <f>$R$38</f>
        <v>6.2021052631579</v>
      </c>
      <c r="I14" s="70">
        <f>IF(AND(ISNUMBER($G$14),ISNUMBER($H$14)),ABS($H$14-$G$14),"")</f>
        <v>0</v>
      </c>
      <c r="J14" s="71">
        <v>1E-09</v>
      </c>
      <c r="K14" s="42" t="str">
        <f>IF(AND(ISNUMBER($G$14),ISNUMBER($H$14)),IF(ABS($H$14-$G$14)&lt;=$J$14,"PASS","FAIL"),"FAIL")</f>
        <v>PASS</v>
      </c>
    </row>
    <row r="15" spans="1:24" ht="16.2" customHeight="1">
      <c r="B15" s="54">
        <v>5</v>
      </c>
      <c r="C15" s="66" t="s">
        <v>241</v>
      </c>
      <c r="D15" s="66"/>
      <c r="E15" s="66"/>
      <c r="F15" s="66"/>
      <c r="G15" s="69">
        <v>131.47903214</v>
      </c>
      <c r="H15" s="44">
        <f>$J$39</f>
        <v>131.47903214</v>
      </c>
      <c r="I15" s="70">
        <f>IF(AND(ISNUMBER($G$15),ISNUMBER($H$15)),ABS($H$15-$G$15),"")</f>
        <v>0</v>
      </c>
      <c r="J15" s="71">
        <v>1E-09</v>
      </c>
      <c r="K15" s="42" t="str">
        <f>IF(AND(ISNUMBER($G$15),ISNUMBER($H$15)),IF(ABS($H$15-$G$15)&lt;=$J$15,"PASS","FAIL"),"FAIL")</f>
        <v>PASS</v>
      </c>
    </row>
    <row r="16" spans="1:24" ht="16.2" customHeight="1">
      <c r="B16" s="54">
        <v>6</v>
      </c>
      <c r="C16" s="66" t="s">
        <v>242</v>
      </c>
      <c r="D16" s="66"/>
      <c r="E16" s="66"/>
      <c r="F16" s="66"/>
      <c r="G16" s="73">
        <v>458.6854821</v>
      </c>
      <c r="H16" s="36">
        <f>$K$39</f>
        <v>458.6854821</v>
      </c>
      <c r="I16" s="70">
        <f>IF(AND(ISNUMBER($G$16),ISNUMBER($H$16)),ABS($H$16-$G$16),"")</f>
        <v>0</v>
      </c>
      <c r="J16" s="71">
        <v>1E-09</v>
      </c>
      <c r="K16" s="42" t="str">
        <f>IF(AND(ISNUMBER($G$16),ISNUMBER($H$16)),IF(ABS($H$16-$G$16)&lt;=$J$16,"PASS","FAIL"),"FAIL")</f>
        <v>PASS</v>
      </c>
    </row>
    <row r="17" spans="2:12" ht="16.2" customHeight="1">
      <c r="B17" s="54">
        <v>7</v>
      </c>
      <c r="C17" s="66" t="s">
        <v>243</v>
      </c>
      <c r="D17" s="66"/>
      <c r="E17" s="66"/>
      <c r="F17" s="66"/>
      <c r="G17" s="73">
        <v>103.53973781025</v>
      </c>
      <c r="H17" s="36">
        <f>$P$39</f>
        <v>103.53973781025</v>
      </c>
      <c r="I17" s="70">
        <f>IF(AND(ISNUMBER($G$17),ISNUMBER($H$17)),ABS($H$17-$G$17),"")</f>
        <v>0</v>
      </c>
      <c r="J17" s="71">
        <v>1E-09</v>
      </c>
      <c r="K17" s="42" t="str">
        <f>IF(AND(ISNUMBER($G$17),ISNUMBER($H$17)),IF(ABS($H$17-$G$17)&lt;=$J$17,"PASS","FAIL"),"FAIL")</f>
        <v>PASS</v>
      </c>
    </row>
    <row r="18" spans="2:12" ht="16.2" customHeight="1">
      <c r="B18" s="54">
        <v>8</v>
      </c>
      <c r="C18" s="66" t="s">
        <v>244</v>
      </c>
      <c r="D18" s="66"/>
      <c r="E18" s="66"/>
      <c r="F18" s="66"/>
      <c r="G18" s="73">
        <v>2.417707754170167</v>
      </c>
      <c r="H18" s="36">
        <f>$S$39</f>
        <v>2.41770775417017</v>
      </c>
      <c r="I18" s="70">
        <f>IF(AND(ISNUMBER($G$18),ISNUMBER($H$18)),ABS($H$18-$G$18),"")</f>
        <v>0</v>
      </c>
      <c r="J18" s="71">
        <v>1E-09</v>
      </c>
      <c r="K18" s="42" t="str">
        <f>IF(AND(ISNUMBER($G$18),ISNUMBER($H$18)),IF(ABS($H$18-$G$18)&lt;=$J$18,"PASS","FAIL"),"FAIL")</f>
        <v>PASS</v>
      </c>
    </row>
    <row r="19" spans="2:12" ht="16.2" customHeight="1">
      <c r="B19" s="54">
        <v>9</v>
      </c>
      <c r="C19" s="66" t="s">
        <v>245</v>
      </c>
      <c r="D19" s="66"/>
      <c r="E19" s="66"/>
      <c r="F19" s="66"/>
      <c r="G19" s="74">
        <v>0.2444663268218229</v>
      </c>
      <c r="H19" s="75">
        <f>$T$39</f>
        <v>0.244466326821823</v>
      </c>
      <c r="I19" s="70">
        <f>IF(AND(ISNUMBER($G$19),ISNUMBER($H$19)),ABS($H$19-$G$19),"")</f>
        <v>0</v>
      </c>
      <c r="J19" s="71">
        <v>1E-09</v>
      </c>
      <c r="K19" s="42" t="str">
        <f>IF(AND(ISNUMBER($G$19),ISNUMBER($H$19)),IF(ABS($H$19-$G$19)&lt;=$J$19,"PASS","FAIL"),"FAIL")</f>
        <v>PASS</v>
      </c>
    </row>
    <row r="20" spans="2:12" ht="16.2" customHeight="1">
      <c r="B20" s="54">
        <v>10</v>
      </c>
      <c r="C20" s="66" t="s">
        <v>246</v>
      </c>
      <c r="D20" s="66"/>
      <c r="E20" s="66"/>
      <c r="F20" s="66"/>
      <c r="G20" s="73">
        <v>3.223610338893556</v>
      </c>
      <c r="H20" s="36">
        <f>$U$39</f>
        <v>3.22361033889356</v>
      </c>
      <c r="I20" s="70">
        <f>IF(AND(ISNUMBER($G$20),ISNUMBER($H$20)),ABS($H$20-$G$20),"")</f>
        <v>0</v>
      </c>
      <c r="J20" s="71">
        <v>1E-09</v>
      </c>
      <c r="K20" s="42" t="str">
        <f>IF(AND(ISNUMBER($G$20),ISNUMBER($H$20)),IF(ABS($H$20-$G$20)&lt;=$J$20,"PASS","FAIL"),"FAIL")</f>
        <v>PASS</v>
      </c>
    </row>
    <row r="21" spans="2:12" ht="16.2" customHeight="1">
      <c r="B21" s="54">
        <v>11</v>
      </c>
      <c r="C21" s="66" t="s">
        <v>247</v>
      </c>
      <c r="D21" s="66"/>
      <c r="E21" s="66"/>
      <c r="F21" s="66"/>
      <c r="G21" s="65" t="s">
        <v>248</v>
      </c>
      <c r="H21" s="55" t="str">
        <f>$V$39</f>
        <v>Near target</v>
      </c>
      <c r="I21" s="55"/>
      <c r="J21" s="67" t="s">
        <v>249</v>
      </c>
      <c r="K21" s="42" t="str">
        <f>IF($H$21&amp;""=$G$21&amp;"","PASS","FAIL")</f>
        <v>PASS</v>
      </c>
    </row>
    <row r="22" spans="2:12" ht="16.2" customHeight="1">
      <c r="B22" s="54">
        <v>12</v>
      </c>
      <c r="C22" s="66" t="s">
        <v>250</v>
      </c>
      <c r="D22" s="66"/>
      <c r="E22" s="66"/>
      <c r="F22" s="66"/>
      <c r="G22" s="65" t="s">
        <v>251</v>
      </c>
      <c r="H22" s="55" t="str">
        <f>$W$40</f>
        <v>Price below cost</v>
      </c>
      <c r="I22" s="55"/>
      <c r="J22" s="67" t="s">
        <v>249</v>
      </c>
      <c r="K22" s="42" t="str">
        <f>IF($H$22&amp;""=$G$22&amp;"","PASS","FAIL")</f>
        <v>PASS</v>
      </c>
    </row>
    <row r="23" spans="2:12" ht="16.2" customHeight="1">
      <c r="B23" s="54">
        <v>13</v>
      </c>
      <c r="C23" s="66" t="s">
        <v>252</v>
      </c>
      <c r="D23" s="66"/>
      <c r="E23" s="66"/>
      <c r="F23" s="66"/>
      <c r="G23" s="74">
        <v>0.2662538438379908</v>
      </c>
      <c r="H23" s="75">
        <f>IF((SUMPRODUCT(tblVerifyRecipes[Price per pack],tblVerifyRecipes[Packs per batch],tblVerifyRecipes[Batches per month]))=0,"",(SUMPRODUCT(tblVerifyRecipes[Price per pack],tblVerifyRecipes[Packs per batch],tblVerifyRecipes[Batches per month])-SUMPRODUCT(tblVerifyRecipes[Batch cost],tblVerifyRecipes[Batches per month]))/(SUMPRODUCT(tblVerifyRecipes[Price per pack],tblVerifyRecipes[Packs per batch],tblVerifyRecipes[Batches per month])))</f>
        <v>0.266253843837991</v>
      </c>
      <c r="I23" s="70">
        <f>IF(AND(ISNUMBER($G$23),ISNUMBER($H$23)),ABS($H$23-$G$23),"")</f>
        <v>0</v>
      </c>
      <c r="J23" s="71">
        <v>1E-09</v>
      </c>
      <c r="K23" s="42" t="str">
        <f>IF(AND(ISNUMBER($G$23),ISNUMBER($H$23)),IF(ABS($H$23-$G$23)&lt;=$J$23,"PASS","FAIL"),"FAIL")</f>
        <v>PASS</v>
      </c>
    </row>
    <row r="24" spans="2:12" ht="16.2" customHeight="1">
      <c r="B24" s="54">
        <v>14</v>
      </c>
      <c r="C24" s="66" t="s">
        <v>253</v>
      </c>
      <c r="D24" s="66"/>
      <c r="E24" s="66"/>
      <c r="F24" s="66"/>
      <c r="G24" s="72">
        <v>6383.195245991003</v>
      </c>
      <c r="H24" s="40">
        <f>SUMPRODUCT(tblVerifyRecipes[Price per pack],tblVerifyRecipes[Packs per batch],tblVerifyRecipes[Batches per month])-SUMPRODUCT(tblVerifyRecipes[Batch cost],tblVerifyRecipes[Batches per month])</f>
        <v>6383.195245991</v>
      </c>
      <c r="I24" s="70">
        <f>IF(AND(ISNUMBER($G$24),ISNUMBER($H$24)),ABS($H$24-$G$24),"")</f>
        <v>0</v>
      </c>
      <c r="J24" s="71">
        <v>1E-09</v>
      </c>
      <c r="K24" s="42" t="str">
        <f>IF(AND(ISNUMBER($G$24),ISNUMBER($H$24)),IF(ABS($H$24-$G$24)&lt;=$J$24,"PASS","FAIL"),"FAIL")</f>
        <v>PASS</v>
      </c>
    </row>
    <row r="25" spans="2:12" ht="16.2" customHeight="1">
      <c r="B25" s="54">
        <v>15</v>
      </c>
      <c r="C25" s="66" t="s">
        <v>254</v>
      </c>
      <c r="D25" s="66"/>
      <c r="E25" s="66"/>
      <c r="F25" s="66"/>
      <c r="G25" s="72">
        <v>13084.7419284</v>
      </c>
      <c r="H25" s="40">
        <f>SUMPRODUCT(tblVerifyRecipes[Material cost],tblVerifyRecipes[Batches per month])</f>
        <v>13084.7419284</v>
      </c>
      <c r="I25" s="70">
        <f>IF(AND(ISNUMBER($G$25),ISNUMBER($H$25)),ABS($H$25-$G$25),"")</f>
        <v>0</v>
      </c>
      <c r="J25" s="71">
        <v>1E-09</v>
      </c>
      <c r="K25" s="42" t="str">
        <f>IF(AND(ISNUMBER($G$25),ISNUMBER($H$25)),IF(ABS($H$25-$G$25)&lt;=$J$25,"PASS","FAIL"),"FAIL")</f>
        <v>PASS</v>
      </c>
    </row>
    <row r="27" spans="2:12" ht="21" customHeight="1">
      <c r="B27" s="8" t="s">
        <v>255</v>
      </c>
      <c r="C27" s="8"/>
      <c r="D27" s="8"/>
      <c r="E27" s="8"/>
      <c r="F27" s="8"/>
      <c r="G27" s="8"/>
      <c r="H27" s="8"/>
      <c r="I27" s="8"/>
      <c r="J27" s="8"/>
      <c r="K27" s="8"/>
      <c r="L27" s="8"/>
    </row>
    <row r="28" spans="2:12" ht="5" customHeight="1"/>
    <row r="29" spans="2:12">
      <c r="B29" s="21" t="s">
        <v>256</v>
      </c>
      <c r="C29" s="21"/>
      <c r="D29" s="21"/>
      <c r="E29" s="21"/>
      <c r="F29" s="21"/>
      <c r="G29" s="21"/>
      <c r="H29" s="21"/>
      <c r="I29" s="21"/>
      <c r="J29" s="21"/>
      <c r="K29" s="21"/>
      <c r="L29" s="21"/>
    </row>
    <row r="30" spans="2:12">
      <c r="B30" s="31" t="s">
        <v>257</v>
      </c>
      <c r="C30" s="31"/>
      <c r="D30" s="31"/>
      <c r="E30" s="31"/>
      <c r="F30" s="31"/>
    </row>
    <row r="31" spans="2:12">
      <c r="B31" s="27" t="s">
        <v>258</v>
      </c>
      <c r="C31" s="27"/>
      <c r="D31" s="27"/>
      <c r="E31" s="72">
        <v>21</v>
      </c>
      <c r="F31" s="7"/>
    </row>
    <row r="32" spans="2:12">
      <c r="B32" s="27" t="s">
        <v>259</v>
      </c>
      <c r="C32" s="27"/>
      <c r="D32" s="27"/>
      <c r="E32" s="72">
        <v>45</v>
      </c>
      <c r="F32" s="7"/>
    </row>
    <row r="33" spans="2:24">
      <c r="B33" s="27" t="s">
        <v>77</v>
      </c>
      <c r="C33" s="27"/>
      <c r="D33" s="27"/>
      <c r="E33" s="60">
        <v>0.25</v>
      </c>
      <c r="F33" s="7"/>
    </row>
    <row r="35" spans="2:24">
      <c r="B35" s="31" t="s">
        <v>260</v>
      </c>
      <c r="C35" s="31"/>
      <c r="D35" s="31"/>
      <c r="E35" s="31"/>
      <c r="F35" s="31"/>
      <c r="G35" s="31"/>
      <c r="H35" s="31"/>
      <c r="I35" s="31"/>
      <c r="J35" s="31"/>
      <c r="K35" s="31"/>
      <c r="L35" s="31"/>
    </row>
    <row r="36" spans="2:24" ht="14" customHeight="1">
      <c r="B36" s="33"/>
      <c r="C36" s="33"/>
      <c r="D36" s="33"/>
      <c r="E36" s="33"/>
      <c r="F36" s="33"/>
      <c r="G36" s="33" t="str">
        <f>Currency</f>
        <v>GBP</v>
      </c>
      <c r="H36" s="33" t="str">
        <f>Currency</f>
        <v>GBP</v>
      </c>
      <c r="I36" s="33"/>
      <c r="J36" s="33"/>
      <c r="K36" s="33" t="str">
        <f>Currency&amp;"/batch"</f>
        <v>GBP/batch</v>
      </c>
      <c r="L36" s="33"/>
      <c r="M36" s="33"/>
      <c r="N36" s="33" t="str">
        <f>Currency&amp;"/batch"</f>
        <v>GBP/batch</v>
      </c>
      <c r="O36" s="33" t="str">
        <f>Currency&amp;"/batch"</f>
        <v>GBP/batch</v>
      </c>
      <c r="P36" s="33" t="str">
        <f>Currency&amp;"/batch"</f>
        <v>GBP/batch</v>
      </c>
      <c r="Q36" s="33" t="str">
        <f>Currency&amp;"/batch"</f>
        <v>GBP/batch</v>
      </c>
      <c r="R36" s="33" t="str">
        <f>Currency&amp;"/kg"</f>
        <v>GBP/kg</v>
      </c>
      <c r="S36" s="33" t="str">
        <f>Currency&amp;"/pack"</f>
        <v>GBP/pack</v>
      </c>
      <c r="T36" s="33" t="s">
        <v>139</v>
      </c>
      <c r="U36" s="33" t="str">
        <f>Currency&amp;"/pack"</f>
        <v>GBP/pack</v>
      </c>
      <c r="V36" s="33"/>
      <c r="W36" s="33"/>
      <c r="X36" s="33"/>
    </row>
    <row r="37" spans="2:24" ht="32" customHeight="1">
      <c r="B37" s="34" t="s">
        <v>116</v>
      </c>
      <c r="C37" s="34" t="s">
        <v>117</v>
      </c>
      <c r="D37" s="34" t="s">
        <v>118</v>
      </c>
      <c r="E37" s="34" t="s">
        <v>119</v>
      </c>
      <c r="F37" s="34" t="s">
        <v>120</v>
      </c>
      <c r="G37" s="34" t="s">
        <v>121</v>
      </c>
      <c r="H37" s="34" t="s">
        <v>122</v>
      </c>
      <c r="I37" s="34" t="s">
        <v>123</v>
      </c>
      <c r="J37" s="34" t="s">
        <v>124</v>
      </c>
      <c r="K37" s="34" t="s">
        <v>125</v>
      </c>
      <c r="L37" s="34" t="s">
        <v>126</v>
      </c>
      <c r="M37" s="34" t="s">
        <v>127</v>
      </c>
      <c r="N37" s="34" t="s">
        <v>128</v>
      </c>
      <c r="O37" s="34" t="s">
        <v>129</v>
      </c>
      <c r="P37" s="34" t="s">
        <v>130</v>
      </c>
      <c r="Q37" s="34" t="s">
        <v>131</v>
      </c>
      <c r="R37" s="34" t="s">
        <v>132</v>
      </c>
      <c r="S37" s="34" t="s">
        <v>133</v>
      </c>
      <c r="T37" s="34" t="s">
        <v>134</v>
      </c>
      <c r="U37" s="34" t="s">
        <v>135</v>
      </c>
      <c r="V37" s="34" t="s">
        <v>136</v>
      </c>
      <c r="W37" s="34" t="s">
        <v>137</v>
      </c>
      <c r="X37" s="34" t="s">
        <v>69</v>
      </c>
    </row>
    <row r="38" spans="2:24">
      <c r="B38" s="65" t="s">
        <v>261</v>
      </c>
      <c r="C38" s="60">
        <v>0.95</v>
      </c>
      <c r="D38" s="72">
        <v>4</v>
      </c>
      <c r="E38" s="76">
        <v>2</v>
      </c>
      <c r="F38" s="69">
        <v>1</v>
      </c>
      <c r="G38" s="72">
        <v>0</v>
      </c>
      <c r="H38" s="72">
        <v>8.5</v>
      </c>
      <c r="I38" s="76">
        <v>10</v>
      </c>
      <c r="J38" s="39">
        <f>IF(tblVerifyRecipes[[#This Row],[Recipe]]="","",SUMIFS(tblVerifyLines[Quantity (kg)],tblVerifyLines[Recipe],tblVerifyRecipes[[#This Row],[Recipe]]))</f>
        <v>250</v>
      </c>
      <c r="K38" s="40">
        <f>IF(tblVerifyRecipes[[#This Row],[Recipe]]="","",SUMIFS(tblVerifyLines[Line cost],tblVerifyLines[Recipe],tblVerifyRecipes[[#This Row],[Recipe]]))</f>
        <v>1125</v>
      </c>
      <c r="L38" s="39">
        <f>IF(tblVerifyRecipes[[#This Row],[Recipe]]="","",tblVerifyRecipes[[#This Row],[Charged (kg)]]*tblVerifyRecipes[[#This Row],[Yield]])</f>
        <v>237.5</v>
      </c>
      <c r="M38" s="39">
        <f>IF(tblVerifyRecipes[[#This Row],[Recipe]]="","",IF(N(tblVerifyRecipes[[#This Row],[Pack size (kg)]])&gt;0,tblVerifyRecipes[[#This Row],[Saleable (kg)]]/tblVerifyRecipes[[#This Row],[Pack size (kg)]],""))</f>
        <v>237.5</v>
      </c>
      <c r="N38" s="40">
        <f>IF(tblVerifyRecipes[[#This Row],[Recipe]]="","",N(tblVerifyRecipes[[#This Row],[Batch time (h)]])*N(tblVerifyRecipes[[#This Row],[Crew]])*$E$31)</f>
        <v>168</v>
      </c>
      <c r="O38" s="40">
        <f>IF(tblVerifyRecipes[[#This Row],[Recipe]]="","",N(tblVerifyRecipes[[#This Row],[Batch time (h)]])*$E$32)</f>
        <v>180</v>
      </c>
      <c r="P38" s="40">
        <f>IF(tblVerifyRecipes[[#This Row],[Recipe]]="","",IF(tblVerifyRecipes[[#This Row],[Packs per batch]]="","",tblVerifyRecipes[[#This Row],[Packs per batch]]*N(tblVerifyRecipes[[#This Row],[Packaging per pack]])))</f>
        <v>0</v>
      </c>
      <c r="Q38" s="40">
        <f>IF(tblVerifyRecipes[[#This Row],[Recipe]]="","",IF(tblVerifyRecipes[[#This Row],[Packaging]]="","",tblVerifyRecipes[[#This Row],[Material cost]]+tblVerifyRecipes[[#This Row],[Labour]]+tblVerifyRecipes[[#This Row],[Overhead]]+tblVerifyRecipes[[#This Row],[Packaging]]))</f>
        <v>1473</v>
      </c>
      <c r="R38" s="36">
        <f>IF(tblVerifyRecipes[[#This Row],[Recipe]]="","",IF(N(tblVerifyRecipes[[#This Row],[Saleable (kg)]])&gt;0,tblVerifyRecipes[[#This Row],[Batch cost]]/tblVerifyRecipes[[#This Row],[Saleable (kg)]],""))</f>
        <v>6.2021052631579</v>
      </c>
      <c r="S38" s="36">
        <f>IF(tblVerifyRecipes[[#This Row],[Recipe]]="","",IF(N(tblVerifyRecipes[[#This Row],[Packs per batch]])&gt;0,tblVerifyRecipes[[#This Row],[Batch cost]]/tblVerifyRecipes[[#This Row],[Packs per batch]],""))</f>
        <v>6.2021052631579</v>
      </c>
      <c r="T38" s="41">
        <f>IF(tblVerifyRecipes[[#This Row],[Recipe]]="","",IF(AND(N(tblVerifyRecipes[[#This Row],[Price per pack]])&gt;0,ISNUMBER(tblVerifyRecipes[[#This Row],[Cost per pack]])),(tblVerifyRecipes[[#This Row],[Price per pack]]-tblVerifyRecipes[[#This Row],[Cost per pack]])/tblVerifyRecipes[[#This Row],[Price per pack]],""))</f>
        <v>0.270340557275542</v>
      </c>
      <c r="U38" s="36">
        <f>IF(tblVerifyRecipes[[#This Row],[Recipe]]="","",IF(ISNUMBER(tblVerifyRecipes[[#This Row],[Cost per pack]]),tblVerifyRecipes[[#This Row],[Cost per pack]]/(1-$E$33),""))</f>
        <v>8.26947368421053</v>
      </c>
      <c r="V38" s="42" t="str">
        <f>IF(NOT(ISNUMBER(tblVerifyRecipes[[#This Row],[Gross margin]])),"",IF(tblVerifyRecipes[[#This Row],[Gross margin]]&gt;=$E$33,"On target",IF(tblVerifyRecipes[[#This Row],[Gross margin]]&gt;=$E$33*(1-0.05),"Near target","Below target")))</f>
        <v>On target</v>
      </c>
      <c r="W38" s="43" t="str">
        <f>IF(tblVerifyRecipes[[#This Row],[Recipe]]="","",IF(tblVerifyRecipes[[#This Row],[Yield]]="","Missing yield",IF(tblVerifyRecipes[[#This Row],[Batch time (h)]]="","Missing batch time",IF(tblVerifyRecipes[[#This Row],[Pack size (kg)]]="","Missing pack size",IF(tblVerifyRecipes[[#This Row],[Price per pack]]="","Missing price per pack",IF(tblVerifyRecipes[[#This Row],[Charged (kg)]]=0,"No lines on Recipe Lines",IF(COUNTIFS(tblVerifyRecipes[Recipe],tblVerifyRecipes[[#This Row],[Recipe]])&gt;1,"Duplicate recipe name",IF(AND(N(tblVerifyRecipes[[#This Row],[Price per pack]])&gt;0,N(tblVerifyRecipes[[#This Row],[Price per pack]])&lt;tblVerifyRecipes[[#This Row],[Cost per pack]]),"Price below cost","OK"))))))))</f>
        <v>OK</v>
      </c>
      <c r="X38" s="65"/>
    </row>
    <row r="39" spans="2:24">
      <c r="B39" s="65" t="s">
        <v>262</v>
      </c>
      <c r="C39" s="60">
        <v>0.9</v>
      </c>
      <c r="D39" s="72">
        <v>2</v>
      </c>
      <c r="E39" s="76">
        <v>1.5</v>
      </c>
      <c r="F39" s="69">
        <v>0.4</v>
      </c>
      <c r="G39" s="72">
        <v>0.35</v>
      </c>
      <c r="H39" s="72">
        <v>3.2</v>
      </c>
      <c r="I39" s="76">
        <v>4</v>
      </c>
      <c r="J39" s="39">
        <f>IF(tblVerifyRecipes[[#This Row],[Recipe]]="","",SUMIFS(tblVerifyLines[Quantity (kg)],tblVerifyLines[Recipe],tblVerifyRecipes[[#This Row],[Recipe]]))</f>
        <v>131.47903214</v>
      </c>
      <c r="K39" s="40">
        <f>IF(tblVerifyRecipes[[#This Row],[Recipe]]="","",SUMIFS(tblVerifyLines[Line cost],tblVerifyLines[Recipe],tblVerifyRecipes[[#This Row],[Recipe]]))</f>
        <v>458.6854821</v>
      </c>
      <c r="L39" s="39">
        <f>IF(tblVerifyRecipes[[#This Row],[Recipe]]="","",tblVerifyRecipes[[#This Row],[Charged (kg)]]*tblVerifyRecipes[[#This Row],[Yield]])</f>
        <v>118.331128926</v>
      </c>
      <c r="M39" s="39">
        <f>IF(tblVerifyRecipes[[#This Row],[Recipe]]="","",IF(N(tblVerifyRecipes[[#This Row],[Pack size (kg)]])&gt;0,tblVerifyRecipes[[#This Row],[Saleable (kg)]]/tblVerifyRecipes[[#This Row],[Pack size (kg)]],""))</f>
        <v>295.827822315</v>
      </c>
      <c r="N39" s="40">
        <f>IF(tblVerifyRecipes[[#This Row],[Recipe]]="","",N(tblVerifyRecipes[[#This Row],[Batch time (h)]])*N(tblVerifyRecipes[[#This Row],[Crew]])*$E$31)</f>
        <v>63</v>
      </c>
      <c r="O39" s="40">
        <f>IF(tblVerifyRecipes[[#This Row],[Recipe]]="","",N(tblVerifyRecipes[[#This Row],[Batch time (h)]])*$E$32)</f>
        <v>90</v>
      </c>
      <c r="P39" s="40">
        <f>IF(tblVerifyRecipes[[#This Row],[Recipe]]="","",IF(tblVerifyRecipes[[#This Row],[Packs per batch]]="","",tblVerifyRecipes[[#This Row],[Packs per batch]]*N(tblVerifyRecipes[[#This Row],[Packaging per pack]])))</f>
        <v>103.53973781025</v>
      </c>
      <c r="Q39" s="40">
        <f>IF(tblVerifyRecipes[[#This Row],[Recipe]]="","",IF(tblVerifyRecipes[[#This Row],[Packaging]]="","",tblVerifyRecipes[[#This Row],[Material cost]]+tblVerifyRecipes[[#This Row],[Labour]]+tblVerifyRecipes[[#This Row],[Overhead]]+tblVerifyRecipes[[#This Row],[Packaging]]))</f>
        <v>715.22521991025</v>
      </c>
      <c r="R39" s="36">
        <f>IF(tblVerifyRecipes[[#This Row],[Recipe]]="","",IF(N(tblVerifyRecipes[[#This Row],[Saleable (kg)]])&gt;0,tblVerifyRecipes[[#This Row],[Batch cost]]/tblVerifyRecipes[[#This Row],[Saleable (kg)]],""))</f>
        <v>6.04426938542542</v>
      </c>
      <c r="S39" s="36">
        <f>IF(tblVerifyRecipes[[#This Row],[Recipe]]="","",IF(N(tblVerifyRecipes[[#This Row],[Packs per batch]])&gt;0,tblVerifyRecipes[[#This Row],[Batch cost]]/tblVerifyRecipes[[#This Row],[Packs per batch]],""))</f>
        <v>2.41770775417017</v>
      </c>
      <c r="T39" s="41">
        <f>IF(tblVerifyRecipes[[#This Row],[Recipe]]="","",IF(AND(N(tblVerifyRecipes[[#This Row],[Price per pack]])&gt;0,ISNUMBER(tblVerifyRecipes[[#This Row],[Cost per pack]])),(tblVerifyRecipes[[#This Row],[Price per pack]]-tblVerifyRecipes[[#This Row],[Cost per pack]])/tblVerifyRecipes[[#This Row],[Price per pack]],""))</f>
        <v>0.244466326821823</v>
      </c>
      <c r="U39" s="36">
        <f>IF(tblVerifyRecipes[[#This Row],[Recipe]]="","",IF(ISNUMBER(tblVerifyRecipes[[#This Row],[Cost per pack]]),tblVerifyRecipes[[#This Row],[Cost per pack]]/(1-$E$33),""))</f>
        <v>3.22361033889356</v>
      </c>
      <c r="V39" s="42" t="str">
        <f>IF(NOT(ISNUMBER(tblVerifyRecipes[[#This Row],[Gross margin]])),"",IF(tblVerifyRecipes[[#This Row],[Gross margin]]&gt;=$E$33,"On target",IF(tblVerifyRecipes[[#This Row],[Gross margin]]&gt;=$E$33*(1-0.05),"Near target","Below target")))</f>
        <v>Near target</v>
      </c>
      <c r="W39" s="43" t="str">
        <f>IF(tblVerifyRecipes[[#This Row],[Recipe]]="","",IF(tblVerifyRecipes[[#This Row],[Yield]]="","Missing yield",IF(tblVerifyRecipes[[#This Row],[Batch time (h)]]="","Missing batch time",IF(tblVerifyRecipes[[#This Row],[Pack size (kg)]]="","Missing pack size",IF(tblVerifyRecipes[[#This Row],[Price per pack]]="","Missing price per pack",IF(tblVerifyRecipes[[#This Row],[Charged (kg)]]=0,"No lines on Recipe Lines",IF(COUNTIFS(tblVerifyRecipes[Recipe],tblVerifyRecipes[[#This Row],[Recipe]])&gt;1,"Duplicate recipe name",IF(AND(N(tblVerifyRecipes[[#This Row],[Price per pack]])&gt;0,N(tblVerifyRecipes[[#This Row],[Price per pack]])&lt;tblVerifyRecipes[[#This Row],[Cost per pack]]),"Price below cost","OK"))))))))</f>
        <v>OK</v>
      </c>
      <c r="X39" s="65"/>
    </row>
    <row r="40" spans="2:24">
      <c r="B40" s="65" t="s">
        <v>263</v>
      </c>
      <c r="C40" s="60">
        <v>0.8</v>
      </c>
      <c r="D40" s="72">
        <v>1</v>
      </c>
      <c r="E40" s="76">
        <v>1</v>
      </c>
      <c r="F40" s="69">
        <v>0.5</v>
      </c>
      <c r="G40" s="72">
        <v>0.2</v>
      </c>
      <c r="H40" s="72">
        <v>1</v>
      </c>
      <c r="I40" s="76">
        <v>0</v>
      </c>
      <c r="J40" s="39">
        <f>IF(tblVerifyRecipes[[#This Row],[Recipe]]="","",SUMIFS(tblVerifyLines[Quantity (kg)],tblVerifyLines[Recipe],tblVerifyRecipes[[#This Row],[Recipe]]))</f>
        <v>50</v>
      </c>
      <c r="K40" s="40">
        <f>IF(tblVerifyRecipes[[#This Row],[Recipe]]="","",SUMIFS(tblVerifyLines[Line cost],tblVerifyLines[Recipe],tblVerifyRecipes[[#This Row],[Recipe]]))</f>
        <v>110</v>
      </c>
      <c r="L40" s="39">
        <f>IF(tblVerifyRecipes[[#This Row],[Recipe]]="","",tblVerifyRecipes[[#This Row],[Charged (kg)]]*tblVerifyRecipes[[#This Row],[Yield]])</f>
        <v>40</v>
      </c>
      <c r="M40" s="39">
        <f>IF(tblVerifyRecipes[[#This Row],[Recipe]]="","",IF(N(tblVerifyRecipes[[#This Row],[Pack size (kg)]])&gt;0,tblVerifyRecipes[[#This Row],[Saleable (kg)]]/tblVerifyRecipes[[#This Row],[Pack size (kg)]],""))</f>
        <v>80</v>
      </c>
      <c r="N40" s="40">
        <f>IF(tblVerifyRecipes[[#This Row],[Recipe]]="","",N(tblVerifyRecipes[[#This Row],[Batch time (h)]])*N(tblVerifyRecipes[[#This Row],[Crew]])*$E$31)</f>
        <v>21</v>
      </c>
      <c r="O40" s="40">
        <f>IF(tblVerifyRecipes[[#This Row],[Recipe]]="","",N(tblVerifyRecipes[[#This Row],[Batch time (h)]])*$E$32)</f>
        <v>45</v>
      </c>
      <c r="P40" s="40">
        <f>IF(tblVerifyRecipes[[#This Row],[Recipe]]="","",IF(tblVerifyRecipes[[#This Row],[Packs per batch]]="","",tblVerifyRecipes[[#This Row],[Packs per batch]]*N(tblVerifyRecipes[[#This Row],[Packaging per pack]])))</f>
        <v>16</v>
      </c>
      <c r="Q40" s="40">
        <f>IF(tblVerifyRecipes[[#This Row],[Recipe]]="","",IF(tblVerifyRecipes[[#This Row],[Packaging]]="","",tblVerifyRecipes[[#This Row],[Material cost]]+tblVerifyRecipes[[#This Row],[Labour]]+tblVerifyRecipes[[#This Row],[Overhead]]+tblVerifyRecipes[[#This Row],[Packaging]]))</f>
        <v>192</v>
      </c>
      <c r="R40" s="36">
        <f>IF(tblVerifyRecipes[[#This Row],[Recipe]]="","",IF(N(tblVerifyRecipes[[#This Row],[Saleable (kg)]])&gt;0,tblVerifyRecipes[[#This Row],[Batch cost]]/tblVerifyRecipes[[#This Row],[Saleable (kg)]],""))</f>
        <v>4.8</v>
      </c>
      <c r="S40" s="36">
        <f>IF(tblVerifyRecipes[[#This Row],[Recipe]]="","",IF(N(tblVerifyRecipes[[#This Row],[Packs per batch]])&gt;0,tblVerifyRecipes[[#This Row],[Batch cost]]/tblVerifyRecipes[[#This Row],[Packs per batch]],""))</f>
        <v>2.4</v>
      </c>
      <c r="T40" s="41">
        <f>IF(tblVerifyRecipes[[#This Row],[Recipe]]="","",IF(AND(N(tblVerifyRecipes[[#This Row],[Price per pack]])&gt;0,ISNUMBER(tblVerifyRecipes[[#This Row],[Cost per pack]])),(tblVerifyRecipes[[#This Row],[Price per pack]]-tblVerifyRecipes[[#This Row],[Cost per pack]])/tblVerifyRecipes[[#This Row],[Price per pack]],""))</f>
        <v>-1.4</v>
      </c>
      <c r="U40" s="36">
        <f>IF(tblVerifyRecipes[[#This Row],[Recipe]]="","",IF(ISNUMBER(tblVerifyRecipes[[#This Row],[Cost per pack]]),tblVerifyRecipes[[#This Row],[Cost per pack]]/(1-$E$33),""))</f>
        <v>3.2</v>
      </c>
      <c r="V40" s="42" t="str">
        <f>IF(NOT(ISNUMBER(tblVerifyRecipes[[#This Row],[Gross margin]])),"",IF(tblVerifyRecipes[[#This Row],[Gross margin]]&gt;=$E$33,"On target",IF(tblVerifyRecipes[[#This Row],[Gross margin]]&gt;=$E$33*(1-0.05),"Near target","Below target")))</f>
        <v>Below target</v>
      </c>
      <c r="W40" s="43" t="str">
        <f>IF(tblVerifyRecipes[[#This Row],[Recipe]]="","",IF(tblVerifyRecipes[[#This Row],[Yield]]="","Missing yield",IF(tblVerifyRecipes[[#This Row],[Batch time (h)]]="","Missing batch time",IF(tblVerifyRecipes[[#This Row],[Pack size (kg)]]="","Missing pack size",IF(tblVerifyRecipes[[#This Row],[Price per pack]]="","Missing price per pack",IF(tblVerifyRecipes[[#This Row],[Charged (kg)]]=0,"No lines on Recipe Lines",IF(COUNTIFS(tblVerifyRecipes[Recipe],tblVerifyRecipes[[#This Row],[Recipe]])&gt;1,"Duplicate recipe name",IF(AND(N(tblVerifyRecipes[[#This Row],[Price per pack]])&gt;0,N(tblVerifyRecipes[[#This Row],[Price per pack]])&lt;tblVerifyRecipes[[#This Row],[Cost per pack]]),"Price below cost","OK"))))))))</f>
        <v>Price below cost</v>
      </c>
      <c r="X40" s="65"/>
    </row>
    <row r="42" spans="2:24">
      <c r="B42" s="31" t="s">
        <v>264</v>
      </c>
      <c r="C42" s="31"/>
      <c r="D42" s="31"/>
      <c r="E42" s="31"/>
      <c r="F42" s="31"/>
      <c r="G42" s="31"/>
      <c r="H42" s="31"/>
      <c r="I42" s="31"/>
      <c r="J42" s="31"/>
      <c r="K42" s="31"/>
      <c r="L42" s="31"/>
    </row>
    <row r="43" spans="2:24" ht="14" customHeight="1">
      <c r="B43" s="33"/>
      <c r="C43" s="33"/>
      <c r="D43" s="33"/>
      <c r="E43" s="33"/>
      <c r="F43" s="33"/>
      <c r="G43" s="33" t="str">
        <f>Currency&amp;"/kg"</f>
        <v>GBP/kg</v>
      </c>
      <c r="H43" s="33" t="str">
        <f>Currency&amp;"/batch"</f>
        <v>GBP/batch</v>
      </c>
      <c r="I43" s="33" t="s">
        <v>139</v>
      </c>
      <c r="J43" s="33" t="s">
        <v>139</v>
      </c>
      <c r="K43" s="33" t="str">
        <f>Currency&amp;"/month"</f>
        <v>GBP/month</v>
      </c>
      <c r="L43" s="33"/>
      <c r="M43" s="33"/>
    </row>
    <row r="44" spans="2:24" ht="32" customHeight="1">
      <c r="B44" s="34" t="s">
        <v>116</v>
      </c>
      <c r="C44" s="34" t="s">
        <v>64</v>
      </c>
      <c r="D44" s="34" t="s">
        <v>148</v>
      </c>
      <c r="E44" s="34" t="s">
        <v>149</v>
      </c>
      <c r="F44" s="34" t="s">
        <v>150</v>
      </c>
      <c r="G44" s="34" t="s">
        <v>68</v>
      </c>
      <c r="H44" s="34" t="s">
        <v>151</v>
      </c>
      <c r="I44" s="34" t="s">
        <v>152</v>
      </c>
      <c r="J44" s="34" t="s">
        <v>153</v>
      </c>
      <c r="K44" s="34" t="s">
        <v>154</v>
      </c>
      <c r="L44" s="34" t="s">
        <v>137</v>
      </c>
      <c r="M44" s="34" t="s">
        <v>69</v>
      </c>
    </row>
    <row r="45" spans="2:24">
      <c r="B45" s="65" t="s">
        <v>261</v>
      </c>
      <c r="C45" s="65" t="s">
        <v>265</v>
      </c>
      <c r="D45" s="72">
        <v>250</v>
      </c>
      <c r="E45" s="65" t="s">
        <v>84</v>
      </c>
      <c r="F45" s="44">
        <f>IF(tblVerifyLines[[#This Row],[Recipe]]="","",IF(tblVerifyLines[[#This Row],[Unit]]="kg",tblVerifyLines[[#This Row],[Quantity]],IF(tblVerifyLines[[#This Row],[Unit]]="g",tblVerifyLines[[#This Row],[Quantity]]/1000,IF(tblVerifyLines[[#This Row],[Unit]]="lb",tblVerifyLines[[#This Row],[Quantity]]*0.45359237,IF(tblVerifyLines[[#This Row],[Unit]]="oz",tblVerifyLines[[#This Row],[Quantity]]*0.028349523125,"")))))</f>
        <v>250</v>
      </c>
      <c r="G45" s="73">
        <v>4.5</v>
      </c>
      <c r="H45" s="40">
        <f>IF(tblVerifyLines[[#This Row],[Recipe]]="","",IF(OR(tblVerifyLines[[#This Row],[Quantity (kg)]]="",tblVerifyLines[[#This Row],[Price per kg]]=""),"",tblVerifyLines[[#This Row],[Quantity (kg)]]*tblVerifyLines[[#This Row],[Price per kg]]))</f>
        <v>1125</v>
      </c>
      <c r="I45" s="41">
        <f>IF(tblVerifyLines[[#This Row],[Recipe]]="","",IF(tblVerifyLines[[#This Row],[Quantity (kg)]]="","",IFERROR(tblVerifyLines[[#This Row],[Quantity (kg)]]/SUMIFS(tblVerifyLines[Quantity (kg)],tblVerifyLines[Recipe],tblVerifyLines[[#This Row],[Recipe]]),"")))</f>
        <v>1</v>
      </c>
      <c r="J45" s="41">
        <f>IF(tblVerifyLines[[#This Row],[Recipe]]="","",IF(tblVerifyLines[[#This Row],[Line cost]]="","",IFERROR(tblVerifyLines[[#This Row],[Line cost]]/SUMIFS(tblVerifyLines[Line cost],tblVerifyLines[Recipe],tblVerifyLines[[#This Row],[Recipe]]),"")))</f>
        <v>1</v>
      </c>
      <c r="K45" s="45">
        <f>IF(tblVerifyLines[[#This Row],[Recipe]]="","",IF(tblVerifyLines[[#This Row],[Line cost]]="","",tblVerifyLines[[#This Row],[Line cost]]*IFERROR(INDEX(tblVerifyRecipes[Batches per month],MATCH(tblVerifyLines[[#This Row],[Recipe]],tblVerifyRecipes[Recipe],0)),0)))</f>
        <v>11250</v>
      </c>
      <c r="L45" s="43" t="str">
        <f>IF(tblVerifyLines[[#This Row],[Recipe]]="","",IF(tblVerifyLines[[#This Row],[Ingredient]]="","Missing ingredient",IF(tblVerifyLines[[#This Row],[Quantity]]="","Missing quantity",IF(tblVerifyLines[[#This Row],[Unit]]="","Missing unit",IF(tblVerifyLines[[#This Row],[Price per kg]]="","Ingredient not on Setup list",IF(COUNTIFS(tblVerifyRecipes[Recipe],tblVerifyLines[[#This Row],[Recipe]])=0,"Recipe not on Recipes sheet",IF(tblVerifyLines[[#This Row],[Quantity (kg)]]="","Unit must be kg, g, lb or oz",IF(COUNTIFS(tblVerifyLines[Recipe],tblVerifyLines[[#This Row],[Recipe]],tblVerifyLines[Ingredient],tblVerifyLines[[#This Row],[Ingredient]])&gt;1,"Ingredient twice in recipe","OK"))))))))</f>
        <v>OK</v>
      </c>
      <c r="M45" s="65"/>
    </row>
    <row r="46" spans="2:24">
      <c r="B46" s="65" t="s">
        <v>262</v>
      </c>
      <c r="C46" s="65" t="s">
        <v>266</v>
      </c>
      <c r="D46" s="72">
        <v>120</v>
      </c>
      <c r="E46" s="65" t="s">
        <v>84</v>
      </c>
      <c r="F46" s="44">
        <f>IF(tblVerifyLines[[#This Row],[Recipe]]="","",IF(tblVerifyLines[[#This Row],[Unit]]="kg",tblVerifyLines[[#This Row],[Quantity]],IF(tblVerifyLines[[#This Row],[Unit]]="g",tblVerifyLines[[#This Row],[Quantity]]/1000,IF(tblVerifyLines[[#This Row],[Unit]]="lb",tblVerifyLines[[#This Row],[Quantity]]*0.45359237,IF(tblVerifyLines[[#This Row],[Unit]]="oz",tblVerifyLines[[#This Row],[Quantity]]*0.028349523125,"")))))</f>
        <v>120</v>
      </c>
      <c r="G46" s="73">
        <v>2.2</v>
      </c>
      <c r="H46" s="40">
        <f>IF(tblVerifyLines[[#This Row],[Recipe]]="","",IF(OR(tblVerifyLines[[#This Row],[Quantity (kg)]]="",tblVerifyLines[[#This Row],[Price per kg]]=""),"",tblVerifyLines[[#This Row],[Quantity (kg)]]*tblVerifyLines[[#This Row],[Price per kg]]))</f>
        <v>264</v>
      </c>
      <c r="I46" s="41">
        <f>IF(tblVerifyLines[[#This Row],[Recipe]]="","",IF(tblVerifyLines[[#This Row],[Quantity (kg)]]="","",IFERROR(tblVerifyLines[[#This Row],[Quantity (kg)]]/SUMIFS(tblVerifyLines[Quantity (kg)],tblVerifyLines[Recipe],tblVerifyLines[[#This Row],[Recipe]]),"")))</f>
        <v>0.912693058709338</v>
      </c>
      <c r="J46" s="41">
        <f>IF(tblVerifyLines[[#This Row],[Recipe]]="","",IF(tblVerifyLines[[#This Row],[Line cost]]="","",IFERROR(tblVerifyLines[[#This Row],[Line cost]]/SUMIFS(tblVerifyLines[Line cost],tblVerifyLines[Recipe],tblVerifyLines[[#This Row],[Recipe]]),"")))</f>
        <v>0.575557784805677</v>
      </c>
      <c r="K46" s="45">
        <f>IF(tblVerifyLines[[#This Row],[Recipe]]="","",IF(tblVerifyLines[[#This Row],[Line cost]]="","",tblVerifyLines[[#This Row],[Line cost]]*IFERROR(INDEX(tblVerifyRecipes[Batches per month],MATCH(tblVerifyLines[[#This Row],[Recipe]],tblVerifyRecipes[Recipe],0)),0)))</f>
        <v>1056</v>
      </c>
      <c r="L46" s="43" t="str">
        <f>IF(tblVerifyLines[[#This Row],[Recipe]]="","",IF(tblVerifyLines[[#This Row],[Ingredient]]="","Missing ingredient",IF(tblVerifyLines[[#This Row],[Quantity]]="","Missing quantity",IF(tblVerifyLines[[#This Row],[Unit]]="","Missing unit",IF(tblVerifyLines[[#This Row],[Price per kg]]="","Ingredient not on Setup list",IF(COUNTIFS(tblVerifyRecipes[Recipe],tblVerifyLines[[#This Row],[Recipe]])=0,"Recipe not on Recipes sheet",IF(tblVerifyLines[[#This Row],[Quantity (kg)]]="","Unit must be kg, g, lb or oz",IF(COUNTIFS(tblVerifyLines[Recipe],tblVerifyLines[[#This Row],[Recipe]],tblVerifyLines[Ingredient],tblVerifyLines[[#This Row],[Ingredient]])&gt;1,"Ingredient twice in recipe","OK"))))))))</f>
        <v>OK</v>
      </c>
      <c r="M46" s="65"/>
    </row>
    <row r="47" spans="2:24">
      <c r="B47" s="65" t="s">
        <v>262</v>
      </c>
      <c r="C47" s="65" t="s">
        <v>267</v>
      </c>
      <c r="D47" s="72">
        <v>1500</v>
      </c>
      <c r="E47" s="65" t="s">
        <v>156</v>
      </c>
      <c r="F47" s="44">
        <f>IF(tblVerifyLines[[#This Row],[Recipe]]="","",IF(tblVerifyLines[[#This Row],[Unit]]="kg",tblVerifyLines[[#This Row],[Quantity]],IF(tblVerifyLines[[#This Row],[Unit]]="g",tblVerifyLines[[#This Row],[Quantity]]/1000,IF(tblVerifyLines[[#This Row],[Unit]]="lb",tblVerifyLines[[#This Row],[Quantity]]*0.45359237,IF(tblVerifyLines[[#This Row],[Unit]]="oz",tblVerifyLines[[#This Row],[Quantity]]*0.028349523125,"")))))</f>
        <v>1.5</v>
      </c>
      <c r="G47" s="73">
        <v>30</v>
      </c>
      <c r="H47" s="40">
        <f>IF(tblVerifyLines[[#This Row],[Recipe]]="","",IF(OR(tblVerifyLines[[#This Row],[Quantity (kg)]]="",tblVerifyLines[[#This Row],[Price per kg]]=""),"",tblVerifyLines[[#This Row],[Quantity (kg)]]*tblVerifyLines[[#This Row],[Price per kg]]))</f>
        <v>45</v>
      </c>
      <c r="I47" s="41">
        <f>IF(tblVerifyLines[[#This Row],[Recipe]]="","",IF(tblVerifyLines[[#This Row],[Quantity (kg)]]="","",IFERROR(tblVerifyLines[[#This Row],[Quantity (kg)]]/SUMIFS(tblVerifyLines[Quantity (kg)],tblVerifyLines[Recipe],tblVerifyLines[[#This Row],[Recipe]]),"")))</f>
        <v>0.0114086632338667</v>
      </c>
      <c r="J47" s="41">
        <f>IF(tblVerifyLines[[#This Row],[Recipe]]="","",IF(tblVerifyLines[[#This Row],[Line cost]]="","",IFERROR(tblVerifyLines[[#This Row],[Line cost]]/SUMIFS(tblVerifyLines[Line cost],tblVerifyLines[Recipe],tblVerifyLines[[#This Row],[Recipe]]),"")))</f>
        <v>0.0981064405918768</v>
      </c>
      <c r="K47" s="45">
        <f>IF(tblVerifyLines[[#This Row],[Recipe]]="","",IF(tblVerifyLines[[#This Row],[Line cost]]="","",tblVerifyLines[[#This Row],[Line cost]]*IFERROR(INDEX(tblVerifyRecipes[Batches per month],MATCH(tblVerifyLines[[#This Row],[Recipe]],tblVerifyRecipes[Recipe],0)),0)))</f>
        <v>180</v>
      </c>
      <c r="L47" s="43" t="str">
        <f>IF(tblVerifyLines[[#This Row],[Recipe]]="","",IF(tblVerifyLines[[#This Row],[Ingredient]]="","Missing ingredient",IF(tblVerifyLines[[#This Row],[Quantity]]="","Missing quantity",IF(tblVerifyLines[[#This Row],[Unit]]="","Missing unit",IF(tblVerifyLines[[#This Row],[Price per kg]]="","Ingredient not on Setup list",IF(COUNTIFS(tblVerifyRecipes[Recipe],tblVerifyLines[[#This Row],[Recipe]])=0,"Recipe not on Recipes sheet",IF(tblVerifyLines[[#This Row],[Quantity (kg)]]="","Unit must be kg, g, lb or oz",IF(COUNTIFS(tblVerifyLines[Recipe],tblVerifyLines[[#This Row],[Recipe]],tblVerifyLines[Ingredient],tblVerifyLines[[#This Row],[Ingredient]])&gt;1,"Ingredient twice in recipe","OK"))))))))</f>
        <v>OK</v>
      </c>
      <c r="M47" s="65"/>
    </row>
    <row r="48" spans="2:24">
      <c r="B48" s="65" t="s">
        <v>262</v>
      </c>
      <c r="C48" s="65" t="s">
        <v>268</v>
      </c>
      <c r="D48" s="72">
        <v>22</v>
      </c>
      <c r="E48" s="65" t="s">
        <v>107</v>
      </c>
      <c r="F48" s="44">
        <f>IF(tblVerifyLines[[#This Row],[Recipe]]="","",IF(tblVerifyLines[[#This Row],[Unit]]="kg",tblVerifyLines[[#This Row],[Quantity]],IF(tblVerifyLines[[#This Row],[Unit]]="g",tblVerifyLines[[#This Row],[Quantity]]/1000,IF(tblVerifyLines[[#This Row],[Unit]]="lb",tblVerifyLines[[#This Row],[Quantity]]*0.45359237,IF(tblVerifyLines[[#This Row],[Unit]]="oz",tblVerifyLines[[#This Row],[Quantity]]*0.028349523125,"")))))</f>
        <v>9.97903214</v>
      </c>
      <c r="G48" s="73">
        <v>15</v>
      </c>
      <c r="H48" s="40">
        <f>IF(tblVerifyLines[[#This Row],[Recipe]]="","",IF(OR(tblVerifyLines[[#This Row],[Quantity (kg)]]="",tblVerifyLines[[#This Row],[Price per kg]]=""),"",tblVerifyLines[[#This Row],[Quantity (kg)]]*tblVerifyLines[[#This Row],[Price per kg]]))</f>
        <v>149.6854821</v>
      </c>
      <c r="I48" s="41">
        <f>IF(tblVerifyLines[[#This Row],[Recipe]]="","",IF(tblVerifyLines[[#This Row],[Quantity (kg)]]="","",IFERROR(tblVerifyLines[[#This Row],[Quantity (kg)]]/SUMIFS(tblVerifyLines[Quantity (kg)],tblVerifyLines[Recipe],tblVerifyLines[[#This Row],[Recipe]]),"")))</f>
        <v>0.0758982780567949</v>
      </c>
      <c r="J48" s="41">
        <f>IF(tblVerifyLines[[#This Row],[Recipe]]="","",IF(tblVerifyLines[[#This Row],[Line cost]]="","",IFERROR(tblVerifyLines[[#This Row],[Line cost]]/SUMIFS(tblVerifyLines[Line cost],tblVerifyLines[Recipe],tblVerifyLines[[#This Row],[Recipe]]),"")))</f>
        <v>0.326335774602446</v>
      </c>
      <c r="K48" s="45">
        <f>IF(tblVerifyLines[[#This Row],[Recipe]]="","",IF(tblVerifyLines[[#This Row],[Line cost]]="","",tblVerifyLines[[#This Row],[Line cost]]*IFERROR(INDEX(tblVerifyRecipes[Batches per month],MATCH(tblVerifyLines[[#This Row],[Recipe]],tblVerifyRecipes[Recipe],0)),0)))</f>
        <v>598.7419284</v>
      </c>
      <c r="L48" s="43" t="str">
        <f>IF(tblVerifyLines[[#This Row],[Recipe]]="","",IF(tblVerifyLines[[#This Row],[Ingredient]]="","Missing ingredient",IF(tblVerifyLines[[#This Row],[Quantity]]="","Missing quantity",IF(tblVerifyLines[[#This Row],[Unit]]="","Missing unit",IF(tblVerifyLines[[#This Row],[Price per kg]]="","Ingredient not on Setup list",IF(COUNTIFS(tblVerifyRecipes[Recipe],tblVerifyLines[[#This Row],[Recipe]])=0,"Recipe not on Recipes sheet",IF(tblVerifyLines[[#This Row],[Quantity (kg)]]="","Unit must be kg, g, lb or oz",IF(COUNTIFS(tblVerifyLines[Recipe],tblVerifyLines[[#This Row],[Recipe]],tblVerifyLines[Ingredient],tblVerifyLines[[#This Row],[Ingredient]])&gt;1,"Ingredient twice in recipe","OK"))))))))</f>
        <v>OK</v>
      </c>
      <c r="M48" s="65"/>
    </row>
    <row r="49" spans="2:13">
      <c r="B49" s="65" t="s">
        <v>263</v>
      </c>
      <c r="C49" s="65" t="s">
        <v>266</v>
      </c>
      <c r="D49" s="72">
        <v>50</v>
      </c>
      <c r="E49" s="65" t="s">
        <v>84</v>
      </c>
      <c r="F49" s="44">
        <f>IF(tblVerifyLines[[#This Row],[Recipe]]="","",IF(tblVerifyLines[[#This Row],[Unit]]="kg",tblVerifyLines[[#This Row],[Quantity]],IF(tblVerifyLines[[#This Row],[Unit]]="g",tblVerifyLines[[#This Row],[Quantity]]/1000,IF(tblVerifyLines[[#This Row],[Unit]]="lb",tblVerifyLines[[#This Row],[Quantity]]*0.45359237,IF(tblVerifyLines[[#This Row],[Unit]]="oz",tblVerifyLines[[#This Row],[Quantity]]*0.028349523125,"")))))</f>
        <v>50</v>
      </c>
      <c r="G49" s="73">
        <v>2.2</v>
      </c>
      <c r="H49" s="40">
        <f>IF(tblVerifyLines[[#This Row],[Recipe]]="","",IF(OR(tblVerifyLines[[#This Row],[Quantity (kg)]]="",tblVerifyLines[[#This Row],[Price per kg]]=""),"",tblVerifyLines[[#This Row],[Quantity (kg)]]*tblVerifyLines[[#This Row],[Price per kg]]))</f>
        <v>110</v>
      </c>
      <c r="I49" s="41">
        <f>IF(tblVerifyLines[[#This Row],[Recipe]]="","",IF(tblVerifyLines[[#This Row],[Quantity (kg)]]="","",IFERROR(tblVerifyLines[[#This Row],[Quantity (kg)]]/SUMIFS(tblVerifyLines[Quantity (kg)],tblVerifyLines[Recipe],tblVerifyLines[[#This Row],[Recipe]]),"")))</f>
        <v>1</v>
      </c>
      <c r="J49" s="41">
        <f>IF(tblVerifyLines[[#This Row],[Recipe]]="","",IF(tblVerifyLines[[#This Row],[Line cost]]="","",IFERROR(tblVerifyLines[[#This Row],[Line cost]]/SUMIFS(tblVerifyLines[Line cost],tblVerifyLines[Recipe],tblVerifyLines[[#This Row],[Recipe]]),"")))</f>
        <v>1</v>
      </c>
      <c r="K49" s="45">
        <f>IF(tblVerifyLines[[#This Row],[Recipe]]="","",IF(tblVerifyLines[[#This Row],[Line cost]]="","",tblVerifyLines[[#This Row],[Line cost]]*IFERROR(INDEX(tblVerifyRecipes[Batches per month],MATCH(tblVerifyLines[[#This Row],[Recipe]],tblVerifyRecipes[Recipe],0)),0)))</f>
        <v>0</v>
      </c>
      <c r="L49" s="43" t="str">
        <f>IF(tblVerifyLines[[#This Row],[Recipe]]="","",IF(tblVerifyLines[[#This Row],[Ingredient]]="","Missing ingredient",IF(tblVerifyLines[[#This Row],[Quantity]]="","Missing quantity",IF(tblVerifyLines[[#This Row],[Unit]]="","Missing unit",IF(tblVerifyLines[[#This Row],[Price per kg]]="","Ingredient not on Setup list",IF(COUNTIFS(tblVerifyRecipes[Recipe],tblVerifyLines[[#This Row],[Recipe]])=0,"Recipe not on Recipes sheet",IF(tblVerifyLines[[#This Row],[Quantity (kg)]]="","Unit must be kg, g, lb or oz",IF(COUNTIFS(tblVerifyLines[Recipe],tblVerifyLines[[#This Row],[Recipe]],tblVerifyLines[Ingredient],tblVerifyLines[[#This Row],[Ingredient]])&gt;1,"Ingredient twice in recipe","OK"))))))))</f>
        <v>OK</v>
      </c>
      <c r="M49" s="65"/>
    </row>
  </sheetData>
  <sheetProtection sheet="1" formatColumns="0" formatRows="0"/>
  <mergeCells count="31">
    <mergeCell ref="A1:X1"/>
    <mergeCell ref="B2:W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B27:L27"/>
    <mergeCell ref="B29:L29"/>
    <mergeCell ref="B30:F30"/>
    <mergeCell ref="B31:D31"/>
    <mergeCell ref="B32:D32"/>
    <mergeCell ref="B33:D33"/>
    <mergeCell ref="B35:L35"/>
    <mergeCell ref="B42:L4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5">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L45:L49">
    <cfRule type="expression" dxfId="3" priority="43">
      <formula>$L45="OK"</formula>
    </cfRule>
    <cfRule type="expression" dxfId="1" priority="44">
      <formula>AND($L45&lt;&gt;"",$L45&lt;&gt;"OK")</formula>
    </cfRule>
  </conditionalFormatting>
  <conditionalFormatting sqref="W38:W40">
    <cfRule type="expression" dxfId="3" priority="41">
      <formula>$W38="OK"</formula>
    </cfRule>
    <cfRule type="expression" dxfId="1" priority="42">
      <formula>AND($W38&lt;&gt;"",$W38&lt;&gt;"OK")</formula>
    </cfRule>
  </conditionalFormatting>
  <hyperlinks>
    <hyperlink ref="X2" r:id="rId1" tooltip="Free manufacturing calculators and templates"/>
  </hyperlinks>
  <printOptions horizontalCentered="1"/>
  <pageMargins left="0.4" right="0.4" top="0.7" bottom="0.65" header="0.3" footer="0.3"/>
  <pageSetup fitToHeight="0" orientation="landscape"/>
  <headerFooter>
    <oddHeader>&amp;L&amp;8MFG Calcs - Recipe and Batch Costing&amp;R&amp;8&amp;A</oddHeader>
    <oddFooter>&amp;L&amp;8mfgcalcs.com - free manufacturing templates&amp;R&amp;8Page &amp;P of &amp;N</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21</vt:i4>
      </vt:variant>
    </vt:vector>
  </HeadingPairs>
  <TitlesOfParts>
    <vt:vector size="28" baseType="lpstr">
      <vt:lpstr>Start Here</vt:lpstr>
      <vt:lpstr>Setup</vt:lpstr>
      <vt:lpstr>Recipes</vt:lpstr>
      <vt:lpstr>Recipe Lines</vt:lpstr>
      <vt:lpstr>Dashboard</vt:lpstr>
      <vt:lpstr>Method</vt:lpstr>
      <vt:lpstr>Verify</vt:lpstr>
      <vt:lpstr>CompanyName</vt:lpstr>
      <vt:lpstr>Currency</vt:lpstr>
      <vt:lpstr>KpiBelow</vt:lpstr>
      <vt:lpstr>KpiMargin</vt:lpstr>
      <vt:lpstr>KpiProfit</vt:lpstr>
      <vt:lpstr>KpiSpend</vt:lpstr>
      <vt:lpstr>LabourRate</vt:lpstr>
      <vt:lpstr>OverheadRate</vt:lpstr>
      <vt:lpstr>Dashboard!Print_Area</vt:lpstr>
      <vt:lpstr>Method!Print_Area</vt:lpstr>
      <vt:lpstr>'Recipe Lines'!Print_Area</vt:lpstr>
      <vt:lpstr>Recipes!Print_Area</vt:lpstr>
      <vt:lpstr>Setup!Print_Area</vt:lpstr>
      <vt:lpstr>'Start Here'!Print_Area</vt:lpstr>
      <vt:lpstr>Verify!Print_Area</vt:lpstr>
      <vt:lpstr>Method!Print_Titles</vt:lpstr>
      <vt:lpstr>'Recipe Lines'!Print_Titles</vt:lpstr>
      <vt:lpstr>Recipes!Print_Titles</vt:lpstr>
      <vt:lpstr>SelfCheck</vt:lpstr>
      <vt:lpstr>SelfCheckSummary</vt:lpstr>
      <vt:lpstr>TargetMargin</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Recipe and Batch Costing - free Excel template from MFG Calcs</dc:title>
  <dc:subject>Cost every recipe from ingredients, yield, labour, overhead and packaging: cost per pack, margin and the price for your target.</dc:subject>
  <dc:creator>MFG Calcs</dc:creator>
  <cp:keywords>recipe costing, batch costing, formulation cost, cost per kg, cost per pack, gross margin, yield, food costing, ingredient cost</cp:keywords>
  <dc:description>https://www.mfgcalcs.com/templates/recipe-batch-costing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recipe-batch-costing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https://www.mfgcalcs.com/templates/recipe-batch-costing</vt:lpwstr>
  </property>
  <property fmtid="{D5CDD505-2E9C-101B-9397-08002B2CF9AE}" pid="7" name="Template sheet roles">
    <vt:lpwstr>Start Here=start;Setup=setup;Recipes=work;Recipe Lines=work;Dashboard=dashboard;Method=method;Verify=verify</vt:lpwstr>
  </property>
</Properties>
</file>